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christensen\repos\course-repos\optimal-estimation-course\06-course-project\"/>
    </mc:Choice>
  </mc:AlternateContent>
  <xr:revisionPtr revIDLastSave="0" documentId="13_ncr:1_{857E828A-E18E-4BE1-B9B6-670D3044F96A}" xr6:coauthVersionLast="36" xr6:coauthVersionMax="36" xr10:uidLastSave="{00000000-0000-0000-0000-000000000000}"/>
  <bookViews>
    <workbookView xWindow="-15" yWindow="45" windowWidth="14400" windowHeight="819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</workbook>
</file>

<file path=xl/calcChain.xml><?xml version="1.0" encoding="utf-8"?>
<calcChain xmlns="http://schemas.openxmlformats.org/spreadsheetml/2006/main">
  <c r="E42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41" i="1"/>
  <c r="E10" i="17" l="1"/>
  <c r="E9" i="17"/>
  <c r="E8" i="17"/>
  <c r="E40" i="1"/>
  <c r="E37" i="1"/>
  <c r="E36" i="1"/>
  <c r="E35" i="1"/>
  <c r="E34" i="1"/>
  <c r="E33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30" i="1" l="1"/>
  <c r="E29" i="1"/>
  <c r="E28" i="1"/>
  <c r="E27" i="1"/>
  <c r="E25" i="1"/>
  <c r="E32" i="1" l="1"/>
  <c r="E31" i="1" l="1"/>
  <c r="E11" i="13"/>
  <c r="E11" i="11"/>
  <c r="E10" i="11"/>
  <c r="D11" i="13"/>
  <c r="C11" i="13"/>
  <c r="A11" i="13"/>
  <c r="D10" i="13"/>
  <c r="C10" i="13"/>
  <c r="E10" i="13"/>
  <c r="A10" i="13"/>
  <c r="E39" i="1" l="1"/>
  <c r="E38" i="1"/>
  <c r="E2" i="11"/>
  <c r="B17" i="6"/>
  <c r="B18" i="6"/>
  <c r="E10" i="23"/>
  <c r="E9" i="23"/>
  <c r="E8" i="23"/>
  <c r="C2" i="17"/>
  <c r="E19" i="17" l="1"/>
  <c r="E18" i="17"/>
  <c r="E17" i="17"/>
  <c r="E16" i="17"/>
  <c r="E15" i="17"/>
  <c r="E14" i="17"/>
  <c r="E13" i="17"/>
  <c r="E12" i="17"/>
  <c r="E11" i="17"/>
  <c r="E7" i="17"/>
  <c r="E6" i="17"/>
  <c r="E5" i="17"/>
  <c r="E4" i="17"/>
  <c r="E3" i="17"/>
  <c r="E2" i="17"/>
  <c r="E26" i="1"/>
  <c r="E7" i="23"/>
  <c r="E6" i="23"/>
  <c r="E3" i="23"/>
  <c r="E2" i="23"/>
  <c r="C19" i="17"/>
  <c r="C18" i="17"/>
  <c r="C17" i="17"/>
  <c r="C16" i="17"/>
  <c r="C15" i="17"/>
  <c r="C14" i="17"/>
  <c r="C13" i="17"/>
  <c r="C12" i="17"/>
  <c r="C11" i="17"/>
  <c r="C7" i="17"/>
  <c r="C6" i="17"/>
  <c r="C5" i="17"/>
  <c r="C4" i="17"/>
  <c r="C3" i="17"/>
  <c r="D19" i="14"/>
  <c r="C19" i="14"/>
  <c r="B19" i="14"/>
  <c r="E19" i="14" s="1"/>
  <c r="A19" i="14"/>
  <c r="D18" i="14"/>
  <c r="C18" i="14"/>
  <c r="B18" i="14"/>
  <c r="E18" i="14" s="1"/>
  <c r="A18" i="14"/>
  <c r="D17" i="14"/>
  <c r="C17" i="14"/>
  <c r="B17" i="14"/>
  <c r="E17" i="14" s="1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E4" i="13" s="1"/>
  <c r="B3" i="13"/>
  <c r="E3" i="13" s="1"/>
  <c r="B2" i="13"/>
  <c r="E2" i="13" s="1"/>
  <c r="A9" i="13"/>
  <c r="A8" i="13"/>
  <c r="A7" i="13"/>
  <c r="A6" i="13"/>
  <c r="A5" i="13"/>
  <c r="A4" i="13"/>
  <c r="A3" i="13"/>
  <c r="A2" i="13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4" i="11"/>
  <c r="E3" i="11"/>
  <c r="E5" i="23" l="1"/>
  <c r="E4" i="23"/>
  <c r="E9" i="22"/>
  <c r="D9" i="22"/>
  <c r="C9" i="22"/>
  <c r="B9" i="22"/>
  <c r="E8" i="22"/>
  <c r="D8" i="22"/>
  <c r="C8" i="22"/>
  <c r="B8" i="22"/>
  <c r="E9" i="21"/>
  <c r="C9" i="2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B4" i="1" s="1"/>
  <c r="E3" i="1"/>
  <c r="E2" i="1"/>
  <c r="B19" i="1" l="1"/>
  <c r="E19" i="1" s="1"/>
  <c r="B20" i="1"/>
  <c r="E20" i="1" s="1"/>
  <c r="B21" i="1"/>
  <c r="E21" i="1" s="1"/>
  <c r="E4" i="1"/>
  <c r="E5" i="1"/>
  <c r="D9" i="21" l="1"/>
  <c r="E8" i="21"/>
  <c r="D8" i="21"/>
  <c r="B9" i="21"/>
  <c r="C8" i="21"/>
  <c r="B8" i="21"/>
  <c r="E24" i="1" l="1"/>
  <c r="E23" i="1"/>
  <c r="E22" i="1"/>
  <c r="B3" i="16" l="1"/>
</calcChain>
</file>

<file path=xl/sharedStrings.xml><?xml version="1.0" encoding="utf-8"?>
<sst xmlns="http://schemas.openxmlformats.org/spreadsheetml/2006/main" count="348" uniqueCount="212">
  <si>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</si>
  <si>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</si>
  <si>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</si>
  <si>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</si>
  <si>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</si>
  <si>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</si>
  <si>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</si>
  <si>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</si>
  <si>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</si>
  <si>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</si>
  <si>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</si>
  <si>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</si>
  <si>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</si>
  <si>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</si>
  <si>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</si>
  <si>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</si>
  <si>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</si>
  <si>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</si>
  <si>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</si>
  <si>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</si>
  <si>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</si>
  <si>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</si>
  <si>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</si>
  <si>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</si>
  <si>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</si>
  <si>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</si>
  <si>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</si>
  <si>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</si>
  <si>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</si>
  <si>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</si>
  <si>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</si>
  <si>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tau_gyro</t>
  </si>
  <si>
    <t>Gyro bias ECRV time constant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</si>
  <si>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</si>
  <si>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</si>
  <si>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</si>
  <si>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</si>
  <si>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</si>
  <si>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</si>
  <si>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</si>
  <si>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</si>
  <si>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</si>
  <si>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</si>
  <si>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</si>
  <si>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</si>
  <si>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</si>
  <si>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</si>
  <si>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</si>
  <si>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</si>
  <si>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</si>
  <si>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</si>
  <si>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</si>
  <si>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</si>
  <si>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</si>
  <si>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</si>
  <si>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</si>
  <si>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</si>
  <si>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</si>
  <si>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</si>
  <si>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</si>
  <si>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</si>
  <si>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</si>
  <si>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</si>
  <si>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</si>
  <si>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</si>
  <si>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</si>
  <si>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</si>
  <si>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</si>
  <si>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</si>
  <si>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</si>
  <si>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</si>
  <si>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</si>
  <si>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</si>
  <si>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</si>
  <si>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</si>
  <si>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</si>
  <si>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</si>
  <si>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Terrain camera misalignment ECRV time constant</t>
  </si>
  <si>
    <t>gbias</t>
  </si>
  <si>
    <t>stmis</t>
  </si>
  <si>
    <t>cmis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</si>
  <si>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</si>
  <si>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</si>
  <si>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</si>
  <si>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</si>
  <si>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</si>
  <si>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</si>
  <si>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</si>
  <si>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</si>
  <si>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</si>
  <si>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</si>
  <si>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</si>
  <si>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</si>
  <si>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</si>
  <si>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</si>
  <si>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</si>
  <si>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</si>
  <si>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</si>
  <si>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</si>
  <si>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</si>
  <si>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</si>
  <si>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</si>
  <si>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</si>
  <si>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</si>
  <si>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</si>
  <si>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</si>
  <si>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</si>
  <si>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</si>
  <si>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</si>
  <si>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</si>
  <si>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</si>
  <si>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</si>
  <si>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</si>
  <si>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</si>
  <si>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</si>
  <si>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</si>
  <si>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</si>
  <si>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</si>
  <si>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</si>
  <si>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</si>
  <si>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</si>
  <si>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</si>
  <si>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</si>
  <si>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</si>
  <si>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</si>
  <si>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</si>
  <si>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</si>
  <si>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</si>
  <si>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</si>
  <si>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</si>
  <si>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</si>
  <si>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</si>
  <si>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del_ax</t>
  </si>
  <si>
    <t>del_ay</t>
  </si>
  <si>
    <t>del_az</t>
  </si>
  <si>
    <t>del_thstx</t>
  </si>
  <si>
    <t>del_thsty</t>
  </si>
  <si>
    <t>del_thstz</t>
  </si>
  <si>
    <t>del_thcx</t>
  </si>
  <si>
    <t>del_thcy</t>
  </si>
  <si>
    <t>del_thcz</t>
  </si>
  <si>
    <t>W_MOON</t>
  </si>
  <si>
    <t>MatlabValues</t>
  </si>
  <si>
    <t>processStarTrackerEnable</t>
  </si>
  <si>
    <t>processVisualOdometryEnable</t>
  </si>
  <si>
    <t>tau_st</t>
  </si>
  <si>
    <t>tau_c</t>
  </si>
  <si>
    <t>Injected satellite position error</t>
  </si>
  <si>
    <t>Injected satellite velocity error</t>
  </si>
  <si>
    <t>Injected satellite orientation error</t>
  </si>
  <si>
    <t>Injected star camera misalignment error</t>
  </si>
  <si>
    <t>Injected terrain camera misalignment error</t>
  </si>
  <si>
    <t>th_z</t>
  </si>
  <si>
    <t>th_y</t>
  </si>
  <si>
    <t>z angle of a ZYX euler angle sequence to define initial orientation of spacecraft</t>
  </si>
  <si>
    <t>y angle of a ZYX euler angle sequence to define initial orientation of spacecraft</t>
  </si>
  <si>
    <t>x angle of a ZYX euler angle sequence to define initial orientation of spacecraft</t>
  </si>
  <si>
    <t>th_x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</si>
  <si>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</si>
  <si>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</si>
  <si>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</si>
  <si>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</si>
  <si>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</si>
  <si>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</si>
  <si>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</si>
  <si>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</si>
  <si>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</si>
  <si>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</si>
  <si>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</si>
  <si>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</si>
  <si>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</si>
  <si>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</si>
  <si>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thx_st</t>
  </si>
  <si>
    <t>thy_st</t>
  </si>
  <si>
    <t>thz_st</t>
  </si>
  <si>
    <t>z angle of a ZYX euler angle sequence to define ST orientation wrt body</t>
  </si>
  <si>
    <t>y angle of a ZYX euler angle sequence to define ST orientation wrt body</t>
  </si>
  <si>
    <t>x angle of a ZYX euler angle sequence to define ST orientation wrt body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</si>
  <si>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</si>
  <si>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</si>
  <si>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</si>
  <si>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</si>
  <si>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</si>
  <si>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</si>
  <si>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</si>
  <si>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</si>
  <si>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</si>
  <si>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</si>
  <si>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</si>
  <si>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</si>
  <si>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</si>
  <si>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</si>
  <si>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</si>
  <si>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</si>
  <si>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</si>
  <si>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</si>
  <si>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</si>
  <si>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</si>
  <si>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</si>
  <si>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</si>
  <si>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</si>
  <si>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</si>
  <si>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</si>
  <si>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</si>
  <si>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</si>
  <si>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</si>
  <si>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</si>
  <si>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mrad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</si>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</sst>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1" fontId="0" fillId="0" borderId="2" xfId="0" applyNumberForma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85" zoomScaleNormal="85" workbookViewId="0">
      <selection activeCell="B23" sqref="B23"/>
    </sheetView>
  </sheetViews>
  <sheetFormatPr defaultRowHeight="15" x14ac:dyDescent="0.25"/>
  <cols>
    <col min="1" max="1" width="39.7109375" bestFit="1" customWidth="1"/>
    <col min="2" max="2" width="12.85546875" style="2" bestFit="1" customWidth="1"/>
    <col min="3" max="3" width="16.5703125" bestFit="1" customWidth="1"/>
    <col min="4" max="4" width="75.5703125" bestFit="1" customWidth="1"/>
    <col min="5" max="5" width="16.42578125" style="1" bestFit="1" customWidth="1"/>
    <col min="6" max="6" width="25" bestFit="1" customWidth="1"/>
  </cols>
  <sheetData>
    <row r="1" spans="1:5" x14ac:dyDescent="0.25">
      <c r="A1" s="61" t="s">
        <v>3</v>
      </c>
      <c r="B1" s="62" t="s">
        <v>0</v>
      </c>
      <c r="C1" s="63" t="s">
        <v>2</v>
      </c>
      <c r="D1" s="63" t="s">
        <v>1</v>
      </c>
      <c r="E1" s="64" t="s">
        <v>142</v>
      </c>
    </row>
    <row r="2" spans="1:5" x14ac:dyDescent="0.25">
      <c r="A2" s="51" t="s">
        <v>6</v>
      </c>
      <c r="B2" s="65">
        <v>2</v>
      </c>
      <c r="C2" s="52" t="s">
        <v>5</v>
      </c>
      <c r="D2" s="52" t="s">
        <v>7</v>
      </c>
      <c r="E2" s="66">
        <f t="shared" ref="E2:E10" si="0">B2</f>
        <v>2</v>
      </c>
    </row>
    <row r="3" spans="1:5" x14ac:dyDescent="0.25">
      <c r="A3" s="18" t="s">
        <v>23</v>
      </c>
      <c r="B3" s="67">
        <v>0.25</v>
      </c>
      <c r="C3" s="16" t="s">
        <v>5</v>
      </c>
      <c r="D3" s="16" t="s">
        <v>61</v>
      </c>
      <c r="E3" s="68">
        <f t="shared" si="0"/>
        <v>0.25</v>
      </c>
    </row>
    <row r="4" spans="1:5" x14ac:dyDescent="0.25">
      <c r="A4" s="18" t="s">
        <v>47</v>
      </c>
      <c r="B4" s="67">
        <f>B5*0.5</f>
        <v>3404.7101009954345</v>
      </c>
      <c r="C4" s="16" t="s">
        <v>5</v>
      </c>
      <c r="D4" s="16" t="s">
        <v>62</v>
      </c>
      <c r="E4" s="68">
        <f t="shared" si="0"/>
        <v>3404.7101009954345</v>
      </c>
    </row>
    <row r="5" spans="1:5" x14ac:dyDescent="0.25">
      <c r="A5" s="18" t="s">
        <v>48</v>
      </c>
      <c r="B5" s="67">
        <f>2*PI()/SQRT(B9)*((B11+B12+2*B13)/2)^(3/2)</f>
        <v>6809.4202019908689</v>
      </c>
      <c r="C5" s="16" t="s">
        <v>5</v>
      </c>
      <c r="D5" s="16" t="s">
        <v>63</v>
      </c>
      <c r="E5" s="68">
        <f>B5</f>
        <v>6809.4202019908689</v>
      </c>
    </row>
    <row r="6" spans="1:5" x14ac:dyDescent="0.25">
      <c r="A6" s="18" t="s">
        <v>12</v>
      </c>
      <c r="B6" s="69">
        <v>3</v>
      </c>
      <c r="C6" s="16" t="s">
        <v>4</v>
      </c>
      <c r="D6" s="16" t="s">
        <v>14</v>
      </c>
      <c r="E6" s="68">
        <f>B6</f>
        <v>3</v>
      </c>
    </row>
    <row r="7" spans="1:5" x14ac:dyDescent="0.25">
      <c r="A7" s="18" t="s">
        <v>64</v>
      </c>
      <c r="B7" s="69">
        <v>15</v>
      </c>
      <c r="C7" s="16" t="s">
        <v>4</v>
      </c>
      <c r="D7" s="16" t="s">
        <v>65</v>
      </c>
      <c r="E7" s="68">
        <f>B7</f>
        <v>15</v>
      </c>
    </row>
    <row r="8" spans="1:5" x14ac:dyDescent="0.25">
      <c r="A8" s="18" t="s">
        <v>158</v>
      </c>
      <c r="B8" s="69">
        <f>12*6</f>
        <v>72</v>
      </c>
      <c r="C8" s="16" t="s">
        <v>4</v>
      </c>
      <c r="D8" s="16" t="s">
        <v>13</v>
      </c>
      <c r="E8" s="68">
        <f t="shared" si="0"/>
        <v>72</v>
      </c>
    </row>
    <row r="9" spans="1:5" x14ac:dyDescent="0.25">
      <c r="A9" s="18" t="s">
        <v>49</v>
      </c>
      <c r="B9" s="70">
        <v>4902.8010759999997</v>
      </c>
      <c r="C9" s="16" t="s">
        <v>58</v>
      </c>
      <c r="D9" s="16" t="s">
        <v>66</v>
      </c>
      <c r="E9" s="68">
        <f>B9*1000^3</f>
        <v>4902801076000</v>
      </c>
    </row>
    <row r="10" spans="1:5" x14ac:dyDescent="0.25">
      <c r="A10" s="18" t="s">
        <v>50</v>
      </c>
      <c r="B10" s="67">
        <v>0</v>
      </c>
      <c r="C10" s="16" t="s">
        <v>4</v>
      </c>
      <c r="D10" s="16" t="s">
        <v>67</v>
      </c>
      <c r="E10" s="68">
        <f t="shared" si="0"/>
        <v>0</v>
      </c>
    </row>
    <row r="11" spans="1:5" x14ac:dyDescent="0.25">
      <c r="A11" s="18" t="s">
        <v>51</v>
      </c>
      <c r="B11" s="67">
        <v>100</v>
      </c>
      <c r="C11" s="16" t="s">
        <v>59</v>
      </c>
      <c r="D11" s="16" t="s">
        <v>68</v>
      </c>
      <c r="E11" s="68">
        <f>B11*1000</f>
        <v>100000</v>
      </c>
    </row>
    <row r="12" spans="1:5" x14ac:dyDescent="0.25">
      <c r="A12" s="18" t="s">
        <v>52</v>
      </c>
      <c r="B12" s="67">
        <v>10</v>
      </c>
      <c r="C12" s="16" t="s">
        <v>59</v>
      </c>
      <c r="D12" s="16" t="s">
        <v>69</v>
      </c>
      <c r="E12" s="68">
        <f>B12*1000</f>
        <v>10000</v>
      </c>
    </row>
    <row r="13" spans="1:5" x14ac:dyDescent="0.25">
      <c r="A13" s="18" t="s">
        <v>53</v>
      </c>
      <c r="B13" s="67">
        <v>1737.4</v>
      </c>
      <c r="C13" s="16" t="s">
        <v>59</v>
      </c>
      <c r="D13" s="16" t="s">
        <v>70</v>
      </c>
      <c r="E13" s="68">
        <f>B13*1000</f>
        <v>1737400</v>
      </c>
    </row>
    <row r="14" spans="1:5" x14ac:dyDescent="0.25">
      <c r="A14" s="18" t="s">
        <v>54</v>
      </c>
      <c r="B14" s="67">
        <v>1737.4</v>
      </c>
      <c r="C14" s="16" t="s">
        <v>59</v>
      </c>
      <c r="D14" s="16" t="s">
        <v>71</v>
      </c>
      <c r="E14" s="68">
        <f>B14*1000</f>
        <v>1737400</v>
      </c>
    </row>
    <row r="15" spans="1:5" x14ac:dyDescent="0.25">
      <c r="A15" s="18" t="s">
        <v>141</v>
      </c>
      <c r="B15" s="67">
        <v>13.17635815</v>
      </c>
      <c r="C15" s="16" t="s">
        <v>60</v>
      </c>
      <c r="D15" s="16" t="s">
        <v>72</v>
      </c>
      <c r="E15" s="68">
        <f>RADIANS(B15)/86400</f>
        <v>2.6616994576329732E-6</v>
      </c>
    </row>
    <row r="16" spans="1:5" x14ac:dyDescent="0.25">
      <c r="A16" s="18" t="s">
        <v>55</v>
      </c>
      <c r="B16" s="67">
        <v>0</v>
      </c>
      <c r="C16" s="16" t="s">
        <v>8</v>
      </c>
      <c r="D16" s="16" t="s">
        <v>73</v>
      </c>
      <c r="E16" s="68">
        <f>B16</f>
        <v>0</v>
      </c>
    </row>
    <row r="17" spans="1:5" x14ac:dyDescent="0.25">
      <c r="A17" s="18" t="s">
        <v>56</v>
      </c>
      <c r="B17" s="67">
        <v>0</v>
      </c>
      <c r="C17" s="16" t="s">
        <v>8</v>
      </c>
      <c r="D17" s="16" t="s">
        <v>74</v>
      </c>
      <c r="E17" s="68">
        <f>B17</f>
        <v>0</v>
      </c>
    </row>
    <row r="18" spans="1:5" x14ac:dyDescent="0.25">
      <c r="A18" s="18" t="s">
        <v>57</v>
      </c>
      <c r="B18" s="67">
        <v>0</v>
      </c>
      <c r="C18" s="16" t="s">
        <v>8</v>
      </c>
      <c r="D18" s="16" t="s">
        <v>75</v>
      </c>
      <c r="E18" s="68">
        <f>B18</f>
        <v>0</v>
      </c>
    </row>
    <row r="19" spans="1:5" x14ac:dyDescent="0.25">
      <c r="A19" s="18" t="s">
        <v>31</v>
      </c>
      <c r="B19" s="71">
        <f>$B$5/2</f>
        <v>3404.7101009954345</v>
      </c>
      <c r="C19" s="70" t="s">
        <v>5</v>
      </c>
      <c r="D19" s="16" t="s">
        <v>32</v>
      </c>
      <c r="E19" s="68">
        <f t="shared" ref="E19:E21" si="1">B19</f>
        <v>3404.7101009954345</v>
      </c>
    </row>
    <row r="20" spans="1:5" x14ac:dyDescent="0.25">
      <c r="A20" s="18" t="s">
        <v>145</v>
      </c>
      <c r="B20" s="71">
        <f>$B$5/2</f>
        <v>3404.7101009954345</v>
      </c>
      <c r="C20" s="70" t="s">
        <v>5</v>
      </c>
      <c r="D20" s="16" t="s">
        <v>76</v>
      </c>
      <c r="E20" s="68">
        <f t="shared" si="1"/>
        <v>3404.7101009954345</v>
      </c>
    </row>
    <row r="21" spans="1:5" x14ac:dyDescent="0.25">
      <c r="A21" s="18" t="s">
        <v>146</v>
      </c>
      <c r="B21" s="71">
        <f>$B$5/2</f>
        <v>3404.7101009954345</v>
      </c>
      <c r="C21" s="70" t="s">
        <v>5</v>
      </c>
      <c r="D21" s="16" t="s">
        <v>77</v>
      </c>
      <c r="E21" s="68">
        <f t="shared" si="1"/>
        <v>3404.7101009954345</v>
      </c>
    </row>
    <row r="22" spans="1:5" x14ac:dyDescent="0.25">
      <c r="A22" s="18" t="s">
        <v>41</v>
      </c>
      <c r="B22" s="69">
        <v>1</v>
      </c>
      <c r="C22" s="16" t="s">
        <v>4</v>
      </c>
      <c r="D22" s="16" t="s">
        <v>42</v>
      </c>
      <c r="E22" s="68">
        <f t="shared" ref="E22:E24" si="2">B22</f>
        <v>1</v>
      </c>
    </row>
    <row r="23" spans="1:5" x14ac:dyDescent="0.25">
      <c r="A23" s="18" t="s">
        <v>20</v>
      </c>
      <c r="B23" s="69">
        <v>0</v>
      </c>
      <c r="C23" s="16" t="s">
        <v>4</v>
      </c>
      <c r="D23" s="16" t="s">
        <v>21</v>
      </c>
      <c r="E23" s="68">
        <f t="shared" si="2"/>
        <v>0</v>
      </c>
    </row>
    <row r="24" spans="1:5" x14ac:dyDescent="0.25">
      <c r="A24" s="18" t="s">
        <v>43</v>
      </c>
      <c r="B24" s="69">
        <v>0</v>
      </c>
      <c r="C24" s="16" t="s">
        <v>4</v>
      </c>
      <c r="D24" s="16" t="s">
        <v>44</v>
      </c>
      <c r="E24" s="68">
        <f t="shared" si="2"/>
        <v>0</v>
      </c>
    </row>
    <row r="25" spans="1:5" x14ac:dyDescent="0.25">
      <c r="A25" s="18" t="s">
        <v>174</v>
      </c>
      <c r="B25" s="67">
        <v>0</v>
      </c>
      <c r="C25" s="16" t="s">
        <v>22</v>
      </c>
      <c r="D25" s="16" t="s">
        <v>175</v>
      </c>
      <c r="E25" s="68">
        <f t="shared" ref="E25:E30" si="3">RADIANS(B25)</f>
        <v>0</v>
      </c>
    </row>
    <row r="26" spans="1:5" x14ac:dyDescent="0.25">
      <c r="A26" s="18" t="s">
        <v>173</v>
      </c>
      <c r="B26" s="67">
        <v>0</v>
      </c>
      <c r="C26" s="16" t="s">
        <v>22</v>
      </c>
      <c r="D26" s="16" t="s">
        <v>176</v>
      </c>
      <c r="E26" s="68">
        <f t="shared" si="3"/>
        <v>0</v>
      </c>
    </row>
    <row r="27" spans="1:5" x14ac:dyDescent="0.25">
      <c r="A27" s="18" t="s">
        <v>172</v>
      </c>
      <c r="B27" s="67">
        <v>180</v>
      </c>
      <c r="C27" s="16" t="s">
        <v>22</v>
      </c>
      <c r="D27" s="16" t="s">
        <v>177</v>
      </c>
      <c r="E27" s="68">
        <f t="shared" si="3"/>
        <v>3.1415926535897931</v>
      </c>
    </row>
    <row r="28" spans="1:5" x14ac:dyDescent="0.25">
      <c r="A28" s="18" t="s">
        <v>178</v>
      </c>
      <c r="B28" s="67">
        <v>0</v>
      </c>
      <c r="C28" s="16" t="s">
        <v>22</v>
      </c>
      <c r="D28" s="16" t="s">
        <v>181</v>
      </c>
      <c r="E28" s="68">
        <f t="shared" si="3"/>
        <v>0</v>
      </c>
    </row>
    <row r="29" spans="1:5" x14ac:dyDescent="0.25">
      <c r="A29" s="18" t="s">
        <v>179</v>
      </c>
      <c r="B29" s="67">
        <v>10</v>
      </c>
      <c r="C29" s="16" t="s">
        <v>22</v>
      </c>
      <c r="D29" s="16" t="s">
        <v>182</v>
      </c>
      <c r="E29" s="68">
        <f t="shared" si="3"/>
        <v>0.17453292519943295</v>
      </c>
    </row>
    <row r="30" spans="1:5" x14ac:dyDescent="0.25">
      <c r="A30" s="18" t="s">
        <v>180</v>
      </c>
      <c r="B30" s="67">
        <v>0</v>
      </c>
      <c r="C30" s="16" t="s">
        <v>22</v>
      </c>
      <c r="D30" s="16" t="s">
        <v>183</v>
      </c>
      <c r="E30" s="68">
        <f t="shared" si="3"/>
        <v>0</v>
      </c>
    </row>
    <row r="31" spans="1:5" x14ac:dyDescent="0.25">
      <c r="A31" s="18" t="s">
        <v>169</v>
      </c>
      <c r="B31" s="67">
        <v>30</v>
      </c>
      <c r="C31" s="16" t="s">
        <v>170</v>
      </c>
      <c r="D31" s="16" t="s">
        <v>201</v>
      </c>
      <c r="E31" s="68">
        <f t="shared" ref="E31:E32" si="4">B31</f>
        <v>30</v>
      </c>
    </row>
    <row r="32" spans="1:5" x14ac:dyDescent="0.25">
      <c r="A32" s="18" t="s">
        <v>171</v>
      </c>
      <c r="B32" s="67">
        <v>0</v>
      </c>
      <c r="C32" s="16" t="s">
        <v>4</v>
      </c>
      <c r="D32" s="16" t="s">
        <v>200</v>
      </c>
      <c r="E32" s="68">
        <f t="shared" si="4"/>
        <v>0</v>
      </c>
    </row>
    <row r="33" spans="1:5" x14ac:dyDescent="0.25">
      <c r="A33" s="18" t="s">
        <v>191</v>
      </c>
      <c r="B33" s="67">
        <v>19</v>
      </c>
      <c r="C33" s="16" t="s">
        <v>193</v>
      </c>
      <c r="D33" s="16" t="s">
        <v>196</v>
      </c>
      <c r="E33" s="68">
        <f>B33/1000</f>
        <v>1.9E-2</v>
      </c>
    </row>
    <row r="34" spans="1:5" x14ac:dyDescent="0.25">
      <c r="A34" s="18" t="s">
        <v>202</v>
      </c>
      <c r="B34" s="67">
        <v>7</v>
      </c>
      <c r="C34" s="16" t="s">
        <v>192</v>
      </c>
      <c r="D34" s="16" t="s">
        <v>197</v>
      </c>
      <c r="E34" s="68">
        <f>B34*0.000001</f>
        <v>6.9999999999999999E-6</v>
      </c>
    </row>
    <row r="35" spans="1:5" x14ac:dyDescent="0.25">
      <c r="A35" s="18" t="s">
        <v>194</v>
      </c>
      <c r="B35" s="67">
        <v>2500</v>
      </c>
      <c r="C35" s="16" t="s">
        <v>164</v>
      </c>
      <c r="D35" s="16" t="s">
        <v>198</v>
      </c>
      <c r="E35" s="68">
        <f t="shared" ref="E35:E36" si="5">B35</f>
        <v>2500</v>
      </c>
    </row>
    <row r="36" spans="1:5" x14ac:dyDescent="0.25">
      <c r="A36" s="18" t="s">
        <v>195</v>
      </c>
      <c r="B36" s="67">
        <v>2500</v>
      </c>
      <c r="C36" s="16" t="s">
        <v>164</v>
      </c>
      <c r="D36" s="16" t="s">
        <v>199</v>
      </c>
      <c r="E36" s="68">
        <f t="shared" si="5"/>
        <v>2500</v>
      </c>
    </row>
    <row r="37" spans="1:5" x14ac:dyDescent="0.25">
      <c r="A37" s="18" t="s">
        <v>203</v>
      </c>
      <c r="B37" s="69">
        <v>5</v>
      </c>
      <c r="C37" s="16" t="s">
        <v>4</v>
      </c>
      <c r="D37" s="16" t="s">
        <v>204</v>
      </c>
      <c r="E37" s="68">
        <f>B37</f>
        <v>5</v>
      </c>
    </row>
    <row r="38" spans="1:5" x14ac:dyDescent="0.25">
      <c r="A38" s="53" t="s">
        <v>143</v>
      </c>
      <c r="B38" s="54">
        <v>1</v>
      </c>
      <c r="C38" s="55" t="s">
        <v>4</v>
      </c>
      <c r="D38" s="55" t="s">
        <v>162</v>
      </c>
      <c r="E38" s="56">
        <f t="shared" ref="E38:E40" si="6">B38</f>
        <v>1</v>
      </c>
    </row>
    <row r="39" spans="1:5" x14ac:dyDescent="0.25">
      <c r="A39" s="57" t="s">
        <v>144</v>
      </c>
      <c r="B39" s="58">
        <v>1</v>
      </c>
      <c r="C39" s="59" t="s">
        <v>4</v>
      </c>
      <c r="D39" s="59" t="s">
        <v>163</v>
      </c>
      <c r="E39" s="60">
        <f t="shared" si="6"/>
        <v>1</v>
      </c>
    </row>
    <row r="40" spans="1:5" x14ac:dyDescent="0.25">
      <c r="A40" s="51" t="s">
        <v>206</v>
      </c>
      <c r="B40" s="74">
        <v>0</v>
      </c>
      <c r="C40" s="52" t="s">
        <v>4</v>
      </c>
      <c r="D40" s="52" t="s">
        <v>205</v>
      </c>
      <c r="E40" s="66">
        <f t="shared" si="6"/>
        <v>0</v>
      </c>
    </row>
    <row r="41" spans="1:5" x14ac:dyDescent="0.25">
      <c r="A41" s="18" t="s">
        <v>208</v>
      </c>
      <c r="B41" s="69">
        <v>0</v>
      </c>
      <c r="C41" s="16" t="s">
        <v>4</v>
      </c>
      <c r="D41" s="16" t="s">
        <v>209</v>
      </c>
      <c r="E41" s="68">
        <f t="shared" ref="E41" si="7">B41</f>
        <v>0</v>
      </c>
    </row>
    <row r="42" spans="1:5" x14ac:dyDescent="0.25">
      <c r="A42" s="7" t="s">
        <v>210</v>
      </c>
      <c r="B42" s="72">
        <v>0</v>
      </c>
      <c r="C42" s="17" t="s">
        <v>4</v>
      </c>
      <c r="D42" s="17" t="s">
        <v>211</v>
      </c>
      <c r="E42" s="73">
        <f t="shared" ref="E42" si="8">B42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5" x14ac:dyDescent="0.25"/>
  <cols>
    <col min="1" max="1" width="10.5703125" bestFit="1" customWidth="1"/>
  </cols>
  <sheetData>
    <row r="1" spans="1:2" x14ac:dyDescent="0.25">
      <c r="A1" t="s">
        <v>16</v>
      </c>
      <c r="B1">
        <v>60</v>
      </c>
    </row>
    <row r="2" spans="1:2" x14ac:dyDescent="0.25">
      <c r="A2" t="s">
        <v>17</v>
      </c>
      <c r="B2">
        <v>60</v>
      </c>
    </row>
    <row r="3" spans="1:2" x14ac:dyDescent="0.25">
      <c r="A3" t="s">
        <v>18</v>
      </c>
      <c r="B3">
        <f>hr2min*min2sec</f>
        <v>3600</v>
      </c>
    </row>
    <row r="4" spans="1:2" x14ac:dyDescent="0.25">
      <c r="A4" t="s">
        <v>19</v>
      </c>
      <c r="B4">
        <v>9.81</v>
      </c>
    </row>
    <row r="5" spans="1:2" x14ac:dyDescent="0.25">
      <c r="A5" t="s">
        <v>190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10"/>
  <sheetViews>
    <sheetView workbookViewId="0">
      <selection activeCell="B1" sqref="B1"/>
    </sheetView>
  </sheetViews>
  <sheetFormatPr defaultRowHeight="15" x14ac:dyDescent="0.25"/>
  <cols>
    <col min="1" max="1" width="8.5703125" bestFit="1" customWidth="1"/>
    <col min="2" max="2" width="12.5703125" bestFit="1" customWidth="1"/>
    <col min="4" max="4" width="72.42578125" bestFit="1" customWidth="1"/>
    <col min="5" max="5" width="15.42578125" bestFit="1" customWidth="1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142</v>
      </c>
    </row>
    <row r="2" spans="1:5" x14ac:dyDescent="0.25">
      <c r="A2" s="30" t="s">
        <v>81</v>
      </c>
      <c r="B2" s="31">
        <v>1575.5547637675199</v>
      </c>
      <c r="C2" s="30" t="s">
        <v>59</v>
      </c>
      <c r="D2" s="30" t="s">
        <v>82</v>
      </c>
      <c r="E2" s="32">
        <f t="shared" ref="E2:E4" si="0">B2*1000</f>
        <v>1575554.76376752</v>
      </c>
    </row>
    <row r="3" spans="1:5" x14ac:dyDescent="0.25">
      <c r="A3" s="33" t="s">
        <v>83</v>
      </c>
      <c r="B3" s="34">
        <v>-178.75415266497299</v>
      </c>
      <c r="C3" s="33" t="s">
        <v>59</v>
      </c>
      <c r="D3" s="33" t="s">
        <v>84</v>
      </c>
      <c r="E3" s="32">
        <f t="shared" si="0"/>
        <v>-178754.15266497299</v>
      </c>
    </row>
    <row r="4" spans="1:5" x14ac:dyDescent="0.25">
      <c r="A4" s="35" t="s">
        <v>85</v>
      </c>
      <c r="B4" s="36">
        <v>-928.32402032916605</v>
      </c>
      <c r="C4" s="35" t="s">
        <v>59</v>
      </c>
      <c r="D4" s="35" t="s">
        <v>86</v>
      </c>
      <c r="E4" s="37">
        <f t="shared" si="0"/>
        <v>-928324.02032916609</v>
      </c>
    </row>
    <row r="5" spans="1:5" x14ac:dyDescent="0.25">
      <c r="A5" s="38" t="s">
        <v>87</v>
      </c>
      <c r="B5" s="34">
        <v>-0.50450806110878699</v>
      </c>
      <c r="C5" s="38" t="s">
        <v>88</v>
      </c>
      <c r="D5" s="30" t="s">
        <v>82</v>
      </c>
      <c r="E5" s="32">
        <f>B5*1000</f>
        <v>-504.50806110878699</v>
      </c>
    </row>
    <row r="6" spans="1:5" x14ac:dyDescent="0.25">
      <c r="A6" s="38" t="s">
        <v>89</v>
      </c>
      <c r="B6" s="34">
        <v>-1.4165222911672899</v>
      </c>
      <c r="C6" s="38" t="s">
        <v>88</v>
      </c>
      <c r="D6" s="33" t="s">
        <v>84</v>
      </c>
      <c r="E6" s="32">
        <f>B6*1000</f>
        <v>-1416.5222911672899</v>
      </c>
    </row>
    <row r="7" spans="1:5" x14ac:dyDescent="0.25">
      <c r="A7" s="33" t="s">
        <v>90</v>
      </c>
      <c r="B7" s="34">
        <v>-0.58329957806655397</v>
      </c>
      <c r="C7" s="33" t="s">
        <v>88</v>
      </c>
      <c r="D7" s="33" t="s">
        <v>86</v>
      </c>
      <c r="E7" s="32">
        <f>B7*1000</f>
        <v>-583.29957806655398</v>
      </c>
    </row>
    <row r="8" spans="1:5" x14ac:dyDescent="0.25">
      <c r="A8" s="46" t="s">
        <v>152</v>
      </c>
      <c r="B8" s="49">
        <v>0</v>
      </c>
      <c r="C8" s="4" t="s">
        <v>22</v>
      </c>
      <c r="D8" s="4" t="s">
        <v>154</v>
      </c>
      <c r="E8" s="12">
        <f>RADIANS(B8)</f>
        <v>0</v>
      </c>
    </row>
    <row r="9" spans="1:5" x14ac:dyDescent="0.25">
      <c r="A9" s="47" t="s">
        <v>153</v>
      </c>
      <c r="B9" s="29">
        <v>0</v>
      </c>
      <c r="C9" s="6" t="s">
        <v>22</v>
      </c>
      <c r="D9" s="6" t="s">
        <v>155</v>
      </c>
      <c r="E9" s="13">
        <f>RADIANS(B9)</f>
        <v>0</v>
      </c>
    </row>
    <row r="10" spans="1:5" x14ac:dyDescent="0.25">
      <c r="A10" s="48" t="s">
        <v>157</v>
      </c>
      <c r="B10" s="50">
        <v>180</v>
      </c>
      <c r="C10" s="8" t="s">
        <v>22</v>
      </c>
      <c r="D10" s="8" t="s">
        <v>156</v>
      </c>
      <c r="E10" s="14">
        <f>RADIANS(B10)</f>
        <v>3.1415926535897931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9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</row>
    <row r="2" spans="1:5" x14ac:dyDescent="0.25">
      <c r="A2" t="s">
        <v>33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34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35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79</v>
      </c>
      <c r="B5">
        <v>11</v>
      </c>
      <c r="C5">
        <v>13</v>
      </c>
      <c r="D5">
        <v>10</v>
      </c>
      <c r="E5">
        <v>12</v>
      </c>
    </row>
    <row r="6" spans="1:5" x14ac:dyDescent="0.25">
      <c r="A6" t="s">
        <v>80</v>
      </c>
      <c r="B6">
        <v>14</v>
      </c>
      <c r="C6">
        <v>16</v>
      </c>
      <c r="D6">
        <v>13</v>
      </c>
      <c r="E6">
        <v>15</v>
      </c>
    </row>
    <row r="7" spans="1:5" x14ac:dyDescent="0.25">
      <c r="A7" t="s">
        <v>78</v>
      </c>
      <c r="B7">
        <v>17</v>
      </c>
      <c r="C7">
        <v>19</v>
      </c>
      <c r="D7">
        <v>16</v>
      </c>
      <c r="E7">
        <v>18</v>
      </c>
    </row>
    <row r="8" spans="1:5" x14ac:dyDescent="0.25">
      <c r="A8" t="s">
        <v>45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25">
      <c r="A9" t="s">
        <v>46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/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</row>
    <row r="2" spans="1:5" x14ac:dyDescent="0.25">
      <c r="A2" t="s">
        <v>33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34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35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79</v>
      </c>
      <c r="B5">
        <v>11</v>
      </c>
      <c r="C5">
        <v>13</v>
      </c>
      <c r="D5">
        <v>10</v>
      </c>
      <c r="E5">
        <v>12</v>
      </c>
    </row>
    <row r="6" spans="1:5" x14ac:dyDescent="0.25">
      <c r="A6" t="s">
        <v>80</v>
      </c>
      <c r="B6">
        <v>14</v>
      </c>
      <c r="C6">
        <v>16</v>
      </c>
      <c r="D6">
        <v>13</v>
      </c>
      <c r="E6">
        <v>15</v>
      </c>
    </row>
    <row r="7" spans="1:5" x14ac:dyDescent="0.25">
      <c r="A7" t="s">
        <v>78</v>
      </c>
      <c r="B7">
        <v>17</v>
      </c>
      <c r="C7">
        <v>19</v>
      </c>
      <c r="D7">
        <v>16</v>
      </c>
      <c r="E7">
        <v>18</v>
      </c>
    </row>
    <row r="8" spans="1:5" x14ac:dyDescent="0.25">
      <c r="A8" t="s">
        <v>45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25">
      <c r="A9" t="s">
        <v>46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5" x14ac:dyDescent="0.25"/>
  <cols>
    <col min="1" max="1" width="12.7109375" bestFit="1" customWidth="1"/>
    <col min="2" max="2" width="11.5703125" style="9" bestFit="1" customWidth="1"/>
    <col min="3" max="3" width="11.85546875" bestFit="1" customWidth="1"/>
    <col min="4" max="4" width="48.140625" bestFit="1" customWidth="1"/>
    <col min="5" max="5" width="14.7109375" style="1" bestFit="1" customWidth="1"/>
    <col min="6" max="6" width="14.42578125" bestFit="1" customWidth="1"/>
  </cols>
  <sheetData>
    <row r="1" spans="1:6" x14ac:dyDescent="0.25">
      <c r="A1" s="39" t="s">
        <v>3</v>
      </c>
      <c r="B1" s="40" t="s">
        <v>0</v>
      </c>
      <c r="C1" s="41" t="s">
        <v>2</v>
      </c>
      <c r="D1" s="41" t="s">
        <v>1</v>
      </c>
      <c r="E1" s="42" t="s">
        <v>142</v>
      </c>
    </row>
    <row r="2" spans="1:6" x14ac:dyDescent="0.25">
      <c r="A2" s="5" t="s">
        <v>159</v>
      </c>
      <c r="B2" s="26">
        <f>0.00000016*3</f>
        <v>4.8000000000000006E-7</v>
      </c>
      <c r="C2" s="6" t="s">
        <v>160</v>
      </c>
      <c r="D2" s="16" t="s">
        <v>161</v>
      </c>
      <c r="E2" s="13">
        <f>B2/3</f>
        <v>1.6000000000000003E-7</v>
      </c>
    </row>
    <row r="3" spans="1:6" x14ac:dyDescent="0.25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5">
      <c r="A5" s="5" t="s">
        <v>112</v>
      </c>
      <c r="B5" s="10">
        <v>20</v>
      </c>
      <c r="C5" s="16" t="s">
        <v>91</v>
      </c>
      <c r="D5" s="16" t="s">
        <v>92</v>
      </c>
      <c r="E5" s="13">
        <f>RADIANS(B5)/3600/3</f>
        <v>3.2320912073969067E-5</v>
      </c>
    </row>
    <row r="6" spans="1:6" x14ac:dyDescent="0.25">
      <c r="A6" s="5" t="s">
        <v>113</v>
      </c>
      <c r="B6" s="10">
        <v>20</v>
      </c>
      <c r="C6" s="16" t="s">
        <v>91</v>
      </c>
      <c r="D6" s="16" t="s">
        <v>93</v>
      </c>
      <c r="E6" s="13">
        <f>RADIANS(B6)/3600/3</f>
        <v>3.2320912073969067E-5</v>
      </c>
    </row>
    <row r="7" spans="1:6" x14ac:dyDescent="0.25">
      <c r="A7" s="18" t="s">
        <v>114</v>
      </c>
      <c r="B7" s="10">
        <v>1.5</v>
      </c>
      <c r="C7" s="16" t="s">
        <v>94</v>
      </c>
      <c r="D7" s="16" t="s">
        <v>95</v>
      </c>
      <c r="E7" s="13">
        <f>RADIANS(B7)/3600/3</f>
        <v>2.4240684055476799E-6</v>
      </c>
    </row>
    <row r="8" spans="1:6" x14ac:dyDescent="0.25">
      <c r="A8" s="18" t="s">
        <v>115</v>
      </c>
      <c r="B8" s="10">
        <v>1.5</v>
      </c>
      <c r="C8" s="16" t="s">
        <v>94</v>
      </c>
      <c r="D8" s="16" t="s">
        <v>95</v>
      </c>
      <c r="E8" s="13">
        <f t="shared" ref="E8:E9" si="0">RADIANS(B8)/3600/3</f>
        <v>2.4240684055476799E-6</v>
      </c>
    </row>
    <row r="9" spans="1:6" x14ac:dyDescent="0.25">
      <c r="A9" s="18" t="s">
        <v>116</v>
      </c>
      <c r="B9" s="10">
        <v>9</v>
      </c>
      <c r="C9" s="16" t="s">
        <v>94</v>
      </c>
      <c r="D9" s="16" t="s">
        <v>95</v>
      </c>
      <c r="E9" s="13">
        <f t="shared" si="0"/>
        <v>1.4544410433286079E-5</v>
      </c>
    </row>
    <row r="10" spans="1:6" x14ac:dyDescent="0.25">
      <c r="A10" s="51" t="s">
        <v>165</v>
      </c>
      <c r="B10" s="27">
        <v>3</v>
      </c>
      <c r="C10" s="52" t="s">
        <v>164</v>
      </c>
      <c r="D10" s="52" t="s">
        <v>168</v>
      </c>
      <c r="E10" s="12">
        <f>B10/3</f>
        <v>1</v>
      </c>
    </row>
    <row r="11" spans="1:6" x14ac:dyDescent="0.25">
      <c r="A11" s="19" t="s">
        <v>166</v>
      </c>
      <c r="B11" s="20">
        <v>3</v>
      </c>
      <c r="C11" s="17" t="s">
        <v>164</v>
      </c>
      <c r="D11" s="17" t="s">
        <v>167</v>
      </c>
      <c r="E11" s="14">
        <f>B11/3</f>
        <v>1</v>
      </c>
    </row>
    <row r="12" spans="1:6" x14ac:dyDescent="0.25">
      <c r="A12" s="18" t="s">
        <v>184</v>
      </c>
      <c r="B12" s="9">
        <v>10</v>
      </c>
      <c r="C12" s="16" t="s">
        <v>8</v>
      </c>
      <c r="D12" s="16" t="s">
        <v>185</v>
      </c>
      <c r="E12" s="1">
        <f>B12/3</f>
        <v>3.3333333333333335</v>
      </c>
    </row>
    <row r="13" spans="1:6" x14ac:dyDescent="0.25">
      <c r="A13" s="18" t="s">
        <v>186</v>
      </c>
      <c r="B13" s="9">
        <v>100</v>
      </c>
      <c r="C13" s="16" t="s">
        <v>8</v>
      </c>
      <c r="D13" s="16" t="s">
        <v>187</v>
      </c>
      <c r="E13" s="1">
        <f>B13/3</f>
        <v>33.333333333333336</v>
      </c>
    </row>
    <row r="14" spans="1:6" x14ac:dyDescent="0.25">
      <c r="A14" s="18" t="s">
        <v>188</v>
      </c>
      <c r="B14" s="9">
        <v>10</v>
      </c>
      <c r="C14" s="16" t="s">
        <v>8</v>
      </c>
      <c r="D14" s="16" t="s">
        <v>189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4.7109375" style="11" bestFit="1" customWidth="1"/>
    <col min="6" max="6" width="17.42578125" style="6" bestFit="1" customWidth="1"/>
    <col min="7" max="16384" width="9.140625" style="6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142</v>
      </c>
    </row>
    <row r="2" spans="1:5" ht="15" customHeight="1" x14ac:dyDescent="0.25">
      <c r="A2" s="3" t="s">
        <v>96</v>
      </c>
      <c r="B2" s="4">
        <v>4000</v>
      </c>
      <c r="C2" s="4" t="s">
        <v>8</v>
      </c>
      <c r="D2" s="4" t="s">
        <v>97</v>
      </c>
      <c r="E2" s="12">
        <f t="shared" ref="E2:E10" si="0">B2/3</f>
        <v>1333.3333333333333</v>
      </c>
    </row>
    <row r="3" spans="1:5" x14ac:dyDescent="0.25">
      <c r="A3" s="5" t="s">
        <v>98</v>
      </c>
      <c r="B3" s="6">
        <v>4000</v>
      </c>
      <c r="C3" s="6" t="s">
        <v>8</v>
      </c>
      <c r="D3" s="6" t="s">
        <v>97</v>
      </c>
      <c r="E3" s="13">
        <f t="shared" si="0"/>
        <v>1333.3333333333333</v>
      </c>
    </row>
    <row r="4" spans="1:5" x14ac:dyDescent="0.25">
      <c r="A4" s="5" t="s">
        <v>99</v>
      </c>
      <c r="B4" s="6">
        <v>4000</v>
      </c>
      <c r="C4" s="6" t="s">
        <v>8</v>
      </c>
      <c r="D4" s="6" t="s">
        <v>97</v>
      </c>
      <c r="E4" s="13">
        <f t="shared" si="0"/>
        <v>1333.3333333333333</v>
      </c>
    </row>
    <row r="5" spans="1:5" x14ac:dyDescent="0.25">
      <c r="A5" s="5" t="s">
        <v>100</v>
      </c>
      <c r="B5" s="6">
        <v>3</v>
      </c>
      <c r="C5" s="6" t="s">
        <v>101</v>
      </c>
      <c r="D5" s="6" t="s">
        <v>102</v>
      </c>
      <c r="E5" s="13">
        <f t="shared" si="0"/>
        <v>1</v>
      </c>
    </row>
    <row r="6" spans="1:5" x14ac:dyDescent="0.25">
      <c r="A6" s="5" t="s">
        <v>103</v>
      </c>
      <c r="B6" s="6">
        <v>3</v>
      </c>
      <c r="C6" s="6" t="s">
        <v>101</v>
      </c>
      <c r="D6" s="6" t="s">
        <v>102</v>
      </c>
      <c r="E6" s="13">
        <f t="shared" si="0"/>
        <v>1</v>
      </c>
    </row>
    <row r="7" spans="1:5" x14ac:dyDescent="0.25">
      <c r="A7" s="5" t="s">
        <v>104</v>
      </c>
      <c r="B7" s="6">
        <v>3</v>
      </c>
      <c r="C7" s="6" t="s">
        <v>101</v>
      </c>
      <c r="D7" s="6" t="s">
        <v>102</v>
      </c>
      <c r="E7" s="13">
        <f t="shared" si="0"/>
        <v>1</v>
      </c>
    </row>
    <row r="8" spans="1:5" x14ac:dyDescent="0.25">
      <c r="A8" s="5" t="s">
        <v>117</v>
      </c>
      <c r="B8" s="6">
        <v>5.0000000000000001E-4</v>
      </c>
      <c r="C8" s="6" t="s">
        <v>9</v>
      </c>
      <c r="D8" s="6" t="s">
        <v>105</v>
      </c>
      <c r="E8" s="13">
        <f t="shared" si="0"/>
        <v>1.6666666666666666E-4</v>
      </c>
    </row>
    <row r="9" spans="1:5" x14ac:dyDescent="0.25">
      <c r="A9" s="5" t="s">
        <v>118</v>
      </c>
      <c r="B9" s="6">
        <v>5.0000000000000001E-4</v>
      </c>
      <c r="C9" s="6" t="s">
        <v>9</v>
      </c>
      <c r="D9" s="6" t="s">
        <v>105</v>
      </c>
      <c r="E9" s="13">
        <f t="shared" si="0"/>
        <v>1.6666666666666666E-4</v>
      </c>
    </row>
    <row r="10" spans="1:5" x14ac:dyDescent="0.25">
      <c r="A10" s="5" t="s">
        <v>119</v>
      </c>
      <c r="B10" s="6">
        <v>5.0000000000000001E-4</v>
      </c>
      <c r="C10" s="6" t="s">
        <v>9</v>
      </c>
      <c r="D10" s="6" t="s">
        <v>105</v>
      </c>
      <c r="E10" s="13">
        <f t="shared" si="0"/>
        <v>1.6666666666666666E-4</v>
      </c>
    </row>
    <row r="11" spans="1:5" x14ac:dyDescent="0.25">
      <c r="A11" s="5" t="s">
        <v>123</v>
      </c>
      <c r="B11" s="6">
        <f>truthStateParams!$B$5</f>
        <v>20</v>
      </c>
      <c r="C11" s="6" t="s">
        <v>94</v>
      </c>
      <c r="D11" s="16" t="s">
        <v>106</v>
      </c>
      <c r="E11" s="13">
        <f>RADIANS(B11)/3600/3</f>
        <v>3.2320912073969067E-5</v>
      </c>
    </row>
    <row r="12" spans="1:5" x14ac:dyDescent="0.25">
      <c r="A12" s="18" t="s">
        <v>124</v>
      </c>
      <c r="B12" s="6">
        <f>truthStateParams!$B$5</f>
        <v>20</v>
      </c>
      <c r="C12" s="6" t="s">
        <v>94</v>
      </c>
      <c r="D12" s="16" t="s">
        <v>106</v>
      </c>
      <c r="E12" s="13">
        <f t="shared" ref="E12:E16" si="1">RADIANS(B12)/3600/3</f>
        <v>3.2320912073969067E-5</v>
      </c>
    </row>
    <row r="13" spans="1:5" x14ac:dyDescent="0.25">
      <c r="A13" s="18" t="s">
        <v>125</v>
      </c>
      <c r="B13" s="6">
        <f>truthStateParams!$B$5</f>
        <v>20</v>
      </c>
      <c r="C13" s="6" t="s">
        <v>94</v>
      </c>
      <c r="D13" s="16" t="s">
        <v>106</v>
      </c>
      <c r="E13" s="13">
        <f t="shared" si="1"/>
        <v>3.2320912073969067E-5</v>
      </c>
    </row>
    <row r="14" spans="1:5" x14ac:dyDescent="0.25">
      <c r="A14" s="18" t="s">
        <v>120</v>
      </c>
      <c r="B14" s="6">
        <f>truthStateParams!$B$6</f>
        <v>20</v>
      </c>
      <c r="C14" s="6" t="s">
        <v>94</v>
      </c>
      <c r="D14" s="16" t="s">
        <v>107</v>
      </c>
      <c r="E14" s="13">
        <f t="shared" si="1"/>
        <v>3.2320912073969067E-5</v>
      </c>
    </row>
    <row r="15" spans="1:5" x14ac:dyDescent="0.25">
      <c r="A15" s="18" t="s">
        <v>121</v>
      </c>
      <c r="B15" s="6">
        <f>truthStateParams!$B$6</f>
        <v>20</v>
      </c>
      <c r="C15" s="6" t="s">
        <v>94</v>
      </c>
      <c r="D15" s="16" t="s">
        <v>107</v>
      </c>
      <c r="E15" s="13">
        <f t="shared" si="1"/>
        <v>3.2320912073969067E-5</v>
      </c>
    </row>
    <row r="16" spans="1:5" x14ac:dyDescent="0.25">
      <c r="A16" s="16" t="s">
        <v>122</v>
      </c>
      <c r="B16" s="6">
        <f>truthStateParams!$B$6</f>
        <v>20</v>
      </c>
      <c r="C16" s="6" t="s">
        <v>94</v>
      </c>
      <c r="D16" s="16" t="s">
        <v>107</v>
      </c>
      <c r="E16" s="13">
        <f t="shared" si="1"/>
        <v>3.2320912073969067E-5</v>
      </c>
    </row>
    <row r="17" spans="1:5" x14ac:dyDescent="0.25">
      <c r="A17" s="5" t="s">
        <v>108</v>
      </c>
      <c r="B17" s="6">
        <f>truthStateParams!$B$3</f>
        <v>5</v>
      </c>
      <c r="C17" s="26" t="s">
        <v>25</v>
      </c>
      <c r="D17" s="6" t="s">
        <v>109</v>
      </c>
      <c r="E17" s="13">
        <f>RADIANS(B17)/hr2sec/3</f>
        <v>8.0802280184922667E-6</v>
      </c>
    </row>
    <row r="18" spans="1:5" x14ac:dyDescent="0.25">
      <c r="A18" s="5" t="s">
        <v>110</v>
      </c>
      <c r="B18" s="6">
        <f>truthStateParams!$B$3</f>
        <v>5</v>
      </c>
      <c r="C18" s="26" t="s">
        <v>25</v>
      </c>
      <c r="D18" s="6" t="s">
        <v>109</v>
      </c>
      <c r="E18" s="13">
        <f>RADIANS(B18)/hr2sec/3</f>
        <v>8.0802280184922667E-6</v>
      </c>
    </row>
    <row r="19" spans="1:5" x14ac:dyDescent="0.25">
      <c r="A19" s="7" t="s">
        <v>111</v>
      </c>
      <c r="B19" s="8">
        <f>truthStateParams!$B$3</f>
        <v>5</v>
      </c>
      <c r="C19" s="28" t="s">
        <v>25</v>
      </c>
      <c r="D19" s="8" t="s">
        <v>109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RowHeight="15" x14ac:dyDescent="0.25"/>
  <cols>
    <col min="1" max="1" width="12.7109375" style="6" bestFit="1" customWidth="1"/>
    <col min="2" max="2" width="11.5703125" style="15" bestFit="1" customWidth="1"/>
    <col min="3" max="3" width="11.85546875" style="6" bestFit="1" customWidth="1"/>
    <col min="4" max="4" width="46.7109375" style="6" customWidth="1"/>
    <col min="5" max="5" width="14.42578125" style="11" bestFit="1" customWidth="1"/>
    <col min="6" max="6" width="25" style="6" bestFit="1" customWidth="1"/>
    <col min="7" max="16384" width="9.140625" style="6"/>
  </cols>
  <sheetData>
    <row r="1" spans="1:6" x14ac:dyDescent="0.25">
      <c r="A1" s="39" t="s">
        <v>3</v>
      </c>
      <c r="B1" s="40" t="s">
        <v>0</v>
      </c>
      <c r="C1" s="41" t="s">
        <v>2</v>
      </c>
      <c r="D1" s="41" t="s">
        <v>1</v>
      </c>
      <c r="E1" s="42" t="s">
        <v>142</v>
      </c>
    </row>
    <row r="2" spans="1:6" x14ac:dyDescent="0.2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5">
      <c r="A10" s="51" t="str">
        <f>truthStateParams!A10</f>
        <v>sig_cu</v>
      </c>
      <c r="B10" s="27">
        <f>truthStateParams!B10</f>
        <v>3</v>
      </c>
      <c r="C10" s="52" t="str">
        <f>truthStateParams!C10</f>
        <v>pixels</v>
      </c>
      <c r="D10" s="52" t="str">
        <f>truthStateParams!D10</f>
        <v>3-sigma u component of pixel noise</v>
      </c>
      <c r="E10" s="12">
        <f>B10/3</f>
        <v>1</v>
      </c>
    </row>
    <row r="11" spans="1:6" x14ac:dyDescent="0.2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3.85546875" style="11" bestFit="1" customWidth="1"/>
    <col min="6" max="6" width="14.5703125" style="6" bestFit="1" customWidth="1"/>
    <col min="7" max="16384" width="9.140625" style="6"/>
  </cols>
  <sheetData>
    <row r="1" spans="1:6" x14ac:dyDescent="0.25">
      <c r="A1" s="39" t="s">
        <v>3</v>
      </c>
      <c r="B1" s="45" t="s">
        <v>0</v>
      </c>
      <c r="C1" s="41" t="s">
        <v>2</v>
      </c>
      <c r="D1" s="41" t="s">
        <v>1</v>
      </c>
      <c r="E1" s="24" t="s">
        <v>142</v>
      </c>
    </row>
    <row r="2" spans="1:6" ht="15" customHeight="1" x14ac:dyDescent="0.2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2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2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2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2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2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2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2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2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2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2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2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2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2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2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2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2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2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Normal="100" workbookViewId="0">
      <selection activeCell="F4" sqref="F4"/>
    </sheetView>
  </sheetViews>
  <sheetFormatPr defaultRowHeight="15" x14ac:dyDescent="0.25"/>
  <cols>
    <col min="1" max="1" width="9.28515625" bestFit="1" customWidth="1"/>
    <col min="2" max="3" width="7" bestFit="1" customWidth="1"/>
    <col min="4" max="4" width="51.28515625" bestFit="1" customWidth="1"/>
    <col min="5" max="5" width="13.85546875" bestFit="1" customWidth="1"/>
  </cols>
  <sheetData>
    <row r="1" spans="1:6" x14ac:dyDescent="0.25">
      <c r="A1" s="39" t="s">
        <v>3</v>
      </c>
      <c r="B1" s="45" t="s">
        <v>0</v>
      </c>
      <c r="C1" s="41" t="s">
        <v>2</v>
      </c>
      <c r="D1" s="41" t="s">
        <v>1</v>
      </c>
      <c r="E1" s="42" t="s">
        <v>142</v>
      </c>
    </row>
    <row r="2" spans="1:6" x14ac:dyDescent="0.25">
      <c r="A2" s="5" t="s">
        <v>126</v>
      </c>
      <c r="B2" s="6">
        <v>100</v>
      </c>
      <c r="C2" s="6" t="str">
        <f>truthStateInitialUncertainty!C2</f>
        <v>m</v>
      </c>
      <c r="D2" s="6" t="s">
        <v>147</v>
      </c>
      <c r="E2" s="43">
        <f t="shared" ref="E2:E7" si="0">B2</f>
        <v>100</v>
      </c>
      <c r="F2" s="6"/>
    </row>
    <row r="3" spans="1:6" x14ac:dyDescent="0.25">
      <c r="A3" s="5" t="s">
        <v>127</v>
      </c>
      <c r="B3" s="6">
        <v>200</v>
      </c>
      <c r="C3" s="6" t="str">
        <f>truthStateInitialUncertainty!C3</f>
        <v>m</v>
      </c>
      <c r="D3" s="6" t="s">
        <v>147</v>
      </c>
      <c r="E3" s="43">
        <f t="shared" si="0"/>
        <v>200</v>
      </c>
      <c r="F3" s="6"/>
    </row>
    <row r="4" spans="1:6" x14ac:dyDescent="0.25">
      <c r="A4" s="5" t="s">
        <v>128</v>
      </c>
      <c r="B4" s="6">
        <v>300</v>
      </c>
      <c r="C4" s="6" t="str">
        <f>truthStateInitialUncertainty!C4</f>
        <v>m</v>
      </c>
      <c r="D4" s="6" t="s">
        <v>147</v>
      </c>
      <c r="E4" s="43">
        <f t="shared" si="0"/>
        <v>300</v>
      </c>
      <c r="F4" s="6"/>
    </row>
    <row r="5" spans="1:6" x14ac:dyDescent="0.25">
      <c r="A5" s="5" t="s">
        <v>129</v>
      </c>
      <c r="B5" s="6">
        <v>1</v>
      </c>
      <c r="C5" s="6" t="str">
        <f>truthStateInitialUncertainty!C5</f>
        <v>m/sec</v>
      </c>
      <c r="D5" s="6" t="s">
        <v>148</v>
      </c>
      <c r="E5" s="43">
        <f t="shared" si="0"/>
        <v>1</v>
      </c>
      <c r="F5" s="6"/>
    </row>
    <row r="6" spans="1:6" x14ac:dyDescent="0.25">
      <c r="A6" s="5" t="s">
        <v>130</v>
      </c>
      <c r="B6" s="6">
        <v>2</v>
      </c>
      <c r="C6" s="6" t="str">
        <f>truthStateInitialUncertainty!C6</f>
        <v>m/sec</v>
      </c>
      <c r="D6" s="6" t="s">
        <v>148</v>
      </c>
      <c r="E6" s="43">
        <f t="shared" si="0"/>
        <v>2</v>
      </c>
      <c r="F6" s="6"/>
    </row>
    <row r="7" spans="1:6" x14ac:dyDescent="0.25">
      <c r="A7" s="5" t="s">
        <v>131</v>
      </c>
      <c r="B7" s="6">
        <v>3</v>
      </c>
      <c r="C7" s="6" t="str">
        <f>truthStateInitialUncertainty!C7</f>
        <v>m/sec</v>
      </c>
      <c r="D7" s="6" t="s">
        <v>148</v>
      </c>
      <c r="E7" s="43">
        <f t="shared" si="0"/>
        <v>3</v>
      </c>
      <c r="F7" s="6"/>
    </row>
    <row r="8" spans="1:6" x14ac:dyDescent="0.25">
      <c r="A8" s="5" t="s">
        <v>132</v>
      </c>
      <c r="B8" s="6">
        <v>1</v>
      </c>
      <c r="C8" s="6" t="s">
        <v>207</v>
      </c>
      <c r="D8" s="6" t="s">
        <v>149</v>
      </c>
      <c r="E8" s="43">
        <f>B8/1000</f>
        <v>1E-3</v>
      </c>
      <c r="F8" s="6"/>
    </row>
    <row r="9" spans="1:6" x14ac:dyDescent="0.25">
      <c r="A9" s="5" t="s">
        <v>133</v>
      </c>
      <c r="B9" s="6">
        <v>2</v>
      </c>
      <c r="C9" s="6" t="s">
        <v>207</v>
      </c>
      <c r="D9" s="6" t="s">
        <v>149</v>
      </c>
      <c r="E9" s="43">
        <f>B9/1000</f>
        <v>2E-3</v>
      </c>
      <c r="F9" s="6"/>
    </row>
    <row r="10" spans="1:6" x14ac:dyDescent="0.25">
      <c r="A10" s="5" t="s">
        <v>134</v>
      </c>
      <c r="B10" s="6">
        <v>3</v>
      </c>
      <c r="C10" s="6" t="s">
        <v>207</v>
      </c>
      <c r="D10" s="6" t="s">
        <v>149</v>
      </c>
      <c r="E10" s="43">
        <f>B10/1000</f>
        <v>3.0000000000000001E-3</v>
      </c>
      <c r="F10" s="6"/>
    </row>
    <row r="11" spans="1:6" x14ac:dyDescent="0.25">
      <c r="A11" s="5" t="s">
        <v>135</v>
      </c>
      <c r="B11" s="6">
        <v>180</v>
      </c>
      <c r="C11" s="6" t="str">
        <f>truthStateInitialUncertainty!C11</f>
        <v>arcsec</v>
      </c>
      <c r="D11" s="6" t="s">
        <v>150</v>
      </c>
      <c r="E11" s="43">
        <f t="shared" ref="E11:E16" si="1">RADIANS(B11)/3600</f>
        <v>8.726646259971648E-4</v>
      </c>
      <c r="F11" s="6"/>
    </row>
    <row r="12" spans="1:6" x14ac:dyDescent="0.25">
      <c r="A12" s="5" t="s">
        <v>136</v>
      </c>
      <c r="B12" s="6">
        <v>150</v>
      </c>
      <c r="C12" s="6" t="str">
        <f>truthStateInitialUncertainty!C12</f>
        <v>arcsec</v>
      </c>
      <c r="D12" s="6" t="s">
        <v>150</v>
      </c>
      <c r="E12" s="43">
        <f t="shared" si="1"/>
        <v>7.2722052166430398E-4</v>
      </c>
      <c r="F12" s="6"/>
    </row>
    <row r="13" spans="1:6" x14ac:dyDescent="0.25">
      <c r="A13" s="5" t="s">
        <v>137</v>
      </c>
      <c r="B13" s="6">
        <v>130</v>
      </c>
      <c r="C13" s="6" t="str">
        <f>truthStateInitialUncertainty!C13</f>
        <v>arcsec</v>
      </c>
      <c r="D13" s="6" t="s">
        <v>150</v>
      </c>
      <c r="E13" s="43">
        <f t="shared" si="1"/>
        <v>6.3025778544239684E-4</v>
      </c>
      <c r="F13" s="6"/>
    </row>
    <row r="14" spans="1:6" x14ac:dyDescent="0.25">
      <c r="A14" s="5" t="s">
        <v>138</v>
      </c>
      <c r="B14" s="6">
        <v>180</v>
      </c>
      <c r="C14" s="6" t="str">
        <f>truthStateInitialUncertainty!C14</f>
        <v>arcsec</v>
      </c>
      <c r="D14" s="6" t="s">
        <v>151</v>
      </c>
      <c r="E14" s="43">
        <f t="shared" si="1"/>
        <v>8.726646259971648E-4</v>
      </c>
      <c r="F14" s="6"/>
    </row>
    <row r="15" spans="1:6" x14ac:dyDescent="0.25">
      <c r="A15" s="5" t="s">
        <v>139</v>
      </c>
      <c r="B15" s="6">
        <v>150</v>
      </c>
      <c r="C15" s="6" t="str">
        <f>truthStateInitialUncertainty!C15</f>
        <v>arcsec</v>
      </c>
      <c r="D15" s="6" t="s">
        <v>151</v>
      </c>
      <c r="E15" s="43">
        <f t="shared" si="1"/>
        <v>7.2722052166430398E-4</v>
      </c>
      <c r="F15" s="6"/>
    </row>
    <row r="16" spans="1:6" x14ac:dyDescent="0.25">
      <c r="A16" s="5" t="s">
        <v>140</v>
      </c>
      <c r="B16" s="6">
        <v>130</v>
      </c>
      <c r="C16" s="6" t="str">
        <f>truthStateInitialUncertainty!C16</f>
        <v>arcsec</v>
      </c>
      <c r="D16" s="6" t="s">
        <v>151</v>
      </c>
      <c r="E16" s="43">
        <f t="shared" si="1"/>
        <v>6.3025778544239684E-4</v>
      </c>
      <c r="F16" s="6"/>
    </row>
    <row r="17" spans="1:6" x14ac:dyDescent="0.25">
      <c r="A17" s="5" t="s">
        <v>27</v>
      </c>
      <c r="B17" s="6">
        <v>1</v>
      </c>
      <c r="C17" s="6" t="str">
        <f>truthStateInitialUncertainty!C17</f>
        <v>deg/hr</v>
      </c>
      <c r="D17" s="6" t="s">
        <v>28</v>
      </c>
      <c r="E17" s="43">
        <f>RADIANS(B17)/hr2sec</f>
        <v>4.8481368110953598E-6</v>
      </c>
      <c r="F17" s="6"/>
    </row>
    <row r="18" spans="1:6" x14ac:dyDescent="0.25">
      <c r="A18" s="5" t="s">
        <v>29</v>
      </c>
      <c r="B18" s="6">
        <v>1</v>
      </c>
      <c r="C18" s="6" t="str">
        <f>truthStateInitialUncertainty!C18</f>
        <v>deg/hr</v>
      </c>
      <c r="D18" s="6" t="s">
        <v>28</v>
      </c>
      <c r="E18" s="43">
        <f>RADIANS(B18)/hr2sec</f>
        <v>4.8481368110953598E-6</v>
      </c>
      <c r="F18" s="6"/>
    </row>
    <row r="19" spans="1:6" x14ac:dyDescent="0.25">
      <c r="A19" s="7" t="s">
        <v>30</v>
      </c>
      <c r="B19" s="8">
        <v>1</v>
      </c>
      <c r="C19" s="8" t="str">
        <f>truthStateInitialUncertainty!C19</f>
        <v>deg/hr</v>
      </c>
      <c r="D19" s="8" t="s">
        <v>28</v>
      </c>
      <c r="E19" s="44">
        <f>RADIANS(B19)/hr2sec</f>
        <v>4.8481368110953598E-6</v>
      </c>
      <c r="F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Randy Christensen</cp:lastModifiedBy>
  <dcterms:created xsi:type="dcterms:W3CDTF">2010-12-01T20:08:29Z</dcterms:created>
  <dcterms:modified xsi:type="dcterms:W3CDTF">2020-09-29T17:56:27Z</dcterms:modified>
</cp:coreProperties>
</file>