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<sst xmlns="http://schemas.openxmlformats.org/spreadsheetml/2006/main" count="20" uniqueCount="19">
  <si>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</si>
  <si>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</si>
  <si>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</si>
  <si>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</si>
  <si>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</si>
  <si>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</si>
  <si>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</si>
  <si>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</si>
  <si>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</si>
  <si>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</si>
  <si>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</si>
  <si>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</si>
  <si>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</si>
  <si>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yearly</t>
  </si>
  <si>
    <t>yearly_lower</t>
  </si>
  <si>
    <t>yearly_upper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</si>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</sst>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#,##0.00;(#,##0.00)"/>
    <numFmt numFmtId="166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b="0">
                <a:solidFill>
                  <a:srgbClr val="757575"/>
                </a:solidFill>
                <a:latin typeface="sans-serif"/>
              </a:rPr>
              <a:t>Evaluation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Sheet1!$A$2:$A$3322</c:f>
            </c:strRef>
          </c:cat>
          <c:val>
            <c:numRef>
              <c:f>Sheet1!$B$2:$B$3322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Sheet1!$A$2:$A$3322</c:f>
            </c:strRef>
          </c:cat>
          <c:val>
            <c:numRef>
              <c:f>Sheet1!$C$2:$C$3322</c:f>
              <c:numCache/>
            </c:numRef>
          </c:val>
          <c:smooth val="0"/>
        </c:ser>
        <c:axId val="1778248063"/>
        <c:axId val="1414278443"/>
      </c:lineChart>
      <c:catAx>
        <c:axId val="1778248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414278443"/>
      </c:catAx>
      <c:valAx>
        <c:axId val="1414278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1778248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yhat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Sheet1!$C$2958:$C$3322</c:f>
              <c:numCache/>
            </c:numRef>
          </c:val>
          <c:smooth val="0"/>
        </c:ser>
        <c:axId val="1908946784"/>
        <c:axId val="338328586"/>
      </c:lineChart>
      <c:catAx>
        <c:axId val="190894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328586"/>
      </c:catAx>
      <c:valAx>
        <c:axId val="338328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946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yhat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Sheet1!$C$2958:$C$3322</c:f>
              <c:numCache/>
            </c:numRef>
          </c:val>
          <c:smooth val="0"/>
        </c:ser>
        <c:axId val="53831540"/>
        <c:axId val="33956209"/>
      </c:lineChart>
      <c:catAx>
        <c:axId val="53831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56209"/>
      </c:catAx>
      <c:valAx>
        <c:axId val="33956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31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904875</xdr:colOff>
      <xdr:row>0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904875</xdr:colOff>
      <xdr:row>3257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904875</xdr:colOff>
      <xdr:row>19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IFERROR(__xludf.DUMMYFUNCTION("GOOGLEFINANCE(""TSLA"",""price"",DATE(2010,6,29),DATE(2022,3,24))"),"Date")</f>
        <v>Date</v>
      </c>
      <c r="B1" s="2" t="str">
        <f>IFERROR(__xludf.DUMMYFUNCTION("""COMPUTED_VALUE"""),"Close")</f>
        <v>Close</v>
      </c>
      <c r="C1" s="3" t="s">
        <v>0</v>
      </c>
    </row>
    <row r="2">
      <c r="A2" s="1">
        <f>IFERROR(__xludf.DUMMYFUNCTION("""COMPUTED_VALUE"""),40358.666666666664)</f>
        <v>40358.66667</v>
      </c>
      <c r="B2" s="2">
        <f>IFERROR(__xludf.DUMMYFUNCTION("""COMPUTED_VALUE"""),1.59)</f>
        <v>1.59</v>
      </c>
      <c r="C2" s="3">
        <v>-10.5410419742984</v>
      </c>
    </row>
    <row r="3">
      <c r="A3" s="1">
        <f>IFERROR(__xludf.DUMMYFUNCTION("""COMPUTED_VALUE"""),40359.666666666664)</f>
        <v>40359.66667</v>
      </c>
      <c r="B3" s="2">
        <f>IFERROR(__xludf.DUMMYFUNCTION("""COMPUTED_VALUE"""),1.59)</f>
        <v>1.59</v>
      </c>
      <c r="C3" s="3">
        <v>-9.79364428991194</v>
      </c>
    </row>
    <row r="4">
      <c r="A4" s="1">
        <f>IFERROR(__xludf.DUMMYFUNCTION("""COMPUTED_VALUE"""),40360.666666666664)</f>
        <v>40360.66667</v>
      </c>
      <c r="B4" s="2">
        <f>IFERROR(__xludf.DUMMYFUNCTION("""COMPUTED_VALUE"""),1.46)</f>
        <v>1.46</v>
      </c>
      <c r="C4" s="3">
        <v>-9.97759355598762</v>
      </c>
    </row>
    <row r="5">
      <c r="A5" s="1">
        <f>IFERROR(__xludf.DUMMYFUNCTION("""COMPUTED_VALUE"""),40361.666666666664)</f>
        <v>40361.66667</v>
      </c>
      <c r="B5" s="2">
        <f>IFERROR(__xludf.DUMMYFUNCTION("""COMPUTED_VALUE"""),1.28)</f>
        <v>1.28</v>
      </c>
      <c r="C5" s="3">
        <v>-10.2009530356792</v>
      </c>
    </row>
    <row r="6">
      <c r="A6" s="1">
        <f>IFERROR(__xludf.DUMMYFUNCTION("""COMPUTED_VALUE"""),40365.666666666664)</f>
        <v>40365.66667</v>
      </c>
      <c r="B6" s="2">
        <f>IFERROR(__xludf.DUMMYFUNCTION("""COMPUTED_VALUE"""),1.07)</f>
        <v>1.07</v>
      </c>
      <c r="C6" s="3">
        <v>-6.68154540711941</v>
      </c>
    </row>
    <row r="7">
      <c r="A7" s="1">
        <f>IFERROR(__xludf.DUMMYFUNCTION("""COMPUTED_VALUE"""),40366.666666666664)</f>
        <v>40366.66667</v>
      </c>
      <c r="B7" s="2">
        <f>IFERROR(__xludf.DUMMYFUNCTION("""COMPUTED_VALUE"""),1.05)</f>
        <v>1.05</v>
      </c>
      <c r="C7" s="3">
        <v>-6.13556539245678</v>
      </c>
    </row>
    <row r="8">
      <c r="A8" s="1">
        <f>IFERROR(__xludf.DUMMYFUNCTION("""COMPUTED_VALUE"""),40367.666666666664)</f>
        <v>40367.66667</v>
      </c>
      <c r="B8" s="2">
        <f>IFERROR(__xludf.DUMMYFUNCTION("""COMPUTED_VALUE"""),1.16)</f>
        <v>1.16</v>
      </c>
      <c r="C8" s="3">
        <v>-6.58959538192716</v>
      </c>
    </row>
    <row r="9">
      <c r="A9" s="1">
        <f>IFERROR(__xludf.DUMMYFUNCTION("""COMPUTED_VALUE"""),40368.666666666664)</f>
        <v>40368.66667</v>
      </c>
      <c r="B9" s="2">
        <f>IFERROR(__xludf.DUMMYFUNCTION("""COMPUTED_VALUE"""),1.16)</f>
        <v>1.16</v>
      </c>
      <c r="C9" s="3">
        <v>-7.14623427002971</v>
      </c>
    </row>
    <row r="10">
      <c r="A10" s="1">
        <f>IFERROR(__xludf.DUMMYFUNCTION("""COMPUTED_VALUE"""),40371.666666666664)</f>
        <v>40371.66667</v>
      </c>
      <c r="B10" s="2">
        <f>IFERROR(__xludf.DUMMYFUNCTION("""COMPUTED_VALUE"""),1.14)</f>
        <v>1.14</v>
      </c>
      <c r="C10" s="3">
        <v>-5.14295434151154</v>
      </c>
    </row>
    <row r="11">
      <c r="A11" s="1">
        <f>IFERROR(__xludf.DUMMYFUNCTION("""COMPUTED_VALUE"""),40372.666666666664)</f>
        <v>40372.66667</v>
      </c>
      <c r="B11" s="2">
        <f>IFERROR(__xludf.DUMMYFUNCTION("""COMPUTED_VALUE"""),1.21)</f>
        <v>1.21</v>
      </c>
      <c r="C11" s="3">
        <v>-5.42200989438842</v>
      </c>
    </row>
    <row r="12">
      <c r="A12" s="1">
        <f>IFERROR(__xludf.DUMMYFUNCTION("""COMPUTED_VALUE"""),40373.666666666664)</f>
        <v>40373.66667</v>
      </c>
      <c r="B12" s="2">
        <f>IFERROR(__xludf.DUMMYFUNCTION("""COMPUTED_VALUE"""),1.32)</f>
        <v>1.32</v>
      </c>
      <c r="C12" s="3">
        <v>-5.38612636298184</v>
      </c>
    </row>
    <row r="13">
      <c r="A13" s="1">
        <f>IFERROR(__xludf.DUMMYFUNCTION("""COMPUTED_VALUE"""),40374.666666666664)</f>
        <v>40374.66667</v>
      </c>
      <c r="B13" s="2">
        <f>IFERROR(__xludf.DUMMYFUNCTION("""COMPUTED_VALUE"""),1.33)</f>
        <v>1.33</v>
      </c>
      <c r="C13" s="3">
        <v>-6.35009209642253</v>
      </c>
    </row>
    <row r="14">
      <c r="A14" s="1">
        <f>IFERROR(__xludf.DUMMYFUNCTION("""COMPUTED_VALUE"""),40375.666666666664)</f>
        <v>40375.66667</v>
      </c>
      <c r="B14" s="2">
        <f>IFERROR(__xludf.DUMMYFUNCTION("""COMPUTED_VALUE"""),1.38)</f>
        <v>1.38</v>
      </c>
      <c r="C14" s="3">
        <v>-7.40362909287374</v>
      </c>
    </row>
    <row r="15">
      <c r="A15" s="1">
        <f>IFERROR(__xludf.DUMMYFUNCTION("""COMPUTED_VALUE"""),40378.666666666664)</f>
        <v>40378.66667</v>
      </c>
      <c r="B15" s="2">
        <f>IFERROR(__xludf.DUMMYFUNCTION("""COMPUTED_VALUE"""),1.46)</f>
        <v>1.46</v>
      </c>
      <c r="C15" s="3">
        <v>-6.69024571021568</v>
      </c>
    </row>
    <row r="16">
      <c r="A16" s="1">
        <f>IFERROR(__xludf.DUMMYFUNCTION("""COMPUTED_VALUE"""),40379.666666666664)</f>
        <v>40379.66667</v>
      </c>
      <c r="B16" s="2">
        <f>IFERROR(__xludf.DUMMYFUNCTION("""COMPUTED_VALUE"""),1.35)</f>
        <v>1.35</v>
      </c>
      <c r="C16" s="3">
        <v>-7.2959450500607</v>
      </c>
    </row>
    <row r="17">
      <c r="A17" s="1">
        <f>IFERROR(__xludf.DUMMYFUNCTION("""COMPUTED_VALUE"""),40380.666666666664)</f>
        <v>40380.66667</v>
      </c>
      <c r="B17" s="2">
        <f>IFERROR(__xludf.DUMMYFUNCTION("""COMPUTED_VALUE"""),1.35)</f>
        <v>1.35</v>
      </c>
      <c r="C17" s="3">
        <v>-7.52016147898239</v>
      </c>
    </row>
    <row r="18">
      <c r="A18" s="1">
        <f>IFERROR(__xludf.DUMMYFUNCTION("""COMPUTED_VALUE"""),40381.666666666664)</f>
        <v>40381.66667</v>
      </c>
      <c r="B18" s="2">
        <f>IFERROR(__xludf.DUMMYFUNCTION("""COMPUTED_VALUE"""),1.4)</f>
        <v>1.4</v>
      </c>
      <c r="C18" s="3">
        <v>-8.67128029060372</v>
      </c>
    </row>
    <row r="19">
      <c r="A19" s="1">
        <f>IFERROR(__xludf.DUMMYFUNCTION("""COMPUTED_VALUE"""),40382.666666666664)</f>
        <v>40382.66667</v>
      </c>
      <c r="B19" s="2">
        <f>IFERROR(__xludf.DUMMYFUNCTION("""COMPUTED_VALUE"""),1.42)</f>
        <v>1.42</v>
      </c>
      <c r="C19" s="3">
        <v>-9.83457533856412</v>
      </c>
    </row>
    <row r="20">
      <c r="A20" s="1">
        <f>IFERROR(__xludf.DUMMYFUNCTION("""COMPUTED_VALUE"""),40385.666666666664)</f>
        <v>40385.66667</v>
      </c>
      <c r="B20" s="2">
        <f>IFERROR(__xludf.DUMMYFUNCTION("""COMPUTED_VALUE"""),1.4)</f>
        <v>1.4</v>
      </c>
      <c r="C20" s="3">
        <v>-8.97302024927338</v>
      </c>
    </row>
    <row r="21">
      <c r="A21" s="1">
        <f>IFERROR(__xludf.DUMMYFUNCTION("""COMPUTED_VALUE"""),40386.666666666664)</f>
        <v>40386.66667</v>
      </c>
      <c r="B21" s="2">
        <f>IFERROR(__xludf.DUMMYFUNCTION("""COMPUTED_VALUE"""),1.37)</f>
        <v>1.37</v>
      </c>
      <c r="C21" s="3">
        <v>-9.37641551066532</v>
      </c>
    </row>
    <row r="22">
      <c r="A22" s="1">
        <f>IFERROR(__xludf.DUMMYFUNCTION("""COMPUTED_VALUE"""),40387.666666666664)</f>
        <v>40387.66667</v>
      </c>
      <c r="B22" s="2">
        <f>IFERROR(__xludf.DUMMYFUNCTION("""COMPUTED_VALUE"""),1.38)</f>
        <v>1.38</v>
      </c>
      <c r="C22" s="3">
        <v>-9.33006248540904</v>
      </c>
    </row>
    <row r="23">
      <c r="A23" s="1">
        <f>IFERROR(__xludf.DUMMYFUNCTION("""COMPUTED_VALUE"""),40388.666666666664)</f>
        <v>40388.66667</v>
      </c>
      <c r="B23" s="2">
        <f>IFERROR(__xludf.DUMMYFUNCTION("""COMPUTED_VALUE"""),1.36)</f>
        <v>1.36</v>
      </c>
      <c r="C23" s="3">
        <v>-10.1500079784263</v>
      </c>
    </row>
    <row r="24">
      <c r="A24" s="1">
        <f>IFERROR(__xludf.DUMMYFUNCTION("""COMPUTED_VALUE"""),40389.666666666664)</f>
        <v>40389.66667</v>
      </c>
      <c r="B24" s="2">
        <f>IFERROR(__xludf.DUMMYFUNCTION("""COMPUTED_VALUE"""),1.33)</f>
        <v>1.33</v>
      </c>
      <c r="C24" s="3">
        <v>-10.9307211153126</v>
      </c>
    </row>
    <row r="25">
      <c r="A25" s="1">
        <f>IFERROR(__xludf.DUMMYFUNCTION("""COMPUTED_VALUE"""),40392.666666666664)</f>
        <v>40392.66667</v>
      </c>
      <c r="B25" s="2">
        <f>IFERROR(__xludf.DUMMYFUNCTION("""COMPUTED_VALUE"""),1.39)</f>
        <v>1.39</v>
      </c>
      <c r="C25" s="3">
        <v>-8.7219739206618</v>
      </c>
    </row>
    <row r="26">
      <c r="A26" s="1">
        <f>IFERROR(__xludf.DUMMYFUNCTION("""COMPUTED_VALUE"""),40393.666666666664)</f>
        <v>40393.66667</v>
      </c>
      <c r="B26" s="2">
        <f>IFERROR(__xludf.DUMMYFUNCTION("""COMPUTED_VALUE"""),1.46)</f>
        <v>1.46</v>
      </c>
      <c r="C26" s="3">
        <v>-8.64958328776454</v>
      </c>
    </row>
    <row r="27">
      <c r="A27" s="1">
        <f>IFERROR(__xludf.DUMMYFUNCTION("""COMPUTED_VALUE"""),40394.666666666664)</f>
        <v>40394.66667</v>
      </c>
      <c r="B27" s="2">
        <f>IFERROR(__xludf.DUMMYFUNCTION("""COMPUTED_VALUE"""),1.42)</f>
        <v>1.42</v>
      </c>
      <c r="C27" s="3">
        <v>-8.13446819334103</v>
      </c>
    </row>
    <row r="28">
      <c r="A28" s="1">
        <f>IFERROR(__xludf.DUMMYFUNCTION("""COMPUTED_VALUE"""),40395.666666666664)</f>
        <v>40395.66667</v>
      </c>
      <c r="B28" s="2">
        <f>IFERROR(__xludf.DUMMYFUNCTION("""COMPUTED_VALUE"""),1.36)</f>
        <v>1.36</v>
      </c>
      <c r="C28" s="3">
        <v>-8.50447443505033</v>
      </c>
    </row>
    <row r="29">
      <c r="A29" s="1">
        <f>IFERROR(__xludf.DUMMYFUNCTION("""COMPUTED_VALUE"""),40396.666666666664)</f>
        <v>40396.66667</v>
      </c>
      <c r="B29" s="2">
        <f>IFERROR(__xludf.DUMMYFUNCTION("""COMPUTED_VALUE"""),1.31)</f>
        <v>1.31</v>
      </c>
      <c r="C29" s="3">
        <v>-8.8651109767756</v>
      </c>
    </row>
    <row r="30">
      <c r="A30" s="1">
        <f>IFERROR(__xludf.DUMMYFUNCTION("""COMPUTED_VALUE"""),40399.666666666664)</f>
        <v>40399.66667</v>
      </c>
      <c r="B30" s="2">
        <f>IFERROR(__xludf.DUMMYFUNCTION("""COMPUTED_VALUE"""),1.31)</f>
        <v>1.31</v>
      </c>
      <c r="C30" s="3">
        <v>-5.66814297187766</v>
      </c>
    </row>
    <row r="31">
      <c r="A31" s="1">
        <f>IFERROR(__xludf.DUMMYFUNCTION("""COMPUTED_VALUE"""),40400.666666666664)</f>
        <v>40400.66667</v>
      </c>
      <c r="B31" s="2">
        <f>IFERROR(__xludf.DUMMYFUNCTION("""COMPUTED_VALUE"""),1.27)</f>
        <v>1.27</v>
      </c>
      <c r="C31" s="3">
        <v>-5.38040980777761</v>
      </c>
    </row>
    <row r="32">
      <c r="A32" s="1">
        <f>IFERROR(__xludf.DUMMYFUNCTION("""COMPUTED_VALUE"""),40401.666666666664)</f>
        <v>40401.66667</v>
      </c>
      <c r="B32" s="2">
        <f>IFERROR(__xludf.DUMMYFUNCTION("""COMPUTED_VALUE"""),1.19)</f>
        <v>1.19</v>
      </c>
      <c r="C32" s="3">
        <v>-4.7142836268784</v>
      </c>
    </row>
    <row r="33">
      <c r="A33" s="1">
        <f>IFERROR(__xludf.DUMMYFUNCTION("""COMPUTED_VALUE"""),40402.666666666664)</f>
        <v>40402.66667</v>
      </c>
      <c r="B33" s="2">
        <f>IFERROR(__xludf.DUMMYFUNCTION("""COMPUTED_VALUE"""),1.17)</f>
        <v>1.17</v>
      </c>
      <c r="C33" s="3">
        <v>-4.99912944353575</v>
      </c>
    </row>
    <row r="34">
      <c r="A34" s="1">
        <f>IFERROR(__xludf.DUMMYFUNCTION("""COMPUTED_VALUE"""),40403.666666666664)</f>
        <v>40403.66667</v>
      </c>
      <c r="B34" s="2">
        <f>IFERROR(__xludf.DUMMYFUNCTION("""COMPUTED_VALUE"""),1.22)</f>
        <v>1.22</v>
      </c>
      <c r="C34" s="3">
        <v>-5.3400297480036</v>
      </c>
    </row>
    <row r="35">
      <c r="A35" s="1">
        <f>IFERROR(__xludf.DUMMYFUNCTION("""COMPUTED_VALUE"""),40406.666666666664)</f>
        <v>40406.66667</v>
      </c>
      <c r="B35" s="2">
        <f>IFERROR(__xludf.DUMMYFUNCTION("""COMPUTED_VALUE"""),1.25)</f>
        <v>1.25</v>
      </c>
      <c r="C35" s="3">
        <v>-2.44442281406261</v>
      </c>
    </row>
    <row r="36">
      <c r="A36" s="1">
        <f>IFERROR(__xludf.DUMMYFUNCTION("""COMPUTED_VALUE"""),40407.666666666664)</f>
        <v>40407.66667</v>
      </c>
      <c r="B36" s="2">
        <f>IFERROR(__xludf.DUMMYFUNCTION("""COMPUTED_VALUE"""),1.28)</f>
        <v>1.28</v>
      </c>
      <c r="C36" s="3">
        <v>-2.35844304604706</v>
      </c>
    </row>
    <row r="37">
      <c r="A37" s="1">
        <f>IFERROR(__xludf.DUMMYFUNCTION("""COMPUTED_VALUE"""),40408.666666666664)</f>
        <v>40408.66667</v>
      </c>
      <c r="B37" s="2">
        <f>IFERROR(__xludf.DUMMYFUNCTION("""COMPUTED_VALUE"""),1.25)</f>
        <v>1.25</v>
      </c>
      <c r="C37" s="3">
        <v>-1.93188897845001</v>
      </c>
    </row>
    <row r="38">
      <c r="A38" s="1">
        <f>IFERROR(__xludf.DUMMYFUNCTION("""COMPUTED_VALUE"""),40409.666666666664)</f>
        <v>40409.66667</v>
      </c>
      <c r="B38" s="2">
        <f>IFERROR(__xludf.DUMMYFUNCTION("""COMPUTED_VALUE"""),1.25)</f>
        <v>1.25</v>
      </c>
      <c r="C38" s="3">
        <v>-2.48494534156645</v>
      </c>
    </row>
    <row r="39">
      <c r="A39" s="1">
        <f>IFERROR(__xludf.DUMMYFUNCTION("""COMPUTED_VALUE"""),40410.666666666664)</f>
        <v>40410.66667</v>
      </c>
      <c r="B39" s="2">
        <f>IFERROR(__xludf.DUMMYFUNCTION("""COMPUTED_VALUE"""),1.27)</f>
        <v>1.27</v>
      </c>
      <c r="C39" s="3">
        <v>-3.11294816001468</v>
      </c>
    </row>
    <row r="40">
      <c r="A40" s="1">
        <f>IFERROR(__xludf.DUMMYFUNCTION("""COMPUTED_VALUE"""),40413.666666666664)</f>
        <v>40413.66667</v>
      </c>
      <c r="B40" s="2">
        <f>IFERROR(__xludf.DUMMYFUNCTION("""COMPUTED_VALUE"""),1.34)</f>
        <v>1.34</v>
      </c>
      <c r="C40" s="3">
        <v>-1.09287080187342</v>
      </c>
    </row>
    <row r="41">
      <c r="A41" s="1">
        <f>IFERROR(__xludf.DUMMYFUNCTION("""COMPUTED_VALUE"""),40414.666666666664)</f>
        <v>40414.66667</v>
      </c>
      <c r="B41" s="2">
        <f>IFERROR(__xludf.DUMMYFUNCTION("""COMPUTED_VALUE"""),1.28)</f>
        <v>1.28</v>
      </c>
      <c r="C41" s="3">
        <v>-1.27213777059729</v>
      </c>
    </row>
    <row r="42">
      <c r="A42" s="1">
        <f>IFERROR(__xludf.DUMMYFUNCTION("""COMPUTED_VALUE"""),40415.666666666664)</f>
        <v>40415.66667</v>
      </c>
      <c r="B42" s="2">
        <f>IFERROR(__xludf.DUMMYFUNCTION("""COMPUTED_VALUE"""),1.33)</f>
        <v>1.33</v>
      </c>
      <c r="C42" s="3">
        <v>-1.08377915606783</v>
      </c>
    </row>
    <row r="43">
      <c r="A43" s="1">
        <f>IFERROR(__xludf.DUMMYFUNCTION("""COMPUTED_VALUE"""),40416.666666666664)</f>
        <v>40416.66667</v>
      </c>
      <c r="B43" s="2">
        <f>IFERROR(__xludf.DUMMYFUNCTION("""COMPUTED_VALUE"""),1.32)</f>
        <v>1.32</v>
      </c>
      <c r="C43" s="3">
        <v>-1.84143943436805</v>
      </c>
    </row>
    <row r="44">
      <c r="A44" s="1">
        <f>IFERROR(__xludf.DUMMYFUNCTION("""COMPUTED_VALUE"""),40417.666666666664)</f>
        <v>40417.66667</v>
      </c>
      <c r="B44" s="2">
        <f>IFERROR(__xludf.DUMMYFUNCTION("""COMPUTED_VALUE"""),1.31)</f>
        <v>1.31</v>
      </c>
      <c r="C44" s="3">
        <v>-2.63535977941675</v>
      </c>
    </row>
    <row r="45">
      <c r="A45" s="1">
        <f>IFERROR(__xludf.DUMMYFUNCTION("""COMPUTED_VALUE"""),40420.666666666664)</f>
        <v>40420.66667</v>
      </c>
      <c r="B45" s="2">
        <f>IFERROR(__xludf.DUMMYFUNCTION("""COMPUTED_VALUE"""),1.32)</f>
        <v>1.32</v>
      </c>
      <c r="C45" s="3">
        <v>-0.854525441063429</v>
      </c>
    </row>
    <row r="46">
      <c r="A46" s="1">
        <f>IFERROR(__xludf.DUMMYFUNCTION("""COMPUTED_VALUE"""),40421.666666666664)</f>
        <v>40421.66667</v>
      </c>
      <c r="B46" s="2">
        <f>IFERROR(__xludf.DUMMYFUNCTION("""COMPUTED_VALUE"""),1.3)</f>
        <v>1.3</v>
      </c>
      <c r="C46" s="3">
        <v>-1.0272023740336</v>
      </c>
    </row>
    <row r="47">
      <c r="A47" s="1">
        <f>IFERROR(__xludf.DUMMYFUNCTION("""COMPUTED_VALUE"""),40422.666666666664)</f>
        <v>40422.66667</v>
      </c>
      <c r="B47" s="2">
        <f>IFERROR(__xludf.DUMMYFUNCTION("""COMPUTED_VALUE"""),1.36)</f>
        <v>1.36</v>
      </c>
      <c r="C47" s="3">
        <v>-0.793268448650916</v>
      </c>
    </row>
    <row r="48">
      <c r="A48" s="1">
        <f>IFERROR(__xludf.DUMMYFUNCTION("""COMPUTED_VALUE"""),40423.666666666664)</f>
        <v>40423.66667</v>
      </c>
      <c r="B48" s="2">
        <f>IFERROR(__xludf.DUMMYFUNCTION("""COMPUTED_VALUE"""),1.4)</f>
        <v>1.4</v>
      </c>
      <c r="C48" s="3">
        <v>-1.47125063286502</v>
      </c>
    </row>
    <row r="49">
      <c r="A49" s="1">
        <f>IFERROR(__xludf.DUMMYFUNCTION("""COMPUTED_VALUE"""),40424.666666666664)</f>
        <v>40424.66667</v>
      </c>
      <c r="B49" s="2">
        <f>IFERROR(__xludf.DUMMYFUNCTION("""COMPUTED_VALUE"""),1.4)</f>
        <v>1.4</v>
      </c>
      <c r="C49" s="3">
        <v>-2.15762843214072</v>
      </c>
    </row>
    <row r="50">
      <c r="A50" s="1">
        <f>IFERROR(__xludf.DUMMYFUNCTION("""COMPUTED_VALUE"""),40428.666666666664)</f>
        <v>40428.66667</v>
      </c>
      <c r="B50" s="2">
        <f>IFERROR(__xludf.DUMMYFUNCTION("""COMPUTED_VALUE"""),1.37)</f>
        <v>1.37</v>
      </c>
      <c r="C50" s="3">
        <v>7.30849808840972E-4</v>
      </c>
    </row>
    <row r="51">
      <c r="A51" s="1">
        <f>IFERROR(__xludf.DUMMYFUNCTION("""COMPUTED_VALUE"""),40429.666666666664)</f>
        <v>40429.66667</v>
      </c>
      <c r="B51" s="2">
        <f>IFERROR(__xludf.DUMMYFUNCTION("""COMPUTED_VALUE"""),1.39)</f>
        <v>1.39</v>
      </c>
      <c r="C51" s="3">
        <v>0.358173848839401</v>
      </c>
    </row>
    <row r="52">
      <c r="A52" s="1">
        <f>IFERROR(__xludf.DUMMYFUNCTION("""COMPUTED_VALUE"""),40430.666666666664)</f>
        <v>40430.66667</v>
      </c>
      <c r="B52" s="2">
        <f>IFERROR(__xludf.DUMMYFUNCTION("""COMPUTED_VALUE"""),1.38)</f>
        <v>1.38</v>
      </c>
      <c r="C52" s="3">
        <v>-0.219513862577715</v>
      </c>
    </row>
    <row r="53">
      <c r="A53" s="1">
        <f>IFERROR(__xludf.DUMMYFUNCTION("""COMPUTED_VALUE"""),40431.666666666664)</f>
        <v>40431.66667</v>
      </c>
      <c r="B53" s="2">
        <f>IFERROR(__xludf.DUMMYFUNCTION("""COMPUTED_VALUE"""),1.34)</f>
        <v>1.34</v>
      </c>
      <c r="C53" s="3">
        <v>-0.836693639227806</v>
      </c>
    </row>
    <row r="54">
      <c r="A54" s="1">
        <f>IFERROR(__xludf.DUMMYFUNCTION("""COMPUTED_VALUE"""),40434.666666666664)</f>
        <v>40434.66667</v>
      </c>
      <c r="B54" s="2">
        <f>IFERROR(__xludf.DUMMYFUNCTION("""COMPUTED_VALUE"""),1.38)</f>
        <v>1.38</v>
      </c>
      <c r="C54" s="3">
        <v>1.31522663725655</v>
      </c>
    </row>
    <row r="55">
      <c r="A55" s="1">
        <f>IFERROR(__xludf.DUMMYFUNCTION("""COMPUTED_VALUE"""),40435.666666666664)</f>
        <v>40435.66667</v>
      </c>
      <c r="B55" s="2">
        <f>IFERROR(__xludf.DUMMYFUNCTION("""COMPUTED_VALUE"""),1.41)</f>
        <v>1.41</v>
      </c>
      <c r="C55" s="3">
        <v>1.17078185632019</v>
      </c>
    </row>
    <row r="56">
      <c r="A56" s="1">
        <f>IFERROR(__xludf.DUMMYFUNCTION("""COMPUTED_VALUE"""),40436.666666666664)</f>
        <v>40436.66667</v>
      </c>
      <c r="B56" s="2">
        <f>IFERROR(__xludf.DUMMYFUNCTION("""COMPUTED_VALUE"""),1.47)</f>
        <v>1.47</v>
      </c>
      <c r="C56" s="3">
        <v>1.36782406662567</v>
      </c>
    </row>
    <row r="57">
      <c r="A57" s="1">
        <f>IFERROR(__xludf.DUMMYFUNCTION("""COMPUTED_VALUE"""),40437.666666666664)</f>
        <v>40437.66667</v>
      </c>
      <c r="B57" s="2">
        <f>IFERROR(__xludf.DUMMYFUNCTION("""COMPUTED_VALUE"""),1.4)</f>
        <v>1.4</v>
      </c>
      <c r="C57" s="3">
        <v>0.580601214085584</v>
      </c>
    </row>
    <row r="58">
      <c r="A58" s="1">
        <f>IFERROR(__xludf.DUMMYFUNCTION("""COMPUTED_VALUE"""),40438.666666666664)</f>
        <v>40438.66667</v>
      </c>
      <c r="B58" s="2">
        <f>IFERROR(__xludf.DUMMYFUNCTION("""COMPUTED_VALUE"""),1.35)</f>
        <v>1.35</v>
      </c>
      <c r="C58" s="3">
        <v>-0.291953401396976</v>
      </c>
    </row>
    <row r="59">
      <c r="A59" s="1">
        <f>IFERROR(__xludf.DUMMYFUNCTION("""COMPUTED_VALUE"""),40441.666666666664)</f>
        <v>40441.66667</v>
      </c>
      <c r="B59" s="2">
        <f>IFERROR(__xludf.DUMMYFUNCTION("""COMPUTED_VALUE"""),1.4)</f>
        <v>1.4</v>
      </c>
      <c r="C59" s="3">
        <v>0.879144977790575</v>
      </c>
    </row>
    <row r="60">
      <c r="A60" s="1">
        <f>IFERROR(__xludf.DUMMYFUNCTION("""COMPUTED_VALUE"""),40442.666666666664)</f>
        <v>40442.66667</v>
      </c>
      <c r="B60" s="2">
        <f>IFERROR(__xludf.DUMMYFUNCTION("""COMPUTED_VALUE"""),1.38)</f>
        <v>1.38</v>
      </c>
      <c r="C60" s="3">
        <v>0.364411679671494</v>
      </c>
    </row>
    <row r="61">
      <c r="A61" s="1">
        <f>IFERROR(__xludf.DUMMYFUNCTION("""COMPUTED_VALUE"""),40443.666666666664)</f>
        <v>40443.66667</v>
      </c>
      <c r="B61" s="2">
        <f>IFERROR(__xludf.DUMMYFUNCTION("""COMPUTED_VALUE"""),1.32)</f>
        <v>1.32</v>
      </c>
      <c r="C61" s="3">
        <v>0.186885641984123</v>
      </c>
    </row>
    <row r="62">
      <c r="A62" s="1">
        <f>IFERROR(__xludf.DUMMYFUNCTION("""COMPUTED_VALUE"""),40444.666666666664)</f>
        <v>40444.66667</v>
      </c>
      <c r="B62" s="2">
        <f>IFERROR(__xludf.DUMMYFUNCTION("""COMPUTED_VALUE"""),1.3)</f>
        <v>1.3</v>
      </c>
      <c r="C62" s="3">
        <v>-0.967367947047887</v>
      </c>
    </row>
    <row r="63">
      <c r="A63" s="1">
        <f>IFERROR(__xludf.DUMMYFUNCTION("""COMPUTED_VALUE"""),40445.666666666664)</f>
        <v>40445.66667</v>
      </c>
      <c r="B63" s="2">
        <f>IFERROR(__xludf.DUMMYFUNCTION("""COMPUTED_VALUE"""),1.34)</f>
        <v>1.34</v>
      </c>
      <c r="C63" s="3">
        <v>-2.18713962050416</v>
      </c>
    </row>
    <row r="64">
      <c r="A64" s="1">
        <f>IFERROR(__xludf.DUMMYFUNCTION("""COMPUTED_VALUE"""),40448.666666666664)</f>
        <v>40448.66667</v>
      </c>
      <c r="B64" s="2">
        <f>IFERROR(__xludf.DUMMYFUNCTION("""COMPUTED_VALUE"""),1.37)</f>
        <v>1.37</v>
      </c>
      <c r="C64" s="3">
        <v>-1.8168325237298</v>
      </c>
    </row>
    <row r="65">
      <c r="A65" s="1">
        <f>IFERROR(__xludf.DUMMYFUNCTION("""COMPUTED_VALUE"""),40449.666666666664)</f>
        <v>40449.66667</v>
      </c>
      <c r="B65" s="2">
        <f>IFERROR(__xludf.DUMMYFUNCTION("""COMPUTED_VALUE"""),1.43)</f>
        <v>1.43</v>
      </c>
      <c r="C65" s="3">
        <v>-2.48040859278587</v>
      </c>
    </row>
    <row r="66">
      <c r="A66" s="1">
        <f>IFERROR(__xludf.DUMMYFUNCTION("""COMPUTED_VALUE"""),40450.666666666664)</f>
        <v>40450.66667</v>
      </c>
      <c r="B66" s="2">
        <f>IFERROR(__xludf.DUMMYFUNCTION("""COMPUTED_VALUE"""),1.47)</f>
        <v>1.47</v>
      </c>
      <c r="C66" s="3">
        <v>-2.73151421957063</v>
      </c>
    </row>
    <row r="67">
      <c r="A67" s="1">
        <f>IFERROR(__xludf.DUMMYFUNCTION("""COMPUTED_VALUE"""),40451.666666666664)</f>
        <v>40451.66667</v>
      </c>
      <c r="B67" s="2">
        <f>IFERROR(__xludf.DUMMYFUNCTION("""COMPUTED_VALUE"""),1.36)</f>
        <v>1.36</v>
      </c>
      <c r="C67" s="3">
        <v>-3.87664535424499</v>
      </c>
    </row>
    <row r="68">
      <c r="A68" s="1">
        <f>IFERROR(__xludf.DUMMYFUNCTION("""COMPUTED_VALUE"""),40452.666666666664)</f>
        <v>40452.66667</v>
      </c>
      <c r="B68" s="2">
        <f>IFERROR(__xludf.DUMMYFUNCTION("""COMPUTED_VALUE"""),1.37)</f>
        <v>1.37</v>
      </c>
      <c r="C68" s="3">
        <v>-4.99906902929565</v>
      </c>
    </row>
    <row r="69">
      <c r="A69" s="1">
        <f>IFERROR(__xludf.DUMMYFUNCTION("""COMPUTED_VALUE"""),40455.666666666664)</f>
        <v>40455.66667</v>
      </c>
      <c r="B69" s="2">
        <f>IFERROR(__xludf.DUMMYFUNCTION("""COMPUTED_VALUE"""),1.4)</f>
        <v>1.4</v>
      </c>
      <c r="C69" s="3">
        <v>-3.78489275746065</v>
      </c>
    </row>
    <row r="70">
      <c r="A70" s="1">
        <f>IFERROR(__xludf.DUMMYFUNCTION("""COMPUTED_VALUE"""),40456.666666666664)</f>
        <v>40456.66667</v>
      </c>
      <c r="B70" s="2">
        <f>IFERROR(__xludf.DUMMYFUNCTION("""COMPUTED_VALUE"""),1.41)</f>
        <v>1.41</v>
      </c>
      <c r="C70" s="3">
        <v>-3.98744503617211</v>
      </c>
    </row>
    <row r="71">
      <c r="A71" s="1">
        <f>IFERROR(__xludf.DUMMYFUNCTION("""COMPUTED_VALUE"""),40457.666666666664)</f>
        <v>40457.66667</v>
      </c>
      <c r="B71" s="2">
        <f>IFERROR(__xludf.DUMMYFUNCTION("""COMPUTED_VALUE"""),1.36)</f>
        <v>1.36</v>
      </c>
      <c r="C71" s="3">
        <v>-3.69569463938523</v>
      </c>
    </row>
    <row r="72">
      <c r="A72" s="1">
        <f>IFERROR(__xludf.DUMMYFUNCTION("""COMPUTED_VALUE"""),40458.666666666664)</f>
        <v>40458.66667</v>
      </c>
      <c r="B72" s="2">
        <f>IFERROR(__xludf.DUMMYFUNCTION("""COMPUTED_VALUE"""),1.36)</f>
        <v>1.36</v>
      </c>
      <c r="C72" s="3">
        <v>-4.22437660610387</v>
      </c>
    </row>
    <row r="73">
      <c r="A73" s="1">
        <f>IFERROR(__xludf.DUMMYFUNCTION("""COMPUTED_VALUE"""),40459.666666666664)</f>
        <v>40459.66667</v>
      </c>
      <c r="B73" s="2">
        <f>IFERROR(__xludf.DUMMYFUNCTION("""COMPUTED_VALUE"""),1.36)</f>
        <v>1.36</v>
      </c>
      <c r="C73" s="3">
        <v>-4.66705835808446</v>
      </c>
    </row>
    <row r="74">
      <c r="A74" s="1">
        <f>IFERROR(__xludf.DUMMYFUNCTION("""COMPUTED_VALUE"""),40462.666666666664)</f>
        <v>40462.66667</v>
      </c>
      <c r="B74" s="2">
        <f>IFERROR(__xludf.DUMMYFUNCTION("""COMPUTED_VALUE"""),1.35)</f>
        <v>1.35</v>
      </c>
      <c r="C74" s="3">
        <v>-1.16245291557133</v>
      </c>
    </row>
    <row r="75">
      <c r="A75" s="1">
        <f>IFERROR(__xludf.DUMMYFUNCTION("""COMPUTED_VALUE"""),40463.666666666664)</f>
        <v>40463.66667</v>
      </c>
      <c r="B75" s="2">
        <f>IFERROR(__xludf.DUMMYFUNCTION("""COMPUTED_VALUE"""),1.35)</f>
        <v>1.35</v>
      </c>
      <c r="C75" s="3">
        <v>-0.566906874695592</v>
      </c>
    </row>
    <row r="76">
      <c r="A76" s="1">
        <f>IFERROR(__xludf.DUMMYFUNCTION("""COMPUTED_VALUE"""),40464.666666666664)</f>
        <v>40464.66667</v>
      </c>
      <c r="B76" s="2">
        <f>IFERROR(__xludf.DUMMYFUNCTION("""COMPUTED_VALUE"""),1.37)</f>
        <v>1.37</v>
      </c>
      <c r="C76" s="3">
        <v>0.513872024995262</v>
      </c>
    </row>
    <row r="77">
      <c r="A77" s="1">
        <f>IFERROR(__xludf.DUMMYFUNCTION("""COMPUTED_VALUE"""),40465.666666666664)</f>
        <v>40465.66667</v>
      </c>
      <c r="B77" s="2">
        <f>IFERROR(__xludf.DUMMYFUNCTION("""COMPUTED_VALUE"""),1.38)</f>
        <v>1.38</v>
      </c>
      <c r="C77" s="3">
        <v>0.749079068229762</v>
      </c>
    </row>
    <row r="78">
      <c r="A78" s="1">
        <f>IFERROR(__xludf.DUMMYFUNCTION("""COMPUTED_VALUE"""),40466.666666666664)</f>
        <v>40466.66667</v>
      </c>
      <c r="B78" s="2">
        <f>IFERROR(__xludf.DUMMYFUNCTION("""COMPUTED_VALUE"""),1.37)</f>
        <v>1.37</v>
      </c>
      <c r="C78" s="3">
        <v>1.02950440512293</v>
      </c>
    </row>
    <row r="79">
      <c r="A79" s="1">
        <f>IFERROR(__xludf.DUMMYFUNCTION("""COMPUTED_VALUE"""),40469.666666666664)</f>
        <v>40469.66667</v>
      </c>
      <c r="B79" s="2">
        <f>IFERROR(__xludf.DUMMYFUNCTION("""COMPUTED_VALUE"""),1.35)</f>
        <v>1.35</v>
      </c>
      <c r="C79" s="3">
        <v>6.31724544984041</v>
      </c>
    </row>
    <row r="80">
      <c r="A80" s="1">
        <f>IFERROR(__xludf.DUMMYFUNCTION("""COMPUTED_VALUE"""),40470.666666666664)</f>
        <v>40470.66667</v>
      </c>
      <c r="B80" s="2">
        <f>IFERROR(__xludf.DUMMYFUNCTION("""COMPUTED_VALUE"""),1.34)</f>
        <v>1.34</v>
      </c>
      <c r="C80" s="3">
        <v>7.33884278876412</v>
      </c>
    </row>
    <row r="81">
      <c r="A81" s="1">
        <f>IFERROR(__xludf.DUMMYFUNCTION("""COMPUTED_VALUE"""),40471.666666666664)</f>
        <v>40471.66667</v>
      </c>
      <c r="B81" s="2">
        <f>IFERROR(__xludf.DUMMYFUNCTION("""COMPUTED_VALUE"""),1.38)</f>
        <v>1.38</v>
      </c>
      <c r="C81" s="3">
        <v>8.74659806859659</v>
      </c>
    </row>
    <row r="82">
      <c r="A82" s="1">
        <f>IFERROR(__xludf.DUMMYFUNCTION("""COMPUTED_VALUE"""),40472.666666666664)</f>
        <v>40472.66667</v>
      </c>
      <c r="B82" s="2">
        <f>IFERROR(__xludf.DUMMYFUNCTION("""COMPUTED_VALUE"""),1.38)</f>
        <v>1.38</v>
      </c>
      <c r="C82" s="3">
        <v>9.2042085228921</v>
      </c>
    </row>
    <row r="83">
      <c r="A83" s="1">
        <f>IFERROR(__xludf.DUMMYFUNCTION("""COMPUTED_VALUE"""),40473.666666666664)</f>
        <v>40473.66667</v>
      </c>
      <c r="B83" s="2">
        <f>IFERROR(__xludf.DUMMYFUNCTION("""COMPUTED_VALUE"""),1.38)</f>
        <v>1.38</v>
      </c>
      <c r="C83" s="3">
        <v>9.59949346858422</v>
      </c>
    </row>
    <row r="84">
      <c r="A84" s="1">
        <f>IFERROR(__xludf.DUMMYFUNCTION("""COMPUTED_VALUE"""),40476.666666666664)</f>
        <v>40476.66667</v>
      </c>
      <c r="B84" s="2">
        <f>IFERROR(__xludf.DUMMYFUNCTION("""COMPUTED_VALUE"""),1.39)</f>
        <v>1.39</v>
      </c>
      <c r="C84" s="3">
        <v>14.5957386458848</v>
      </c>
    </row>
    <row r="85">
      <c r="A85" s="1">
        <f>IFERROR(__xludf.DUMMYFUNCTION("""COMPUTED_VALUE"""),40477.666666666664)</f>
        <v>40477.66667</v>
      </c>
      <c r="B85" s="2">
        <f>IFERROR(__xludf.DUMMYFUNCTION("""COMPUTED_VALUE"""),1.42)</f>
        <v>1.42</v>
      </c>
      <c r="C85" s="3">
        <v>15.3238292198945</v>
      </c>
    </row>
    <row r="86">
      <c r="A86" s="1">
        <f>IFERROR(__xludf.DUMMYFUNCTION("""COMPUTED_VALUE"""),40478.666666666664)</f>
        <v>40478.66667</v>
      </c>
      <c r="B86" s="2">
        <f>IFERROR(__xludf.DUMMYFUNCTION("""COMPUTED_VALUE"""),1.4)</f>
        <v>1.4</v>
      </c>
      <c r="C86" s="3">
        <v>16.3535580191977</v>
      </c>
    </row>
    <row r="87">
      <c r="A87" s="1">
        <f>IFERROR(__xludf.DUMMYFUNCTION("""COMPUTED_VALUE"""),40479.666666666664)</f>
        <v>40479.66667</v>
      </c>
      <c r="B87" s="2">
        <f>IFERROR(__xludf.DUMMYFUNCTION("""COMPUTED_VALUE"""),1.41)</f>
        <v>1.41</v>
      </c>
      <c r="C87" s="3">
        <v>16.3598149668447</v>
      </c>
    </row>
    <row r="88">
      <c r="A88" s="1">
        <f>IFERROR(__xludf.DUMMYFUNCTION("""COMPUTED_VALUE"""),40480.666666666664)</f>
        <v>40480.66667</v>
      </c>
      <c r="B88" s="2">
        <f>IFERROR(__xludf.DUMMYFUNCTION("""COMPUTED_VALUE"""),1.46)</f>
        <v>1.46</v>
      </c>
      <c r="C88" s="3">
        <v>16.2431845154027</v>
      </c>
    </row>
    <row r="89">
      <c r="A89" s="1">
        <f>IFERROR(__xludf.DUMMYFUNCTION("""COMPUTED_VALUE"""),40483.666666666664)</f>
        <v>40483.66667</v>
      </c>
      <c r="B89" s="2">
        <f>IFERROR(__xludf.DUMMYFUNCTION("""COMPUTED_VALUE"""),1.43)</f>
        <v>1.43</v>
      </c>
      <c r="C89" s="3">
        <v>19.483605331944</v>
      </c>
    </row>
    <row r="90">
      <c r="A90" s="1">
        <f>IFERROR(__xludf.DUMMYFUNCTION("""COMPUTED_VALUE"""),40484.666666666664)</f>
        <v>40484.66667</v>
      </c>
      <c r="B90" s="2">
        <f>IFERROR(__xludf.DUMMYFUNCTION("""COMPUTED_VALUE"""),1.42)</f>
        <v>1.42</v>
      </c>
      <c r="C90" s="3">
        <v>19.6031473277408</v>
      </c>
    </row>
    <row r="91">
      <c r="A91" s="1">
        <f>IFERROR(__xludf.DUMMYFUNCTION("""COMPUTED_VALUE"""),40485.666666666664)</f>
        <v>40485.66667</v>
      </c>
      <c r="B91" s="2">
        <f>IFERROR(__xludf.DUMMYFUNCTION("""COMPUTED_VALUE"""),1.45)</f>
        <v>1.45</v>
      </c>
      <c r="C91" s="3">
        <v>20.0373978441214</v>
      </c>
    </row>
    <row r="92">
      <c r="A92" s="1">
        <f>IFERROR(__xludf.DUMMYFUNCTION("""COMPUTED_VALUE"""),40486.666666666664)</f>
        <v>40486.66667</v>
      </c>
      <c r="B92" s="2">
        <f>IFERROR(__xludf.DUMMYFUNCTION("""COMPUTED_VALUE"""),1.66)</f>
        <v>1.66</v>
      </c>
      <c r="C92" s="3">
        <v>19.4749870593722</v>
      </c>
    </row>
    <row r="93">
      <c r="A93" s="1">
        <f>IFERROR(__xludf.DUMMYFUNCTION("""COMPUTED_VALUE"""),40487.666666666664)</f>
        <v>40487.66667</v>
      </c>
      <c r="B93" s="2">
        <f>IFERROR(__xludf.DUMMYFUNCTION("""COMPUTED_VALUE"""),1.63)</f>
        <v>1.63</v>
      </c>
      <c r="C93" s="3">
        <v>18.8289681613046</v>
      </c>
    </row>
    <row r="94">
      <c r="A94" s="1">
        <f>IFERROR(__xludf.DUMMYFUNCTION("""COMPUTED_VALUE"""),40490.666666666664)</f>
        <v>40490.66667</v>
      </c>
      <c r="B94" s="2">
        <f>IFERROR(__xludf.DUMMYFUNCTION("""COMPUTED_VALUE"""),1.67)</f>
        <v>1.67</v>
      </c>
      <c r="C94" s="3">
        <v>20.8156518100157</v>
      </c>
    </row>
    <row r="95">
      <c r="A95" s="1">
        <f>IFERROR(__xludf.DUMMYFUNCTION("""COMPUTED_VALUE"""),40491.666666666664)</f>
        <v>40491.66667</v>
      </c>
      <c r="B95" s="2">
        <f>IFERROR(__xludf.DUMMYFUNCTION("""COMPUTED_VALUE"""),1.64)</f>
        <v>1.64</v>
      </c>
      <c r="C95" s="3">
        <v>20.6512504701213</v>
      </c>
    </row>
    <row r="96">
      <c r="A96" s="1">
        <f>IFERROR(__xludf.DUMMYFUNCTION("""COMPUTED_VALUE"""),40492.666666666664)</f>
        <v>40492.66667</v>
      </c>
      <c r="B96" s="2">
        <f>IFERROR(__xludf.DUMMYFUNCTION("""COMPUTED_VALUE"""),1.96)</f>
        <v>1.96</v>
      </c>
      <c r="C96" s="3">
        <v>20.8739849919076</v>
      </c>
    </row>
    <row r="97">
      <c r="A97" s="1">
        <f>IFERROR(__xludf.DUMMYFUNCTION("""COMPUTED_VALUE"""),40493.666666666664)</f>
        <v>40493.66667</v>
      </c>
      <c r="B97" s="2">
        <f>IFERROR(__xludf.DUMMYFUNCTION("""COMPUTED_VALUE"""),1.87)</f>
        <v>1.87</v>
      </c>
      <c r="C97" s="3">
        <v>20.172111355952</v>
      </c>
    </row>
    <row r="98">
      <c r="A98" s="1">
        <f>IFERROR(__xludf.DUMMYFUNCTION("""COMPUTED_VALUE"""),40494.666666666664)</f>
        <v>40494.66667</v>
      </c>
      <c r="B98" s="2">
        <f>IFERROR(__xludf.DUMMYFUNCTION("""COMPUTED_VALUE"""),1.99)</f>
        <v>1.99</v>
      </c>
      <c r="C98" s="3">
        <v>19.4559146316467</v>
      </c>
    </row>
    <row r="99">
      <c r="A99" s="1">
        <f>IFERROR(__xludf.DUMMYFUNCTION("""COMPUTED_VALUE"""),40497.666666666664)</f>
        <v>40497.66667</v>
      </c>
      <c r="B99" s="2">
        <f>IFERROR(__xludf.DUMMYFUNCTION("""COMPUTED_VALUE"""),2.05)</f>
        <v>2.05</v>
      </c>
      <c r="C99" s="3">
        <v>21.587188436031</v>
      </c>
    </row>
    <row r="100">
      <c r="A100" s="1">
        <f>IFERROR(__xludf.DUMMYFUNCTION("""COMPUTED_VALUE"""),40498.666666666664)</f>
        <v>40498.66667</v>
      </c>
      <c r="B100" s="2">
        <f>IFERROR(__xludf.DUMMYFUNCTION("""COMPUTED_VALUE"""),1.98)</f>
        <v>1.98</v>
      </c>
      <c r="C100" s="3">
        <v>21.5598191339137</v>
      </c>
    </row>
    <row r="101">
      <c r="A101" s="1">
        <f>IFERROR(__xludf.DUMMYFUNCTION("""COMPUTED_VALUE"""),40499.666666666664)</f>
        <v>40499.66667</v>
      </c>
      <c r="B101" s="2">
        <f>IFERROR(__xludf.DUMMYFUNCTION("""COMPUTED_VALUE"""),1.97)</f>
        <v>1.97</v>
      </c>
      <c r="C101" s="3">
        <v>21.9456384475138</v>
      </c>
    </row>
    <row r="102">
      <c r="A102" s="1">
        <f>IFERROR(__xludf.DUMMYFUNCTION("""COMPUTED_VALUE"""),40500.666666666664)</f>
        <v>40500.66667</v>
      </c>
      <c r="B102" s="2">
        <f>IFERROR(__xludf.DUMMYFUNCTION("""COMPUTED_VALUE"""),1.99)</f>
        <v>1.99</v>
      </c>
      <c r="C102" s="3">
        <v>21.4204991043028</v>
      </c>
    </row>
    <row r="103">
      <c r="A103" s="1">
        <f>IFERROR(__xludf.DUMMYFUNCTION("""COMPUTED_VALUE"""),40501.666666666664)</f>
        <v>40501.66667</v>
      </c>
      <c r="B103" s="2">
        <f>IFERROR(__xludf.DUMMYFUNCTION("""COMPUTED_VALUE"""),2.07)</f>
        <v>2.07</v>
      </c>
      <c r="C103" s="3">
        <v>20.8819331434093</v>
      </c>
    </row>
    <row r="104">
      <c r="A104" s="1">
        <f>IFERROR(__xludf.DUMMYFUNCTION("""COMPUTED_VALUE"""),40504.666666666664)</f>
        <v>40504.66667</v>
      </c>
      <c r="B104" s="2">
        <f>IFERROR(__xludf.DUMMYFUNCTION("""COMPUTED_VALUE"""),2.23)</f>
        <v>2.23</v>
      </c>
      <c r="C104" s="3">
        <v>23.4277311214736</v>
      </c>
    </row>
    <row r="105">
      <c r="A105" s="1">
        <f>IFERROR(__xludf.DUMMYFUNCTION("""COMPUTED_VALUE"""),40505.666666666664)</f>
        <v>40505.66667</v>
      </c>
      <c r="B105" s="2">
        <f>IFERROR(__xludf.DUMMYFUNCTION("""COMPUTED_VALUE"""),2.3)</f>
        <v>2.3</v>
      </c>
      <c r="C105" s="3">
        <v>23.4620161844112</v>
      </c>
    </row>
    <row r="106">
      <c r="A106" s="1">
        <f>IFERROR(__xludf.DUMMYFUNCTION("""COMPUTED_VALUE"""),40506.666666666664)</f>
        <v>40506.66667</v>
      </c>
      <c r="B106" s="2">
        <f>IFERROR(__xludf.DUMMYFUNCTION("""COMPUTED_VALUE"""),2.36)</f>
        <v>2.36</v>
      </c>
      <c r="C106" s="3">
        <v>23.8561374217955</v>
      </c>
    </row>
    <row r="107">
      <c r="A107" s="1">
        <f>IFERROR(__xludf.DUMMYFUNCTION("""COMPUTED_VALUE"""),40508.666666666664)</f>
        <v>40508.66667</v>
      </c>
      <c r="B107" s="2">
        <f>IFERROR(__xludf.DUMMYFUNCTION("""COMPUTED_VALUE"""),2.35)</f>
        <v>2.35</v>
      </c>
      <c r="C107" s="3">
        <v>22.625999662689</v>
      </c>
    </row>
    <row r="108">
      <c r="A108" s="1">
        <f>IFERROR(__xludf.DUMMYFUNCTION("""COMPUTED_VALUE"""),40511.666666666664)</f>
        <v>40511.66667</v>
      </c>
      <c r="B108" s="2">
        <f>IFERROR(__xludf.DUMMYFUNCTION("""COMPUTED_VALUE"""),2.29)</f>
        <v>2.29</v>
      </c>
      <c r="C108" s="3">
        <v>24.439355818005</v>
      </c>
    </row>
    <row r="109">
      <c r="A109" s="1">
        <f>IFERROR(__xludf.DUMMYFUNCTION("""COMPUTED_VALUE"""),40512.666666666664)</f>
        <v>40512.66667</v>
      </c>
      <c r="B109" s="2">
        <f>IFERROR(__xludf.DUMMYFUNCTION("""COMPUTED_VALUE"""),2.36)</f>
        <v>2.36</v>
      </c>
      <c r="C109" s="3">
        <v>24.1112562400538</v>
      </c>
    </row>
    <row r="110">
      <c r="A110" s="1">
        <f>IFERROR(__xludf.DUMMYFUNCTION("""COMPUTED_VALUE"""),40513.666666666664)</f>
        <v>40513.66667</v>
      </c>
      <c r="B110" s="2">
        <f>IFERROR(__xludf.DUMMYFUNCTION("""COMPUTED_VALUE"""),2.29)</f>
        <v>2.29</v>
      </c>
      <c r="C110" s="3">
        <v>24.095298986939</v>
      </c>
    </row>
    <row r="111">
      <c r="A111" s="1">
        <f>IFERROR(__xludf.DUMMYFUNCTION("""COMPUTED_VALUE"""),40514.666666666664)</f>
        <v>40514.66667</v>
      </c>
      <c r="B111" s="2">
        <f>IFERROR(__xludf.DUMMYFUNCTION("""COMPUTED_VALUE"""),2.16)</f>
        <v>2.16</v>
      </c>
      <c r="C111" s="3">
        <v>23.0711767632508</v>
      </c>
    </row>
    <row r="112">
      <c r="A112" s="1">
        <f>IFERROR(__xludf.DUMMYFUNCTION("""COMPUTED_VALUE"""),40515.666666666664)</f>
        <v>40515.66667</v>
      </c>
      <c r="B112" s="2">
        <f>IFERROR(__xludf.DUMMYFUNCTION("""COMPUTED_VALUE"""),2.1)</f>
        <v>2.1</v>
      </c>
      <c r="C112" s="3">
        <v>21.9443004875949</v>
      </c>
    </row>
    <row r="113">
      <c r="A113" s="1">
        <f>IFERROR(__xludf.DUMMYFUNCTION("""COMPUTED_VALUE"""),40518.666666666664)</f>
        <v>40518.66667</v>
      </c>
      <c r="B113" s="2">
        <f>IFERROR(__xludf.DUMMYFUNCTION("""COMPUTED_VALUE"""),2.02)</f>
        <v>2.02</v>
      </c>
      <c r="C113" s="3">
        <v>22.3242997678598</v>
      </c>
    </row>
    <row r="114">
      <c r="A114" s="1">
        <f>IFERROR(__xludf.DUMMYFUNCTION("""COMPUTED_VALUE"""),40519.666666666664)</f>
        <v>40519.66667</v>
      </c>
      <c r="B114" s="2">
        <f>IFERROR(__xludf.DUMMYFUNCTION("""COMPUTED_VALUE"""),2.1)</f>
        <v>2.1</v>
      </c>
      <c r="C114" s="3">
        <v>21.5642822927256</v>
      </c>
    </row>
    <row r="115">
      <c r="A115" s="1">
        <f>IFERROR(__xludf.DUMMYFUNCTION("""COMPUTED_VALUE"""),40520.666666666664)</f>
        <v>40520.66667</v>
      </c>
      <c r="B115" s="2">
        <f>IFERROR(__xludf.DUMMYFUNCTION("""COMPUTED_VALUE"""),2.16)</f>
        <v>2.16</v>
      </c>
      <c r="C115" s="3">
        <v>21.1648759589586</v>
      </c>
    </row>
    <row r="116">
      <c r="A116" s="1">
        <f>IFERROR(__xludf.DUMMYFUNCTION("""COMPUTED_VALUE"""),40521.666666666664)</f>
        <v>40521.66667</v>
      </c>
      <c r="B116" s="2">
        <f>IFERROR(__xludf.DUMMYFUNCTION("""COMPUTED_VALUE"""),2.14)</f>
        <v>2.14</v>
      </c>
      <c r="C116" s="3">
        <v>19.8202961548061</v>
      </c>
    </row>
    <row r="117">
      <c r="A117" s="1">
        <f>IFERROR(__xludf.DUMMYFUNCTION("""COMPUTED_VALUE"""),40522.666666666664)</f>
        <v>40522.66667</v>
      </c>
      <c r="B117" s="2">
        <f>IFERROR(__xludf.DUMMYFUNCTION("""COMPUTED_VALUE"""),2.1)</f>
        <v>2.1</v>
      </c>
      <c r="C117" s="3">
        <v>18.4492919594181</v>
      </c>
    </row>
    <row r="118">
      <c r="A118" s="1">
        <f>IFERROR(__xludf.DUMMYFUNCTION("""COMPUTED_VALUE"""),40525.666666666664)</f>
        <v>40525.66667</v>
      </c>
      <c r="B118" s="2">
        <f>IFERROR(__xludf.DUMMYFUNCTION("""COMPUTED_VALUE"""),2.04)</f>
        <v>2.04</v>
      </c>
      <c r="C118" s="3">
        <v>18.6616183949382</v>
      </c>
    </row>
    <row r="119">
      <c r="A119" s="1">
        <f>IFERROR(__xludf.DUMMYFUNCTION("""COMPUTED_VALUE"""),40526.666666666664)</f>
        <v>40526.66667</v>
      </c>
      <c r="B119" s="2">
        <f>IFERROR(__xludf.DUMMYFUNCTION("""COMPUTED_VALUE"""),1.9)</f>
        <v>1.9</v>
      </c>
      <c r="C119" s="3">
        <v>18.0581102290026</v>
      </c>
    </row>
    <row r="120">
      <c r="A120" s="1">
        <f>IFERROR(__xludf.DUMMYFUNCTION("""COMPUTED_VALUE"""),40527.666666666664)</f>
        <v>40527.66667</v>
      </c>
      <c r="B120" s="2">
        <f>IFERROR(__xludf.DUMMYFUNCTION("""COMPUTED_VALUE"""),1.97)</f>
        <v>1.97</v>
      </c>
      <c r="C120" s="3">
        <v>17.9268027715516</v>
      </c>
    </row>
    <row r="121">
      <c r="A121" s="1">
        <f>IFERROR(__xludf.DUMMYFUNCTION("""COMPUTED_VALUE"""),40528.666666666664)</f>
        <v>40528.66667</v>
      </c>
      <c r="B121" s="2">
        <f>IFERROR(__xludf.DUMMYFUNCTION("""COMPUTED_VALUE"""),2.05)</f>
        <v>2.05</v>
      </c>
      <c r="C121" s="3">
        <v>16.9607395579595</v>
      </c>
    </row>
    <row r="122">
      <c r="A122" s="1">
        <f>IFERROR(__xludf.DUMMYFUNCTION("""COMPUTED_VALUE"""),40529.666666666664)</f>
        <v>40529.66667</v>
      </c>
      <c r="B122" s="2">
        <f>IFERROR(__xludf.DUMMYFUNCTION("""COMPUTED_VALUE"""),2.09)</f>
        <v>2.09</v>
      </c>
      <c r="C122" s="3">
        <v>16.0744502135628</v>
      </c>
    </row>
    <row r="123">
      <c r="A123" s="1">
        <f>IFERROR(__xludf.DUMMYFUNCTION("""COMPUTED_VALUE"""),40532.666666666664)</f>
        <v>40532.66667</v>
      </c>
      <c r="B123" s="2">
        <f>IFERROR(__xludf.DUMMYFUNCTION("""COMPUTED_VALUE"""),2.11)</f>
        <v>2.11</v>
      </c>
      <c r="C123" s="3">
        <v>18.2915197323872</v>
      </c>
    </row>
    <row r="124">
      <c r="A124" s="1">
        <f>IFERROR(__xludf.DUMMYFUNCTION("""COMPUTED_VALUE"""),40533.666666666664)</f>
        <v>40533.66667</v>
      </c>
      <c r="B124" s="2">
        <f>IFERROR(__xludf.DUMMYFUNCTION("""COMPUTED_VALUE"""),2.15)</f>
        <v>2.15</v>
      </c>
      <c r="C124" s="3">
        <v>18.4973555027108</v>
      </c>
    </row>
    <row r="125">
      <c r="A125" s="1">
        <f>IFERROR(__xludf.DUMMYFUNCTION("""COMPUTED_VALUE"""),40534.666666666664)</f>
        <v>40534.66667</v>
      </c>
      <c r="B125" s="2">
        <f>IFERROR(__xludf.DUMMYFUNCTION("""COMPUTED_VALUE"""),2.18)</f>
        <v>2.18</v>
      </c>
      <c r="C125" s="3">
        <v>19.2189170405447</v>
      </c>
    </row>
    <row r="126">
      <c r="A126" s="1">
        <f>IFERROR(__xludf.DUMMYFUNCTION("""COMPUTED_VALUE"""),40535.666666666664)</f>
        <v>40535.66667</v>
      </c>
      <c r="B126" s="2">
        <f>IFERROR(__xludf.DUMMYFUNCTION("""COMPUTED_VALUE"""),2.01)</f>
        <v>2.01</v>
      </c>
      <c r="C126" s="3">
        <v>19.1303363841011</v>
      </c>
    </row>
    <row r="127">
      <c r="A127" s="1">
        <f>IFERROR(__xludf.DUMMYFUNCTION("""COMPUTED_VALUE"""),40539.666666666664)</f>
        <v>40539.66667</v>
      </c>
      <c r="B127" s="2">
        <f>IFERROR(__xludf.DUMMYFUNCTION("""COMPUTED_VALUE"""),1.7)</f>
        <v>1.7</v>
      </c>
      <c r="C127" s="3">
        <v>23.808932824719</v>
      </c>
    </row>
    <row r="128">
      <c r="A128" s="1">
        <f>IFERROR(__xludf.DUMMYFUNCTION("""COMPUTED_VALUE"""),40540.666666666664)</f>
        <v>40540.66667</v>
      </c>
      <c r="B128" s="2">
        <f>IFERROR(__xludf.DUMMYFUNCTION("""COMPUTED_VALUE"""),1.76)</f>
        <v>1.76</v>
      </c>
      <c r="C128" s="3">
        <v>24.7090051659297</v>
      </c>
    </row>
    <row r="129">
      <c r="A129" s="1">
        <f>IFERROR(__xludf.DUMMYFUNCTION("""COMPUTED_VALUE"""),40541.666666666664)</f>
        <v>40541.66667</v>
      </c>
      <c r="B129" s="2">
        <f>IFERROR(__xludf.DUMMYFUNCTION("""COMPUTED_VALUE"""),1.85)</f>
        <v>1.85</v>
      </c>
      <c r="C129" s="3">
        <v>26.0297954667167</v>
      </c>
    </row>
    <row r="130">
      <c r="A130" s="1">
        <f>IFERROR(__xludf.DUMMYFUNCTION("""COMPUTED_VALUE"""),40542.666666666664)</f>
        <v>40542.66667</v>
      </c>
      <c r="B130" s="2">
        <f>IFERROR(__xludf.DUMMYFUNCTION("""COMPUTED_VALUE"""),1.77)</f>
        <v>1.77</v>
      </c>
      <c r="C130" s="3">
        <v>26.4293933449827</v>
      </c>
    </row>
    <row r="131">
      <c r="A131" s="1">
        <f>IFERROR(__xludf.DUMMYFUNCTION("""COMPUTED_VALUE"""),40543.666666666664)</f>
        <v>40543.66667</v>
      </c>
      <c r="B131" s="2">
        <f>IFERROR(__xludf.DUMMYFUNCTION("""COMPUTED_VALUE"""),1.78)</f>
        <v>1.78</v>
      </c>
      <c r="C131" s="3">
        <v>26.7886128844645</v>
      </c>
    </row>
    <row r="132">
      <c r="A132" s="1">
        <f>IFERROR(__xludf.DUMMYFUNCTION("""COMPUTED_VALUE"""),40546.666666666664)</f>
        <v>40546.66667</v>
      </c>
      <c r="B132" s="2">
        <f>IFERROR(__xludf.DUMMYFUNCTION("""COMPUTED_VALUE"""),1.77)</f>
        <v>1.77</v>
      </c>
      <c r="C132" s="3">
        <v>31.7210092705802</v>
      </c>
    </row>
    <row r="133">
      <c r="A133" s="1">
        <f>IFERROR(__xludf.DUMMYFUNCTION("""COMPUTED_VALUE"""),40547.666666666664)</f>
        <v>40547.66667</v>
      </c>
      <c r="B133" s="2">
        <f>IFERROR(__xludf.DUMMYFUNCTION("""COMPUTED_VALUE"""),1.78)</f>
        <v>1.78</v>
      </c>
      <c r="C133" s="3">
        <v>32.4092971831479</v>
      </c>
    </row>
    <row r="134">
      <c r="A134" s="1">
        <f>IFERROR(__xludf.DUMMYFUNCTION("""COMPUTED_VALUE"""),40548.666666666664)</f>
        <v>40548.66667</v>
      </c>
      <c r="B134" s="2">
        <f>IFERROR(__xludf.DUMMYFUNCTION("""COMPUTED_VALUE"""),1.79)</f>
        <v>1.79</v>
      </c>
      <c r="C134" s="3">
        <v>33.3721404094544</v>
      </c>
    </row>
    <row r="135">
      <c r="A135" s="1">
        <f>IFERROR(__xludf.DUMMYFUNCTION("""COMPUTED_VALUE"""),40549.666666666664)</f>
        <v>40549.66667</v>
      </c>
      <c r="B135" s="2">
        <f>IFERROR(__xludf.DUMMYFUNCTION("""COMPUTED_VALUE"""),1.86)</f>
        <v>1.86</v>
      </c>
      <c r="C135" s="3">
        <v>33.2736438762219</v>
      </c>
    </row>
    <row r="136">
      <c r="A136" s="1">
        <f>IFERROR(__xludf.DUMMYFUNCTION("""COMPUTED_VALUE"""),40550.666666666664)</f>
        <v>40550.66667</v>
      </c>
      <c r="B136" s="2">
        <f>IFERROR(__xludf.DUMMYFUNCTION("""COMPUTED_VALUE"""),1.88)</f>
        <v>1.88</v>
      </c>
      <c r="C136" s="3">
        <v>33.0039743464174</v>
      </c>
    </row>
    <row r="137">
      <c r="A137" s="1">
        <f>IFERROR(__xludf.DUMMYFUNCTION("""COMPUTED_VALUE"""),40553.666666666664)</f>
        <v>40553.66667</v>
      </c>
      <c r="B137" s="2">
        <f>IFERROR(__xludf.DUMMYFUNCTION("""COMPUTED_VALUE"""),1.9)</f>
        <v>1.9</v>
      </c>
      <c r="C137" s="3">
        <v>35.4032331128565</v>
      </c>
    </row>
    <row r="138">
      <c r="A138" s="1">
        <f>IFERROR(__xludf.DUMMYFUNCTION("""COMPUTED_VALUE"""),40554.666666666664)</f>
        <v>40554.66667</v>
      </c>
      <c r="B138" s="2">
        <f>IFERROR(__xludf.DUMMYFUNCTION("""COMPUTED_VALUE"""),1.8)</f>
        <v>1.8</v>
      </c>
      <c r="C138" s="3">
        <v>35.0901749752091</v>
      </c>
    </row>
    <row r="139">
      <c r="A139" s="1">
        <f>IFERROR(__xludf.DUMMYFUNCTION("""COMPUTED_VALUE"""),40555.666666666664)</f>
        <v>40555.66667</v>
      </c>
      <c r="B139" s="2">
        <f>IFERROR(__xludf.DUMMYFUNCTION("""COMPUTED_VALUE"""),1.8)</f>
        <v>1.8</v>
      </c>
      <c r="C139" s="3">
        <v>35.0071019547274</v>
      </c>
    </row>
    <row r="140">
      <c r="A140" s="1">
        <f>IFERROR(__xludf.DUMMYFUNCTION("""COMPUTED_VALUE"""),40556.666666666664)</f>
        <v>40556.66667</v>
      </c>
      <c r="B140" s="2">
        <f>IFERROR(__xludf.DUMMYFUNCTION("""COMPUTED_VALUE"""),1.75)</f>
        <v>1.75</v>
      </c>
      <c r="C140" s="3">
        <v>33.8401779226621</v>
      </c>
    </row>
    <row r="141">
      <c r="A141" s="1">
        <f>IFERROR(__xludf.DUMMYFUNCTION("""COMPUTED_VALUE"""),40557.666666666664)</f>
        <v>40557.66667</v>
      </c>
      <c r="B141" s="2">
        <f>IFERROR(__xludf.DUMMYFUNCTION("""COMPUTED_VALUE"""),1.72)</f>
        <v>1.72</v>
      </c>
      <c r="C141" s="3">
        <v>32.5019864595733</v>
      </c>
    </row>
    <row r="142">
      <c r="A142" s="1">
        <f>IFERROR(__xludf.DUMMYFUNCTION("""COMPUTED_VALUE"""),40561.666666666664)</f>
        <v>40561.66667</v>
      </c>
      <c r="B142" s="2">
        <f>IFERROR(__xludf.DUMMYFUNCTION("""COMPUTED_VALUE"""),1.71)</f>
        <v>1.71</v>
      </c>
      <c r="C142" s="3">
        <v>30.7419105951319</v>
      </c>
    </row>
    <row r="143">
      <c r="A143" s="1">
        <f>IFERROR(__xludf.DUMMYFUNCTION("""COMPUTED_VALUE"""),40562.666666666664)</f>
        <v>40562.66667</v>
      </c>
      <c r="B143" s="2">
        <f>IFERROR(__xludf.DUMMYFUNCTION("""COMPUTED_VALUE"""),1.6)</f>
        <v>1.6</v>
      </c>
      <c r="C143" s="3">
        <v>29.8988827559079</v>
      </c>
    </row>
    <row r="144">
      <c r="A144" s="1">
        <f>IFERROR(__xludf.DUMMYFUNCTION("""COMPUTED_VALUE"""),40563.666666666664)</f>
        <v>40563.66667</v>
      </c>
      <c r="B144" s="2">
        <f>IFERROR(__xludf.DUMMYFUNCTION("""COMPUTED_VALUE"""),1.51)</f>
        <v>1.51</v>
      </c>
      <c r="C144" s="3">
        <v>28.0827848466878</v>
      </c>
    </row>
    <row r="145">
      <c r="A145" s="1">
        <f>IFERROR(__xludf.DUMMYFUNCTION("""COMPUTED_VALUE"""),40564.666666666664)</f>
        <v>40564.66667</v>
      </c>
      <c r="B145" s="2">
        <f>IFERROR(__xludf.DUMMYFUNCTION("""COMPUTED_VALUE"""),1.54)</f>
        <v>1.54</v>
      </c>
      <c r="C145" s="3">
        <v>26.2162907038517</v>
      </c>
    </row>
    <row r="146">
      <c r="A146" s="1">
        <f>IFERROR(__xludf.DUMMYFUNCTION("""COMPUTED_VALUE"""),40567.666666666664)</f>
        <v>40567.66667</v>
      </c>
      <c r="B146" s="2">
        <f>IFERROR(__xludf.DUMMYFUNCTION("""COMPUTED_VALUE"""),1.63)</f>
        <v>1.63</v>
      </c>
      <c r="C146" s="3">
        <v>24.8177211368504</v>
      </c>
    </row>
    <row r="147">
      <c r="A147" s="1">
        <f>IFERROR(__xludf.DUMMYFUNCTION("""COMPUTED_VALUE"""),40568.666666666664)</f>
        <v>40568.66667</v>
      </c>
      <c r="B147" s="2">
        <f>IFERROR(__xludf.DUMMYFUNCTION("""COMPUTED_VALUE"""),1.65)</f>
        <v>1.65</v>
      </c>
      <c r="C147" s="3">
        <v>23.6353511403896</v>
      </c>
    </row>
    <row r="148">
      <c r="A148" s="1">
        <f>IFERROR(__xludf.DUMMYFUNCTION("""COMPUTED_VALUE"""),40569.666666666664)</f>
        <v>40569.66667</v>
      </c>
      <c r="B148" s="2">
        <f>IFERROR(__xludf.DUMMYFUNCTION("""COMPUTED_VALUE"""),1.65)</f>
        <v>1.65</v>
      </c>
      <c r="C148" s="3">
        <v>22.9006897081467</v>
      </c>
    </row>
    <row r="149">
      <c r="A149" s="1">
        <f>IFERROR(__xludf.DUMMYFUNCTION("""COMPUTED_VALUE"""),40570.666666666664)</f>
        <v>40570.66667</v>
      </c>
      <c r="B149" s="2">
        <f>IFERROR(__xludf.DUMMYFUNCTION("""COMPUTED_VALUE"""),1.66)</f>
        <v>1.66</v>
      </c>
      <c r="C149" s="3">
        <v>21.3028649112245</v>
      </c>
    </row>
    <row r="150">
      <c r="A150" s="1">
        <f>IFERROR(__xludf.DUMMYFUNCTION("""COMPUTED_VALUE"""),40571.666666666664)</f>
        <v>40571.66667</v>
      </c>
      <c r="B150" s="2">
        <f>IFERROR(__xludf.DUMMYFUNCTION("""COMPUTED_VALUE"""),1.6)</f>
        <v>1.6</v>
      </c>
      <c r="C150" s="3">
        <v>19.7515264746763</v>
      </c>
    </row>
    <row r="151">
      <c r="A151" s="1">
        <f>IFERROR(__xludf.DUMMYFUNCTION("""COMPUTED_VALUE"""),40574.666666666664)</f>
        <v>40574.66667</v>
      </c>
      <c r="B151" s="2">
        <f>IFERROR(__xludf.DUMMYFUNCTION("""COMPUTED_VALUE"""),1.61)</f>
        <v>1.61</v>
      </c>
      <c r="C151" s="3">
        <v>19.7152203881362</v>
      </c>
    </row>
    <row r="152">
      <c r="A152" s="1">
        <f>IFERROR(__xludf.DUMMYFUNCTION("""COMPUTED_VALUE"""),40575.666666666664)</f>
        <v>40575.66667</v>
      </c>
      <c r="B152" s="2">
        <f>IFERROR(__xludf.DUMMYFUNCTION("""COMPUTED_VALUE"""),1.59)</f>
        <v>1.59</v>
      </c>
      <c r="C152" s="3">
        <v>19.0629555854295</v>
      </c>
    </row>
    <row r="153">
      <c r="A153" s="1">
        <f>IFERROR(__xludf.DUMMYFUNCTION("""COMPUTED_VALUE"""),40576.666666666664)</f>
        <v>40576.66667</v>
      </c>
      <c r="B153" s="2">
        <f>IFERROR(__xludf.DUMMYFUNCTION("""COMPUTED_VALUE"""),1.6)</f>
        <v>1.6</v>
      </c>
      <c r="C153" s="3">
        <v>18.862771522679</v>
      </c>
    </row>
    <row r="154">
      <c r="A154" s="1">
        <f>IFERROR(__xludf.DUMMYFUNCTION("""COMPUTED_VALUE"""),40577.666666666664)</f>
        <v>40577.66667</v>
      </c>
      <c r="B154" s="2">
        <f>IFERROR(__xludf.DUMMYFUNCTION("""COMPUTED_VALUE"""),1.58)</f>
        <v>1.58</v>
      </c>
      <c r="C154" s="3">
        <v>17.7834869054259</v>
      </c>
    </row>
    <row r="155">
      <c r="A155" s="1">
        <f>IFERROR(__xludf.DUMMYFUNCTION("""COMPUTED_VALUE"""),40578.666666666664)</f>
        <v>40578.66667</v>
      </c>
      <c r="B155" s="2">
        <f>IFERROR(__xludf.DUMMYFUNCTION("""COMPUTED_VALUE"""),1.56)</f>
        <v>1.56</v>
      </c>
      <c r="C155" s="3">
        <v>16.7151488551752</v>
      </c>
    </row>
    <row r="156">
      <c r="A156" s="1">
        <f>IFERROR(__xludf.DUMMYFUNCTION("""COMPUTED_VALUE"""),40581.666666666664)</f>
        <v>40581.66667</v>
      </c>
      <c r="B156" s="2">
        <f>IFERROR(__xludf.DUMMYFUNCTION("""COMPUTED_VALUE"""),1.54)</f>
        <v>1.54</v>
      </c>
      <c r="C156" s="3">
        <v>17.7403070616941</v>
      </c>
    </row>
    <row r="157">
      <c r="A157" s="1">
        <f>IFERROR(__xludf.DUMMYFUNCTION("""COMPUTED_VALUE"""),40582.666666666664)</f>
        <v>40582.66667</v>
      </c>
      <c r="B157" s="2">
        <f>IFERROR(__xludf.DUMMYFUNCTION("""COMPUTED_VALUE"""),1.63)</f>
        <v>1.63</v>
      </c>
      <c r="C157" s="3">
        <v>17.2651258391095</v>
      </c>
    </row>
    <row r="158">
      <c r="A158" s="1">
        <f>IFERROR(__xludf.DUMMYFUNCTION("""COMPUTED_VALUE"""),40583.666666666664)</f>
        <v>40583.66667</v>
      </c>
      <c r="B158" s="2">
        <f>IFERROR(__xludf.DUMMYFUNCTION("""COMPUTED_VALUE"""),1.55)</f>
        <v>1.55</v>
      </c>
      <c r="C158" s="3">
        <v>17.1365151771186</v>
      </c>
    </row>
    <row r="159">
      <c r="A159" s="1">
        <f>IFERROR(__xludf.DUMMYFUNCTION("""COMPUTED_VALUE"""),40584.666666666664)</f>
        <v>40584.66667</v>
      </c>
      <c r="B159" s="2">
        <f>IFERROR(__xludf.DUMMYFUNCTION("""COMPUTED_VALUE"""),1.55)</f>
        <v>1.55</v>
      </c>
      <c r="C159" s="3">
        <v>16.0176066018945</v>
      </c>
    </row>
    <row r="160">
      <c r="A160" s="1">
        <f>IFERROR(__xludf.DUMMYFUNCTION("""COMPUTED_VALUE"""),40585.666666666664)</f>
        <v>40585.66667</v>
      </c>
      <c r="B160" s="2">
        <f>IFERROR(__xludf.DUMMYFUNCTION("""COMPUTED_VALUE"""),1.55)</f>
        <v>1.55</v>
      </c>
      <c r="C160" s="3">
        <v>14.7960786253233</v>
      </c>
    </row>
    <row r="161">
      <c r="A161" s="1">
        <f>IFERROR(__xludf.DUMMYFUNCTION("""COMPUTED_VALUE"""),40588.666666666664)</f>
        <v>40588.66667</v>
      </c>
      <c r="B161" s="2">
        <f>IFERROR(__xludf.DUMMYFUNCTION("""COMPUTED_VALUE"""),1.54)</f>
        <v>1.54</v>
      </c>
      <c r="C161" s="3">
        <v>14.7069991064199</v>
      </c>
    </row>
    <row r="162">
      <c r="A162" s="1">
        <f>IFERROR(__xludf.DUMMYFUNCTION("""COMPUTED_VALUE"""),40589.666666666664)</f>
        <v>40589.66667</v>
      </c>
      <c r="B162" s="2">
        <f>IFERROR(__xludf.DUMMYFUNCTION("""COMPUTED_VALUE"""),1.52)</f>
        <v>1.52</v>
      </c>
      <c r="C162" s="3">
        <v>13.6672554601514</v>
      </c>
    </row>
    <row r="163">
      <c r="A163" s="1">
        <f>IFERROR(__xludf.DUMMYFUNCTION("""COMPUTED_VALUE"""),40590.666666666664)</f>
        <v>40590.66667</v>
      </c>
      <c r="B163" s="2">
        <f>IFERROR(__xludf.DUMMYFUNCTION("""COMPUTED_VALUE"""),1.65)</f>
        <v>1.65</v>
      </c>
      <c r="C163" s="3">
        <v>12.8973977911309</v>
      </c>
    </row>
    <row r="164">
      <c r="A164" s="1">
        <f>IFERROR(__xludf.DUMMYFUNCTION("""COMPUTED_VALUE"""),40591.666666666664)</f>
        <v>40591.66667</v>
      </c>
      <c r="B164" s="2">
        <f>IFERROR(__xludf.DUMMYFUNCTION("""COMPUTED_VALUE"""),1.57)</f>
        <v>1.57</v>
      </c>
      <c r="C164" s="3">
        <v>11.0762454105065</v>
      </c>
    </row>
    <row r="165">
      <c r="A165" s="1">
        <f>IFERROR(__xludf.DUMMYFUNCTION("""COMPUTED_VALUE"""),40592.666666666664)</f>
        <v>40592.66667</v>
      </c>
      <c r="B165" s="2">
        <f>IFERROR(__xludf.DUMMYFUNCTION("""COMPUTED_VALUE"""),1.55)</f>
        <v>1.55</v>
      </c>
      <c r="C165" s="3">
        <v>9.10910104833648</v>
      </c>
    </row>
    <row r="166">
      <c r="A166" s="1">
        <f>IFERROR(__xludf.DUMMYFUNCTION("""COMPUTED_VALUE"""),40596.666666666664)</f>
        <v>40596.66667</v>
      </c>
      <c r="B166" s="2">
        <f>IFERROR(__xludf.DUMMYFUNCTION("""COMPUTED_VALUE"""),1.46)</f>
        <v>1.46</v>
      </c>
      <c r="C166" s="3">
        <v>4.95679312663033</v>
      </c>
    </row>
    <row r="167">
      <c r="A167" s="1">
        <f>IFERROR(__xludf.DUMMYFUNCTION("""COMPUTED_VALUE"""),40597.666666666664)</f>
        <v>40597.66667</v>
      </c>
      <c r="B167" s="2">
        <f>IFERROR(__xludf.DUMMYFUNCTION("""COMPUTED_VALUE"""),1.46)</f>
        <v>1.46</v>
      </c>
      <c r="C167" s="3">
        <v>3.52163929419968</v>
      </c>
    </row>
    <row r="168">
      <c r="A168" s="1">
        <f>IFERROR(__xludf.DUMMYFUNCTION("""COMPUTED_VALUE"""),40598.666666666664)</f>
        <v>40598.66667</v>
      </c>
      <c r="B168" s="2">
        <f>IFERROR(__xludf.DUMMYFUNCTION("""COMPUTED_VALUE"""),1.5)</f>
        <v>1.5</v>
      </c>
      <c r="C168" s="3">
        <v>1.10982278857277</v>
      </c>
    </row>
    <row r="169">
      <c r="A169" s="1">
        <f>IFERROR(__xludf.DUMMYFUNCTION("""COMPUTED_VALUE"""),40599.666666666664)</f>
        <v>40599.66667</v>
      </c>
      <c r="B169" s="2">
        <f>IFERROR(__xludf.DUMMYFUNCTION("""COMPUTED_VALUE"""),1.57)</f>
        <v>1.57</v>
      </c>
      <c r="C169" s="3">
        <v>-1.35654088839116</v>
      </c>
    </row>
    <row r="170">
      <c r="A170" s="1">
        <f>IFERROR(__xludf.DUMMYFUNCTION("""COMPUTED_VALUE"""),40602.666666666664)</f>
        <v>40602.66667</v>
      </c>
      <c r="B170" s="2">
        <f>IFERROR(__xludf.DUMMYFUNCTION("""COMPUTED_VALUE"""),1.59)</f>
        <v>1.59</v>
      </c>
      <c r="C170" s="3">
        <v>-4.56201129487</v>
      </c>
    </row>
    <row r="171">
      <c r="A171" s="1">
        <f>IFERROR(__xludf.DUMMYFUNCTION("""COMPUTED_VALUE"""),40603.666666666664)</f>
        <v>40603.66667</v>
      </c>
      <c r="B171" s="2">
        <f>IFERROR(__xludf.DUMMYFUNCTION("""COMPUTED_VALUE"""),1.6)</f>
        <v>1.6</v>
      </c>
      <c r="C171" s="3">
        <v>-6.33546287938377</v>
      </c>
    </row>
    <row r="172">
      <c r="A172" s="1">
        <f>IFERROR(__xludf.DUMMYFUNCTION("""COMPUTED_VALUE"""),40604.666666666664)</f>
        <v>40604.66667</v>
      </c>
      <c r="B172" s="2">
        <f>IFERROR(__xludf.DUMMYFUNCTION("""COMPUTED_VALUE"""),1.6)</f>
        <v>1.6</v>
      </c>
      <c r="C172" s="3">
        <v>-7.64505173102691</v>
      </c>
    </row>
    <row r="173">
      <c r="A173" s="1">
        <f>IFERROR(__xludf.DUMMYFUNCTION("""COMPUTED_VALUE"""),40605.666666666664)</f>
        <v>40605.66667</v>
      </c>
      <c r="B173" s="2">
        <f>IFERROR(__xludf.DUMMYFUNCTION("""COMPUTED_VALUE"""),1.62)</f>
        <v>1.62</v>
      </c>
      <c r="C173" s="3">
        <v>-9.79330342569971</v>
      </c>
    </row>
    <row r="174">
      <c r="A174" s="1">
        <f>IFERROR(__xludf.DUMMYFUNCTION("""COMPUTED_VALUE"""),40606.666666666664)</f>
        <v>40606.66667</v>
      </c>
      <c r="B174" s="2">
        <f>IFERROR(__xludf.DUMMYFUNCTION("""COMPUTED_VALUE"""),1.66)</f>
        <v>1.66</v>
      </c>
      <c r="C174" s="3">
        <v>-11.8610858754209</v>
      </c>
    </row>
    <row r="175">
      <c r="A175" s="1">
        <f>IFERROR(__xludf.DUMMYFUNCTION("""COMPUTED_VALUE"""),40609.666666666664)</f>
        <v>40609.66667</v>
      </c>
      <c r="B175" s="2">
        <f>IFERROR(__xludf.DUMMYFUNCTION("""COMPUTED_VALUE"""),1.66)</f>
        <v>1.66</v>
      </c>
      <c r="C175" s="3">
        <v>-13.1352055192787</v>
      </c>
    </row>
    <row r="176">
      <c r="A176" s="1">
        <f>IFERROR(__xludf.DUMMYFUNCTION("""COMPUTED_VALUE"""),40610.666666666664)</f>
        <v>40610.66667</v>
      </c>
      <c r="B176" s="2">
        <f>IFERROR(__xludf.DUMMYFUNCTION("""COMPUTED_VALUE"""),1.64)</f>
        <v>1.64</v>
      </c>
      <c r="C176" s="3">
        <v>-14.0577318535416</v>
      </c>
    </row>
    <row r="177">
      <c r="A177" s="1">
        <f>IFERROR(__xludf.DUMMYFUNCTION("""COMPUTED_VALUE"""),40611.666666666664)</f>
        <v>40611.66667</v>
      </c>
      <c r="B177" s="2">
        <f>IFERROR(__xludf.DUMMYFUNCTION("""COMPUTED_VALUE"""),1.65)</f>
        <v>1.65</v>
      </c>
      <c r="C177" s="3">
        <v>-14.4373354827524</v>
      </c>
    </row>
    <row r="178">
      <c r="A178" s="1">
        <f>IFERROR(__xludf.DUMMYFUNCTION("""COMPUTED_VALUE"""),40612.666666666664)</f>
        <v>40612.66667</v>
      </c>
      <c r="B178" s="2">
        <f>IFERROR(__xludf.DUMMYFUNCTION("""COMPUTED_VALUE"""),1.6)</f>
        <v>1.6</v>
      </c>
      <c r="C178" s="3">
        <v>-15.5937074960324</v>
      </c>
    </row>
    <row r="179">
      <c r="A179" s="1">
        <f>IFERROR(__xludf.DUMMYFUNCTION("""COMPUTED_VALUE"""),40613.666666666664)</f>
        <v>40613.66667</v>
      </c>
      <c r="B179" s="2">
        <f>IFERROR(__xludf.DUMMYFUNCTION("""COMPUTED_VALUE"""),1.6)</f>
        <v>1.6</v>
      </c>
      <c r="C179" s="3">
        <v>-16.6258965558124</v>
      </c>
    </row>
    <row r="180">
      <c r="A180" s="1">
        <f>IFERROR(__xludf.DUMMYFUNCTION("""COMPUTED_VALUE"""),40616.666666666664)</f>
        <v>40616.66667</v>
      </c>
      <c r="B180" s="2">
        <f>IFERROR(__xludf.DUMMYFUNCTION("""COMPUTED_VALUE"""),1.55)</f>
        <v>1.55</v>
      </c>
      <c r="C180" s="3">
        <v>-14.7180017590416</v>
      </c>
    </row>
    <row r="181">
      <c r="A181" s="1">
        <f>IFERROR(__xludf.DUMMYFUNCTION("""COMPUTED_VALUE"""),40617.666666666664)</f>
        <v>40617.66667</v>
      </c>
      <c r="B181" s="2">
        <f>IFERROR(__xludf.DUMMYFUNCTION("""COMPUTED_VALUE"""),1.53)</f>
        <v>1.53</v>
      </c>
      <c r="C181" s="3">
        <v>-14.6155742849561</v>
      </c>
    </row>
    <row r="182">
      <c r="A182" s="1">
        <f>IFERROR(__xludf.DUMMYFUNCTION("""COMPUTED_VALUE"""),40618.666666666664)</f>
        <v>40618.66667</v>
      </c>
      <c r="B182" s="2">
        <f>IFERROR(__xludf.DUMMYFUNCTION("""COMPUTED_VALUE"""),1.52)</f>
        <v>1.52</v>
      </c>
      <c r="C182" s="3">
        <v>-14.0161464380854</v>
      </c>
    </row>
    <row r="183">
      <c r="A183" s="1">
        <f>IFERROR(__xludf.DUMMYFUNCTION("""COMPUTED_VALUE"""),40619.666666666664)</f>
        <v>40619.66667</v>
      </c>
      <c r="B183" s="2">
        <f>IFERROR(__xludf.DUMMYFUNCTION("""COMPUTED_VALUE"""),1.52)</f>
        <v>1.52</v>
      </c>
      <c r="C183" s="3">
        <v>-14.2540111652398</v>
      </c>
    </row>
    <row r="184">
      <c r="A184" s="1">
        <f>IFERROR(__xludf.DUMMYFUNCTION("""COMPUTED_VALUE"""),40620.666666666664)</f>
        <v>40620.66667</v>
      </c>
      <c r="B184" s="2">
        <f>IFERROR(__xludf.DUMMYFUNCTION("""COMPUTED_VALUE"""),1.53)</f>
        <v>1.53</v>
      </c>
      <c r="C184" s="3">
        <v>-14.4408624363192</v>
      </c>
    </row>
    <row r="185">
      <c r="A185" s="1">
        <f>IFERROR(__xludf.DUMMYFUNCTION("""COMPUTED_VALUE"""),40623.666666666664)</f>
        <v>40623.66667</v>
      </c>
      <c r="B185" s="2">
        <f>IFERROR(__xludf.DUMMYFUNCTION("""COMPUTED_VALUE"""),1.52)</f>
        <v>1.52</v>
      </c>
      <c r="C185" s="3">
        <v>-10.528253329397</v>
      </c>
    </row>
    <row r="186">
      <c r="A186" s="1">
        <f>IFERROR(__xludf.DUMMYFUNCTION("""COMPUTED_VALUE"""),40624.666666666664)</f>
        <v>40624.66667</v>
      </c>
      <c r="B186" s="2">
        <f>IFERROR(__xludf.DUMMYFUNCTION("""COMPUTED_VALUE"""),1.48)</f>
        <v>1.48</v>
      </c>
      <c r="C186" s="3">
        <v>-9.95310529717764</v>
      </c>
    </row>
    <row r="187">
      <c r="A187" s="1">
        <f>IFERROR(__xludf.DUMMYFUNCTION("""COMPUTED_VALUE"""),40625.666666666664)</f>
        <v>40625.66667</v>
      </c>
      <c r="B187" s="2">
        <f>IFERROR(__xludf.DUMMYFUNCTION("""COMPUTED_VALUE"""),1.48)</f>
        <v>1.48</v>
      </c>
      <c r="C187" s="3">
        <v>-8.98161764768558</v>
      </c>
    </row>
    <row r="188">
      <c r="A188" s="1">
        <f>IFERROR(__xludf.DUMMYFUNCTION("""COMPUTED_VALUE"""),40626.666666666664)</f>
        <v>40626.66667</v>
      </c>
      <c r="B188" s="2">
        <f>IFERROR(__xludf.DUMMYFUNCTION("""COMPUTED_VALUE"""),1.49)</f>
        <v>1.49</v>
      </c>
      <c r="C188" s="3">
        <v>-8.94616163978809</v>
      </c>
    </row>
    <row r="189">
      <c r="A189" s="1">
        <f>IFERROR(__xludf.DUMMYFUNCTION("""COMPUTED_VALUE"""),40627.666666666664)</f>
        <v>40627.66667</v>
      </c>
      <c r="B189" s="2">
        <f>IFERROR(__xludf.DUMMYFUNCTION("""COMPUTED_VALUE"""),1.52)</f>
        <v>1.52</v>
      </c>
      <c r="C189" s="3">
        <v>-8.95427603029689</v>
      </c>
    </row>
    <row r="190">
      <c r="A190" s="1">
        <f>IFERROR(__xludf.DUMMYFUNCTION("""COMPUTED_VALUE"""),40630.666666666664)</f>
        <v>40630.66667</v>
      </c>
      <c r="B190" s="2">
        <f>IFERROR(__xludf.DUMMYFUNCTION("""COMPUTED_VALUE"""),1.55)</f>
        <v>1.55</v>
      </c>
      <c r="C190" s="3">
        <v>-5.00308995999932</v>
      </c>
    </row>
    <row r="191">
      <c r="A191" s="1">
        <f>IFERROR(__xludf.DUMMYFUNCTION("""COMPUTED_VALUE"""),40631.666666666664)</f>
        <v>40631.66667</v>
      </c>
      <c r="B191" s="2">
        <f>IFERROR(__xludf.DUMMYFUNCTION("""COMPUTED_VALUE"""),1.59)</f>
        <v>1.59</v>
      </c>
      <c r="C191" s="3">
        <v>-4.55038539840884</v>
      </c>
    </row>
    <row r="192">
      <c r="A192" s="1">
        <f>IFERROR(__xludf.DUMMYFUNCTION("""COMPUTED_VALUE"""),40632.666666666664)</f>
        <v>40632.66667</v>
      </c>
      <c r="B192" s="2">
        <f>IFERROR(__xludf.DUMMYFUNCTION("""COMPUTED_VALUE"""),1.58)</f>
        <v>1.58</v>
      </c>
      <c r="C192" s="3">
        <v>-3.7512891296477</v>
      </c>
    </row>
    <row r="193">
      <c r="A193" s="1">
        <f>IFERROR(__xludf.DUMMYFUNCTION("""COMPUTED_VALUE"""),40633.666666666664)</f>
        <v>40633.66667</v>
      </c>
      <c r="B193" s="2">
        <f>IFERROR(__xludf.DUMMYFUNCTION("""COMPUTED_VALUE"""),1.85)</f>
        <v>1.85</v>
      </c>
      <c r="C193" s="3">
        <v>-3.92688694362471</v>
      </c>
    </row>
    <row r="194">
      <c r="A194" s="1">
        <f>IFERROR(__xludf.DUMMYFUNCTION("""COMPUTED_VALUE"""),40634.666666666664)</f>
        <v>40634.66667</v>
      </c>
      <c r="B194" s="2">
        <f>IFERROR(__xludf.DUMMYFUNCTION("""COMPUTED_VALUE"""),1.78)</f>
        <v>1.78</v>
      </c>
      <c r="C194" s="3">
        <v>-4.17351850925702</v>
      </c>
    </row>
    <row r="195">
      <c r="A195" s="1">
        <f>IFERROR(__xludf.DUMMYFUNCTION("""COMPUTED_VALUE"""),40637.666666666664)</f>
        <v>40637.66667</v>
      </c>
      <c r="B195" s="2">
        <f>IFERROR(__xludf.DUMMYFUNCTION("""COMPUTED_VALUE"""),1.72)</f>
        <v>1.72</v>
      </c>
      <c r="C195" s="3">
        <v>-0.999355222242242</v>
      </c>
    </row>
    <row r="196">
      <c r="A196" s="1">
        <f>IFERROR(__xludf.DUMMYFUNCTION("""COMPUTED_VALUE"""),40638.666666666664)</f>
        <v>40638.66667</v>
      </c>
      <c r="B196" s="2">
        <f>IFERROR(__xludf.DUMMYFUNCTION("""COMPUTED_VALUE"""),1.78)</f>
        <v>1.78</v>
      </c>
      <c r="C196" s="3">
        <v>-0.796768418374082</v>
      </c>
    </row>
    <row r="197">
      <c r="A197" s="1">
        <f>IFERROR(__xludf.DUMMYFUNCTION("""COMPUTED_VALUE"""),40639.666666666664)</f>
        <v>40639.66667</v>
      </c>
      <c r="B197" s="2">
        <f>IFERROR(__xludf.DUMMYFUNCTION("""COMPUTED_VALUE"""),1.77)</f>
        <v>1.77</v>
      </c>
      <c r="C197" s="3">
        <v>-0.232060407431994</v>
      </c>
    </row>
    <row r="198">
      <c r="A198" s="1">
        <f>IFERROR(__xludf.DUMMYFUNCTION("""COMPUTED_VALUE"""),40640.666666666664)</f>
        <v>40640.66667</v>
      </c>
      <c r="B198" s="2">
        <f>IFERROR(__xludf.DUMMYFUNCTION("""COMPUTED_VALUE"""),1.82)</f>
        <v>1.82</v>
      </c>
      <c r="C198" s="3">
        <v>-0.621968544877517</v>
      </c>
    </row>
    <row r="199">
      <c r="A199" s="1">
        <f>IFERROR(__xludf.DUMMYFUNCTION("""COMPUTED_VALUE"""),40641.666666666664)</f>
        <v>40641.66667</v>
      </c>
      <c r="B199" s="2">
        <f>IFERROR(__xludf.DUMMYFUNCTION("""COMPUTED_VALUE"""),1.77)</f>
        <v>1.77</v>
      </c>
      <c r="C199" s="3">
        <v>-1.06024148574209</v>
      </c>
    </row>
    <row r="200">
      <c r="A200" s="1">
        <f>IFERROR(__xludf.DUMMYFUNCTION("""COMPUTED_VALUE"""),40644.666666666664)</f>
        <v>40644.66667</v>
      </c>
      <c r="B200" s="2">
        <f>IFERROR(__xludf.DUMMYFUNCTION("""COMPUTED_VALUE"""),1.68)</f>
        <v>1.68</v>
      </c>
      <c r="C200" s="3">
        <v>1.6746006902369</v>
      </c>
    </row>
    <row r="201">
      <c r="A201" s="1">
        <f>IFERROR(__xludf.DUMMYFUNCTION("""COMPUTED_VALUE"""),40645.666666666664)</f>
        <v>40645.66667</v>
      </c>
      <c r="B201" s="2">
        <f>IFERROR(__xludf.DUMMYFUNCTION("""COMPUTED_VALUE"""),1.64)</f>
        <v>1.64</v>
      </c>
      <c r="C201" s="3">
        <v>1.76761918178153</v>
      </c>
    </row>
    <row r="202">
      <c r="A202" s="1">
        <f>IFERROR(__xludf.DUMMYFUNCTION("""COMPUTED_VALUE"""),40646.666666666664)</f>
        <v>40646.66667</v>
      </c>
      <c r="B202" s="2">
        <f>IFERROR(__xludf.DUMMYFUNCTION("""COMPUTED_VALUE"""),1.66)</f>
        <v>1.66</v>
      </c>
      <c r="C202" s="3">
        <v>2.23348688656148</v>
      </c>
    </row>
    <row r="203">
      <c r="A203" s="1">
        <f>IFERROR(__xludf.DUMMYFUNCTION("""COMPUTED_VALUE"""),40647.666666666664)</f>
        <v>40647.66667</v>
      </c>
      <c r="B203" s="2">
        <f>IFERROR(__xludf.DUMMYFUNCTION("""COMPUTED_VALUE"""),1.68)</f>
        <v>1.68</v>
      </c>
      <c r="C203" s="3">
        <v>1.7491828654818</v>
      </c>
    </row>
    <row r="204">
      <c r="A204" s="1">
        <f>IFERROR(__xludf.DUMMYFUNCTION("""COMPUTED_VALUE"""),40648.666666666664)</f>
        <v>40648.66667</v>
      </c>
      <c r="B204" s="2">
        <f>IFERROR(__xludf.DUMMYFUNCTION("""COMPUTED_VALUE"""),1.71)</f>
        <v>1.71</v>
      </c>
      <c r="C204" s="3">
        <v>1.21395263723578</v>
      </c>
    </row>
    <row r="205">
      <c r="A205" s="1">
        <f>IFERROR(__xludf.DUMMYFUNCTION("""COMPUTED_VALUE"""),40651.666666666664)</f>
        <v>40651.66667</v>
      </c>
      <c r="B205" s="2">
        <f>IFERROR(__xludf.DUMMYFUNCTION("""COMPUTED_VALUE"""),1.67)</f>
        <v>1.67</v>
      </c>
      <c r="C205" s="3">
        <v>3.56825004535603</v>
      </c>
    </row>
    <row r="206">
      <c r="A206" s="1">
        <f>IFERROR(__xludf.DUMMYFUNCTION("""COMPUTED_VALUE"""),40652.666666666664)</f>
        <v>40652.66667</v>
      </c>
      <c r="B206" s="2">
        <f>IFERROR(__xludf.DUMMYFUNCTION("""COMPUTED_VALUE"""),1.68)</f>
        <v>1.68</v>
      </c>
      <c r="C206" s="3">
        <v>3.48061078647168</v>
      </c>
    </row>
    <row r="207">
      <c r="A207" s="1">
        <f>IFERROR(__xludf.DUMMYFUNCTION("""COMPUTED_VALUE"""),40653.666666666664)</f>
        <v>40653.66667</v>
      </c>
      <c r="B207" s="2">
        <f>IFERROR(__xludf.DUMMYFUNCTION("""COMPUTED_VALUE"""),1.72)</f>
        <v>1.72</v>
      </c>
      <c r="C207" s="3">
        <v>3.72848416496715</v>
      </c>
    </row>
    <row r="208">
      <c r="A208" s="1">
        <f>IFERROR(__xludf.DUMMYFUNCTION("""COMPUTED_VALUE"""),40654.666666666664)</f>
        <v>40654.66667</v>
      </c>
      <c r="B208" s="2">
        <f>IFERROR(__xludf.DUMMYFUNCTION("""COMPUTED_VALUE"""),1.78)</f>
        <v>1.78</v>
      </c>
      <c r="C208" s="3">
        <v>2.98411271819567</v>
      </c>
    </row>
    <row r="209">
      <c r="A209" s="1">
        <f>IFERROR(__xludf.DUMMYFUNCTION("""COMPUTED_VALUE"""),40658.666666666664)</f>
        <v>40658.66667</v>
      </c>
      <c r="B209" s="2">
        <f>IFERROR(__xludf.DUMMYFUNCTION("""COMPUTED_VALUE"""),1.76)</f>
        <v>1.76</v>
      </c>
      <c r="C209" s="3">
        <v>3.2986152212025</v>
      </c>
    </row>
    <row r="210">
      <c r="A210" s="1">
        <f>IFERROR(__xludf.DUMMYFUNCTION("""COMPUTED_VALUE"""),40659.666666666664)</f>
        <v>40659.66667</v>
      </c>
      <c r="B210" s="2">
        <f>IFERROR(__xludf.DUMMYFUNCTION("""COMPUTED_VALUE"""),1.8)</f>
        <v>1.8</v>
      </c>
      <c r="C210" s="3">
        <v>2.72255711162758</v>
      </c>
    </row>
    <row r="211">
      <c r="A211" s="1">
        <f>IFERROR(__xludf.DUMMYFUNCTION("""COMPUTED_VALUE"""),40660.666666666664)</f>
        <v>40660.66667</v>
      </c>
      <c r="B211" s="2">
        <f>IFERROR(__xludf.DUMMYFUNCTION("""COMPUTED_VALUE"""),1.81)</f>
        <v>1.81</v>
      </c>
      <c r="C211" s="3">
        <v>2.44477966895535</v>
      </c>
    </row>
    <row r="212">
      <c r="A212" s="1">
        <f>IFERROR(__xludf.DUMMYFUNCTION("""COMPUTED_VALUE"""),40661.666666666664)</f>
        <v>40661.66667</v>
      </c>
      <c r="B212" s="2">
        <f>IFERROR(__xludf.DUMMYFUNCTION("""COMPUTED_VALUE"""),1.84)</f>
        <v>1.84</v>
      </c>
      <c r="C212" s="3">
        <v>1.14434046943032</v>
      </c>
    </row>
    <row r="213">
      <c r="A213" s="1">
        <f>IFERROR(__xludf.DUMMYFUNCTION("""COMPUTED_VALUE"""),40662.666666666664)</f>
        <v>40662.66667</v>
      </c>
      <c r="B213" s="2">
        <f>IFERROR(__xludf.DUMMYFUNCTION("""COMPUTED_VALUE"""),1.84)</f>
        <v>1.84</v>
      </c>
      <c r="C213" s="3">
        <v>-0.274576426620246</v>
      </c>
    </row>
    <row r="214">
      <c r="A214" s="1">
        <f>IFERROR(__xludf.DUMMYFUNCTION("""COMPUTED_VALUE"""),40665.666666666664)</f>
        <v>40665.66667</v>
      </c>
      <c r="B214" s="2">
        <f>IFERROR(__xludf.DUMMYFUNCTION("""COMPUTED_VALUE"""),1.83)</f>
        <v>1.83</v>
      </c>
      <c r="C214" s="3">
        <v>-0.885383369097899</v>
      </c>
    </row>
    <row r="215">
      <c r="A215" s="1">
        <f>IFERROR(__xludf.DUMMYFUNCTION("""COMPUTED_VALUE"""),40666.666666666664)</f>
        <v>40666.66667</v>
      </c>
      <c r="B215" s="2">
        <f>IFERROR(__xludf.DUMMYFUNCTION("""COMPUTED_VALUE"""),1.79)</f>
        <v>1.79</v>
      </c>
      <c r="C215" s="3">
        <v>-2.02291953043363</v>
      </c>
    </row>
    <row r="216">
      <c r="A216" s="1">
        <f>IFERROR(__xludf.DUMMYFUNCTION("""COMPUTED_VALUE"""),40667.666666666664)</f>
        <v>40667.66667</v>
      </c>
      <c r="B216" s="2">
        <f>IFERROR(__xludf.DUMMYFUNCTION("""COMPUTED_VALUE"""),1.78)</f>
        <v>1.78</v>
      </c>
      <c r="C216" s="3">
        <v>-2.82879324677035</v>
      </c>
    </row>
    <row r="217">
      <c r="A217" s="1">
        <f>IFERROR(__xludf.DUMMYFUNCTION("""COMPUTED_VALUE"""),40668.666666666664)</f>
        <v>40668.66667</v>
      </c>
      <c r="B217" s="2">
        <f>IFERROR(__xludf.DUMMYFUNCTION("""COMPUTED_VALUE"""),1.76)</f>
        <v>1.76</v>
      </c>
      <c r="C217" s="3">
        <v>-4.61224438596836</v>
      </c>
    </row>
    <row r="218">
      <c r="A218" s="1">
        <f>IFERROR(__xludf.DUMMYFUNCTION("""COMPUTED_VALUE"""),40669.666666666664)</f>
        <v>40669.66667</v>
      </c>
      <c r="B218" s="2">
        <f>IFERROR(__xludf.DUMMYFUNCTION("""COMPUTED_VALUE"""),1.81)</f>
        <v>1.81</v>
      </c>
      <c r="C218" s="3">
        <v>-6.45798020698457</v>
      </c>
    </row>
    <row r="219">
      <c r="A219" s="1">
        <f>IFERROR(__xludf.DUMMYFUNCTION("""COMPUTED_VALUE"""),40672.666666666664)</f>
        <v>40672.66667</v>
      </c>
      <c r="B219" s="2">
        <f>IFERROR(__xludf.DUMMYFUNCTION("""COMPUTED_VALUE"""),1.86)</f>
        <v>1.86</v>
      </c>
      <c r="C219" s="3">
        <v>-7.91675639359805</v>
      </c>
    </row>
    <row r="220">
      <c r="A220" s="1">
        <f>IFERROR(__xludf.DUMMYFUNCTION("""COMPUTED_VALUE"""),40673.666666666664)</f>
        <v>40673.66667</v>
      </c>
      <c r="B220" s="2">
        <f>IFERROR(__xludf.DUMMYFUNCTION("""COMPUTED_VALUE"""),1.89)</f>
        <v>1.89</v>
      </c>
      <c r="C220" s="3">
        <v>-9.16828603869627</v>
      </c>
    </row>
    <row r="221">
      <c r="A221" s="1">
        <f>IFERROR(__xludf.DUMMYFUNCTION("""COMPUTED_VALUE"""),40674.666666666664)</f>
        <v>40674.66667</v>
      </c>
      <c r="B221" s="2">
        <f>IFERROR(__xludf.DUMMYFUNCTION("""COMPUTED_VALUE"""),1.8)</f>
        <v>1.8</v>
      </c>
      <c r="C221" s="3">
        <v>-9.996037979888</v>
      </c>
    </row>
    <row r="222">
      <c r="A222" s="1">
        <f>IFERROR(__xludf.DUMMYFUNCTION("""COMPUTED_VALUE"""),40675.666666666664)</f>
        <v>40675.66667</v>
      </c>
      <c r="B222" s="2">
        <f>IFERROR(__xludf.DUMMYFUNCTION("""COMPUTED_VALUE"""),1.84)</f>
        <v>1.84</v>
      </c>
      <c r="C222" s="3">
        <v>-11.7076217124448</v>
      </c>
    </row>
    <row r="223">
      <c r="A223" s="1">
        <f>IFERROR(__xludf.DUMMYFUNCTION("""COMPUTED_VALUE"""),40676.666666666664)</f>
        <v>40676.66667</v>
      </c>
      <c r="B223" s="2">
        <f>IFERROR(__xludf.DUMMYFUNCTION("""COMPUTED_VALUE"""),1.84)</f>
        <v>1.84</v>
      </c>
      <c r="C223" s="3">
        <v>-13.388275846958</v>
      </c>
    </row>
    <row r="224">
      <c r="A224" s="1">
        <f>IFERROR(__xludf.DUMMYFUNCTION("""COMPUTED_VALUE"""),40679.666666666664)</f>
        <v>40679.66667</v>
      </c>
      <c r="B224" s="2">
        <f>IFERROR(__xludf.DUMMYFUNCTION("""COMPUTED_VALUE"""),1.77)</f>
        <v>1.77</v>
      </c>
      <c r="C224" s="3">
        <v>-13.8301484941206</v>
      </c>
    </row>
    <row r="225">
      <c r="A225" s="1">
        <f>IFERROR(__xludf.DUMMYFUNCTION("""COMPUTED_VALUE"""),40680.666666666664)</f>
        <v>40680.66667</v>
      </c>
      <c r="B225" s="2">
        <f>IFERROR(__xludf.DUMMYFUNCTION("""COMPUTED_VALUE"""),1.73)</f>
        <v>1.73</v>
      </c>
      <c r="C225" s="3">
        <v>-14.591524363767</v>
      </c>
    </row>
    <row r="226">
      <c r="A226" s="1">
        <f>IFERROR(__xludf.DUMMYFUNCTION("""COMPUTED_VALUE"""),40681.666666666664)</f>
        <v>40681.66667</v>
      </c>
      <c r="B226" s="2">
        <f>IFERROR(__xludf.DUMMYFUNCTION("""COMPUTED_VALUE"""),1.76)</f>
        <v>1.76</v>
      </c>
      <c r="C226" s="3">
        <v>-14.8693782840996</v>
      </c>
    </row>
    <row r="227">
      <c r="A227" s="1">
        <f>IFERROR(__xludf.DUMMYFUNCTION("""COMPUTED_VALUE"""),40682.666666666664)</f>
        <v>40682.66667</v>
      </c>
      <c r="B227" s="2">
        <f>IFERROR(__xludf.DUMMYFUNCTION("""COMPUTED_VALUE"""),1.88)</f>
        <v>1.88</v>
      </c>
      <c r="C227" s="3">
        <v>-15.9830323610265</v>
      </c>
    </row>
    <row r="228">
      <c r="A228" s="1">
        <f>IFERROR(__xludf.DUMMYFUNCTION("""COMPUTED_VALUE"""),40683.666666666664)</f>
        <v>40683.66667</v>
      </c>
      <c r="B228" s="2">
        <f>IFERROR(__xludf.DUMMYFUNCTION("""COMPUTED_VALUE"""),1.86)</f>
        <v>1.86</v>
      </c>
      <c r="C228" s="3">
        <v>-17.0304936579032</v>
      </c>
    </row>
    <row r="229">
      <c r="A229" s="1">
        <f>IFERROR(__xludf.DUMMYFUNCTION("""COMPUTED_VALUE"""),40686.666666666664)</f>
        <v>40686.66667</v>
      </c>
      <c r="B229" s="2">
        <f>IFERROR(__xludf.DUMMYFUNCTION("""COMPUTED_VALUE"""),1.79)</f>
        <v>1.79</v>
      </c>
      <c r="C229" s="3">
        <v>-15.4974575132987</v>
      </c>
    </row>
    <row r="230">
      <c r="A230" s="1">
        <f>IFERROR(__xludf.DUMMYFUNCTION("""COMPUTED_VALUE"""),40687.666666666664)</f>
        <v>40687.66667</v>
      </c>
      <c r="B230" s="2">
        <f>IFERROR(__xludf.DUMMYFUNCTION("""COMPUTED_VALUE"""),1.78)</f>
        <v>1.78</v>
      </c>
      <c r="C230" s="3">
        <v>-15.6211257824838</v>
      </c>
    </row>
    <row r="231">
      <c r="A231" s="1">
        <f>IFERROR(__xludf.DUMMYFUNCTION("""COMPUTED_VALUE"""),40688.666666666664)</f>
        <v>40688.66667</v>
      </c>
      <c r="B231" s="2">
        <f>IFERROR(__xludf.DUMMYFUNCTION("""COMPUTED_VALUE"""),1.93)</f>
        <v>1.93</v>
      </c>
      <c r="C231" s="3">
        <v>-15.2932779958131</v>
      </c>
    </row>
    <row r="232">
      <c r="A232" s="1">
        <f>IFERROR(__xludf.DUMMYFUNCTION("""COMPUTED_VALUE"""),40689.666666666664)</f>
        <v>40689.66667</v>
      </c>
      <c r="B232" s="2">
        <f>IFERROR(__xludf.DUMMYFUNCTION("""COMPUTED_VALUE"""),1.97)</f>
        <v>1.97</v>
      </c>
      <c r="C232" s="3">
        <v>-15.8448361259497</v>
      </c>
    </row>
    <row r="233">
      <c r="A233" s="1">
        <f>IFERROR(__xludf.DUMMYFUNCTION("""COMPUTED_VALUE"""),40690.666666666664)</f>
        <v>40690.66667</v>
      </c>
      <c r="B233" s="2">
        <f>IFERROR(__xludf.DUMMYFUNCTION("""COMPUTED_VALUE"""),1.97)</f>
        <v>1.97</v>
      </c>
      <c r="C233" s="3">
        <v>-16.3840130022305</v>
      </c>
    </row>
    <row r="234">
      <c r="A234" s="1">
        <f>IFERROR(__xludf.DUMMYFUNCTION("""COMPUTED_VALUE"""),40694.666666666664)</f>
        <v>40694.66667</v>
      </c>
      <c r="B234" s="2">
        <f>IFERROR(__xludf.DUMMYFUNCTION("""COMPUTED_VALUE"""),2.01)</f>
        <v>2.01</v>
      </c>
      <c r="C234" s="3">
        <v>-13.621419746851</v>
      </c>
    </row>
    <row r="235">
      <c r="A235" s="1">
        <f>IFERROR(__xludf.DUMMYFUNCTION("""COMPUTED_VALUE"""),40695.666666666664)</f>
        <v>40695.66667</v>
      </c>
      <c r="B235" s="2">
        <f>IFERROR(__xludf.DUMMYFUNCTION("""COMPUTED_VALUE"""),1.9)</f>
        <v>1.9</v>
      </c>
      <c r="C235" s="3">
        <v>-13.1428513620856</v>
      </c>
    </row>
    <row r="236">
      <c r="A236" s="1">
        <f>IFERROR(__xludf.DUMMYFUNCTION("""COMPUTED_VALUE"""),40696.666666666664)</f>
        <v>40696.66667</v>
      </c>
      <c r="B236" s="2">
        <f>IFERROR(__xludf.DUMMYFUNCTION("""COMPUTED_VALUE"""),1.92)</f>
        <v>1.92</v>
      </c>
      <c r="C236" s="3">
        <v>-13.6182262584969</v>
      </c>
    </row>
    <row r="237">
      <c r="A237" s="1">
        <f>IFERROR(__xludf.DUMMYFUNCTION("""COMPUTED_VALUE"""),40697.666666666664)</f>
        <v>40697.66667</v>
      </c>
      <c r="B237" s="2">
        <f>IFERROR(__xludf.DUMMYFUNCTION("""COMPUTED_VALUE"""),2.01)</f>
        <v>2.01</v>
      </c>
      <c r="C237" s="3">
        <v>-14.1518000753278</v>
      </c>
    </row>
    <row r="238">
      <c r="A238" s="1">
        <f>IFERROR(__xludf.DUMMYFUNCTION("""COMPUTED_VALUE"""),40700.666666666664)</f>
        <v>40700.66667</v>
      </c>
      <c r="B238" s="2">
        <f>IFERROR(__xludf.DUMMYFUNCTION("""COMPUTED_VALUE"""),1.91)</f>
        <v>1.91</v>
      </c>
      <c r="C238" s="3">
        <v>-11.8319923049923</v>
      </c>
    </row>
    <row r="239">
      <c r="A239" s="1">
        <f>IFERROR(__xludf.DUMMYFUNCTION("""COMPUTED_VALUE"""),40701.666666666664)</f>
        <v>40701.66667</v>
      </c>
      <c r="B239" s="2">
        <f>IFERROR(__xludf.DUMMYFUNCTION("""COMPUTED_VALUE"""),1.89)</f>
        <v>1.89</v>
      </c>
      <c r="C239" s="3">
        <v>-11.9302631767662</v>
      </c>
    </row>
    <row r="240">
      <c r="A240" s="1">
        <f>IFERROR(__xludf.DUMMYFUNCTION("""COMPUTED_VALUE"""),40702.666666666664)</f>
        <v>40702.66667</v>
      </c>
      <c r="B240" s="2">
        <f>IFERROR(__xludf.DUMMYFUNCTION("""COMPUTED_VALUE"""),1.81)</f>
        <v>1.81</v>
      </c>
      <c r="C240" s="3">
        <v>-11.6799097691734</v>
      </c>
    </row>
    <row r="241">
      <c r="A241" s="1">
        <f>IFERROR(__xludf.DUMMYFUNCTION("""COMPUTED_VALUE"""),40703.666666666664)</f>
        <v>40703.66667</v>
      </c>
      <c r="B241" s="2">
        <f>IFERROR(__xludf.DUMMYFUNCTION("""COMPUTED_VALUE"""),1.84)</f>
        <v>1.84</v>
      </c>
      <c r="C241" s="3">
        <v>-12.3982963631859</v>
      </c>
    </row>
    <row r="242">
      <c r="A242" s="1">
        <f>IFERROR(__xludf.DUMMYFUNCTION("""COMPUTED_VALUE"""),40704.666666666664)</f>
        <v>40704.66667</v>
      </c>
      <c r="B242" s="2">
        <f>IFERROR(__xludf.DUMMYFUNCTION("""COMPUTED_VALUE"""),1.86)</f>
        <v>1.86</v>
      </c>
      <c r="C242" s="3">
        <v>-13.1778463190918</v>
      </c>
    </row>
    <row r="243">
      <c r="A243" s="1">
        <f>IFERROR(__xludf.DUMMYFUNCTION("""COMPUTED_VALUE"""),40707.666666666664)</f>
        <v>40707.66667</v>
      </c>
      <c r="B243" s="2">
        <f>IFERROR(__xludf.DUMMYFUNCTION("""COMPUTED_VALUE"""),1.9)</f>
        <v>1.9</v>
      </c>
      <c r="C243" s="3">
        <v>-11.5007797867924</v>
      </c>
    </row>
    <row r="244">
      <c r="A244" s="1">
        <f>IFERROR(__xludf.DUMMYFUNCTION("""COMPUTED_VALUE"""),40708.666666666664)</f>
        <v>40708.66667</v>
      </c>
      <c r="B244" s="2">
        <f>IFERROR(__xludf.DUMMYFUNCTION("""COMPUTED_VALUE"""),1.91)</f>
        <v>1.91</v>
      </c>
      <c r="C244" s="3">
        <v>-11.7480954893474</v>
      </c>
    </row>
    <row r="245">
      <c r="A245" s="1">
        <f>IFERROR(__xludf.DUMMYFUNCTION("""COMPUTED_VALUE"""),40709.666666666664)</f>
        <v>40709.66667</v>
      </c>
      <c r="B245" s="2">
        <f>IFERROR(__xludf.DUMMYFUNCTION("""COMPUTED_VALUE"""),1.82)</f>
        <v>1.82</v>
      </c>
      <c r="C245" s="3">
        <v>-11.6006137590152</v>
      </c>
    </row>
    <row r="246">
      <c r="A246" s="1">
        <f>IFERROR(__xludf.DUMMYFUNCTION("""COMPUTED_VALUE"""),40710.666666666664)</f>
        <v>40710.66667</v>
      </c>
      <c r="B246" s="2">
        <f>IFERROR(__xludf.DUMMYFUNCTION("""COMPUTED_VALUE"""),1.77)</f>
        <v>1.77</v>
      </c>
      <c r="C246" s="3">
        <v>-12.3699877418989</v>
      </c>
    </row>
    <row r="247">
      <c r="A247" s="1">
        <f>IFERROR(__xludf.DUMMYFUNCTION("""COMPUTED_VALUE"""),40711.666666666664)</f>
        <v>40711.66667</v>
      </c>
      <c r="B247" s="2">
        <f>IFERROR(__xludf.DUMMYFUNCTION("""COMPUTED_VALUE"""),1.77)</f>
        <v>1.77</v>
      </c>
      <c r="C247" s="3">
        <v>-13.1448149880974</v>
      </c>
    </row>
    <row r="248">
      <c r="A248" s="1">
        <f>IFERROR(__xludf.DUMMYFUNCTION("""COMPUTED_VALUE"""),40714.666666666664)</f>
        <v>40714.66667</v>
      </c>
      <c r="B248" s="2">
        <f>IFERROR(__xludf.DUMMYFUNCTION("""COMPUTED_VALUE"""),1.73)</f>
        <v>1.73</v>
      </c>
      <c r="C248" s="3">
        <v>-11.1112859522555</v>
      </c>
    </row>
    <row r="249">
      <c r="A249" s="1">
        <f>IFERROR(__xludf.DUMMYFUNCTION("""COMPUTED_VALUE"""),40715.666666666664)</f>
        <v>40715.66667</v>
      </c>
      <c r="B249" s="2">
        <f>IFERROR(__xludf.DUMMYFUNCTION("""COMPUTED_VALUE"""),1.84)</f>
        <v>1.84</v>
      </c>
      <c r="C249" s="3">
        <v>-11.1331491787908</v>
      </c>
    </row>
    <row r="250">
      <c r="A250" s="1">
        <f>IFERROR(__xludf.DUMMYFUNCTION("""COMPUTED_VALUE"""),40716.666666666664)</f>
        <v>40716.66667</v>
      </c>
      <c r="B250" s="2">
        <f>IFERROR(__xludf.DUMMYFUNCTION("""COMPUTED_VALUE"""),1.81)</f>
        <v>1.81</v>
      </c>
      <c r="C250" s="3">
        <v>-10.7154498474484</v>
      </c>
    </row>
    <row r="251">
      <c r="A251" s="1">
        <f>IFERROR(__xludf.DUMMYFUNCTION("""COMPUTED_VALUE"""),40717.666666666664)</f>
        <v>40717.66667</v>
      </c>
      <c r="B251" s="2">
        <f>IFERROR(__xludf.DUMMYFUNCTION("""COMPUTED_VALUE"""),1.85)</f>
        <v>1.85</v>
      </c>
      <c r="C251" s="3">
        <v>-11.1775435550681</v>
      </c>
    </row>
    <row r="252">
      <c r="A252" s="1">
        <f>IFERROR(__xludf.DUMMYFUNCTION("""COMPUTED_VALUE"""),40718.666666666664)</f>
        <v>40718.66667</v>
      </c>
      <c r="B252" s="2">
        <f>IFERROR(__xludf.DUMMYFUNCTION("""COMPUTED_VALUE"""),1.84)</f>
        <v>1.84</v>
      </c>
      <c r="C252" s="3">
        <v>-11.6171330511479</v>
      </c>
    </row>
    <row r="253">
      <c r="A253" s="1">
        <f>IFERROR(__xludf.DUMMYFUNCTION("""COMPUTED_VALUE"""),40721.666666666664)</f>
        <v>40721.66667</v>
      </c>
      <c r="B253" s="2">
        <f>IFERROR(__xludf.DUMMYFUNCTION("""COMPUTED_VALUE"""),1.83)</f>
        <v>1.83</v>
      </c>
      <c r="C253" s="3">
        <v>-8.51606696927993</v>
      </c>
    </row>
    <row r="254">
      <c r="A254" s="1">
        <f>IFERROR(__xludf.DUMMYFUNCTION("""COMPUTED_VALUE"""),40722.666666666664)</f>
        <v>40722.66667</v>
      </c>
      <c r="B254" s="2">
        <f>IFERROR(__xludf.DUMMYFUNCTION("""COMPUTED_VALUE"""),1.87)</f>
        <v>1.87</v>
      </c>
      <c r="C254" s="3">
        <v>-8.19941235895516</v>
      </c>
    </row>
    <row r="255">
      <c r="A255" s="1">
        <f>IFERROR(__xludf.DUMMYFUNCTION("""COMPUTED_VALUE"""),40723.666666666664)</f>
        <v>40723.66667</v>
      </c>
      <c r="B255" s="2">
        <f>IFERROR(__xludf.DUMMYFUNCTION("""COMPUTED_VALUE"""),1.89)</f>
        <v>1.89</v>
      </c>
      <c r="C255" s="3">
        <v>-7.4709028551219</v>
      </c>
    </row>
    <row r="256">
      <c r="A256" s="1">
        <f>IFERROR(__xludf.DUMMYFUNCTION("""COMPUTED_VALUE"""),40724.666666666664)</f>
        <v>40724.66667</v>
      </c>
      <c r="B256" s="2">
        <f>IFERROR(__xludf.DUMMYFUNCTION("""COMPUTED_VALUE"""),1.94)</f>
        <v>1.94</v>
      </c>
      <c r="C256" s="3">
        <v>-7.66061616640273</v>
      </c>
    </row>
    <row r="257">
      <c r="A257" s="1">
        <f>IFERROR(__xludf.DUMMYFUNCTION("""COMPUTED_VALUE"""),40725.666666666664)</f>
        <v>40725.66667</v>
      </c>
      <c r="B257" s="2">
        <f>IFERROR(__xludf.DUMMYFUNCTION("""COMPUTED_VALUE"""),1.93)</f>
        <v>1.93</v>
      </c>
      <c r="C257" s="3">
        <v>-7.87602937781772</v>
      </c>
    </row>
    <row r="258">
      <c r="A258" s="1">
        <f>IFERROR(__xludf.DUMMYFUNCTION("""COMPUTED_VALUE"""),40729.666666666664)</f>
        <v>40729.66667</v>
      </c>
      <c r="B258" s="2">
        <f>IFERROR(__xludf.DUMMYFUNCTION("""COMPUTED_VALUE"""),1.94)</f>
        <v>1.94</v>
      </c>
      <c r="C258" s="3">
        <v>-4.18977189450483</v>
      </c>
    </row>
    <row r="259">
      <c r="A259" s="1">
        <f>IFERROR(__xludf.DUMMYFUNCTION("""COMPUTED_VALUE"""),40730.666666666664)</f>
        <v>40730.66667</v>
      </c>
      <c r="B259" s="2">
        <f>IFERROR(__xludf.DUMMYFUNCTION("""COMPUTED_VALUE"""),1.93)</f>
        <v>1.93</v>
      </c>
      <c r="C259" s="3">
        <v>-3.57222857896227</v>
      </c>
    </row>
    <row r="260">
      <c r="A260" s="1">
        <f>IFERROR(__xludf.DUMMYFUNCTION("""COMPUTED_VALUE"""),40731.666666666664)</f>
        <v>40731.66667</v>
      </c>
      <c r="B260" s="2">
        <f>IFERROR(__xludf.DUMMYFUNCTION("""COMPUTED_VALUE"""),1.98)</f>
        <v>1.98</v>
      </c>
      <c r="C260" s="3">
        <v>-3.94557251788556</v>
      </c>
    </row>
    <row r="261">
      <c r="A261" s="1">
        <f>IFERROR(__xludf.DUMMYFUNCTION("""COMPUTED_VALUE"""),40732.666666666664)</f>
        <v>40732.66667</v>
      </c>
      <c r="B261" s="2">
        <f>IFERROR(__xludf.DUMMYFUNCTION("""COMPUTED_VALUE"""),1.92)</f>
        <v>1.92</v>
      </c>
      <c r="C261" s="3">
        <v>-4.41433669243338</v>
      </c>
    </row>
    <row r="262">
      <c r="A262" s="1">
        <f>IFERROR(__xludf.DUMMYFUNCTION("""COMPUTED_VALUE"""),40735.666666666664)</f>
        <v>40735.66667</v>
      </c>
      <c r="B262" s="2">
        <f>IFERROR(__xludf.DUMMYFUNCTION("""COMPUTED_VALUE"""),1.89)</f>
        <v>1.89</v>
      </c>
      <c r="C262" s="3">
        <v>-2.12658175203065</v>
      </c>
    </row>
    <row r="263">
      <c r="A263" s="1">
        <f>IFERROR(__xludf.DUMMYFUNCTION("""COMPUTED_VALUE"""),40736.666666666664)</f>
        <v>40736.66667</v>
      </c>
      <c r="B263" s="2">
        <f>IFERROR(__xludf.DUMMYFUNCTION("""COMPUTED_VALUE"""),1.88)</f>
        <v>1.88</v>
      </c>
      <c r="C263" s="3">
        <v>-2.31182447889671</v>
      </c>
    </row>
    <row r="264">
      <c r="A264" s="1">
        <f>IFERROR(__xludf.DUMMYFUNCTION("""COMPUTED_VALUE"""),40737.666666666664)</f>
        <v>40737.66667</v>
      </c>
      <c r="B264" s="2">
        <f>IFERROR(__xludf.DUMMYFUNCTION("""COMPUTED_VALUE"""),1.91)</f>
        <v>1.91</v>
      </c>
      <c r="C264" s="3">
        <v>-2.18664631380023</v>
      </c>
    </row>
    <row r="265">
      <c r="A265" s="1">
        <f>IFERROR(__xludf.DUMMYFUNCTION("""COMPUTED_VALUE"""),40738.666666666664)</f>
        <v>40738.66667</v>
      </c>
      <c r="B265" s="2">
        <f>IFERROR(__xludf.DUMMYFUNCTION("""COMPUTED_VALUE"""),1.84)</f>
        <v>1.84</v>
      </c>
      <c r="C265" s="3">
        <v>-3.06811776898294</v>
      </c>
    </row>
    <row r="266">
      <c r="A266" s="1">
        <f>IFERROR(__xludf.DUMMYFUNCTION("""COMPUTED_VALUE"""),40739.666666666664)</f>
        <v>40739.66667</v>
      </c>
      <c r="B266" s="2">
        <f>IFERROR(__xludf.DUMMYFUNCTION("""COMPUTED_VALUE"""),1.84)</f>
        <v>1.84</v>
      </c>
      <c r="C266" s="3">
        <v>-4.04806769962986</v>
      </c>
    </row>
    <row r="267">
      <c r="A267" s="1">
        <f>IFERROR(__xludf.DUMMYFUNCTION("""COMPUTED_VALUE"""),40742.666666666664)</f>
        <v>40742.66667</v>
      </c>
      <c r="B267" s="2">
        <f>IFERROR(__xludf.DUMMYFUNCTION("""COMPUTED_VALUE"""),1.82)</f>
        <v>1.82</v>
      </c>
      <c r="C267" s="3">
        <v>-3.18460402078522</v>
      </c>
    </row>
    <row r="268">
      <c r="A268" s="1">
        <f>IFERROR(__xludf.DUMMYFUNCTION("""COMPUTED_VALUE"""),40743.666666666664)</f>
        <v>40743.66667</v>
      </c>
      <c r="B268" s="2">
        <f>IFERROR(__xludf.DUMMYFUNCTION("""COMPUTED_VALUE"""),1.86)</f>
        <v>1.86</v>
      </c>
      <c r="C268" s="3">
        <v>-3.76797730651859</v>
      </c>
    </row>
    <row r="269">
      <c r="A269" s="1">
        <f>IFERROR(__xludf.DUMMYFUNCTION("""COMPUTED_VALUE"""),40744.666666666664)</f>
        <v>40744.66667</v>
      </c>
      <c r="B269" s="2">
        <f>IFERROR(__xludf.DUMMYFUNCTION("""COMPUTED_VALUE"""),1.91)</f>
        <v>1.91</v>
      </c>
      <c r="C269" s="3">
        <v>-3.98486532826909</v>
      </c>
    </row>
    <row r="270">
      <c r="A270" s="1">
        <f>IFERROR(__xludf.DUMMYFUNCTION("""COMPUTED_VALUE"""),40745.666666666664)</f>
        <v>40745.66667</v>
      </c>
      <c r="B270" s="2">
        <f>IFERROR(__xludf.DUMMYFUNCTION("""COMPUTED_VALUE"""),1.91)</f>
        <v>1.91</v>
      </c>
      <c r="C270" s="3">
        <v>-5.14374589806556</v>
      </c>
    </row>
    <row r="271">
      <c r="A271" s="1">
        <f>IFERROR(__xludf.DUMMYFUNCTION("""COMPUTED_VALUE"""),40746.666666666664)</f>
        <v>40746.66667</v>
      </c>
      <c r="B271" s="2">
        <f>IFERROR(__xludf.DUMMYFUNCTION("""COMPUTED_VALUE"""),1.95)</f>
        <v>1.95</v>
      </c>
      <c r="C271" s="3">
        <v>-6.32958149593763</v>
      </c>
    </row>
    <row r="272">
      <c r="A272" s="1">
        <f>IFERROR(__xludf.DUMMYFUNCTION("""COMPUTED_VALUE"""),40749.666666666664)</f>
        <v>40749.66667</v>
      </c>
      <c r="B272" s="2">
        <f>IFERROR(__xludf.DUMMYFUNCTION("""COMPUTED_VALUE"""),1.9)</f>
        <v>1.9</v>
      </c>
      <c r="C272" s="3">
        <v>-5.61545465684262</v>
      </c>
    </row>
    <row r="273">
      <c r="A273" s="1">
        <f>IFERROR(__xludf.DUMMYFUNCTION("""COMPUTED_VALUE"""),40750.666666666664)</f>
        <v>40750.66667</v>
      </c>
      <c r="B273" s="2">
        <f>IFERROR(__xludf.DUMMYFUNCTION("""COMPUTED_VALUE"""),1.87)</f>
        <v>1.87</v>
      </c>
      <c r="C273" s="3">
        <v>-6.08992576043707</v>
      </c>
    </row>
    <row r="274">
      <c r="A274" s="1">
        <f>IFERROR(__xludf.DUMMYFUNCTION("""COMPUTED_VALUE"""),40751.666666666664)</f>
        <v>40751.66667</v>
      </c>
      <c r="B274" s="2">
        <f>IFERROR(__xludf.DUMMYFUNCTION("""COMPUTED_VALUE"""),1.84)</f>
        <v>1.84</v>
      </c>
      <c r="C274" s="3">
        <v>-6.12257089552599</v>
      </c>
    </row>
    <row r="275">
      <c r="A275" s="1">
        <f>IFERROR(__xludf.DUMMYFUNCTION("""COMPUTED_VALUE"""),40752.666666666664)</f>
        <v>40752.66667</v>
      </c>
      <c r="B275" s="2">
        <f>IFERROR(__xludf.DUMMYFUNCTION("""COMPUTED_VALUE"""),1.88)</f>
        <v>1.88</v>
      </c>
      <c r="C275" s="3">
        <v>-7.0272954025226</v>
      </c>
    </row>
    <row r="276">
      <c r="A276" s="1">
        <f>IFERROR(__xludf.DUMMYFUNCTION("""COMPUTED_VALUE"""),40753.666666666664)</f>
        <v>40753.66667</v>
      </c>
      <c r="B276" s="2">
        <f>IFERROR(__xludf.DUMMYFUNCTION("""COMPUTED_VALUE"""),1.88)</f>
        <v>1.88</v>
      </c>
      <c r="C276" s="3">
        <v>-7.89630215255221</v>
      </c>
    </row>
    <row r="277">
      <c r="A277" s="1">
        <f>IFERROR(__xludf.DUMMYFUNCTION("""COMPUTED_VALUE"""),40756.666666666664)</f>
        <v>40756.66667</v>
      </c>
      <c r="B277" s="2">
        <f>IFERROR(__xludf.DUMMYFUNCTION("""COMPUTED_VALUE"""),1.92)</f>
        <v>1.92</v>
      </c>
      <c r="C277" s="3">
        <v>-5.95037636827454</v>
      </c>
    </row>
    <row r="278">
      <c r="A278" s="1">
        <f>IFERROR(__xludf.DUMMYFUNCTION("""COMPUTED_VALUE"""),40757.666666666664)</f>
        <v>40757.66667</v>
      </c>
      <c r="B278" s="2">
        <f>IFERROR(__xludf.DUMMYFUNCTION("""COMPUTED_VALUE"""),1.82)</f>
        <v>1.82</v>
      </c>
      <c r="C278" s="3">
        <v>-5.95749217406046</v>
      </c>
    </row>
    <row r="279">
      <c r="A279" s="1">
        <f>IFERROR(__xludf.DUMMYFUNCTION("""COMPUTED_VALUE"""),40758.666666666664)</f>
        <v>40758.66667</v>
      </c>
      <c r="B279" s="2">
        <f>IFERROR(__xludf.DUMMYFUNCTION("""COMPUTED_VALUE"""),1.81)</f>
        <v>1.81</v>
      </c>
      <c r="C279" s="3">
        <v>-5.51449668975818</v>
      </c>
    </row>
    <row r="280">
      <c r="A280" s="1">
        <f>IFERROR(__xludf.DUMMYFUNCTION("""COMPUTED_VALUE"""),40759.666666666664)</f>
        <v>40759.66667</v>
      </c>
      <c r="B280" s="2">
        <f>IFERROR(__xludf.DUMMYFUNCTION("""COMPUTED_VALUE"""),1.65)</f>
        <v>1.65</v>
      </c>
      <c r="C280" s="3">
        <v>-5.94757449451105</v>
      </c>
    </row>
    <row r="281">
      <c r="A281" s="1">
        <f>IFERROR(__xludf.DUMMYFUNCTION("""COMPUTED_VALUE"""),40760.666666666664)</f>
        <v>40760.66667</v>
      </c>
      <c r="B281" s="2">
        <f>IFERROR(__xludf.DUMMYFUNCTION("""COMPUTED_VALUE"""),1.62)</f>
        <v>1.62</v>
      </c>
      <c r="C281" s="3">
        <v>-6.36086618682659</v>
      </c>
    </row>
    <row r="282">
      <c r="A282" s="1">
        <f>IFERROR(__xludf.DUMMYFUNCTION("""COMPUTED_VALUE"""),40763.666666666664)</f>
        <v>40763.66667</v>
      </c>
      <c r="B282" s="2">
        <f>IFERROR(__xludf.DUMMYFUNCTION("""COMPUTED_VALUE"""),1.58)</f>
        <v>1.58</v>
      </c>
      <c r="C282" s="3">
        <v>-3.2507407423361</v>
      </c>
    </row>
    <row r="283">
      <c r="A283" s="1">
        <f>IFERROR(__xludf.DUMMYFUNCTION("""COMPUTED_VALUE"""),40764.666666666664)</f>
        <v>40764.66667</v>
      </c>
      <c r="B283" s="2">
        <f>IFERROR(__xludf.DUMMYFUNCTION("""COMPUTED_VALUE"""),1.67)</f>
        <v>1.67</v>
      </c>
      <c r="C283" s="3">
        <v>-2.96718250146893</v>
      </c>
    </row>
    <row r="284">
      <c r="A284" s="1">
        <f>IFERROR(__xludf.DUMMYFUNCTION("""COMPUTED_VALUE"""),40765.666666666664)</f>
        <v>40765.66667</v>
      </c>
      <c r="B284" s="2">
        <f>IFERROR(__xludf.DUMMYFUNCTION("""COMPUTED_VALUE"""),1.59)</f>
        <v>1.59</v>
      </c>
      <c r="C284" s="3">
        <v>-2.29322710568147</v>
      </c>
    </row>
    <row r="285">
      <c r="A285" s="1">
        <f>IFERROR(__xludf.DUMMYFUNCTION("""COMPUTED_VALUE"""),40766.666666666664)</f>
        <v>40766.66667</v>
      </c>
      <c r="B285" s="2">
        <f>IFERROR(__xludf.DUMMYFUNCTION("""COMPUTED_VALUE"""),1.69)</f>
        <v>1.69</v>
      </c>
      <c r="C285" s="3">
        <v>-2.5589922485654</v>
      </c>
    </row>
    <row r="286">
      <c r="A286" s="1">
        <f>IFERROR(__xludf.DUMMYFUNCTION("""COMPUTED_VALUE"""),40767.666666666664)</f>
        <v>40767.66667</v>
      </c>
      <c r="B286" s="2">
        <f>IFERROR(__xludf.DUMMYFUNCTION("""COMPUTED_VALUE"""),1.75)</f>
        <v>1.75</v>
      </c>
      <c r="C286" s="3">
        <v>-2.87062525361578</v>
      </c>
    </row>
    <row r="287">
      <c r="A287" s="1">
        <f>IFERROR(__xludf.DUMMYFUNCTION("""COMPUTED_VALUE"""),40770.666666666664)</f>
        <v>40770.66667</v>
      </c>
      <c r="B287" s="2">
        <f>IFERROR(__xludf.DUMMYFUNCTION("""COMPUTED_VALUE"""),1.75)</f>
        <v>1.75</v>
      </c>
      <c r="C287" s="3">
        <v>0.159446980573796</v>
      </c>
    </row>
    <row r="288">
      <c r="A288" s="1">
        <f>IFERROR(__xludf.DUMMYFUNCTION("""COMPUTED_VALUE"""),40771.666666666664)</f>
        <v>40771.66667</v>
      </c>
      <c r="B288" s="2">
        <f>IFERROR(__xludf.DUMMYFUNCTION("""COMPUTED_VALUE"""),1.74)</f>
        <v>1.74</v>
      </c>
      <c r="C288" s="3">
        <v>0.300073116215536</v>
      </c>
    </row>
    <row r="289">
      <c r="A289" s="1">
        <f>IFERROR(__xludf.DUMMYFUNCTION("""COMPUTED_VALUE"""),40772.666666666664)</f>
        <v>40772.66667</v>
      </c>
      <c r="B289" s="2">
        <f>IFERROR(__xludf.DUMMYFUNCTION("""COMPUTED_VALUE"""),1.72)</f>
        <v>1.72</v>
      </c>
      <c r="C289" s="3">
        <v>0.783068076866237</v>
      </c>
    </row>
    <row r="290">
      <c r="A290" s="1">
        <f>IFERROR(__xludf.DUMMYFUNCTION("""COMPUTED_VALUE"""),40773.666666666664)</f>
        <v>40773.66667</v>
      </c>
      <c r="B290" s="2">
        <f>IFERROR(__xludf.DUMMYFUNCTION("""COMPUTED_VALUE"""),1.62)</f>
        <v>1.62</v>
      </c>
      <c r="C290" s="3">
        <v>0.286353925333515</v>
      </c>
    </row>
    <row r="291">
      <c r="A291" s="1">
        <f>IFERROR(__xludf.DUMMYFUNCTION("""COMPUTED_VALUE"""),40774.666666666664)</f>
        <v>40774.66667</v>
      </c>
      <c r="B291" s="2">
        <f>IFERROR(__xludf.DUMMYFUNCTION("""COMPUTED_VALUE"""),1.49)</f>
        <v>1.49</v>
      </c>
      <c r="C291" s="3">
        <v>-0.287227093426349</v>
      </c>
    </row>
    <row r="292">
      <c r="A292" s="1">
        <f>IFERROR(__xludf.DUMMYFUNCTION("""COMPUTED_VALUE"""),40777.666666666664)</f>
        <v>40777.66667</v>
      </c>
      <c r="B292" s="2">
        <f>IFERROR(__xludf.DUMMYFUNCTION("""COMPUTED_VALUE"""),1.46)</f>
        <v>1.46</v>
      </c>
      <c r="C292" s="3">
        <v>1.86864711846717</v>
      </c>
    </row>
    <row r="293">
      <c r="A293" s="1">
        <f>IFERROR(__xludf.DUMMYFUNCTION("""COMPUTED_VALUE"""),40778.666666666664)</f>
        <v>40778.66667</v>
      </c>
      <c r="B293" s="2">
        <f>IFERROR(__xludf.DUMMYFUNCTION("""COMPUTED_VALUE"""),1.53)</f>
        <v>1.53</v>
      </c>
      <c r="C293" s="3">
        <v>1.72127846972884</v>
      </c>
    </row>
    <row r="294">
      <c r="A294" s="1">
        <f>IFERROR(__xludf.DUMMYFUNCTION("""COMPUTED_VALUE"""),40779.666666666664)</f>
        <v>40779.66667</v>
      </c>
      <c r="B294" s="2">
        <f>IFERROR(__xludf.DUMMYFUNCTION("""COMPUTED_VALUE"""),1.59)</f>
        <v>1.59</v>
      </c>
      <c r="C294" s="3">
        <v>1.93343641318236</v>
      </c>
    </row>
    <row r="295">
      <c r="A295" s="1">
        <f>IFERROR(__xludf.DUMMYFUNCTION("""COMPUTED_VALUE"""),40780.666666666664)</f>
        <v>40780.66667</v>
      </c>
      <c r="B295" s="2">
        <f>IFERROR(__xludf.DUMMYFUNCTION("""COMPUTED_VALUE"""),1.54)</f>
        <v>1.54</v>
      </c>
      <c r="C295" s="3">
        <v>1.19109850263158</v>
      </c>
    </row>
    <row r="296">
      <c r="A296" s="1">
        <f>IFERROR(__xludf.DUMMYFUNCTION("""COMPUTED_VALUE"""),40781.666666666664)</f>
        <v>40781.66667</v>
      </c>
      <c r="B296" s="2">
        <f>IFERROR(__xludf.DUMMYFUNCTION("""COMPUTED_VALUE"""),1.58)</f>
        <v>1.58</v>
      </c>
      <c r="C296" s="3">
        <v>0.403978538178497</v>
      </c>
    </row>
    <row r="297">
      <c r="A297" s="1">
        <f>IFERROR(__xludf.DUMMYFUNCTION("""COMPUTED_VALUE"""),40784.666666666664)</f>
        <v>40784.66667</v>
      </c>
      <c r="B297" s="2">
        <f>IFERROR(__xludf.DUMMYFUNCTION("""COMPUTED_VALUE"""),1.65)</f>
        <v>1.65</v>
      </c>
      <c r="C297" s="3">
        <v>2.15852445085039</v>
      </c>
    </row>
    <row r="298">
      <c r="A298" s="1">
        <f>IFERROR(__xludf.DUMMYFUNCTION("""COMPUTED_VALUE"""),40785.666666666664)</f>
        <v>40785.66667</v>
      </c>
      <c r="B298" s="2">
        <f>IFERROR(__xludf.DUMMYFUNCTION("""COMPUTED_VALUE"""),1.64)</f>
        <v>1.64</v>
      </c>
      <c r="C298" s="3">
        <v>1.96449879063154</v>
      </c>
    </row>
    <row r="299">
      <c r="A299" s="1">
        <f>IFERROR(__xludf.DUMMYFUNCTION("""COMPUTED_VALUE"""),40786.666666666664)</f>
        <v>40786.66667</v>
      </c>
      <c r="B299" s="2">
        <f>IFERROR(__xludf.DUMMYFUNCTION("""COMPUTED_VALUE"""),1.65)</f>
        <v>1.65</v>
      </c>
      <c r="C299" s="3">
        <v>2.17291417640589</v>
      </c>
    </row>
    <row r="300">
      <c r="A300" s="1">
        <f>IFERROR(__xludf.DUMMYFUNCTION("""COMPUTED_VALUE"""),40787.666666666664)</f>
        <v>40787.66667</v>
      </c>
      <c r="B300" s="2">
        <f>IFERROR(__xludf.DUMMYFUNCTION("""COMPUTED_VALUE"""),1.6)</f>
        <v>1.6</v>
      </c>
      <c r="C300" s="3">
        <v>1.46680572385872</v>
      </c>
    </row>
    <row r="301">
      <c r="A301" s="1">
        <f>IFERROR(__xludf.DUMMYFUNCTION("""COMPUTED_VALUE"""),40788.666666666664)</f>
        <v>40788.66667</v>
      </c>
      <c r="B301" s="2">
        <f>IFERROR(__xludf.DUMMYFUNCTION("""COMPUTED_VALUE"""),1.54)</f>
        <v>1.54</v>
      </c>
      <c r="C301" s="3">
        <v>0.751373547225171</v>
      </c>
    </row>
    <row r="302">
      <c r="A302" s="1">
        <f>IFERROR(__xludf.DUMMYFUNCTION("""COMPUTED_VALUE"""),40792.666666666664)</f>
        <v>40792.66667</v>
      </c>
      <c r="B302" s="2">
        <f>IFERROR(__xludf.DUMMYFUNCTION("""COMPUTED_VALUE"""),1.53)</f>
        <v>1.53</v>
      </c>
      <c r="C302" s="3">
        <v>2.81854529308155</v>
      </c>
    </row>
    <row r="303">
      <c r="A303" s="1">
        <f>IFERROR(__xludf.DUMMYFUNCTION("""COMPUTED_VALUE"""),40793.666666666664)</f>
        <v>40793.66667</v>
      </c>
      <c r="B303" s="2">
        <f>IFERROR(__xludf.DUMMYFUNCTION("""COMPUTED_VALUE"""),1.59)</f>
        <v>1.59</v>
      </c>
      <c r="C303" s="3">
        <v>3.16734217446518</v>
      </c>
    </row>
    <row r="304">
      <c r="A304" s="1">
        <f>IFERROR(__xludf.DUMMYFUNCTION("""COMPUTED_VALUE"""),40794.666666666664)</f>
        <v>40794.66667</v>
      </c>
      <c r="B304" s="2">
        <f>IFERROR(__xludf.DUMMYFUNCTION("""COMPUTED_VALUE"""),1.57)</f>
        <v>1.57</v>
      </c>
      <c r="C304" s="3">
        <v>2.58922400539467</v>
      </c>
    </row>
    <row r="305">
      <c r="A305" s="1">
        <f>IFERROR(__xludf.DUMMYFUNCTION("""COMPUTED_VALUE"""),40795.666666666664)</f>
        <v>40795.66667</v>
      </c>
      <c r="B305" s="2">
        <f>IFERROR(__xludf.DUMMYFUNCTION("""COMPUTED_VALUE"""),1.53)</f>
        <v>1.53</v>
      </c>
      <c r="C305" s="3">
        <v>1.98066217304044</v>
      </c>
    </row>
    <row r="306">
      <c r="A306" s="1">
        <f>IFERROR(__xludf.DUMMYFUNCTION("""COMPUTED_VALUE"""),40798.666666666664)</f>
        <v>40798.66667</v>
      </c>
      <c r="B306" s="2">
        <f>IFERROR(__xludf.DUMMYFUNCTION("""COMPUTED_VALUE"""),1.53)</f>
        <v>1.53</v>
      </c>
      <c r="C306" s="3">
        <v>4.2161178207353</v>
      </c>
    </row>
    <row r="307">
      <c r="A307" s="1">
        <f>IFERROR(__xludf.DUMMYFUNCTION("""COMPUTED_VALUE"""),40799.666666666664)</f>
        <v>40799.66667</v>
      </c>
      <c r="B307" s="2">
        <f>IFERROR(__xludf.DUMMYFUNCTION("""COMPUTED_VALUE"""),1.61)</f>
        <v>1.61</v>
      </c>
      <c r="C307" s="3">
        <v>4.11809472238482</v>
      </c>
    </row>
    <row r="308">
      <c r="A308" s="1">
        <f>IFERROR(__xludf.DUMMYFUNCTION("""COMPUTED_VALUE"""),40800.666666666664)</f>
        <v>40800.66667</v>
      </c>
      <c r="B308" s="2">
        <f>IFERROR(__xludf.DUMMYFUNCTION("""COMPUTED_VALUE"""),1.62)</f>
        <v>1.62</v>
      </c>
      <c r="C308" s="3">
        <v>4.36961581573997</v>
      </c>
    </row>
    <row r="309">
      <c r="A309" s="1">
        <f>IFERROR(__xludf.DUMMYFUNCTION("""COMPUTED_VALUE"""),40801.666666666664)</f>
        <v>40801.66667</v>
      </c>
      <c r="B309" s="2">
        <f>IFERROR(__xludf.DUMMYFUNCTION("""COMPUTED_VALUE"""),1.65)</f>
        <v>1.65</v>
      </c>
      <c r="C309" s="3">
        <v>3.64367027884751</v>
      </c>
    </row>
    <row r="310">
      <c r="A310" s="1">
        <f>IFERROR(__xludf.DUMMYFUNCTION("""COMPUTED_VALUE"""),40802.666666666664)</f>
        <v>40802.66667</v>
      </c>
      <c r="B310" s="2">
        <f>IFERROR(__xludf.DUMMYFUNCTION("""COMPUTED_VALUE"""),1.72)</f>
        <v>1.72</v>
      </c>
      <c r="C310" s="3">
        <v>2.83762272246864</v>
      </c>
    </row>
    <row r="311">
      <c r="A311" s="1">
        <f>IFERROR(__xludf.DUMMYFUNCTION("""COMPUTED_VALUE"""),40805.666666666664)</f>
        <v>40805.66667</v>
      </c>
      <c r="B311" s="2">
        <f>IFERROR(__xludf.DUMMYFUNCTION("""COMPUTED_VALUE"""),1.72)</f>
        <v>1.72</v>
      </c>
      <c r="C311" s="3">
        <v>4.22019805764764</v>
      </c>
    </row>
    <row r="312">
      <c r="A312" s="1">
        <f>IFERROR(__xludf.DUMMYFUNCTION("""COMPUTED_VALUE"""),40806.666666666664)</f>
        <v>40806.66667</v>
      </c>
      <c r="B312" s="2">
        <f>IFERROR(__xludf.DUMMYFUNCTION("""COMPUTED_VALUE"""),1.73)</f>
        <v>1.73</v>
      </c>
      <c r="C312" s="3">
        <v>3.77260612382118</v>
      </c>
    </row>
    <row r="313">
      <c r="A313" s="1">
        <f>IFERROR(__xludf.DUMMYFUNCTION("""COMPUTED_VALUE"""),40807.666666666664)</f>
        <v>40807.66667</v>
      </c>
      <c r="B313" s="2">
        <f>IFERROR(__xludf.DUMMYFUNCTION("""COMPUTED_VALUE"""),1.72)</f>
        <v>1.72</v>
      </c>
      <c r="C313" s="3">
        <v>3.65666845797071</v>
      </c>
    </row>
    <row r="314">
      <c r="A314" s="1">
        <f>IFERROR(__xludf.DUMMYFUNCTION("""COMPUTED_VALUE"""),40808.666666666664)</f>
        <v>40808.66667</v>
      </c>
      <c r="B314" s="2">
        <f>IFERROR(__xludf.DUMMYFUNCTION("""COMPUTED_VALUE"""),1.71)</f>
        <v>1.71</v>
      </c>
      <c r="C314" s="3">
        <v>2.55614235778757</v>
      </c>
    </row>
    <row r="315">
      <c r="A315" s="1">
        <f>IFERROR(__xludf.DUMMYFUNCTION("""COMPUTED_VALUE"""),40809.666666666664)</f>
        <v>40809.66667</v>
      </c>
      <c r="B315" s="2">
        <f>IFERROR(__xludf.DUMMYFUNCTION("""COMPUTED_VALUE"""),1.76)</f>
        <v>1.76</v>
      </c>
      <c r="C315" s="3">
        <v>1.38004066392686</v>
      </c>
    </row>
    <row r="316">
      <c r="A316" s="1">
        <f>IFERROR(__xludf.DUMMYFUNCTION("""COMPUTED_VALUE"""),40812.666666666664)</f>
        <v>40812.66667</v>
      </c>
      <c r="B316" s="2">
        <f>IFERROR(__xludf.DUMMYFUNCTION("""COMPUTED_VALUE"""),1.7)</f>
        <v>1.7</v>
      </c>
      <c r="C316" s="3">
        <v>1.80213220728314</v>
      </c>
    </row>
    <row r="317">
      <c r="A317" s="1">
        <f>IFERROR(__xludf.DUMMYFUNCTION("""COMPUTED_VALUE"""),40813.666666666664)</f>
        <v>40813.66667</v>
      </c>
      <c r="B317" s="2">
        <f>IFERROR(__xludf.DUMMYFUNCTION("""COMPUTED_VALUE"""),1.75)</f>
        <v>1.75</v>
      </c>
      <c r="C317" s="3">
        <v>1.12456878905128</v>
      </c>
    </row>
    <row r="318">
      <c r="A318" s="1">
        <f>IFERROR(__xludf.DUMMYFUNCTION("""COMPUTED_VALUE"""),40814.666666666664)</f>
        <v>40814.66667</v>
      </c>
      <c r="B318" s="2">
        <f>IFERROR(__xludf.DUMMYFUNCTION("""COMPUTED_VALUE"""),1.64)</f>
        <v>1.64</v>
      </c>
      <c r="C318" s="3">
        <v>0.842334980544571</v>
      </c>
    </row>
    <row r="319">
      <c r="A319" s="1">
        <f>IFERROR(__xludf.DUMMYFUNCTION("""COMPUTED_VALUE"""),40815.666666666664)</f>
        <v>40815.66667</v>
      </c>
      <c r="B319" s="2">
        <f>IFERROR(__xludf.DUMMYFUNCTION("""COMPUTED_VALUE"""),1.61)</f>
        <v>1.61</v>
      </c>
      <c r="C319" s="3">
        <v>-0.3513533060678</v>
      </c>
    </row>
    <row r="320">
      <c r="A320" s="1">
        <f>IFERROR(__xludf.DUMMYFUNCTION("""COMPUTED_VALUE"""),40816.666666666664)</f>
        <v>40816.66667</v>
      </c>
      <c r="B320" s="2">
        <f>IFERROR(__xludf.DUMMYFUNCTION("""COMPUTED_VALUE"""),1.63)</f>
        <v>1.63</v>
      </c>
      <c r="C320" s="3">
        <v>-1.53960473858405</v>
      </c>
    </row>
    <row r="321">
      <c r="A321" s="1">
        <f>IFERROR(__xludf.DUMMYFUNCTION("""COMPUTED_VALUE"""),40819.666666666664)</f>
        <v>40819.66667</v>
      </c>
      <c r="B321" s="2">
        <f>IFERROR(__xludf.DUMMYFUNCTION("""COMPUTED_VALUE"""),1.58)</f>
        <v>1.58</v>
      </c>
      <c r="C321" s="3">
        <v>-0.618209643555543</v>
      </c>
    </row>
    <row r="322">
      <c r="A322" s="1">
        <f>IFERROR(__xludf.DUMMYFUNCTION("""COMPUTED_VALUE"""),40820.666666666664)</f>
        <v>40820.66667</v>
      </c>
      <c r="B322" s="2">
        <f>IFERROR(__xludf.DUMMYFUNCTION("""COMPUTED_VALUE"""),1.58)</f>
        <v>1.58</v>
      </c>
      <c r="C322" s="3">
        <v>-0.945203929672524</v>
      </c>
    </row>
    <row r="323">
      <c r="A323" s="1">
        <f>IFERROR(__xludf.DUMMYFUNCTION("""COMPUTED_VALUE"""),40821.666666666664)</f>
        <v>40821.66667</v>
      </c>
      <c r="B323" s="2">
        <f>IFERROR(__xludf.DUMMYFUNCTION("""COMPUTED_VALUE"""),1.69)</f>
        <v>1.69</v>
      </c>
      <c r="C323" s="3">
        <v>-0.787900015299155</v>
      </c>
    </row>
    <row r="324">
      <c r="A324" s="1">
        <f>IFERROR(__xludf.DUMMYFUNCTION("""COMPUTED_VALUE"""),40822.666666666664)</f>
        <v>40822.66667</v>
      </c>
      <c r="B324" s="2">
        <f>IFERROR(__xludf.DUMMYFUNCTION("""COMPUTED_VALUE"""),1.8)</f>
        <v>1.8</v>
      </c>
      <c r="C324" s="3">
        <v>-1.45850282399623</v>
      </c>
    </row>
    <row r="325">
      <c r="A325" s="1">
        <f>IFERROR(__xludf.DUMMYFUNCTION("""COMPUTED_VALUE"""),40823.666666666664)</f>
        <v>40823.66667</v>
      </c>
      <c r="B325" s="2">
        <f>IFERROR(__xludf.DUMMYFUNCTION("""COMPUTED_VALUE"""),1.8)</f>
        <v>1.8</v>
      </c>
      <c r="C325" s="3">
        <v>-2.04781461417599</v>
      </c>
    </row>
    <row r="326">
      <c r="A326" s="1">
        <f>IFERROR(__xludf.DUMMYFUNCTION("""COMPUTED_VALUE"""),40826.666666666664)</f>
        <v>40826.66667</v>
      </c>
      <c r="B326" s="2">
        <f>IFERROR(__xludf.DUMMYFUNCTION("""COMPUTED_VALUE"""),1.86)</f>
        <v>1.86</v>
      </c>
      <c r="C326" s="3">
        <v>1.01831183705662</v>
      </c>
    </row>
    <row r="327">
      <c r="A327" s="1">
        <f>IFERROR(__xludf.DUMMYFUNCTION("""COMPUTED_VALUE"""),40827.666666666664)</f>
        <v>40827.66667</v>
      </c>
      <c r="B327" s="2">
        <f>IFERROR(__xludf.DUMMYFUNCTION("""COMPUTED_VALUE"""),1.84)</f>
        <v>1.84</v>
      </c>
      <c r="C327" s="3">
        <v>1.47818679751979</v>
      </c>
    </row>
    <row r="328">
      <c r="A328" s="1">
        <f>IFERROR(__xludf.DUMMYFUNCTION("""COMPUTED_VALUE"""),40828.666666666664)</f>
        <v>40828.66667</v>
      </c>
      <c r="B328" s="2">
        <f>IFERROR(__xludf.DUMMYFUNCTION("""COMPUTED_VALUE"""),1.85)</f>
        <v>1.85</v>
      </c>
      <c r="C328" s="3">
        <v>2.43333568785891</v>
      </c>
    </row>
    <row r="329">
      <c r="A329" s="1">
        <f>IFERROR(__xludf.DUMMYFUNCTION("""COMPUTED_VALUE"""),40829.666666666664)</f>
        <v>40829.66667</v>
      </c>
      <c r="B329" s="2">
        <f>IFERROR(__xludf.DUMMYFUNCTION("""COMPUTED_VALUE"""),1.86)</f>
        <v>1.86</v>
      </c>
      <c r="C329" s="3">
        <v>2.55554280641782</v>
      </c>
    </row>
    <row r="330">
      <c r="A330" s="1">
        <f>IFERROR(__xludf.DUMMYFUNCTION("""COMPUTED_VALUE"""),40830.666666666664)</f>
        <v>40830.66667</v>
      </c>
      <c r="B330" s="2">
        <f>IFERROR(__xludf.DUMMYFUNCTION("""COMPUTED_VALUE"""),1.87)</f>
        <v>1.87</v>
      </c>
      <c r="C330" s="3">
        <v>2.73789523590434</v>
      </c>
    </row>
    <row r="331">
      <c r="A331" s="1">
        <f>IFERROR(__xludf.DUMMYFUNCTION("""COMPUTED_VALUE"""),40833.666666666664)</f>
        <v>40833.66667</v>
      </c>
      <c r="B331" s="2">
        <f>IFERROR(__xludf.DUMMYFUNCTION("""COMPUTED_VALUE"""),1.83)</f>
        <v>1.83</v>
      </c>
      <c r="C331" s="3">
        <v>7.83834671736303</v>
      </c>
    </row>
    <row r="332">
      <c r="A332" s="1">
        <f>IFERROR(__xludf.DUMMYFUNCTION("""COMPUTED_VALUE"""),40834.666666666664)</f>
        <v>40834.66667</v>
      </c>
      <c r="B332" s="2">
        <f>IFERROR(__xludf.DUMMYFUNCTION("""COMPUTED_VALUE"""),1.89)</f>
        <v>1.89</v>
      </c>
      <c r="C332" s="3">
        <v>8.83676897778519</v>
      </c>
    </row>
    <row r="333">
      <c r="A333" s="1">
        <f>IFERROR(__xludf.DUMMYFUNCTION("""COMPUTED_VALUE"""),40835.666666666664)</f>
        <v>40835.66667</v>
      </c>
      <c r="B333" s="2">
        <f>IFERROR(__xludf.DUMMYFUNCTION("""COMPUTED_VALUE"""),1.84)</f>
        <v>1.84</v>
      </c>
      <c r="C333" s="3">
        <v>10.2415951552643</v>
      </c>
    </row>
    <row r="334">
      <c r="A334" s="1">
        <f>IFERROR(__xludf.DUMMYFUNCTION("""COMPUTED_VALUE"""),40836.666666666664)</f>
        <v>40836.66667</v>
      </c>
      <c r="B334" s="2">
        <f>IFERROR(__xludf.DUMMYFUNCTION("""COMPUTED_VALUE"""),1.82)</f>
        <v>1.82</v>
      </c>
      <c r="C334" s="3">
        <v>10.7161589654333</v>
      </c>
    </row>
    <row r="335">
      <c r="A335" s="1">
        <f>IFERROR(__xludf.DUMMYFUNCTION("""COMPUTED_VALUE"""),40837.666666666664)</f>
        <v>40837.66667</v>
      </c>
      <c r="B335" s="2">
        <f>IFERROR(__xludf.DUMMYFUNCTION("""COMPUTED_VALUE"""),1.87)</f>
        <v>1.87</v>
      </c>
      <c r="C335" s="3">
        <v>11.1474370502339</v>
      </c>
    </row>
    <row r="336">
      <c r="A336" s="1">
        <f>IFERROR(__xludf.DUMMYFUNCTION("""COMPUTED_VALUE"""),40840.666666666664)</f>
        <v>40840.66667</v>
      </c>
      <c r="B336" s="2">
        <f>IFERROR(__xludf.DUMMYFUNCTION("""COMPUTED_VALUE"""),1.9)</f>
        <v>1.9</v>
      </c>
      <c r="C336" s="3">
        <v>16.3509119391614</v>
      </c>
    </row>
    <row r="337">
      <c r="A337" s="1">
        <f>IFERROR(__xludf.DUMMYFUNCTION("""COMPUTED_VALUE"""),40841.666666666664)</f>
        <v>40841.66667</v>
      </c>
      <c r="B337" s="2">
        <f>IFERROR(__xludf.DUMMYFUNCTION("""COMPUTED_VALUE"""),1.88)</f>
        <v>1.88</v>
      </c>
      <c r="C337" s="3">
        <v>17.1743004200375</v>
      </c>
    </row>
    <row r="338">
      <c r="A338" s="1">
        <f>IFERROR(__xludf.DUMMYFUNCTION("""COMPUTED_VALUE"""),40842.666666666664)</f>
        <v>40842.66667</v>
      </c>
      <c r="B338" s="2">
        <f>IFERROR(__xludf.DUMMYFUNCTION("""COMPUTED_VALUE"""),1.87)</f>
        <v>1.87</v>
      </c>
      <c r="C338" s="3">
        <v>18.3082827429137</v>
      </c>
    </row>
    <row r="339">
      <c r="A339" s="1">
        <f>IFERROR(__xludf.DUMMYFUNCTION("""COMPUTED_VALUE"""),40843.666666666664)</f>
        <v>40843.66667</v>
      </c>
      <c r="B339" s="2">
        <f>IFERROR(__xludf.DUMMYFUNCTION("""COMPUTED_VALUE"""),1.92)</f>
        <v>1.92</v>
      </c>
      <c r="C339" s="3">
        <v>18.4249696139463</v>
      </c>
    </row>
    <row r="340">
      <c r="A340" s="1">
        <f>IFERROR(__xludf.DUMMYFUNCTION("""COMPUTED_VALUE"""),40844.666666666664)</f>
        <v>40844.66667</v>
      </c>
      <c r="B340" s="2">
        <f>IFERROR(__xludf.DUMMYFUNCTION("""COMPUTED_VALUE"""),1.99)</f>
        <v>1.99</v>
      </c>
      <c r="C340" s="3">
        <v>18.4220846525182</v>
      </c>
    </row>
    <row r="341">
      <c r="A341" s="1">
        <f>IFERROR(__xludf.DUMMYFUNCTION("""COMPUTED_VALUE"""),40847.666666666664)</f>
        <v>40847.66667</v>
      </c>
      <c r="B341" s="2">
        <f>IFERROR(__xludf.DUMMYFUNCTION("""COMPUTED_VALUE"""),1.96)</f>
        <v>1.96</v>
      </c>
      <c r="C341" s="3">
        <v>21.9955101478798</v>
      </c>
    </row>
    <row r="342">
      <c r="A342" s="1">
        <f>IFERROR(__xludf.DUMMYFUNCTION("""COMPUTED_VALUE"""),40848.666666666664)</f>
        <v>40848.66667</v>
      </c>
      <c r="B342" s="2">
        <f>IFERROR(__xludf.DUMMYFUNCTION("""COMPUTED_VALUE"""),1.93)</f>
        <v>1.93</v>
      </c>
      <c r="C342" s="3">
        <v>22.2146488451782</v>
      </c>
    </row>
    <row r="343">
      <c r="A343" s="1">
        <f>IFERROR(__xludf.DUMMYFUNCTION("""COMPUTED_VALUE"""),40849.666666666664)</f>
        <v>40849.66667</v>
      </c>
      <c r="B343" s="2">
        <f>IFERROR(__xludf.DUMMYFUNCTION("""COMPUTED_VALUE"""),1.91)</f>
        <v>1.91</v>
      </c>
      <c r="C343" s="3">
        <v>22.7390749038035</v>
      </c>
    </row>
    <row r="344">
      <c r="A344" s="1">
        <f>IFERROR(__xludf.DUMMYFUNCTION("""COMPUTED_VALUE"""),40850.666666666664)</f>
        <v>40850.66667</v>
      </c>
      <c r="B344" s="2">
        <f>IFERROR(__xludf.DUMMYFUNCTION("""COMPUTED_VALUE"""),2.16)</f>
        <v>2.16</v>
      </c>
      <c r="C344" s="3">
        <v>22.2556862619759</v>
      </c>
    </row>
    <row r="345">
      <c r="A345" s="1">
        <f>IFERROR(__xludf.DUMMYFUNCTION("""COMPUTED_VALUE"""),40851.666666666664)</f>
        <v>40851.66667</v>
      </c>
      <c r="B345" s="2">
        <f>IFERROR(__xludf.DUMMYFUNCTION("""COMPUTED_VALUE"""),2.15)</f>
        <v>2.15</v>
      </c>
      <c r="C345" s="3">
        <v>21.67620610232</v>
      </c>
    </row>
    <row r="346">
      <c r="A346" s="1">
        <f>IFERROR(__xludf.DUMMYFUNCTION("""COMPUTED_VALUE"""),40854.666666666664)</f>
        <v>40854.66667</v>
      </c>
      <c r="B346" s="2">
        <f>IFERROR(__xludf.DUMMYFUNCTION("""COMPUTED_VALUE"""),2.08)</f>
        <v>2.08</v>
      </c>
      <c r="C346" s="3">
        <v>23.7809582083533</v>
      </c>
    </row>
    <row r="347">
      <c r="A347" s="1">
        <f>IFERROR(__xludf.DUMMYFUNCTION("""COMPUTED_VALUE"""),40855.666666666664)</f>
        <v>40855.66667</v>
      </c>
      <c r="B347" s="2">
        <f>IFERROR(__xludf.DUMMYFUNCTION("""COMPUTED_VALUE"""),2.12)</f>
        <v>2.12</v>
      </c>
      <c r="C347" s="3">
        <v>23.6288121034929</v>
      </c>
    </row>
    <row r="348">
      <c r="A348" s="1">
        <f>IFERROR(__xludf.DUMMYFUNCTION("""COMPUTED_VALUE"""),40856.666666666664)</f>
        <v>40856.66667</v>
      </c>
      <c r="B348" s="2">
        <f>IFERROR(__xludf.DUMMYFUNCTION("""COMPUTED_VALUE"""),2.06)</f>
        <v>2.06</v>
      </c>
      <c r="C348" s="3">
        <v>23.8514157185601</v>
      </c>
    </row>
    <row r="349">
      <c r="A349" s="1">
        <f>IFERROR(__xludf.DUMMYFUNCTION("""COMPUTED_VALUE"""),40857.666666666664)</f>
        <v>40857.66667</v>
      </c>
      <c r="B349" s="2">
        <f>IFERROR(__xludf.DUMMYFUNCTION("""COMPUTED_VALUE"""),2.09)</f>
        <v>2.09</v>
      </c>
      <c r="C349" s="3">
        <v>23.138344179265</v>
      </c>
    </row>
    <row r="350">
      <c r="A350" s="1">
        <f>IFERROR(__xludf.DUMMYFUNCTION("""COMPUTED_VALUE"""),40858.666666666664)</f>
        <v>40858.66667</v>
      </c>
      <c r="B350" s="2">
        <f>IFERROR(__xludf.DUMMYFUNCTION("""COMPUTED_VALUE"""),2.24)</f>
        <v>2.24</v>
      </c>
      <c r="C350" s="3">
        <v>22.4015554147178</v>
      </c>
    </row>
    <row r="351">
      <c r="A351" s="1">
        <f>IFERROR(__xludf.DUMMYFUNCTION("""COMPUTED_VALUE"""),40861.666666666664)</f>
        <v>40861.66667</v>
      </c>
      <c r="B351" s="2">
        <f>IFERROR(__xludf.DUMMYFUNCTION("""COMPUTED_VALUE"""),2.21)</f>
        <v>2.21</v>
      </c>
      <c r="C351" s="3">
        <v>24.435463880385</v>
      </c>
    </row>
    <row r="352">
      <c r="A352" s="1">
        <f>IFERROR(__xludf.DUMMYFUNCTION("""COMPUTED_VALUE"""),40862.666666666664)</f>
        <v>40862.66667</v>
      </c>
      <c r="B352" s="2">
        <f>IFERROR(__xludf.DUMMYFUNCTION("""COMPUTED_VALUE"""),2.26)</f>
        <v>2.26</v>
      </c>
      <c r="C352" s="3">
        <v>24.3715490094028</v>
      </c>
    </row>
    <row r="353">
      <c r="A353" s="1">
        <f>IFERROR(__xludf.DUMMYFUNCTION("""COMPUTED_VALUE"""),40863.666666666664)</f>
        <v>40863.66667</v>
      </c>
      <c r="B353" s="2">
        <f>IFERROR(__xludf.DUMMYFUNCTION("""COMPUTED_VALUE"""),2.33)</f>
        <v>2.33</v>
      </c>
      <c r="C353" s="3">
        <v>24.7228141369471</v>
      </c>
    </row>
    <row r="354">
      <c r="A354" s="1">
        <f>IFERROR(__xludf.DUMMYFUNCTION("""COMPUTED_VALUE"""),40864.666666666664)</f>
        <v>40864.66667</v>
      </c>
      <c r="B354" s="2">
        <f>IFERROR(__xludf.DUMMYFUNCTION("""COMPUTED_VALUE"""),2.25)</f>
        <v>2.25</v>
      </c>
      <c r="C354" s="3">
        <v>24.1674536112506</v>
      </c>
    </row>
    <row r="355">
      <c r="A355" s="1">
        <f>IFERROR(__xludf.DUMMYFUNCTION("""COMPUTED_VALUE"""),40865.666666666664)</f>
        <v>40865.66667</v>
      </c>
      <c r="B355" s="2">
        <f>IFERROR(__xludf.DUMMYFUNCTION("""COMPUTED_VALUE"""),2.17)</f>
        <v>2.17</v>
      </c>
      <c r="C355" s="3">
        <v>23.6051755753277</v>
      </c>
    </row>
    <row r="356">
      <c r="A356" s="1">
        <f>IFERROR(__xludf.DUMMYFUNCTION("""COMPUTED_VALUE"""),40868.666666666664)</f>
        <v>40868.66667</v>
      </c>
      <c r="B356" s="2">
        <f>IFERROR(__xludf.DUMMYFUNCTION("""COMPUTED_VALUE"""),2.12)</f>
        <v>2.12</v>
      </c>
      <c r="C356" s="3">
        <v>26.1366565139567</v>
      </c>
    </row>
    <row r="357">
      <c r="A357" s="1">
        <f>IFERROR(__xludf.DUMMYFUNCTION("""COMPUTED_VALUE"""),40869.666666666664)</f>
        <v>40869.66667</v>
      </c>
      <c r="B357" s="2">
        <f>IFERROR(__xludf.DUMMYFUNCTION("""COMPUTED_VALUE"""),2.14)</f>
        <v>2.14</v>
      </c>
      <c r="C357" s="3">
        <v>26.1892705765753</v>
      </c>
    </row>
    <row r="358">
      <c r="A358" s="1">
        <f>IFERROR(__xludf.DUMMYFUNCTION("""COMPUTED_VALUE"""),40870.666666666664)</f>
        <v>40870.66667</v>
      </c>
      <c r="B358" s="2">
        <f>IFERROR(__xludf.DUMMYFUNCTION("""COMPUTED_VALUE"""),2.1)</f>
        <v>2.1</v>
      </c>
      <c r="C358" s="3">
        <v>26.6143082798099</v>
      </c>
    </row>
    <row r="359">
      <c r="A359" s="1">
        <f>IFERROR(__xludf.DUMMYFUNCTION("""COMPUTED_VALUE"""),40872.666666666664)</f>
        <v>40872.66667</v>
      </c>
      <c r="B359" s="2">
        <f>IFERROR(__xludf.DUMMYFUNCTION("""COMPUTED_VALUE"""),2.11)</f>
        <v>2.11</v>
      </c>
      <c r="C359" s="3">
        <v>25.4830203371683</v>
      </c>
    </row>
    <row r="360">
      <c r="A360" s="1">
        <f>IFERROR(__xludf.DUMMYFUNCTION("""COMPUTED_VALUE"""),40875.666666666664)</f>
        <v>40875.66667</v>
      </c>
      <c r="B360" s="2">
        <f>IFERROR(__xludf.DUMMYFUNCTION("""COMPUTED_VALUE"""),2.17)</f>
        <v>2.17</v>
      </c>
      <c r="C360" s="3">
        <v>27.5221840887784</v>
      </c>
    </row>
    <row r="361">
      <c r="A361" s="1">
        <f>IFERROR(__xludf.DUMMYFUNCTION("""COMPUTED_VALUE"""),40876.666666666664)</f>
        <v>40876.66667</v>
      </c>
      <c r="B361" s="2">
        <f>IFERROR(__xludf.DUMMYFUNCTION("""COMPUTED_VALUE"""),2.12)</f>
        <v>2.12</v>
      </c>
      <c r="C361" s="3">
        <v>27.2830492093519</v>
      </c>
    </row>
    <row r="362">
      <c r="A362" s="1">
        <f>IFERROR(__xludf.DUMMYFUNCTION("""COMPUTED_VALUE"""),40877.666666666664)</f>
        <v>40877.66667</v>
      </c>
      <c r="B362" s="2">
        <f>IFERROR(__xludf.DUMMYFUNCTION("""COMPUTED_VALUE"""),2.18)</f>
        <v>2.18</v>
      </c>
      <c r="C362" s="3">
        <v>27.3589672499505</v>
      </c>
    </row>
    <row r="363">
      <c r="A363" s="1">
        <f>IFERROR(__xludf.DUMMYFUNCTION("""COMPUTED_VALUE"""),40878.666666666664)</f>
        <v>40878.66667</v>
      </c>
      <c r="B363" s="2">
        <f>IFERROR(__xludf.DUMMYFUNCTION("""COMPUTED_VALUE"""),2.17)</f>
        <v>2.17</v>
      </c>
      <c r="C363" s="3">
        <v>26.4268912398526</v>
      </c>
    </row>
    <row r="364">
      <c r="A364" s="1">
        <f>IFERROR(__xludf.DUMMYFUNCTION("""COMPUTED_VALUE"""),40879.666666666664)</f>
        <v>40879.66667</v>
      </c>
      <c r="B364" s="2">
        <f>IFERROR(__xludf.DUMMYFUNCTION("""COMPUTED_VALUE"""),2.22)</f>
        <v>2.22</v>
      </c>
      <c r="C364" s="3">
        <v>25.3893492339073</v>
      </c>
    </row>
    <row r="365">
      <c r="A365" s="1">
        <f>IFERROR(__xludf.DUMMYFUNCTION("""COMPUTED_VALUE"""),40882.666666666664)</f>
        <v>40882.66667</v>
      </c>
      <c r="B365" s="2">
        <f>IFERROR(__xludf.DUMMYFUNCTION("""COMPUTED_VALUE"""),2.29)</f>
        <v>2.29</v>
      </c>
      <c r="C365" s="3">
        <v>25.9919301017843</v>
      </c>
    </row>
    <row r="366">
      <c r="A366" s="1">
        <f>IFERROR(__xludf.DUMMYFUNCTION("""COMPUTED_VALUE"""),40883.666666666664)</f>
        <v>40883.66667</v>
      </c>
      <c r="B366" s="2">
        <f>IFERROR(__xludf.DUMMYFUNCTION("""COMPUTED_VALUE"""),2.32)</f>
        <v>2.32</v>
      </c>
      <c r="C366" s="3">
        <v>25.2817685580933</v>
      </c>
    </row>
    <row r="367">
      <c r="A367" s="1">
        <f>IFERROR(__xludf.DUMMYFUNCTION("""COMPUTED_VALUE"""),40884.666666666664)</f>
        <v>40884.66667</v>
      </c>
      <c r="B367" s="2">
        <f>IFERROR(__xludf.DUMMYFUNCTION("""COMPUTED_VALUE"""),2.28)</f>
        <v>2.28</v>
      </c>
      <c r="C367" s="3">
        <v>24.9160156708448</v>
      </c>
    </row>
    <row r="368">
      <c r="A368" s="1">
        <f>IFERROR(__xludf.DUMMYFUNCTION("""COMPUTED_VALUE"""),40885.666666666664)</f>
        <v>40885.66667</v>
      </c>
      <c r="B368" s="2">
        <f>IFERROR(__xludf.DUMMYFUNCTION("""COMPUTED_VALUE"""),2.06)</f>
        <v>2.06</v>
      </c>
      <c r="C368" s="3">
        <v>23.5869756237273</v>
      </c>
    </row>
    <row r="369">
      <c r="A369" s="1">
        <f>IFERROR(__xludf.DUMMYFUNCTION("""COMPUTED_VALUE"""),40886.666666666664)</f>
        <v>40886.66667</v>
      </c>
      <c r="B369" s="2">
        <f>IFERROR(__xludf.DUMMYFUNCTION("""COMPUTED_VALUE"""),2.07)</f>
        <v>2.07</v>
      </c>
      <c r="C369" s="3">
        <v>22.2119237314455</v>
      </c>
    </row>
    <row r="370">
      <c r="A370" s="1">
        <f>IFERROR(__xludf.DUMMYFUNCTION("""COMPUTED_VALUE"""),40889.666666666664)</f>
        <v>40889.66667</v>
      </c>
      <c r="B370" s="2">
        <f>IFERROR(__xludf.DUMMYFUNCTION("""COMPUTED_VALUE"""),2.03)</f>
        <v>2.03</v>
      </c>
      <c r="C370" s="3">
        <v>22.28748068332</v>
      </c>
    </row>
    <row r="371">
      <c r="A371" s="1">
        <f>IFERROR(__xludf.DUMMYFUNCTION("""COMPUTED_VALUE"""),40890.666666666664)</f>
        <v>40890.66667</v>
      </c>
      <c r="B371" s="2">
        <f>IFERROR(__xludf.DUMMYFUNCTION("""COMPUTED_VALUE"""),1.96)</f>
        <v>1.96</v>
      </c>
      <c r="C371" s="3">
        <v>21.5972462525892</v>
      </c>
    </row>
    <row r="372">
      <c r="A372" s="1">
        <f>IFERROR(__xludf.DUMMYFUNCTION("""COMPUTED_VALUE"""),40891.666666666664)</f>
        <v>40891.66667</v>
      </c>
      <c r="B372" s="2">
        <f>IFERROR(__xludf.DUMMYFUNCTION("""COMPUTED_VALUE"""),1.9)</f>
        <v>1.9</v>
      </c>
      <c r="C372" s="3">
        <v>21.3602756215284</v>
      </c>
    </row>
    <row r="373">
      <c r="A373" s="1">
        <f>IFERROR(__xludf.DUMMYFUNCTION("""COMPUTED_VALUE"""),40892.666666666664)</f>
        <v>40892.66667</v>
      </c>
      <c r="B373" s="2">
        <f>IFERROR(__xludf.DUMMYFUNCTION("""COMPUTED_VALUE"""),1.91)</f>
        <v>1.91</v>
      </c>
      <c r="C373" s="3">
        <v>20.2714283525039</v>
      </c>
    </row>
    <row r="374">
      <c r="A374" s="1">
        <f>IFERROR(__xludf.DUMMYFUNCTION("""COMPUTED_VALUE"""),40893.666666666664)</f>
        <v>40893.66667</v>
      </c>
      <c r="B374" s="2">
        <f>IFERROR(__xludf.DUMMYFUNCTION("""COMPUTED_VALUE"""),1.87)</f>
        <v>1.87</v>
      </c>
      <c r="C374" s="3">
        <v>19.2475650701475</v>
      </c>
    </row>
    <row r="375">
      <c r="A375" s="1">
        <f>IFERROR(__xludf.DUMMYFUNCTION("""COMPUTED_VALUE"""),40896.666666666664)</f>
        <v>40896.66667</v>
      </c>
      <c r="B375" s="2">
        <f>IFERROR(__xludf.DUMMYFUNCTION("""COMPUTED_VALUE"""),1.85)</f>
        <v>1.85</v>
      </c>
      <c r="C375" s="3">
        <v>20.9930375769042</v>
      </c>
    </row>
    <row r="376">
      <c r="A376" s="1">
        <f>IFERROR(__xludf.DUMMYFUNCTION("""COMPUTED_VALUE"""),40897.666666666664)</f>
        <v>40897.66667</v>
      </c>
      <c r="B376" s="2">
        <f>IFERROR(__xludf.DUMMYFUNCTION("""COMPUTED_VALUE"""),1.86)</f>
        <v>1.86</v>
      </c>
      <c r="C376" s="3">
        <v>21.0336790919674</v>
      </c>
    </row>
    <row r="377">
      <c r="A377" s="1">
        <f>IFERROR(__xludf.DUMMYFUNCTION("""COMPUTED_VALUE"""),40898.666666666664)</f>
        <v>40898.66667</v>
      </c>
      <c r="B377" s="2">
        <f>IFERROR(__xludf.DUMMYFUNCTION("""COMPUTED_VALUE"""),1.84)</f>
        <v>1.84</v>
      </c>
      <c r="C377" s="3">
        <v>21.5923982995108</v>
      </c>
    </row>
    <row r="378">
      <c r="A378" s="1">
        <f>IFERROR(__xludf.DUMMYFUNCTION("""COMPUTED_VALUE"""),40899.666666666664)</f>
        <v>40899.66667</v>
      </c>
      <c r="B378" s="2">
        <f>IFERROR(__xludf.DUMMYFUNCTION("""COMPUTED_VALUE"""),1.85)</f>
        <v>1.85</v>
      </c>
      <c r="C378" s="3">
        <v>21.3472554692091</v>
      </c>
    </row>
    <row r="379">
      <c r="A379" s="1">
        <f>IFERROR(__xludf.DUMMYFUNCTION("""COMPUTED_VALUE"""),40900.666666666664)</f>
        <v>40900.66667</v>
      </c>
      <c r="B379" s="2">
        <f>IFERROR(__xludf.DUMMYFUNCTION("""COMPUTED_VALUE"""),1.86)</f>
        <v>1.86</v>
      </c>
      <c r="C379" s="3">
        <v>21.1965665575571</v>
      </c>
    </row>
    <row r="380">
      <c r="A380" s="1">
        <f>IFERROR(__xludf.DUMMYFUNCTION("""COMPUTED_VALUE"""),40904.666666666664)</f>
        <v>40904.66667</v>
      </c>
      <c r="B380" s="2">
        <f>IFERROR(__xludf.DUMMYFUNCTION("""COMPUTED_VALUE"""),1.9)</f>
        <v>1.9</v>
      </c>
      <c r="C380" s="3">
        <v>26.3647620814733</v>
      </c>
    </row>
    <row r="381">
      <c r="A381" s="1">
        <f>IFERROR(__xludf.DUMMYFUNCTION("""COMPUTED_VALUE"""),40905.666666666664)</f>
        <v>40905.66667</v>
      </c>
      <c r="B381" s="2">
        <f>IFERROR(__xludf.DUMMYFUNCTION("""COMPUTED_VALUE"""),1.9)</f>
        <v>1.9</v>
      </c>
      <c r="C381" s="3">
        <v>27.6409167624757</v>
      </c>
    </row>
    <row r="382">
      <c r="A382" s="1">
        <f>IFERROR(__xludf.DUMMYFUNCTION("""COMPUTED_VALUE"""),40906.666666666664)</f>
        <v>40906.66667</v>
      </c>
      <c r="B382" s="2">
        <f>IFERROR(__xludf.DUMMYFUNCTION("""COMPUTED_VALUE"""),1.92)</f>
        <v>1.92</v>
      </c>
      <c r="C382" s="3">
        <v>28.0225376987302</v>
      </c>
    </row>
    <row r="383">
      <c r="A383" s="1">
        <f>IFERROR(__xludf.DUMMYFUNCTION("""COMPUTED_VALUE"""),40907.666666666664)</f>
        <v>40907.66667</v>
      </c>
      <c r="B383" s="2">
        <f>IFERROR(__xludf.DUMMYFUNCTION("""COMPUTED_VALUE"""),1.9)</f>
        <v>1.9</v>
      </c>
      <c r="C383" s="3">
        <v>28.3913636510776</v>
      </c>
    </row>
    <row r="384">
      <c r="A384" s="1">
        <f>IFERROR(__xludf.DUMMYFUNCTION("""COMPUTED_VALUE"""),40911.666666666664)</f>
        <v>40911.66667</v>
      </c>
      <c r="B384" s="2">
        <f>IFERROR(__xludf.DUMMYFUNCTION("""COMPUTED_VALUE"""),1.87)</f>
        <v>1.87</v>
      </c>
      <c r="C384" s="3">
        <v>34.3219319821139</v>
      </c>
    </row>
    <row r="385">
      <c r="A385" s="1">
        <f>IFERROR(__xludf.DUMMYFUNCTION("""COMPUTED_VALUE"""),40912.666666666664)</f>
        <v>40912.66667</v>
      </c>
      <c r="B385" s="2">
        <f>IFERROR(__xludf.DUMMYFUNCTION("""COMPUTED_VALUE"""),1.85)</f>
        <v>1.85</v>
      </c>
      <c r="C385" s="3">
        <v>35.4233775187532</v>
      </c>
    </row>
    <row r="386">
      <c r="A386" s="1">
        <f>IFERROR(__xludf.DUMMYFUNCTION("""COMPUTED_VALUE"""),40913.666666666664)</f>
        <v>40913.66667</v>
      </c>
      <c r="B386" s="2">
        <f>IFERROR(__xludf.DUMMYFUNCTION("""COMPUTED_VALUE"""),1.81)</f>
        <v>1.81</v>
      </c>
      <c r="C386" s="3">
        <v>35.4831621442799</v>
      </c>
    </row>
    <row r="387">
      <c r="A387" s="1">
        <f>IFERROR(__xludf.DUMMYFUNCTION("""COMPUTED_VALUE"""),40914.666666666664)</f>
        <v>40914.66667</v>
      </c>
      <c r="B387" s="2">
        <f>IFERROR(__xludf.DUMMYFUNCTION("""COMPUTED_VALUE"""),1.79)</f>
        <v>1.79</v>
      </c>
      <c r="C387" s="3">
        <v>35.3881809082665</v>
      </c>
    </row>
    <row r="388">
      <c r="A388" s="1">
        <f>IFERROR(__xludf.DUMMYFUNCTION("""COMPUTED_VALUE"""),40917.666666666664)</f>
        <v>40917.66667</v>
      </c>
      <c r="B388" s="2">
        <f>IFERROR(__xludf.DUMMYFUNCTION("""COMPUTED_VALUE"""),1.82)</f>
        <v>1.82</v>
      </c>
      <c r="C388" s="3">
        <v>38.3720542501349</v>
      </c>
    </row>
    <row r="389">
      <c r="A389" s="1">
        <f>IFERROR(__xludf.DUMMYFUNCTION("""COMPUTED_VALUE"""),40918.666666666664)</f>
        <v>40918.66667</v>
      </c>
      <c r="B389" s="2">
        <f>IFERROR(__xludf.DUMMYFUNCTION("""COMPUTED_VALUE"""),1.84)</f>
        <v>1.84</v>
      </c>
      <c r="C389" s="3">
        <v>38.2603840531537</v>
      </c>
    </row>
    <row r="390">
      <c r="A390" s="1">
        <f>IFERROR(__xludf.DUMMYFUNCTION("""COMPUTED_VALUE"""),40919.666666666664)</f>
        <v>40919.66667</v>
      </c>
      <c r="B390" s="2">
        <f>IFERROR(__xludf.DUMMYFUNCTION("""COMPUTED_VALUE"""),1.88)</f>
        <v>1.88</v>
      </c>
      <c r="C390" s="3">
        <v>38.374976448055</v>
      </c>
    </row>
    <row r="391">
      <c r="A391" s="1">
        <f>IFERROR(__xludf.DUMMYFUNCTION("""COMPUTED_VALUE"""),40920.666666666664)</f>
        <v>40920.66667</v>
      </c>
      <c r="B391" s="2">
        <f>IFERROR(__xludf.DUMMYFUNCTION("""COMPUTED_VALUE"""),1.88)</f>
        <v>1.88</v>
      </c>
      <c r="C391" s="3">
        <v>37.3979459588769</v>
      </c>
    </row>
    <row r="392">
      <c r="A392" s="1">
        <f>IFERROR(__xludf.DUMMYFUNCTION("""COMPUTED_VALUE"""),40921.666666666664)</f>
        <v>40921.66667</v>
      </c>
      <c r="B392" s="2">
        <f>IFERROR(__xludf.DUMMYFUNCTION("""COMPUTED_VALUE"""),1.52)</f>
        <v>1.52</v>
      </c>
      <c r="C392" s="3">
        <v>36.2380675778649</v>
      </c>
    </row>
    <row r="393">
      <c r="A393" s="1">
        <f>IFERROR(__xludf.DUMMYFUNCTION("""COMPUTED_VALUE"""),40925.666666666664)</f>
        <v>40925.66667</v>
      </c>
      <c r="B393" s="2">
        <f>IFERROR(__xludf.DUMMYFUNCTION("""COMPUTED_VALUE"""),1.77)</f>
        <v>1.77</v>
      </c>
      <c r="C393" s="3">
        <v>35.0129173039533</v>
      </c>
    </row>
    <row r="394">
      <c r="A394" s="1">
        <f>IFERROR(__xludf.DUMMYFUNCTION("""COMPUTED_VALUE"""),40926.666666666664)</f>
        <v>40926.66667</v>
      </c>
      <c r="B394" s="2">
        <f>IFERROR(__xludf.DUMMYFUNCTION("""COMPUTED_VALUE"""),1.79)</f>
        <v>1.79</v>
      </c>
      <c r="C394" s="3">
        <v>34.2478930844027</v>
      </c>
    </row>
    <row r="395">
      <c r="A395" s="1">
        <f>IFERROR(__xludf.DUMMYFUNCTION("""COMPUTED_VALUE"""),40927.666666666664)</f>
        <v>40927.66667</v>
      </c>
      <c r="B395" s="2">
        <f>IFERROR(__xludf.DUMMYFUNCTION("""COMPUTED_VALUE"""),1.78)</f>
        <v>1.78</v>
      </c>
      <c r="C395" s="3">
        <v>32.485153842559</v>
      </c>
    </row>
    <row r="396">
      <c r="A396" s="1">
        <f>IFERROR(__xludf.DUMMYFUNCTION("""COMPUTED_VALUE"""),40928.666666666664)</f>
        <v>40928.66667</v>
      </c>
      <c r="B396" s="2">
        <f>IFERROR(__xludf.DUMMYFUNCTION("""COMPUTED_VALUE"""),1.77)</f>
        <v>1.77</v>
      </c>
      <c r="C396" s="3">
        <v>30.647336164027</v>
      </c>
    </row>
    <row r="397">
      <c r="A397" s="1">
        <f>IFERROR(__xludf.DUMMYFUNCTION("""COMPUTED_VALUE"""),40931.666666666664)</f>
        <v>40931.66667</v>
      </c>
      <c r="B397" s="2">
        <f>IFERROR(__xludf.DUMMYFUNCTION("""COMPUTED_VALUE"""),1.78)</f>
        <v>1.78</v>
      </c>
      <c r="C397" s="3">
        <v>29.1960708307954</v>
      </c>
    </row>
    <row r="398">
      <c r="A398" s="1">
        <f>IFERROR(__xludf.DUMMYFUNCTION("""COMPUTED_VALUE"""),40932.666666666664)</f>
        <v>40932.66667</v>
      </c>
      <c r="B398" s="2">
        <f>IFERROR(__xludf.DUMMYFUNCTION("""COMPUTED_VALUE"""),1.83)</f>
        <v>1.83</v>
      </c>
      <c r="C398" s="3">
        <v>27.9560320414658</v>
      </c>
    </row>
    <row r="399">
      <c r="A399" s="1">
        <f>IFERROR(__xludf.DUMMYFUNCTION("""COMPUTED_VALUE"""),40933.666666666664)</f>
        <v>40933.66667</v>
      </c>
      <c r="B399" s="2">
        <f>IFERROR(__xludf.DUMMYFUNCTION("""COMPUTED_VALUE"""),1.86)</f>
        <v>1.86</v>
      </c>
      <c r="C399" s="3">
        <v>27.1480357770623</v>
      </c>
    </row>
    <row r="400">
      <c r="A400" s="1">
        <f>IFERROR(__xludf.DUMMYFUNCTION("""COMPUTED_VALUE"""),40934.666666666664)</f>
        <v>40934.66667</v>
      </c>
      <c r="B400" s="2">
        <f>IFERROR(__xludf.DUMMYFUNCTION("""COMPUTED_VALUE"""),1.93)</f>
        <v>1.93</v>
      </c>
      <c r="C400" s="3">
        <v>25.4644770894209</v>
      </c>
    </row>
    <row r="401">
      <c r="A401" s="1">
        <f>IFERROR(__xludf.DUMMYFUNCTION("""COMPUTED_VALUE"""),40935.666666666664)</f>
        <v>40935.66667</v>
      </c>
      <c r="B401" s="2">
        <f>IFERROR(__xludf.DUMMYFUNCTION("""COMPUTED_VALUE"""),1.96)</f>
        <v>1.96</v>
      </c>
      <c r="C401" s="3">
        <v>23.8185717298249</v>
      </c>
    </row>
    <row r="402">
      <c r="A402" s="1">
        <f>IFERROR(__xludf.DUMMYFUNCTION("""COMPUTED_VALUE"""),40938.666666666664)</f>
        <v>40938.66667</v>
      </c>
      <c r="B402" s="2">
        <f>IFERROR(__xludf.DUMMYFUNCTION("""COMPUTED_VALUE"""),1.97)</f>
        <v>1.97</v>
      </c>
      <c r="C402" s="3">
        <v>23.4835720947009</v>
      </c>
    </row>
    <row r="403">
      <c r="A403" s="1">
        <f>IFERROR(__xludf.DUMMYFUNCTION("""COMPUTED_VALUE"""),40939.666666666664)</f>
        <v>40939.66667</v>
      </c>
      <c r="B403" s="2">
        <f>IFERROR(__xludf.DUMMYFUNCTION("""COMPUTED_VALUE"""),1.94)</f>
        <v>1.94</v>
      </c>
      <c r="C403" s="3">
        <v>22.7394504371294</v>
      </c>
    </row>
    <row r="404">
      <c r="A404" s="1">
        <f>IFERROR(__xludf.DUMMYFUNCTION("""COMPUTED_VALUE"""),40940.666666666664)</f>
        <v>40940.66667</v>
      </c>
      <c r="B404" s="2">
        <f>IFERROR(__xludf.DUMMYFUNCTION("""COMPUTED_VALUE"""),1.97)</f>
        <v>1.97</v>
      </c>
      <c r="C404" s="3">
        <v>22.4572637275736</v>
      </c>
    </row>
    <row r="405">
      <c r="A405" s="1">
        <f>IFERROR(__xludf.DUMMYFUNCTION("""COMPUTED_VALUE"""),40941.666666666664)</f>
        <v>40941.66667</v>
      </c>
      <c r="B405" s="2">
        <f>IFERROR(__xludf.DUMMYFUNCTION("""COMPUTED_VALUE"""),2.02)</f>
        <v>2.02</v>
      </c>
      <c r="C405" s="3">
        <v>21.3090086819645</v>
      </c>
    </row>
    <row r="406">
      <c r="A406" s="1">
        <f>IFERROR(__xludf.DUMMYFUNCTION("""COMPUTED_VALUE"""),40942.666666666664)</f>
        <v>40942.66667</v>
      </c>
      <c r="B406" s="2">
        <f>IFERROR(__xludf.DUMMYFUNCTION("""COMPUTED_VALUE"""),2.08)</f>
        <v>2.08</v>
      </c>
      <c r="C406" s="3">
        <v>20.1875026440079</v>
      </c>
    </row>
    <row r="407">
      <c r="A407" s="1">
        <f>IFERROR(__xludf.DUMMYFUNCTION("""COMPUTED_VALUE"""),40945.666666666664)</f>
        <v>40945.66667</v>
      </c>
      <c r="B407" s="2">
        <f>IFERROR(__xludf.DUMMYFUNCTION("""COMPUTED_VALUE"""),2.12)</f>
        <v>2.12</v>
      </c>
      <c r="C407" s="3">
        <v>21.1680618790731</v>
      </c>
    </row>
    <row r="408">
      <c r="A408" s="1">
        <f>IFERROR(__xludf.DUMMYFUNCTION("""COMPUTED_VALUE"""),40946.666666666664)</f>
        <v>40946.66667</v>
      </c>
      <c r="B408" s="2">
        <f>IFERROR(__xludf.DUMMYFUNCTION("""COMPUTED_VALUE"""),2.11)</f>
        <v>2.11</v>
      </c>
      <c r="C408" s="3">
        <v>20.7201118252009</v>
      </c>
    </row>
    <row r="409">
      <c r="A409" s="1">
        <f>IFERROR(__xludf.DUMMYFUNCTION("""COMPUTED_VALUE"""),40947.666666666664)</f>
        <v>40947.66667</v>
      </c>
      <c r="B409" s="2">
        <f>IFERROR(__xludf.DUMMYFUNCTION("""COMPUTED_VALUE"""),2.13)</f>
        <v>2.13</v>
      </c>
      <c r="C409" s="3">
        <v>20.6401219463417</v>
      </c>
    </row>
    <row r="410">
      <c r="A410" s="1">
        <f>IFERROR(__xludf.DUMMYFUNCTION("""COMPUTED_VALUE"""),40948.666666666664)</f>
        <v>40948.66667</v>
      </c>
      <c r="B410" s="2">
        <f>IFERROR(__xludf.DUMMYFUNCTION("""COMPUTED_VALUE"""),2.17)</f>
        <v>2.17</v>
      </c>
      <c r="C410" s="3">
        <v>19.5904779963599</v>
      </c>
    </row>
    <row r="411">
      <c r="A411" s="1">
        <f>IFERROR(__xludf.DUMMYFUNCTION("""COMPUTED_VALUE"""),40949.666666666664)</f>
        <v>40949.66667</v>
      </c>
      <c r="B411" s="2">
        <f>IFERROR(__xludf.DUMMYFUNCTION("""COMPUTED_VALUE"""),2.07)</f>
        <v>2.07</v>
      </c>
      <c r="C411" s="3">
        <v>18.457500781361</v>
      </c>
    </row>
    <row r="412">
      <c r="A412" s="1">
        <f>IFERROR(__xludf.DUMMYFUNCTION("""COMPUTED_VALUE"""),40952.666666666664)</f>
        <v>40952.66667</v>
      </c>
      <c r="B412" s="2">
        <f>IFERROR(__xludf.DUMMYFUNCTION("""COMPUTED_VALUE"""),2.1)</f>
        <v>2.1</v>
      </c>
      <c r="C412" s="3">
        <v>18.7279336740475</v>
      </c>
    </row>
    <row r="413">
      <c r="A413" s="1">
        <f>IFERROR(__xludf.DUMMYFUNCTION("""COMPUTED_VALUE"""),40953.666666666664)</f>
        <v>40953.66667</v>
      </c>
      <c r="B413" s="2">
        <f>IFERROR(__xludf.DUMMYFUNCTION("""COMPUTED_VALUE"""),2.21)</f>
        <v>2.21</v>
      </c>
      <c r="C413" s="3">
        <v>17.8297040634816</v>
      </c>
    </row>
    <row r="414">
      <c r="A414" s="1">
        <f>IFERROR(__xludf.DUMMYFUNCTION("""COMPUTED_VALUE"""),40954.666666666664)</f>
        <v>40954.66667</v>
      </c>
      <c r="B414" s="2">
        <f>IFERROR(__xludf.DUMMYFUNCTION("""COMPUTED_VALUE"""),2.24)</f>
        <v>2.24</v>
      </c>
      <c r="C414" s="3">
        <v>17.2065058437518</v>
      </c>
    </row>
    <row r="415">
      <c r="A415" s="1">
        <f>IFERROR(__xludf.DUMMYFUNCTION("""COMPUTED_VALUE"""),40955.666666666664)</f>
        <v>40955.66667</v>
      </c>
      <c r="B415" s="2">
        <f>IFERROR(__xludf.DUMMYFUNCTION("""COMPUTED_VALUE"""),2.28)</f>
        <v>2.28</v>
      </c>
      <c r="C415" s="3">
        <v>15.5334007318204</v>
      </c>
    </row>
    <row r="416">
      <c r="A416" s="1">
        <f>IFERROR(__xludf.DUMMYFUNCTION("""COMPUTED_VALUE"""),40956.666666666664)</f>
        <v>40956.66667</v>
      </c>
      <c r="B416" s="2">
        <f>IFERROR(__xludf.DUMMYFUNCTION("""COMPUTED_VALUE"""),2.33)</f>
        <v>2.33</v>
      </c>
      <c r="C416" s="3">
        <v>13.7118444945267</v>
      </c>
    </row>
    <row r="417">
      <c r="A417" s="1">
        <f>IFERROR(__xludf.DUMMYFUNCTION("""COMPUTED_VALUE"""),40960.666666666664)</f>
        <v>40960.66667</v>
      </c>
      <c r="B417" s="2">
        <f>IFERROR(__xludf.DUMMYFUNCTION("""COMPUTED_VALUE"""),2.3)</f>
        <v>2.3</v>
      </c>
      <c r="C417" s="3">
        <v>10.0429140429016</v>
      </c>
    </row>
    <row r="418">
      <c r="A418" s="1">
        <f>IFERROR(__xludf.DUMMYFUNCTION("""COMPUTED_VALUE"""),40961.666666666664)</f>
        <v>40961.66667</v>
      </c>
      <c r="B418" s="2">
        <f>IFERROR(__xludf.DUMMYFUNCTION("""COMPUTED_VALUE"""),2.28)</f>
        <v>2.28</v>
      </c>
      <c r="C418" s="3">
        <v>8.68725450721962</v>
      </c>
    </row>
    <row r="419">
      <c r="A419" s="1">
        <f>IFERROR(__xludf.DUMMYFUNCTION("""COMPUTED_VALUE"""),40962.666666666664)</f>
        <v>40962.66667</v>
      </c>
      <c r="B419" s="2">
        <f>IFERROR(__xludf.DUMMYFUNCTION("""COMPUTED_VALUE"""),2.3)</f>
        <v>2.3</v>
      </c>
      <c r="C419" s="3">
        <v>6.33302680346061</v>
      </c>
    </row>
    <row r="420">
      <c r="A420" s="1">
        <f>IFERROR(__xludf.DUMMYFUNCTION("""COMPUTED_VALUE"""),40963.666666666664)</f>
        <v>40963.66667</v>
      </c>
      <c r="B420" s="2">
        <f>IFERROR(__xludf.DUMMYFUNCTION("""COMPUTED_VALUE"""),2.25)</f>
        <v>2.25</v>
      </c>
      <c r="C420" s="3">
        <v>3.90049966598451</v>
      </c>
    </row>
    <row r="421">
      <c r="A421" s="1">
        <f>IFERROR(__xludf.DUMMYFUNCTION("""COMPUTED_VALUE"""),40966.666666666664)</f>
        <v>40966.66667</v>
      </c>
      <c r="B421" s="2">
        <f>IFERROR(__xludf.DUMMYFUNCTION("""COMPUTED_VALUE"""),2.24)</f>
        <v>2.24</v>
      </c>
      <c r="C421" s="3">
        <v>0.644106575011092</v>
      </c>
    </row>
    <row r="422">
      <c r="A422" s="1">
        <f>IFERROR(__xludf.DUMMYFUNCTION("""COMPUTED_VALUE"""),40967.666666666664)</f>
        <v>40967.66667</v>
      </c>
      <c r="B422" s="2">
        <f>IFERROR(__xludf.DUMMYFUNCTION("""COMPUTED_VALUE"""),2.25)</f>
        <v>2.25</v>
      </c>
      <c r="C422" s="3">
        <v>-1.19745960151203</v>
      </c>
    </row>
    <row r="423">
      <c r="A423" s="1">
        <f>IFERROR(__xludf.DUMMYFUNCTION("""COMPUTED_VALUE"""),40968.666666666664)</f>
        <v>40968.66667</v>
      </c>
      <c r="B423" s="2">
        <f>IFERROR(__xludf.DUMMYFUNCTION("""COMPUTED_VALUE"""),2.23)</f>
        <v>2.23</v>
      </c>
      <c r="C423" s="3">
        <v>-2.59942092258235</v>
      </c>
    </row>
    <row r="424">
      <c r="A424" s="1">
        <f>IFERROR(__xludf.DUMMYFUNCTION("""COMPUTED_VALUE"""),40969.666666666664)</f>
        <v>40969.66667</v>
      </c>
      <c r="B424" s="2">
        <f>IFERROR(__xludf.DUMMYFUNCTION("""COMPUTED_VALUE"""),2.29)</f>
        <v>2.29</v>
      </c>
      <c r="C424" s="3">
        <v>-4.86267984829484</v>
      </c>
    </row>
    <row r="425">
      <c r="A425" s="1">
        <f>IFERROR(__xludf.DUMMYFUNCTION("""COMPUTED_VALUE"""),40970.666666666664)</f>
        <v>40970.66667</v>
      </c>
      <c r="B425" s="2">
        <f>IFERROR(__xludf.DUMMYFUNCTION("""COMPUTED_VALUE"""),2.27)</f>
        <v>2.27</v>
      </c>
      <c r="C425" s="3">
        <v>-7.06598491079962</v>
      </c>
    </row>
    <row r="426">
      <c r="A426" s="1">
        <f>IFERROR(__xludf.DUMMYFUNCTION("""COMPUTED_VALUE"""),40973.666666666664)</f>
        <v>40973.66667</v>
      </c>
      <c r="B426" s="2">
        <f>IFERROR(__xludf.DUMMYFUNCTION("""COMPUTED_VALUE"""),2.25)</f>
        <v>2.25</v>
      </c>
      <c r="C426" s="3">
        <v>-8.84247249521832</v>
      </c>
    </row>
    <row r="427">
      <c r="A427" s="1">
        <f>IFERROR(__xludf.DUMMYFUNCTION("""COMPUTED_VALUE"""),40974.666666666664)</f>
        <v>40974.66667</v>
      </c>
      <c r="B427" s="2">
        <f>IFERROR(__xludf.DUMMYFUNCTION("""COMPUTED_VALUE"""),2.21)</f>
        <v>2.21</v>
      </c>
      <c r="C427" s="3">
        <v>-9.95379379688118</v>
      </c>
    </row>
    <row r="428">
      <c r="A428" s="1">
        <f>IFERROR(__xludf.DUMMYFUNCTION("""COMPUTED_VALUE"""),40975.666666666664)</f>
        <v>40975.66667</v>
      </c>
      <c r="B428" s="2">
        <f>IFERROR(__xludf.DUMMYFUNCTION("""COMPUTED_VALUE"""),2.21)</f>
        <v>2.21</v>
      </c>
      <c r="C428" s="3">
        <v>-10.5271141171407</v>
      </c>
    </row>
    <row r="429">
      <c r="A429" s="1">
        <f>IFERROR(__xludf.DUMMYFUNCTION("""COMPUTED_VALUE"""),40976.666666666664)</f>
        <v>40976.66667</v>
      </c>
      <c r="B429" s="2">
        <f>IFERROR(__xludf.DUMMYFUNCTION("""COMPUTED_VALUE"""),2.2)</f>
        <v>2.2</v>
      </c>
      <c r="C429" s="3">
        <v>-11.8785934346159</v>
      </c>
    </row>
    <row r="430">
      <c r="A430" s="1">
        <f>IFERROR(__xludf.DUMMYFUNCTION("""COMPUTED_VALUE"""),40977.666666666664)</f>
        <v>40977.66667</v>
      </c>
      <c r="B430" s="2">
        <f>IFERROR(__xludf.DUMMYFUNCTION("""COMPUTED_VALUE"""),2.32)</f>
        <v>2.32</v>
      </c>
      <c r="C430" s="3">
        <v>-13.1038196204106</v>
      </c>
    </row>
    <row r="431">
      <c r="A431" s="1">
        <f>IFERROR(__xludf.DUMMYFUNCTION("""COMPUTED_VALUE"""),40980.666666666664)</f>
        <v>40980.66667</v>
      </c>
      <c r="B431" s="2">
        <f>IFERROR(__xludf.DUMMYFUNCTION("""COMPUTED_VALUE"""),2.4)</f>
        <v>2.4</v>
      </c>
      <c r="C431" s="3">
        <v>-11.7308059187147</v>
      </c>
    </row>
    <row r="432">
      <c r="A432" s="1">
        <f>IFERROR(__xludf.DUMMYFUNCTION("""COMPUTED_VALUE"""),40981.666666666664)</f>
        <v>40981.66667</v>
      </c>
      <c r="B432" s="2">
        <f>IFERROR(__xludf.DUMMYFUNCTION("""COMPUTED_VALUE"""),2.41)</f>
        <v>2.41</v>
      </c>
      <c r="C432" s="3">
        <v>-11.7827707665584</v>
      </c>
    </row>
    <row r="433">
      <c r="A433" s="1">
        <f>IFERROR(__xludf.DUMMYFUNCTION("""COMPUTED_VALUE"""),40982.666666666664)</f>
        <v>40982.66667</v>
      </c>
      <c r="B433" s="2">
        <f>IFERROR(__xludf.DUMMYFUNCTION("""COMPUTED_VALUE"""),2.35)</f>
        <v>2.35</v>
      </c>
      <c r="C433" s="3">
        <v>-11.3221383485829</v>
      </c>
    </row>
    <row r="434">
      <c r="A434" s="1">
        <f>IFERROR(__xludf.DUMMYFUNCTION("""COMPUTED_VALUE"""),40983.666666666664)</f>
        <v>40983.66667</v>
      </c>
      <c r="B434" s="2">
        <f>IFERROR(__xludf.DUMMYFUNCTION("""COMPUTED_VALUE"""),2.33)</f>
        <v>2.33</v>
      </c>
      <c r="C434" s="3">
        <v>-11.6816667249799</v>
      </c>
    </row>
    <row r="435">
      <c r="A435" s="1">
        <f>IFERROR(__xludf.DUMMYFUNCTION("""COMPUTED_VALUE"""),40984.666666666664)</f>
        <v>40984.66667</v>
      </c>
      <c r="B435" s="2">
        <f>IFERROR(__xludf.DUMMYFUNCTION("""COMPUTED_VALUE"""),2.35)</f>
        <v>2.35</v>
      </c>
      <c r="C435" s="3">
        <v>-11.971987831704</v>
      </c>
    </row>
    <row r="436">
      <c r="A436" s="1">
        <f>IFERROR(__xludf.DUMMYFUNCTION("""COMPUTED_VALUE"""),40987.666666666664)</f>
        <v>40987.66667</v>
      </c>
      <c r="B436" s="2">
        <f>IFERROR(__xludf.DUMMYFUNCTION("""COMPUTED_VALUE"""),2.33)</f>
        <v>2.33</v>
      </c>
      <c r="C436" s="3">
        <v>-8.25717803792527</v>
      </c>
    </row>
    <row r="437">
      <c r="A437" s="1">
        <f>IFERROR(__xludf.DUMMYFUNCTION("""COMPUTED_VALUE"""),40988.666666666664)</f>
        <v>40988.66667</v>
      </c>
      <c r="B437" s="2">
        <f>IFERROR(__xludf.DUMMYFUNCTION("""COMPUTED_VALUE"""),2.33)</f>
        <v>2.33</v>
      </c>
      <c r="C437" s="3">
        <v>-7.7115682052187</v>
      </c>
    </row>
    <row r="438">
      <c r="A438" s="1">
        <f>IFERROR(__xludf.DUMMYFUNCTION("""COMPUTED_VALUE"""),40989.666666666664)</f>
        <v>40989.66667</v>
      </c>
      <c r="B438" s="2">
        <f>IFERROR(__xludf.DUMMYFUNCTION("""COMPUTED_VALUE"""),2.34)</f>
        <v>2.34</v>
      </c>
      <c r="C438" s="3">
        <v>-6.75302872025569</v>
      </c>
    </row>
    <row r="439">
      <c r="A439" s="1">
        <f>IFERROR(__xludf.DUMMYFUNCTION("""COMPUTED_VALUE"""),40990.666666666664)</f>
        <v>40990.66667</v>
      </c>
      <c r="B439" s="2">
        <f>IFERROR(__xludf.DUMMYFUNCTION("""COMPUTED_VALUE"""),2.29)</f>
        <v>2.29</v>
      </c>
      <c r="C439" s="3">
        <v>-6.71542077199321</v>
      </c>
    </row>
    <row r="440">
      <c r="A440" s="1">
        <f>IFERROR(__xludf.DUMMYFUNCTION("""COMPUTED_VALUE"""),40991.666666666664)</f>
        <v>40991.66667</v>
      </c>
      <c r="B440" s="2">
        <f>IFERROR(__xludf.DUMMYFUNCTION("""COMPUTED_VALUE"""),2.27)</f>
        <v>2.27</v>
      </c>
      <c r="C440" s="3">
        <v>-6.70804218771637</v>
      </c>
    </row>
    <row r="441">
      <c r="A441" s="1">
        <f>IFERROR(__xludf.DUMMYFUNCTION("""COMPUTED_VALUE"""),40994.666666666664)</f>
        <v>40994.66667</v>
      </c>
      <c r="B441" s="2">
        <f>IFERROR(__xludf.DUMMYFUNCTION("""COMPUTED_VALUE"""),2.49)</f>
        <v>2.49</v>
      </c>
      <c r="C441" s="3">
        <v>-2.65053076212523</v>
      </c>
    </row>
    <row r="442">
      <c r="A442" s="1">
        <f>IFERROR(__xludf.DUMMYFUNCTION("""COMPUTED_VALUE"""),40995.666666666664)</f>
        <v>40995.66667</v>
      </c>
      <c r="B442" s="2">
        <f>IFERROR(__xludf.DUMMYFUNCTION("""COMPUTED_VALUE"""),2.53)</f>
        <v>2.53</v>
      </c>
      <c r="C442" s="3">
        <v>-2.14953809483116</v>
      </c>
    </row>
    <row r="443">
      <c r="A443" s="1">
        <f>IFERROR(__xludf.DUMMYFUNCTION("""COMPUTED_VALUE"""),40996.666666666664)</f>
        <v>40996.66667</v>
      </c>
      <c r="B443" s="2">
        <f>IFERROR(__xludf.DUMMYFUNCTION("""COMPUTED_VALUE"""),2.52)</f>
        <v>2.52</v>
      </c>
      <c r="C443" s="3">
        <v>-1.29921739207967</v>
      </c>
    </row>
    <row r="444">
      <c r="A444" s="1">
        <f>IFERROR(__xludf.DUMMYFUNCTION("""COMPUTED_VALUE"""),40997.666666666664)</f>
        <v>40997.66667</v>
      </c>
      <c r="B444" s="2">
        <f>IFERROR(__xludf.DUMMYFUNCTION("""COMPUTED_VALUE"""),2.49)</f>
        <v>2.49</v>
      </c>
      <c r="C444" s="3">
        <v>-1.42256703271586</v>
      </c>
    </row>
    <row r="445">
      <c r="A445" s="1">
        <f>IFERROR(__xludf.DUMMYFUNCTION("""COMPUTED_VALUE"""),40998.666666666664)</f>
        <v>40998.66667</v>
      </c>
      <c r="B445" s="2">
        <f>IFERROR(__xludf.DUMMYFUNCTION("""COMPUTED_VALUE"""),2.48)</f>
        <v>2.48</v>
      </c>
      <c r="C445" s="3">
        <v>-1.61763628554942</v>
      </c>
    </row>
    <row r="446">
      <c r="A446" s="1">
        <f>IFERROR(__xludf.DUMMYFUNCTION("""COMPUTED_VALUE"""),41001.666666666664)</f>
        <v>41001.66667</v>
      </c>
      <c r="B446" s="2">
        <f>IFERROR(__xludf.DUMMYFUNCTION("""COMPUTED_VALUE"""),2.44)</f>
        <v>2.44</v>
      </c>
      <c r="C446" s="3">
        <v>1.69400510918075</v>
      </c>
    </row>
    <row r="447">
      <c r="A447" s="1">
        <f>IFERROR(__xludf.DUMMYFUNCTION("""COMPUTED_VALUE"""),41002.666666666664)</f>
        <v>41002.66667</v>
      </c>
      <c r="B447" s="2">
        <f>IFERROR(__xludf.DUMMYFUNCTION("""COMPUTED_VALUE"""),2.53)</f>
        <v>2.53</v>
      </c>
      <c r="C447" s="3">
        <v>1.93387340214221</v>
      </c>
    </row>
    <row r="448">
      <c r="A448" s="1">
        <f>IFERROR(__xludf.DUMMYFUNCTION("""COMPUTED_VALUE"""),41003.666666666664)</f>
        <v>41003.66667</v>
      </c>
      <c r="B448" s="2">
        <f>IFERROR(__xludf.DUMMYFUNCTION("""COMPUTED_VALUE"""),2.33)</f>
        <v>2.33</v>
      </c>
      <c r="C448" s="3">
        <v>2.5310224741127</v>
      </c>
    </row>
    <row r="449">
      <c r="A449" s="1">
        <f>IFERROR(__xludf.DUMMYFUNCTION("""COMPUTED_VALUE"""),41004.666666666664)</f>
        <v>41004.66667</v>
      </c>
      <c r="B449" s="2">
        <f>IFERROR(__xludf.DUMMYFUNCTION("""COMPUTED_VALUE"""),2.3)</f>
        <v>2.3</v>
      </c>
      <c r="C449" s="3">
        <v>2.16887719780683</v>
      </c>
    </row>
    <row r="450">
      <c r="A450" s="1">
        <f>IFERROR(__xludf.DUMMYFUNCTION("""COMPUTED_VALUE"""),41008.666666666664)</f>
        <v>41008.66667</v>
      </c>
      <c r="B450" s="2">
        <f>IFERROR(__xludf.DUMMYFUNCTION("""COMPUTED_VALUE"""),2.21)</f>
        <v>2.21</v>
      </c>
      <c r="C450" s="3">
        <v>4.54328858495951</v>
      </c>
    </row>
    <row r="451">
      <c r="A451" s="1">
        <f>IFERROR(__xludf.DUMMYFUNCTION("""COMPUTED_VALUE"""),41009.666666666664)</f>
        <v>41009.66667</v>
      </c>
      <c r="B451" s="2">
        <f>IFERROR(__xludf.DUMMYFUNCTION("""COMPUTED_VALUE"""),2.16)</f>
        <v>2.16</v>
      </c>
      <c r="C451" s="3">
        <v>4.65290231177066</v>
      </c>
    </row>
    <row r="452">
      <c r="A452" s="1">
        <f>IFERROR(__xludf.DUMMYFUNCTION("""COMPUTED_VALUE"""),41010.666666666664)</f>
        <v>41010.66667</v>
      </c>
      <c r="B452" s="2">
        <f>IFERROR(__xludf.DUMMYFUNCTION("""COMPUTED_VALUE"""),2.21)</f>
        <v>2.21</v>
      </c>
      <c r="C452" s="3">
        <v>5.13693154078428</v>
      </c>
    </row>
    <row r="453">
      <c r="A453" s="1">
        <f>IFERROR(__xludf.DUMMYFUNCTION("""COMPUTED_VALUE"""),41011.666666666664)</f>
        <v>41011.66667</v>
      </c>
      <c r="B453" s="2">
        <f>IFERROR(__xludf.DUMMYFUNCTION("""COMPUTED_VALUE"""),2.23)</f>
        <v>2.23</v>
      </c>
      <c r="C453" s="3">
        <v>4.67381832677573</v>
      </c>
    </row>
    <row r="454">
      <c r="A454" s="1">
        <f>IFERROR(__xludf.DUMMYFUNCTION("""COMPUTED_VALUE"""),41012.666666666664)</f>
        <v>41012.66667</v>
      </c>
      <c r="B454" s="2">
        <f>IFERROR(__xludf.DUMMYFUNCTION("""COMPUTED_VALUE"""),2.24)</f>
        <v>2.24</v>
      </c>
      <c r="C454" s="3">
        <v>4.1642336425511</v>
      </c>
    </row>
    <row r="455">
      <c r="A455" s="1">
        <f>IFERROR(__xludf.DUMMYFUNCTION("""COMPUTED_VALUE"""),41015.666666666664)</f>
        <v>41015.66667</v>
      </c>
      <c r="B455" s="2">
        <f>IFERROR(__xludf.DUMMYFUNCTION("""COMPUTED_VALUE"""),2.15)</f>
        <v>2.15</v>
      </c>
      <c r="C455" s="3">
        <v>6.63463185553211</v>
      </c>
    </row>
    <row r="456">
      <c r="A456" s="1">
        <f>IFERROR(__xludf.DUMMYFUNCTION("""COMPUTED_VALUE"""),41016.666666666664)</f>
        <v>41016.66667</v>
      </c>
      <c r="B456" s="2">
        <f>IFERROR(__xludf.DUMMYFUNCTION("""COMPUTED_VALUE"""),2.15)</f>
        <v>2.15</v>
      </c>
      <c r="C456" s="3">
        <v>6.60190873349514</v>
      </c>
    </row>
    <row r="457">
      <c r="A457" s="1">
        <f>IFERROR(__xludf.DUMMYFUNCTION("""COMPUTED_VALUE"""),41017.666666666664)</f>
        <v>41017.66667</v>
      </c>
      <c r="B457" s="2">
        <f>IFERROR(__xludf.DUMMYFUNCTION("""COMPUTED_VALUE"""),2.18)</f>
        <v>2.18</v>
      </c>
      <c r="C457" s="3">
        <v>6.91373668862372</v>
      </c>
    </row>
    <row r="458">
      <c r="A458" s="1">
        <f>IFERROR(__xludf.DUMMYFUNCTION("""COMPUTED_VALUE"""),41018.666666666664)</f>
        <v>41018.66667</v>
      </c>
      <c r="B458" s="2">
        <f>IFERROR(__xludf.DUMMYFUNCTION("""COMPUTED_VALUE"""),2.21)</f>
        <v>2.21</v>
      </c>
      <c r="C458" s="3">
        <v>6.24245561292371</v>
      </c>
    </row>
    <row r="459">
      <c r="A459" s="1">
        <f>IFERROR(__xludf.DUMMYFUNCTION("""COMPUTED_VALUE"""),41019.666666666664)</f>
        <v>41019.66667</v>
      </c>
      <c r="B459" s="2">
        <f>IFERROR(__xludf.DUMMYFUNCTION("""COMPUTED_VALUE"""),2.21)</f>
        <v>2.21</v>
      </c>
      <c r="C459" s="3">
        <v>5.48369509537802</v>
      </c>
    </row>
    <row r="460">
      <c r="A460" s="1">
        <f>IFERROR(__xludf.DUMMYFUNCTION("""COMPUTED_VALUE"""),41022.666666666664)</f>
        <v>41022.66667</v>
      </c>
      <c r="B460" s="2">
        <f>IFERROR(__xludf.DUMMYFUNCTION("""COMPUTED_VALUE"""),2.13)</f>
        <v>2.13</v>
      </c>
      <c r="C460" s="3">
        <v>6.93082713527472</v>
      </c>
    </row>
    <row r="461">
      <c r="A461" s="1">
        <f>IFERROR(__xludf.DUMMYFUNCTION("""COMPUTED_VALUE"""),41023.666666666664)</f>
        <v>41023.66667</v>
      </c>
      <c r="B461" s="2">
        <f>IFERROR(__xludf.DUMMYFUNCTION("""COMPUTED_VALUE"""),2.12)</f>
        <v>2.12</v>
      </c>
      <c r="C461" s="3">
        <v>6.46327887105064</v>
      </c>
    </row>
    <row r="462">
      <c r="A462" s="1">
        <f>IFERROR(__xludf.DUMMYFUNCTION("""COMPUTED_VALUE"""),41024.666666666664)</f>
        <v>41024.66667</v>
      </c>
      <c r="B462" s="2">
        <f>IFERROR(__xludf.DUMMYFUNCTION("""COMPUTED_VALUE"""),2.19)</f>
        <v>2.19</v>
      </c>
      <c r="C462" s="3">
        <v>6.29686955757561</v>
      </c>
    </row>
    <row r="463">
      <c r="A463" s="1">
        <f>IFERROR(__xludf.DUMMYFUNCTION("""COMPUTED_VALUE"""),41025.666666666664)</f>
        <v>41025.66667</v>
      </c>
      <c r="B463" s="2">
        <f>IFERROR(__xludf.DUMMYFUNCTION("""COMPUTED_VALUE"""),2.23)</f>
        <v>2.23</v>
      </c>
      <c r="C463" s="3">
        <v>5.10866915816301</v>
      </c>
    </row>
    <row r="464">
      <c r="A464" s="1">
        <f>IFERROR(__xludf.DUMMYFUNCTION("""COMPUTED_VALUE"""),41026.666666666664)</f>
        <v>41026.66667</v>
      </c>
      <c r="B464" s="2">
        <f>IFERROR(__xludf.DUMMYFUNCTION("""COMPUTED_VALUE"""),2.22)</f>
        <v>2.22</v>
      </c>
      <c r="C464" s="3">
        <v>3.80072100613929</v>
      </c>
    </row>
    <row r="465">
      <c r="A465" s="1">
        <f>IFERROR(__xludf.DUMMYFUNCTION("""COMPUTED_VALUE"""),41029.666666666664)</f>
        <v>41029.66667</v>
      </c>
      <c r="B465" s="2">
        <f>IFERROR(__xludf.DUMMYFUNCTION("""COMPUTED_VALUE"""),2.21)</f>
        <v>2.21</v>
      </c>
      <c r="C465" s="3">
        <v>3.49277873735442</v>
      </c>
    </row>
    <row r="466">
      <c r="A466" s="1">
        <f>IFERROR(__xludf.DUMMYFUNCTION("""COMPUTED_VALUE"""),41030.666666666664)</f>
        <v>41030.66667</v>
      </c>
      <c r="B466" s="2">
        <f>IFERROR(__xludf.DUMMYFUNCTION("""COMPUTED_VALUE"""),2.25)</f>
        <v>2.25</v>
      </c>
      <c r="C466" s="3">
        <v>2.43882624289541</v>
      </c>
    </row>
    <row r="467">
      <c r="A467" s="1">
        <f>IFERROR(__xludf.DUMMYFUNCTION("""COMPUTED_VALUE"""),41031.666666666664)</f>
        <v>41031.66667</v>
      </c>
      <c r="B467" s="2">
        <f>IFERROR(__xludf.DUMMYFUNCTION("""COMPUTED_VALUE"""),2.26)</f>
        <v>2.26</v>
      </c>
      <c r="C467" s="3">
        <v>1.70445866379421</v>
      </c>
    </row>
    <row r="468">
      <c r="A468" s="1">
        <f>IFERROR(__xludf.DUMMYFUNCTION("""COMPUTED_VALUE"""),41032.666666666664)</f>
        <v>41032.66667</v>
      </c>
      <c r="B468" s="2">
        <f>IFERROR(__xludf.DUMMYFUNCTION("""COMPUTED_VALUE"""),2.16)</f>
        <v>2.16</v>
      </c>
      <c r="C468" s="3">
        <v>-0.02129621046201</v>
      </c>
    </row>
    <row r="469">
      <c r="A469" s="1">
        <f>IFERROR(__xludf.DUMMYFUNCTION("""COMPUTED_VALUE"""),41033.666666666664)</f>
        <v>41033.66667</v>
      </c>
      <c r="B469" s="2">
        <f>IFERROR(__xludf.DUMMYFUNCTION("""COMPUTED_VALUE"""),2.12)</f>
        <v>2.12</v>
      </c>
      <c r="C469" s="3">
        <v>-1.82459786156941</v>
      </c>
    </row>
    <row r="470">
      <c r="A470" s="1">
        <f>IFERROR(__xludf.DUMMYFUNCTION("""COMPUTED_VALUE"""),41036.666666666664)</f>
        <v>41036.66667</v>
      </c>
      <c r="B470" s="2">
        <f>IFERROR(__xludf.DUMMYFUNCTION("""COMPUTED_VALUE"""),2.16)</f>
        <v>2.16</v>
      </c>
      <c r="C470" s="3">
        <v>-3.25705246860818</v>
      </c>
    </row>
    <row r="471">
      <c r="A471" s="1">
        <f>IFERROR(__xludf.DUMMYFUNCTION("""COMPUTED_VALUE"""),41037.666666666664)</f>
        <v>41037.66667</v>
      </c>
      <c r="B471" s="2">
        <f>IFERROR(__xludf.DUMMYFUNCTION("""COMPUTED_VALUE"""),2.01)</f>
        <v>2.01</v>
      </c>
      <c r="C471" s="3">
        <v>-4.53468613982932</v>
      </c>
    </row>
    <row r="472">
      <c r="A472" s="1">
        <f>IFERROR(__xludf.DUMMYFUNCTION("""COMPUTED_VALUE"""),41038.666666666664)</f>
        <v>41038.66667</v>
      </c>
      <c r="B472" s="2">
        <f>IFERROR(__xludf.DUMMYFUNCTION("""COMPUTED_VALUE"""),2.0)</f>
        <v>2</v>
      </c>
      <c r="C472" s="3">
        <v>-5.40557442659828</v>
      </c>
    </row>
    <row r="473">
      <c r="A473" s="1">
        <f>IFERROR(__xludf.DUMMYFUNCTION("""COMPUTED_VALUE"""),41039.666666666664)</f>
        <v>41039.66667</v>
      </c>
      <c r="B473" s="2">
        <f>IFERROR(__xludf.DUMMYFUNCTION("""COMPUTED_VALUE"""),2.2)</f>
        <v>2.2</v>
      </c>
      <c r="C473" s="3">
        <v>-7.1764724022399</v>
      </c>
    </row>
    <row r="474">
      <c r="A474" s="1">
        <f>IFERROR(__xludf.DUMMYFUNCTION("""COMPUTED_VALUE"""),41040.666666666664)</f>
        <v>41040.66667</v>
      </c>
      <c r="B474" s="2">
        <f>IFERROR(__xludf.DUMMYFUNCTION("""COMPUTED_VALUE"""),2.15)</f>
        <v>2.15</v>
      </c>
      <c r="C474" s="3">
        <v>-8.93137842675546</v>
      </c>
    </row>
    <row r="475">
      <c r="A475" s="1">
        <f>IFERROR(__xludf.DUMMYFUNCTION("""COMPUTED_VALUE"""),41043.666666666664)</f>
        <v>41043.66667</v>
      </c>
      <c r="B475" s="2">
        <f>IFERROR(__xludf.DUMMYFUNCTION("""COMPUTED_VALUE"""),2.0)</f>
        <v>2</v>
      </c>
      <c r="C475" s="3">
        <v>-9.66814850932607</v>
      </c>
    </row>
    <row r="476">
      <c r="A476" s="1">
        <f>IFERROR(__xludf.DUMMYFUNCTION("""COMPUTED_VALUE"""),41044.666666666664)</f>
        <v>41044.66667</v>
      </c>
      <c r="B476" s="2">
        <f>IFERROR(__xludf.DUMMYFUNCTION("""COMPUTED_VALUE"""),1.96)</f>
        <v>1.96</v>
      </c>
      <c r="C476" s="3">
        <v>-10.5446242656149</v>
      </c>
    </row>
    <row r="477">
      <c r="A477" s="1">
        <f>IFERROR(__xludf.DUMMYFUNCTION("""COMPUTED_VALUE"""),41045.666666666664)</f>
        <v>41045.66667</v>
      </c>
      <c r="B477" s="2">
        <f>IFERROR(__xludf.DUMMYFUNCTION("""COMPUTED_VALUE"""),1.95)</f>
        <v>1.95</v>
      </c>
      <c r="C477" s="3">
        <v>-10.9419210730427</v>
      </c>
    </row>
    <row r="478">
      <c r="A478" s="1">
        <f>IFERROR(__xludf.DUMMYFUNCTION("""COMPUTED_VALUE"""),41046.666666666664)</f>
        <v>41046.66667</v>
      </c>
      <c r="B478" s="2">
        <f>IFERROR(__xludf.DUMMYFUNCTION("""COMPUTED_VALUE"""),1.9)</f>
        <v>1.9</v>
      </c>
      <c r="C478" s="3">
        <v>-12.1767571421818</v>
      </c>
    </row>
    <row r="479">
      <c r="A479" s="1">
        <f>IFERROR(__xludf.DUMMYFUNCTION("""COMPUTED_VALUE"""),41047.666666666664)</f>
        <v>41047.66667</v>
      </c>
      <c r="B479" s="2">
        <f>IFERROR(__xludf.DUMMYFUNCTION("""COMPUTED_VALUE"""),1.84)</f>
        <v>1.84</v>
      </c>
      <c r="C479" s="3">
        <v>-13.3445298241186</v>
      </c>
    </row>
    <row r="480">
      <c r="A480" s="1">
        <f>IFERROR(__xludf.DUMMYFUNCTION("""COMPUTED_VALUE"""),41050.666666666664)</f>
        <v>41050.66667</v>
      </c>
      <c r="B480" s="2">
        <f>IFERROR(__xludf.DUMMYFUNCTION("""COMPUTED_VALUE"""),1.92)</f>
        <v>1.92</v>
      </c>
      <c r="C480" s="3">
        <v>-12.1424845056325</v>
      </c>
    </row>
    <row r="481">
      <c r="A481" s="1">
        <f>IFERROR(__xludf.DUMMYFUNCTION("""COMPUTED_VALUE"""),41051.666666666664)</f>
        <v>41051.66667</v>
      </c>
      <c r="B481" s="2">
        <f>IFERROR(__xludf.DUMMYFUNCTION("""COMPUTED_VALUE"""),2.05)</f>
        <v>2.05</v>
      </c>
      <c r="C481" s="3">
        <v>-12.3591816369292</v>
      </c>
    </row>
    <row r="482">
      <c r="A482" s="1">
        <f>IFERROR(__xludf.DUMMYFUNCTION("""COMPUTED_VALUE"""),41052.666666666664)</f>
        <v>41052.66667</v>
      </c>
      <c r="B482" s="2">
        <f>IFERROR(__xludf.DUMMYFUNCTION("""COMPUTED_VALUE"""),2.07)</f>
        <v>2.07</v>
      </c>
      <c r="C482" s="3">
        <v>-12.1127164680265</v>
      </c>
    </row>
    <row r="483">
      <c r="A483" s="1">
        <f>IFERROR(__xludf.DUMMYFUNCTION("""COMPUTED_VALUE"""),41053.666666666664)</f>
        <v>41053.66667</v>
      </c>
      <c r="B483" s="2">
        <f>IFERROR(__xludf.DUMMYFUNCTION("""COMPUTED_VALUE"""),2.02)</f>
        <v>2.02</v>
      </c>
      <c r="C483" s="3">
        <v>-12.7327138846077</v>
      </c>
    </row>
    <row r="484">
      <c r="A484" s="1">
        <f>IFERROR(__xludf.DUMMYFUNCTION("""COMPUTED_VALUE"""),41054.666666666664)</f>
        <v>41054.66667</v>
      </c>
      <c r="B484" s="2">
        <f>IFERROR(__xludf.DUMMYFUNCTION("""COMPUTED_VALUE"""),1.99)</f>
        <v>1.99</v>
      </c>
      <c r="C484" s="3">
        <v>-13.3264730347906</v>
      </c>
    </row>
    <row r="485">
      <c r="A485" s="1">
        <f>IFERROR(__xludf.DUMMYFUNCTION("""COMPUTED_VALUE"""),41058.666666666664)</f>
        <v>41058.66667</v>
      </c>
      <c r="B485" s="2">
        <f>IFERROR(__xludf.DUMMYFUNCTION("""COMPUTED_VALUE"""),2.11)</f>
        <v>2.11</v>
      </c>
      <c r="C485" s="3">
        <v>-10.6396353946426</v>
      </c>
    </row>
    <row r="486">
      <c r="A486" s="1">
        <f>IFERROR(__xludf.DUMMYFUNCTION("""COMPUTED_VALUE"""),41059.666666666664)</f>
        <v>41059.66667</v>
      </c>
      <c r="B486" s="2">
        <f>IFERROR(__xludf.DUMMYFUNCTION("""COMPUTED_VALUE"""),2.03)</f>
        <v>2.03</v>
      </c>
      <c r="C486" s="3">
        <v>-10.1468922333345</v>
      </c>
    </row>
    <row r="487">
      <c r="A487" s="1">
        <f>IFERROR(__xludf.DUMMYFUNCTION("""COMPUTED_VALUE"""),41060.666666666664)</f>
        <v>41060.66667</v>
      </c>
      <c r="B487" s="2">
        <f>IFERROR(__xludf.DUMMYFUNCTION("""COMPUTED_VALUE"""),1.97)</f>
        <v>1.97</v>
      </c>
      <c r="C487" s="3">
        <v>-10.597157912925</v>
      </c>
    </row>
    <row r="488">
      <c r="A488" s="1">
        <f>IFERROR(__xludf.DUMMYFUNCTION("""COMPUTED_VALUE"""),41061.666666666664)</f>
        <v>41061.66667</v>
      </c>
      <c r="B488" s="2">
        <f>IFERROR(__xludf.DUMMYFUNCTION("""COMPUTED_VALUE"""),1.88)</f>
        <v>1.88</v>
      </c>
      <c r="C488" s="3">
        <v>-11.0963912196271</v>
      </c>
    </row>
    <row r="489">
      <c r="A489" s="1">
        <f>IFERROR(__xludf.DUMMYFUNCTION("""COMPUTED_VALUE"""),41064.666666666664)</f>
        <v>41064.66667</v>
      </c>
      <c r="B489" s="2">
        <f>IFERROR(__xludf.DUMMYFUNCTION("""COMPUTED_VALUE"""),1.86)</f>
        <v>1.86</v>
      </c>
      <c r="C489" s="3">
        <v>-8.6383189529716</v>
      </c>
    </row>
    <row r="490">
      <c r="A490" s="1">
        <f>IFERROR(__xludf.DUMMYFUNCTION("""COMPUTED_VALUE"""),41065.666666666664)</f>
        <v>41065.66667</v>
      </c>
      <c r="B490" s="2">
        <f>IFERROR(__xludf.DUMMYFUNCTION("""COMPUTED_VALUE"""),1.86)</f>
        <v>1.86</v>
      </c>
      <c r="C490" s="3">
        <v>-8.68605811877995</v>
      </c>
    </row>
    <row r="491">
      <c r="A491" s="1">
        <f>IFERROR(__xludf.DUMMYFUNCTION("""COMPUTED_VALUE"""),41066.666666666664)</f>
        <v>41066.66667</v>
      </c>
      <c r="B491" s="2">
        <f>IFERROR(__xludf.DUMMYFUNCTION("""COMPUTED_VALUE"""),1.95)</f>
        <v>1.95</v>
      </c>
      <c r="C491" s="3">
        <v>-8.38665948100069</v>
      </c>
    </row>
    <row r="492">
      <c r="A492" s="1">
        <f>IFERROR(__xludf.DUMMYFUNCTION("""COMPUTED_VALUE"""),41067.666666666664)</f>
        <v>41067.66667</v>
      </c>
      <c r="B492" s="2">
        <f>IFERROR(__xludf.DUMMYFUNCTION("""COMPUTED_VALUE"""),1.93)</f>
        <v>1.93</v>
      </c>
      <c r="C492" s="3">
        <v>-9.05960179477772</v>
      </c>
    </row>
    <row r="493">
      <c r="A493" s="1">
        <f>IFERROR(__xludf.DUMMYFUNCTION("""COMPUTED_VALUE"""),41068.666666666664)</f>
        <v>41068.66667</v>
      </c>
      <c r="B493" s="2">
        <f>IFERROR(__xludf.DUMMYFUNCTION("""COMPUTED_VALUE"""),2.01)</f>
        <v>2.01</v>
      </c>
      <c r="C493" s="3">
        <v>-9.79925727373757</v>
      </c>
    </row>
    <row r="494">
      <c r="A494" s="1">
        <f>IFERROR(__xludf.DUMMYFUNCTION("""COMPUTED_VALUE"""),41071.666666666664)</f>
        <v>41071.66667</v>
      </c>
      <c r="B494" s="2">
        <f>IFERROR(__xludf.DUMMYFUNCTION("""COMPUTED_VALUE"""),1.94)</f>
        <v>1.94</v>
      </c>
      <c r="C494" s="3">
        <v>-8.05161504076658</v>
      </c>
    </row>
    <row r="495">
      <c r="A495" s="1">
        <f>IFERROR(__xludf.DUMMYFUNCTION("""COMPUTED_VALUE"""),41072.666666666664)</f>
        <v>41072.66667</v>
      </c>
      <c r="B495" s="2">
        <f>IFERROR(__xludf.DUMMYFUNCTION("""COMPUTED_VALUE"""),1.98)</f>
        <v>1.98</v>
      </c>
      <c r="C495" s="3">
        <v>-8.29549343717517</v>
      </c>
    </row>
    <row r="496">
      <c r="A496" s="1">
        <f>IFERROR(__xludf.DUMMYFUNCTION("""COMPUTED_VALUE"""),41073.666666666664)</f>
        <v>41073.66667</v>
      </c>
      <c r="B496" s="2">
        <f>IFERROR(__xludf.DUMMYFUNCTION("""COMPUTED_VALUE"""),1.98)</f>
        <v>1.98</v>
      </c>
      <c r="C496" s="3">
        <v>-8.15558513256294</v>
      </c>
    </row>
    <row r="497">
      <c r="A497" s="1">
        <f>IFERROR(__xludf.DUMMYFUNCTION("""COMPUTED_VALUE"""),41074.666666666664)</f>
        <v>41074.66667</v>
      </c>
      <c r="B497" s="2">
        <f>IFERROR(__xludf.DUMMYFUNCTION("""COMPUTED_VALUE"""),1.96)</f>
        <v>1.96</v>
      </c>
      <c r="C497" s="3">
        <v>-8.94354814359274</v>
      </c>
    </row>
    <row r="498">
      <c r="A498" s="1">
        <f>IFERROR(__xludf.DUMMYFUNCTION("""COMPUTED_VALUE"""),41075.666666666664)</f>
        <v>41075.66667</v>
      </c>
      <c r="B498" s="2">
        <f>IFERROR(__xludf.DUMMYFUNCTION("""COMPUTED_VALUE"""),1.99)</f>
        <v>1.99</v>
      </c>
      <c r="C498" s="3">
        <v>-9.74759679282151</v>
      </c>
    </row>
    <row r="499">
      <c r="A499" s="1">
        <f>IFERROR(__xludf.DUMMYFUNCTION("""COMPUTED_VALUE"""),41078.666666666664)</f>
        <v>41078.66667</v>
      </c>
      <c r="B499" s="2">
        <f>IFERROR(__xludf.DUMMYFUNCTION("""COMPUTED_VALUE"""),2.12)</f>
        <v>2.12</v>
      </c>
      <c r="C499" s="3">
        <v>-7.85621444641032</v>
      </c>
    </row>
    <row r="500">
      <c r="A500" s="1">
        <f>IFERROR(__xludf.DUMMYFUNCTION("""COMPUTED_VALUE"""),41079.666666666664)</f>
        <v>41079.66667</v>
      </c>
      <c r="B500" s="2">
        <f>IFERROR(__xludf.DUMMYFUNCTION("""COMPUTED_VALUE"""),2.14)</f>
        <v>2.14</v>
      </c>
      <c r="C500" s="3">
        <v>-7.93890712271557</v>
      </c>
    </row>
    <row r="501">
      <c r="A501" s="1">
        <f>IFERROR(__xludf.DUMMYFUNCTION("""COMPUTED_VALUE"""),41080.666666666664)</f>
        <v>41080.66667</v>
      </c>
      <c r="B501" s="2">
        <f>IFERROR(__xludf.DUMMYFUNCTION("""COMPUTED_VALUE"""),2.25)</f>
        <v>2.25</v>
      </c>
      <c r="C501" s="3">
        <v>-7.58575321822885</v>
      </c>
    </row>
    <row r="502">
      <c r="A502" s="1">
        <f>IFERROR(__xludf.DUMMYFUNCTION("""COMPUTED_VALUE"""),41081.666666666664)</f>
        <v>41081.66667</v>
      </c>
      <c r="B502" s="2">
        <f>IFERROR(__xludf.DUMMYFUNCTION("""COMPUTED_VALUE"""),2.15)</f>
        <v>2.15</v>
      </c>
      <c r="C502" s="3">
        <v>-8.11402823305759</v>
      </c>
    </row>
    <row r="503">
      <c r="A503" s="1">
        <f>IFERROR(__xludf.DUMMYFUNCTION("""COMPUTED_VALUE"""),41082.666666666664)</f>
        <v>41082.66667</v>
      </c>
      <c r="B503" s="2">
        <f>IFERROR(__xludf.DUMMYFUNCTION("""COMPUTED_VALUE"""),2.25)</f>
        <v>2.25</v>
      </c>
      <c r="C503" s="3">
        <v>-8.619258926508</v>
      </c>
    </row>
    <row r="504">
      <c r="A504" s="1">
        <f>IFERROR(__xludf.DUMMYFUNCTION("""COMPUTED_VALUE"""),41085.666666666664)</f>
        <v>41085.66667</v>
      </c>
      <c r="B504" s="2">
        <f>IFERROR(__xludf.DUMMYFUNCTION("""COMPUTED_VALUE"""),2.21)</f>
        <v>2.21</v>
      </c>
      <c r="C504" s="3">
        <v>-5.69009914080285</v>
      </c>
    </row>
    <row r="505">
      <c r="A505" s="1">
        <f>IFERROR(__xludf.DUMMYFUNCTION("""COMPUTED_VALUE"""),41086.666666666664)</f>
        <v>41086.66667</v>
      </c>
      <c r="B505" s="2">
        <f>IFERROR(__xludf.DUMMYFUNCTION("""COMPUTED_VALUE"""),2.11)</f>
        <v>2.11</v>
      </c>
      <c r="C505" s="3">
        <v>-5.41561531386875</v>
      </c>
    </row>
    <row r="506">
      <c r="A506" s="1">
        <f>IFERROR(__xludf.DUMMYFUNCTION("""COMPUTED_VALUE"""),41087.666666666664)</f>
        <v>41087.66667</v>
      </c>
      <c r="B506" s="2">
        <f>IFERROR(__xludf.DUMMYFUNCTION("""COMPUTED_VALUE"""),2.13)</f>
        <v>2.13</v>
      </c>
      <c r="C506" s="3">
        <v>-4.71877132465224</v>
      </c>
    </row>
    <row r="507">
      <c r="A507" s="1">
        <f>IFERROR(__xludf.DUMMYFUNCTION("""COMPUTED_VALUE"""),41088.666666666664)</f>
        <v>41088.66667</v>
      </c>
      <c r="B507" s="2">
        <f>IFERROR(__xludf.DUMMYFUNCTION("""COMPUTED_VALUE"""),2.09)</f>
        <v>2.09</v>
      </c>
      <c r="C507" s="3">
        <v>-4.92827424873014</v>
      </c>
    </row>
    <row r="508">
      <c r="A508" s="1">
        <f>IFERROR(__xludf.DUMMYFUNCTION("""COMPUTED_VALUE"""),41089.666666666664)</f>
        <v>41089.66667</v>
      </c>
      <c r="B508" s="2">
        <f>IFERROR(__xludf.DUMMYFUNCTION("""COMPUTED_VALUE"""),2.09)</f>
        <v>2.09</v>
      </c>
      <c r="C508" s="3">
        <v>-5.15055821325474</v>
      </c>
    </row>
    <row r="509">
      <c r="A509" s="1">
        <f>IFERROR(__xludf.DUMMYFUNCTION("""COMPUTED_VALUE"""),41092.666666666664)</f>
        <v>41092.66667</v>
      </c>
      <c r="B509" s="2">
        <f>IFERROR(__xludf.DUMMYFUNCTION("""COMPUTED_VALUE"""),2.03)</f>
        <v>2.03</v>
      </c>
      <c r="C509" s="3">
        <v>-1.68173129633017</v>
      </c>
    </row>
    <row r="510">
      <c r="A510" s="1">
        <f>IFERROR(__xludf.DUMMYFUNCTION("""COMPUTED_VALUE"""),41093.666666666664)</f>
        <v>41093.66667</v>
      </c>
      <c r="B510" s="2">
        <f>IFERROR(__xludf.DUMMYFUNCTION("""COMPUTED_VALUE"""),2.04)</f>
        <v>2.04</v>
      </c>
      <c r="C510" s="3">
        <v>-1.3548271514026</v>
      </c>
    </row>
    <row r="511">
      <c r="A511" s="1">
        <f>IFERROR(__xludf.DUMMYFUNCTION("""COMPUTED_VALUE"""),41095.666666666664)</f>
        <v>41095.66667</v>
      </c>
      <c r="B511" s="2">
        <f>IFERROR(__xludf.DUMMYFUNCTION("""COMPUTED_VALUE"""),2.08)</f>
        <v>2.08</v>
      </c>
      <c r="C511" s="3">
        <v>-0.97926508855142</v>
      </c>
    </row>
    <row r="512">
      <c r="A512" s="1">
        <f>IFERROR(__xludf.DUMMYFUNCTION("""COMPUTED_VALUE"""),41096.666666666664)</f>
        <v>41096.66667</v>
      </c>
      <c r="B512" s="2">
        <f>IFERROR(__xludf.DUMMYFUNCTION("""COMPUTED_VALUE"""),2.07)</f>
        <v>2.07</v>
      </c>
      <c r="C512" s="3">
        <v>-1.36720829911453</v>
      </c>
    </row>
    <row r="513">
      <c r="A513" s="1">
        <f>IFERROR(__xludf.DUMMYFUNCTION("""COMPUTED_VALUE"""),41099.666666666664)</f>
        <v>41099.66667</v>
      </c>
      <c r="B513" s="2">
        <f>IFERROR(__xludf.DUMMYFUNCTION("""COMPUTED_VALUE"""),2.1)</f>
        <v>2.1</v>
      </c>
      <c r="C513" s="3">
        <v>1.20058459131012</v>
      </c>
    </row>
    <row r="514">
      <c r="A514" s="1">
        <f>IFERROR(__xludf.DUMMYFUNCTION("""COMPUTED_VALUE"""),41100.666666666664)</f>
        <v>41100.66667</v>
      </c>
      <c r="B514" s="2">
        <f>IFERROR(__xludf.DUMMYFUNCTION("""COMPUTED_VALUE"""),2.08)</f>
        <v>2.08</v>
      </c>
      <c r="C514" s="3">
        <v>1.11367517769498</v>
      </c>
    </row>
    <row r="515">
      <c r="A515" s="1">
        <f>IFERROR(__xludf.DUMMYFUNCTION("""COMPUTED_VALUE"""),41101.666666666664)</f>
        <v>41101.66667</v>
      </c>
      <c r="B515" s="2">
        <f>IFERROR(__xludf.DUMMYFUNCTION("""COMPUTED_VALUE"""),2.1)</f>
        <v>2.1</v>
      </c>
      <c r="C515" s="3">
        <v>1.33566883042397</v>
      </c>
    </row>
    <row r="516">
      <c r="A516" s="1">
        <f>IFERROR(__xludf.DUMMYFUNCTION("""COMPUTED_VALUE"""),41102.666666666664)</f>
        <v>41102.66667</v>
      </c>
      <c r="B516" s="2">
        <f>IFERROR(__xludf.DUMMYFUNCTION("""COMPUTED_VALUE"""),2.18)</f>
        <v>2.18</v>
      </c>
      <c r="C516" s="3">
        <v>0.547085109403113</v>
      </c>
    </row>
    <row r="517">
      <c r="A517" s="1">
        <f>IFERROR(__xludf.DUMMYFUNCTION("""COMPUTED_VALUE"""),41103.666666666664)</f>
        <v>41103.66667</v>
      </c>
      <c r="B517" s="2">
        <f>IFERROR(__xludf.DUMMYFUNCTION("""COMPUTED_VALUE"""),2.28)</f>
        <v>2.28</v>
      </c>
      <c r="C517" s="3">
        <v>-0.346220883447758</v>
      </c>
    </row>
    <row r="518">
      <c r="A518" s="1">
        <f>IFERROR(__xludf.DUMMYFUNCTION("""COMPUTED_VALUE"""),41106.666666666664)</f>
        <v>41106.66667</v>
      </c>
      <c r="B518" s="2">
        <f>IFERROR(__xludf.DUMMYFUNCTION("""COMPUTED_VALUE"""),2.4)</f>
        <v>2.4</v>
      </c>
      <c r="C518" s="3">
        <v>0.719304213186907</v>
      </c>
    </row>
    <row r="519">
      <c r="A519" s="1">
        <f>IFERROR(__xludf.DUMMYFUNCTION("""COMPUTED_VALUE"""),41107.666666666664)</f>
        <v>41107.66667</v>
      </c>
      <c r="B519" s="2">
        <f>IFERROR(__xludf.DUMMYFUNCTION("""COMPUTED_VALUE"""),2.22)</f>
        <v>2.22</v>
      </c>
      <c r="C519" s="3">
        <v>0.178505128102504</v>
      </c>
    </row>
    <row r="520">
      <c r="A520" s="1">
        <f>IFERROR(__xludf.DUMMYFUNCTION("""COMPUTED_VALUE"""),41108.666666666664)</f>
        <v>41108.66667</v>
      </c>
      <c r="B520" s="2">
        <f>IFERROR(__xludf.DUMMYFUNCTION("""COMPUTED_VALUE"""),2.14)</f>
        <v>2.14</v>
      </c>
      <c r="C520" s="3">
        <v>-0.0101251590266127</v>
      </c>
    </row>
    <row r="521">
      <c r="A521" s="1">
        <f>IFERROR(__xludf.DUMMYFUNCTION("""COMPUTED_VALUE"""),41109.666666666664)</f>
        <v>41109.66667</v>
      </c>
      <c r="B521" s="2">
        <f>IFERROR(__xludf.DUMMYFUNCTION("""COMPUTED_VALUE"""),2.15)</f>
        <v>2.15</v>
      </c>
      <c r="C521" s="3">
        <v>-1.15565924659062</v>
      </c>
    </row>
    <row r="522">
      <c r="A522" s="1">
        <f>IFERROR(__xludf.DUMMYFUNCTION("""COMPUTED_VALUE"""),41110.666666666664)</f>
        <v>41110.66667</v>
      </c>
      <c r="B522" s="2">
        <f>IFERROR(__xludf.DUMMYFUNCTION("""COMPUTED_VALUE"""),2.12)</f>
        <v>2.12</v>
      </c>
      <c r="C522" s="3">
        <v>-2.34325343009951</v>
      </c>
    </row>
    <row r="523">
      <c r="A523" s="1">
        <f>IFERROR(__xludf.DUMMYFUNCTION("""COMPUTED_VALUE"""),41113.666666666664)</f>
        <v>41113.66667</v>
      </c>
      <c r="B523" s="2">
        <f>IFERROR(__xludf.DUMMYFUNCTION("""COMPUTED_VALUE"""),2.04)</f>
        <v>2.04</v>
      </c>
      <c r="C523" s="3">
        <v>-1.72095823240522</v>
      </c>
    </row>
    <row r="524">
      <c r="A524" s="1">
        <f>IFERROR(__xludf.DUMMYFUNCTION("""COMPUTED_VALUE"""),41114.666666666664)</f>
        <v>41114.66667</v>
      </c>
      <c r="B524" s="2">
        <f>IFERROR(__xludf.DUMMYFUNCTION("""COMPUTED_VALUE"""),1.99)</f>
        <v>1.99</v>
      </c>
      <c r="C524" s="3">
        <v>-2.25163774567069</v>
      </c>
    </row>
    <row r="525">
      <c r="A525" s="1">
        <f>IFERROR(__xludf.DUMMYFUNCTION("""COMPUTED_VALUE"""),41115.666666666664)</f>
        <v>41115.66667</v>
      </c>
      <c r="B525" s="2">
        <f>IFERROR(__xludf.DUMMYFUNCTION("""COMPUTED_VALUE"""),1.93)</f>
        <v>1.93</v>
      </c>
      <c r="C525" s="3">
        <v>-2.35082004692492</v>
      </c>
    </row>
    <row r="526">
      <c r="A526" s="1">
        <f>IFERROR(__xludf.DUMMYFUNCTION("""COMPUTED_VALUE"""),41116.666666666664)</f>
        <v>41116.66667</v>
      </c>
      <c r="B526" s="2">
        <f>IFERROR(__xludf.DUMMYFUNCTION("""COMPUTED_VALUE"""),1.88)</f>
        <v>1.88</v>
      </c>
      <c r="C526" s="3">
        <v>-3.33051247339154</v>
      </c>
    </row>
    <row r="527">
      <c r="A527" s="1">
        <f>IFERROR(__xludf.DUMMYFUNCTION("""COMPUTED_VALUE"""),41117.666666666664)</f>
        <v>41117.66667</v>
      </c>
      <c r="B527" s="2">
        <f>IFERROR(__xludf.DUMMYFUNCTION("""COMPUTED_VALUE"""),1.97)</f>
        <v>1.97</v>
      </c>
      <c r="C527" s="3">
        <v>-4.2808175758994</v>
      </c>
    </row>
    <row r="528">
      <c r="A528" s="1">
        <f>IFERROR(__xludf.DUMMYFUNCTION("""COMPUTED_VALUE"""),41120.666666666664)</f>
        <v>41120.66667</v>
      </c>
      <c r="B528" s="2">
        <f>IFERROR(__xludf.DUMMYFUNCTION("""COMPUTED_VALUE"""),1.82)</f>
        <v>1.82</v>
      </c>
      <c r="C528" s="3">
        <v>-2.59404668579803</v>
      </c>
    </row>
    <row r="529">
      <c r="A529" s="1">
        <f>IFERROR(__xludf.DUMMYFUNCTION("""COMPUTED_VALUE"""),41121.666666666664)</f>
        <v>41121.66667</v>
      </c>
      <c r="B529" s="2">
        <f>IFERROR(__xludf.DUMMYFUNCTION("""COMPUTED_VALUE"""),1.83)</f>
        <v>1.83</v>
      </c>
      <c r="C529" s="3">
        <v>-2.68494859854611</v>
      </c>
    </row>
    <row r="530">
      <c r="A530" s="1">
        <f>IFERROR(__xludf.DUMMYFUNCTION("""COMPUTED_VALUE"""),41122.666666666664)</f>
        <v>41122.66667</v>
      </c>
      <c r="B530" s="2">
        <f>IFERROR(__xludf.DUMMYFUNCTION("""COMPUTED_VALUE"""),1.75)</f>
        <v>1.75</v>
      </c>
      <c r="C530" s="3">
        <v>-2.32077234193524</v>
      </c>
    </row>
    <row r="531">
      <c r="A531" s="1">
        <f>IFERROR(__xludf.DUMMYFUNCTION("""COMPUTED_VALUE"""),41123.666666666664)</f>
        <v>41123.66667</v>
      </c>
      <c r="B531" s="2">
        <f>IFERROR(__xludf.DUMMYFUNCTION("""COMPUTED_VALUE"""),1.74)</f>
        <v>1.74</v>
      </c>
      <c r="C531" s="3">
        <v>-2.82573859213928</v>
      </c>
    </row>
    <row r="532">
      <c r="A532" s="1">
        <f>IFERROR(__xludf.DUMMYFUNCTION("""COMPUTED_VALUE"""),41124.666666666664)</f>
        <v>41124.66667</v>
      </c>
      <c r="B532" s="2">
        <f>IFERROR(__xludf.DUMMYFUNCTION("""COMPUTED_VALUE"""),1.82)</f>
        <v>1.82</v>
      </c>
      <c r="C532" s="3">
        <v>-3.30226011788868</v>
      </c>
    </row>
    <row r="533">
      <c r="A533" s="1">
        <f>IFERROR(__xludf.DUMMYFUNCTION("""COMPUTED_VALUE"""),41127.666666666664)</f>
        <v>41127.66667</v>
      </c>
      <c r="B533" s="2">
        <f>IFERROR(__xludf.DUMMYFUNCTION("""COMPUTED_VALUE"""),1.88)</f>
        <v>1.88</v>
      </c>
      <c r="C533" s="3">
        <v>-0.317048321763795</v>
      </c>
    </row>
    <row r="534">
      <c r="A534" s="1">
        <f>IFERROR(__xludf.DUMMYFUNCTION("""COMPUTED_VALUE"""),41128.666666666664)</f>
        <v>41128.66667</v>
      </c>
      <c r="B534" s="2">
        <f>IFERROR(__xludf.DUMMYFUNCTION("""COMPUTED_VALUE"""),2.02)</f>
        <v>2.02</v>
      </c>
      <c r="C534" s="3">
        <v>-0.0509616596406612</v>
      </c>
    </row>
    <row r="535">
      <c r="A535" s="1">
        <f>IFERROR(__xludf.DUMMYFUNCTION("""COMPUTED_VALUE"""),41129.666666666664)</f>
        <v>41129.66667</v>
      </c>
      <c r="B535" s="2">
        <f>IFERROR(__xludf.DUMMYFUNCTION("""COMPUTED_VALUE"""),1.94)</f>
        <v>1.94</v>
      </c>
      <c r="C535" s="3">
        <v>0.617983867444214</v>
      </c>
    </row>
    <row r="536">
      <c r="A536" s="1">
        <f>IFERROR(__xludf.DUMMYFUNCTION("""COMPUTED_VALUE"""),41130.666666666664)</f>
        <v>41130.66667</v>
      </c>
      <c r="B536" s="2">
        <f>IFERROR(__xludf.DUMMYFUNCTION("""COMPUTED_VALUE"""),1.96)</f>
        <v>1.96</v>
      </c>
      <c r="C536" s="3">
        <v>0.359348687142411</v>
      </c>
    </row>
    <row r="537">
      <c r="A537" s="1">
        <f>IFERROR(__xludf.DUMMYFUNCTION("""COMPUTED_VALUE"""),41131.666666666664)</f>
        <v>41131.66667</v>
      </c>
      <c r="B537" s="2">
        <f>IFERROR(__xludf.DUMMYFUNCTION("""COMPUTED_VALUE"""),2.0)</f>
        <v>2</v>
      </c>
      <c r="C537" s="3">
        <v>0.0663158663395488</v>
      </c>
    </row>
    <row r="538">
      <c r="A538" s="1">
        <f>IFERROR(__xludf.DUMMYFUNCTION("""COMPUTED_VALUE"""),41134.666666666664)</f>
        <v>41134.66667</v>
      </c>
      <c r="B538" s="2">
        <f>IFERROR(__xludf.DUMMYFUNCTION("""COMPUTED_VALUE"""),2.08)</f>
        <v>2.08</v>
      </c>
      <c r="C538" s="3">
        <v>3.20973559727395</v>
      </c>
    </row>
    <row r="539">
      <c r="A539" s="1">
        <f>IFERROR(__xludf.DUMMYFUNCTION("""COMPUTED_VALUE"""),41135.666666666664)</f>
        <v>41135.66667</v>
      </c>
      <c r="B539" s="2">
        <f>IFERROR(__xludf.DUMMYFUNCTION("""COMPUTED_VALUE"""),1.96)</f>
        <v>1.96</v>
      </c>
      <c r="C539" s="3">
        <v>3.40233763631053</v>
      </c>
    </row>
    <row r="540">
      <c r="A540" s="1">
        <f>IFERROR(__xludf.DUMMYFUNCTION("""COMPUTED_VALUE"""),41136.666666666664)</f>
        <v>41136.66667</v>
      </c>
      <c r="B540" s="2">
        <f>IFERROR(__xludf.DUMMYFUNCTION("""COMPUTED_VALUE"""),1.96)</f>
        <v>1.96</v>
      </c>
      <c r="C540" s="3">
        <v>3.94147612058692</v>
      </c>
    </row>
    <row r="541">
      <c r="A541" s="1">
        <f>IFERROR(__xludf.DUMMYFUNCTION("""COMPUTED_VALUE"""),41137.666666666664)</f>
        <v>41137.66667</v>
      </c>
      <c r="B541" s="2">
        <f>IFERROR(__xludf.DUMMYFUNCTION("""COMPUTED_VALUE"""),2.02)</f>
        <v>2.02</v>
      </c>
      <c r="C541" s="3">
        <v>3.50317730665644</v>
      </c>
    </row>
    <row r="542">
      <c r="A542" s="1">
        <f>IFERROR(__xludf.DUMMYFUNCTION("""COMPUTED_VALUE"""),41138.666666666664)</f>
        <v>41138.66667</v>
      </c>
      <c r="B542" s="2">
        <f>IFERROR(__xludf.DUMMYFUNCTION("""COMPUTED_VALUE"""),2.0)</f>
        <v>2</v>
      </c>
      <c r="C542" s="3">
        <v>2.98838191640961</v>
      </c>
    </row>
    <row r="543">
      <c r="A543" s="1">
        <f>IFERROR(__xludf.DUMMYFUNCTION("""COMPUTED_VALUE"""),41141.666666666664)</f>
        <v>41141.66667</v>
      </c>
      <c r="B543" s="2">
        <f>IFERROR(__xludf.DUMMYFUNCTION("""COMPUTED_VALUE"""),1.97)</f>
        <v>1.97</v>
      </c>
      <c r="C543" s="3">
        <v>5.30501716037865</v>
      </c>
    </row>
    <row r="544">
      <c r="A544" s="1">
        <f>IFERROR(__xludf.DUMMYFUNCTION("""COMPUTED_VALUE"""),41142.666666666664)</f>
        <v>41142.66667</v>
      </c>
      <c r="B544" s="2">
        <f>IFERROR(__xludf.DUMMYFUNCTION("""COMPUTED_VALUE"""),1.94)</f>
        <v>1.94</v>
      </c>
      <c r="C544" s="3">
        <v>5.20089281924277</v>
      </c>
    </row>
    <row r="545">
      <c r="A545" s="1">
        <f>IFERROR(__xludf.DUMMYFUNCTION("""COMPUTED_VALUE"""),41143.666666666664)</f>
        <v>41143.66667</v>
      </c>
      <c r="B545" s="2">
        <f>IFERROR(__xludf.DUMMYFUNCTION("""COMPUTED_VALUE"""),2.0)</f>
        <v>2</v>
      </c>
      <c r="C545" s="3">
        <v>5.44912067507709</v>
      </c>
    </row>
    <row r="546">
      <c r="A546" s="1">
        <f>IFERROR(__xludf.DUMMYFUNCTION("""COMPUTED_VALUE"""),41144.666666666664)</f>
        <v>41144.66667</v>
      </c>
      <c r="B546" s="2">
        <f>IFERROR(__xludf.DUMMYFUNCTION("""COMPUTED_VALUE"""),2.05)</f>
        <v>2.05</v>
      </c>
      <c r="C546" s="3">
        <v>4.73489928375836</v>
      </c>
    </row>
    <row r="547">
      <c r="A547" s="1">
        <f>IFERROR(__xludf.DUMMYFUNCTION("""COMPUTED_VALUE"""),41145.666666666664)</f>
        <v>41145.66667</v>
      </c>
      <c r="B547" s="2">
        <f>IFERROR(__xludf.DUMMYFUNCTION("""COMPUTED_VALUE"""),1.97)</f>
        <v>1.97</v>
      </c>
      <c r="C547" s="3">
        <v>3.96748235436375</v>
      </c>
    </row>
    <row r="548">
      <c r="A548" s="1">
        <f>IFERROR(__xludf.DUMMYFUNCTION("""COMPUTED_VALUE"""),41148.666666666664)</f>
        <v>41148.66667</v>
      </c>
      <c r="B548" s="2">
        <f>IFERROR(__xludf.DUMMYFUNCTION("""COMPUTED_VALUE"""),1.89)</f>
        <v>1.89</v>
      </c>
      <c r="C548" s="3">
        <v>5.73102664609357</v>
      </c>
    </row>
    <row r="549">
      <c r="A549" s="1">
        <f>IFERROR(__xludf.DUMMYFUNCTION("""COMPUTED_VALUE"""),41149.666666666664)</f>
        <v>41149.66667</v>
      </c>
      <c r="B549" s="2">
        <f>IFERROR(__xludf.DUMMYFUNCTION("""COMPUTED_VALUE"""),1.91)</f>
        <v>1.91</v>
      </c>
      <c r="C549" s="3">
        <v>5.52503711983418</v>
      </c>
    </row>
    <row r="550">
      <c r="A550" s="1">
        <f>IFERROR(__xludf.DUMMYFUNCTION("""COMPUTED_VALUE"""),41150.666666666664)</f>
        <v>41150.66667</v>
      </c>
      <c r="B550" s="2">
        <f>IFERROR(__xludf.DUMMYFUNCTION("""COMPUTED_VALUE"""),1.89)</f>
        <v>1.89</v>
      </c>
      <c r="C550" s="3">
        <v>5.71561531574901</v>
      </c>
    </row>
    <row r="551">
      <c r="A551" s="1">
        <f>IFERROR(__xludf.DUMMYFUNCTION("""COMPUTED_VALUE"""),41151.666666666664)</f>
        <v>41151.66667</v>
      </c>
      <c r="B551" s="2">
        <f>IFERROR(__xludf.DUMMYFUNCTION("""COMPUTED_VALUE"""),1.89)</f>
        <v>1.89</v>
      </c>
      <c r="C551" s="3">
        <v>4.98713431501396</v>
      </c>
    </row>
    <row r="552">
      <c r="A552" s="1">
        <f>IFERROR(__xludf.DUMMYFUNCTION("""COMPUTED_VALUE"""),41152.666666666664)</f>
        <v>41152.66667</v>
      </c>
      <c r="B552" s="2">
        <f>IFERROR(__xludf.DUMMYFUNCTION("""COMPUTED_VALUE"""),1.9)</f>
        <v>1.9</v>
      </c>
      <c r="C552" s="3">
        <v>4.24631807060944</v>
      </c>
    </row>
    <row r="553">
      <c r="A553" s="1">
        <f>IFERROR(__xludf.DUMMYFUNCTION("""COMPUTED_VALUE"""),41156.666666666664)</f>
        <v>41156.66667</v>
      </c>
      <c r="B553" s="2">
        <f>IFERROR(__xludf.DUMMYFUNCTION("""COMPUTED_VALUE"""),1.88)</f>
        <v>1.88</v>
      </c>
      <c r="C553" s="3">
        <v>6.21567712745755</v>
      </c>
    </row>
    <row r="554">
      <c r="A554" s="1">
        <f>IFERROR(__xludf.DUMMYFUNCTION("""COMPUTED_VALUE"""),41157.666666666664)</f>
        <v>41157.66667</v>
      </c>
      <c r="B554" s="2">
        <f>IFERROR(__xludf.DUMMYFUNCTION("""COMPUTED_VALUE"""),1.86)</f>
        <v>1.86</v>
      </c>
      <c r="C554" s="3">
        <v>6.5493999263971</v>
      </c>
    </row>
    <row r="555">
      <c r="A555" s="1">
        <f>IFERROR(__xludf.DUMMYFUNCTION("""COMPUTED_VALUE"""),41158.666666666664)</f>
        <v>41158.66667</v>
      </c>
      <c r="B555" s="2">
        <f>IFERROR(__xludf.DUMMYFUNCTION("""COMPUTED_VALUE"""),1.9)</f>
        <v>1.9</v>
      </c>
      <c r="C555" s="3">
        <v>5.96299003000074</v>
      </c>
    </row>
    <row r="556">
      <c r="A556" s="1">
        <f>IFERROR(__xludf.DUMMYFUNCTION("""COMPUTED_VALUE"""),41159.666666666664)</f>
        <v>41159.66667</v>
      </c>
      <c r="B556" s="2">
        <f>IFERROR(__xludf.DUMMYFUNCTION("""COMPUTED_VALUE"""),1.96)</f>
        <v>1.96</v>
      </c>
      <c r="C556" s="3">
        <v>5.354098154485</v>
      </c>
    </row>
    <row r="557">
      <c r="A557" s="1">
        <f>IFERROR(__xludf.DUMMYFUNCTION("""COMPUTED_VALUE"""),41162.666666666664)</f>
        <v>41162.66667</v>
      </c>
      <c r="B557" s="2">
        <f>IFERROR(__xludf.DUMMYFUNCTION("""COMPUTED_VALUE"""),1.82)</f>
        <v>1.82</v>
      </c>
      <c r="C557" s="3">
        <v>7.64382191958222</v>
      </c>
    </row>
    <row r="558">
      <c r="A558" s="1">
        <f>IFERROR(__xludf.DUMMYFUNCTION("""COMPUTED_VALUE"""),41163.666666666664)</f>
        <v>41163.66667</v>
      </c>
      <c r="B558" s="2">
        <f>IFERROR(__xludf.DUMMYFUNCTION("""COMPUTED_VALUE"""),1.85)</f>
        <v>1.85</v>
      </c>
      <c r="C558" s="3">
        <v>7.58314288542368</v>
      </c>
    </row>
    <row r="559">
      <c r="A559" s="1">
        <f>IFERROR(__xludf.DUMMYFUNCTION("""COMPUTED_VALUE"""),41164.666666666664)</f>
        <v>41164.66667</v>
      </c>
      <c r="B559" s="2">
        <f>IFERROR(__xludf.DUMMYFUNCTION("""COMPUTED_VALUE"""),1.89)</f>
        <v>1.89</v>
      </c>
      <c r="C559" s="3">
        <v>7.88115815122894</v>
      </c>
    </row>
    <row r="560">
      <c r="A560" s="1">
        <f>IFERROR(__xludf.DUMMYFUNCTION("""COMPUTED_VALUE"""),41165.666666666664)</f>
        <v>41165.66667</v>
      </c>
      <c r="B560" s="2">
        <f>IFERROR(__xludf.DUMMYFUNCTION("""COMPUTED_VALUE"""),1.97)</f>
        <v>1.97</v>
      </c>
      <c r="C560" s="3">
        <v>7.21002649125844</v>
      </c>
    </row>
    <row r="561">
      <c r="A561" s="1">
        <f>IFERROR(__xludf.DUMMYFUNCTION("""COMPUTED_VALUE"""),41166.666666666664)</f>
        <v>41166.66667</v>
      </c>
      <c r="B561" s="2">
        <f>IFERROR(__xludf.DUMMYFUNCTION("""COMPUTED_VALUE"""),2.03)</f>
        <v>2.03</v>
      </c>
      <c r="C561" s="3">
        <v>6.46593635029004</v>
      </c>
    </row>
    <row r="562">
      <c r="A562" s="1">
        <f>IFERROR(__xludf.DUMMYFUNCTION("""COMPUTED_VALUE"""),41169.666666666664)</f>
        <v>41169.66667</v>
      </c>
      <c r="B562" s="2">
        <f>IFERROR(__xludf.DUMMYFUNCTION("""COMPUTED_VALUE"""),2.17)</f>
        <v>2.17</v>
      </c>
      <c r="C562" s="3">
        <v>8.0609440641102</v>
      </c>
    </row>
    <row r="563">
      <c r="A563" s="1">
        <f>IFERROR(__xludf.DUMMYFUNCTION("""COMPUTED_VALUE"""),41170.666666666664)</f>
        <v>41170.66667</v>
      </c>
      <c r="B563" s="2">
        <f>IFERROR(__xludf.DUMMYFUNCTION("""COMPUTED_VALUE"""),2.09)</f>
        <v>2.09</v>
      </c>
      <c r="C563" s="3">
        <v>7.68637847932401</v>
      </c>
    </row>
    <row r="564">
      <c r="A564" s="1">
        <f>IFERROR(__xludf.DUMMYFUNCTION("""COMPUTED_VALUE"""),41171.666666666664)</f>
        <v>41171.66667</v>
      </c>
      <c r="B564" s="2">
        <f>IFERROR(__xludf.DUMMYFUNCTION("""COMPUTED_VALUE"""),2.07)</f>
        <v>2.07</v>
      </c>
      <c r="C564" s="3">
        <v>7.6408476488099</v>
      </c>
    </row>
    <row r="565">
      <c r="A565" s="1">
        <f>IFERROR(__xludf.DUMMYFUNCTION("""COMPUTED_VALUE"""),41172.666666666664)</f>
        <v>41172.66667</v>
      </c>
      <c r="B565" s="2">
        <f>IFERROR(__xludf.DUMMYFUNCTION("""COMPUTED_VALUE"""),2.06)</f>
        <v>2.06</v>
      </c>
      <c r="C565" s="3">
        <v>6.6057614647234</v>
      </c>
    </row>
    <row r="566">
      <c r="A566" s="1">
        <f>IFERROR(__xludf.DUMMYFUNCTION("""COMPUTED_VALUE"""),41173.666666666664)</f>
        <v>41173.66667</v>
      </c>
      <c r="B566" s="2">
        <f>IFERROR(__xludf.DUMMYFUNCTION("""COMPUTED_VALUE"""),2.0)</f>
        <v>2</v>
      </c>
      <c r="C566" s="3">
        <v>5.48780809480111</v>
      </c>
    </row>
    <row r="567">
      <c r="A567" s="1">
        <f>IFERROR(__xludf.DUMMYFUNCTION("""COMPUTED_VALUE"""),41176.666666666664)</f>
        <v>41176.66667</v>
      </c>
      <c r="B567" s="2">
        <f>IFERROR(__xludf.DUMMYFUNCTION("""COMPUTED_VALUE"""),2.04)</f>
        <v>2.04</v>
      </c>
      <c r="C567" s="3">
        <v>6.01916718092118</v>
      </c>
    </row>
    <row r="568">
      <c r="A568" s="1">
        <f>IFERROR(__xludf.DUMMYFUNCTION("""COMPUTED_VALUE"""),41177.666666666664)</f>
        <v>41177.66667</v>
      </c>
      <c r="B568" s="2">
        <f>IFERROR(__xludf.DUMMYFUNCTION("""COMPUTED_VALUE"""),1.84)</f>
        <v>1.84</v>
      </c>
      <c r="C568" s="3">
        <v>5.35023286090228</v>
      </c>
    </row>
    <row r="569">
      <c r="A569" s="1">
        <f>IFERROR(__xludf.DUMMYFUNCTION("""COMPUTED_VALUE"""),41178.666666666664)</f>
        <v>41178.66667</v>
      </c>
      <c r="B569" s="2">
        <f>IFERROR(__xludf.DUMMYFUNCTION("""COMPUTED_VALUE"""),1.84)</f>
        <v>1.84</v>
      </c>
      <c r="C569" s="3">
        <v>5.06044533388719</v>
      </c>
    </row>
    <row r="570">
      <c r="A570" s="1">
        <f>IFERROR(__xludf.DUMMYFUNCTION("""COMPUTED_VALUE"""),41179.666666666664)</f>
        <v>41179.66667</v>
      </c>
      <c r="B570" s="2">
        <f>IFERROR(__xludf.DUMMYFUNCTION("""COMPUTED_VALUE"""),1.9)</f>
        <v>1.9</v>
      </c>
      <c r="C570" s="3">
        <v>3.86822380455124</v>
      </c>
    </row>
    <row r="571">
      <c r="A571" s="1">
        <f>IFERROR(__xludf.DUMMYFUNCTION("""COMPUTED_VALUE"""),41180.666666666664)</f>
        <v>41180.66667</v>
      </c>
      <c r="B571" s="2">
        <f>IFERROR(__xludf.DUMMYFUNCTION("""COMPUTED_VALUE"""),1.95)</f>
        <v>1.95</v>
      </c>
      <c r="C571" s="3">
        <v>2.66404086469688</v>
      </c>
    </row>
    <row r="572">
      <c r="A572" s="1">
        <f>IFERROR(__xludf.DUMMYFUNCTION("""COMPUTED_VALUE"""),41183.666666666664)</f>
        <v>41183.66667</v>
      </c>
      <c r="B572" s="2">
        <f>IFERROR(__xludf.DUMMYFUNCTION("""COMPUTED_VALUE"""),1.94)</f>
        <v>1.94</v>
      </c>
      <c r="C572" s="3">
        <v>3.43596757953422</v>
      </c>
    </row>
    <row r="573">
      <c r="A573" s="1">
        <f>IFERROR(__xludf.DUMMYFUNCTION("""COMPUTED_VALUE"""),41184.666666666664)</f>
        <v>41184.66667</v>
      </c>
      <c r="B573" s="2">
        <f>IFERROR(__xludf.DUMMYFUNCTION("""COMPUTED_VALUE"""),1.99)</f>
        <v>1.99</v>
      </c>
      <c r="C573" s="3">
        <v>3.02840117458751</v>
      </c>
    </row>
    <row r="574">
      <c r="A574" s="1">
        <f>IFERROR(__xludf.DUMMYFUNCTION("""COMPUTED_VALUE"""),41185.666666666664)</f>
        <v>41185.66667</v>
      </c>
      <c r="B574" s="2">
        <f>IFERROR(__xludf.DUMMYFUNCTION("""COMPUTED_VALUE"""),1.95)</f>
        <v>1.95</v>
      </c>
      <c r="C574" s="3">
        <v>3.09239146771631</v>
      </c>
    </row>
    <row r="575">
      <c r="A575" s="1">
        <f>IFERROR(__xludf.DUMMYFUNCTION("""COMPUTED_VALUE"""),41186.666666666664)</f>
        <v>41186.66667</v>
      </c>
      <c r="B575" s="2">
        <f>IFERROR(__xludf.DUMMYFUNCTION("""COMPUTED_VALUE"""),1.96)</f>
        <v>1.96</v>
      </c>
      <c r="C575" s="3">
        <v>2.31788232509771</v>
      </c>
    </row>
    <row r="576">
      <c r="A576" s="1">
        <f>IFERROR(__xludf.DUMMYFUNCTION("""COMPUTED_VALUE"""),41187.666666666664)</f>
        <v>41187.66667</v>
      </c>
      <c r="B576" s="2">
        <f>IFERROR(__xludf.DUMMYFUNCTION("""COMPUTED_VALUE"""),1.93)</f>
        <v>1.93</v>
      </c>
      <c r="C576" s="3">
        <v>1.61653267817159</v>
      </c>
    </row>
    <row r="577">
      <c r="A577" s="1">
        <f>IFERROR(__xludf.DUMMYFUNCTION("""COMPUTED_VALUE"""),41190.666666666664)</f>
        <v>41190.66667</v>
      </c>
      <c r="B577" s="2">
        <f>IFERROR(__xludf.DUMMYFUNCTION("""COMPUTED_VALUE"""),1.95)</f>
        <v>1.95</v>
      </c>
      <c r="C577" s="3">
        <v>4.32572392274872</v>
      </c>
    </row>
    <row r="578">
      <c r="A578" s="1">
        <f>IFERROR(__xludf.DUMMYFUNCTION("""COMPUTED_VALUE"""),41191.666666666664)</f>
        <v>41191.66667</v>
      </c>
      <c r="B578" s="2">
        <f>IFERROR(__xludf.DUMMYFUNCTION("""COMPUTED_VALUE"""),1.89)</f>
        <v>1.89</v>
      </c>
      <c r="C578" s="3">
        <v>4.66961537835822</v>
      </c>
    </row>
    <row r="579">
      <c r="A579" s="1">
        <f>IFERROR(__xludf.DUMMYFUNCTION("""COMPUTED_VALUE"""),41192.666666666664)</f>
        <v>41192.66667</v>
      </c>
      <c r="B579" s="2">
        <f>IFERROR(__xludf.DUMMYFUNCTION("""COMPUTED_VALUE"""),1.89)</f>
        <v>1.89</v>
      </c>
      <c r="C579" s="3">
        <v>5.51528078605072</v>
      </c>
    </row>
    <row r="580">
      <c r="A580" s="1">
        <f>IFERROR(__xludf.DUMMYFUNCTION("""COMPUTED_VALUE"""),41193.666666666664)</f>
        <v>41193.66667</v>
      </c>
      <c r="B580" s="2">
        <f>IFERROR(__xludf.DUMMYFUNCTION("""COMPUTED_VALUE"""),1.89)</f>
        <v>1.89</v>
      </c>
      <c r="C580" s="3">
        <v>5.5373605655044</v>
      </c>
    </row>
    <row r="581">
      <c r="A581" s="1">
        <f>IFERROR(__xludf.DUMMYFUNCTION("""COMPUTED_VALUE"""),41194.666666666664)</f>
        <v>41194.66667</v>
      </c>
      <c r="B581" s="2">
        <f>IFERROR(__xludf.DUMMYFUNCTION("""COMPUTED_VALUE"""),1.84)</f>
        <v>1.84</v>
      </c>
      <c r="C581" s="3">
        <v>5.63159328557218</v>
      </c>
    </row>
    <row r="582">
      <c r="A582" s="1">
        <f>IFERROR(__xludf.DUMMYFUNCTION("""COMPUTED_VALUE"""),41197.666666666664)</f>
        <v>41197.66667</v>
      </c>
      <c r="B582" s="2">
        <f>IFERROR(__xludf.DUMMYFUNCTION("""COMPUTED_VALUE"""),1.82)</f>
        <v>1.82</v>
      </c>
      <c r="C582" s="3">
        <v>10.5617426508121</v>
      </c>
    </row>
    <row r="583">
      <c r="A583" s="1">
        <f>IFERROR(__xludf.DUMMYFUNCTION("""COMPUTED_VALUE"""),41198.666666666664)</f>
        <v>41198.66667</v>
      </c>
      <c r="B583" s="2">
        <f>IFERROR(__xludf.DUMMYFUNCTION("""COMPUTED_VALUE"""),1.87)</f>
        <v>1.87</v>
      </c>
      <c r="C583" s="3">
        <v>11.5401853126118</v>
      </c>
    </row>
    <row r="584">
      <c r="A584" s="1">
        <f>IFERROR(__xludf.DUMMYFUNCTION("""COMPUTED_VALUE"""),41199.666666666664)</f>
        <v>41199.66667</v>
      </c>
      <c r="B584" s="2">
        <f>IFERROR(__xludf.DUMMYFUNCTION("""COMPUTED_VALUE"""),1.92)</f>
        <v>1.92</v>
      </c>
      <c r="C584" s="3">
        <v>12.9450412228793</v>
      </c>
    </row>
    <row r="585">
      <c r="A585" s="1">
        <f>IFERROR(__xludf.DUMMYFUNCTION("""COMPUTED_VALUE"""),41200.666666666664)</f>
        <v>41200.66667</v>
      </c>
      <c r="B585" s="2">
        <f>IFERROR(__xludf.DUMMYFUNCTION("""COMPUTED_VALUE"""),1.87)</f>
        <v>1.87</v>
      </c>
      <c r="C585" s="3">
        <v>13.4398950259277</v>
      </c>
    </row>
    <row r="586">
      <c r="A586" s="1">
        <f>IFERROR(__xludf.DUMMYFUNCTION("""COMPUTED_VALUE"""),41201.666666666664)</f>
        <v>41201.66667</v>
      </c>
      <c r="B586" s="2">
        <f>IFERROR(__xludf.DUMMYFUNCTION("""COMPUTED_VALUE"""),1.85)</f>
        <v>1.85</v>
      </c>
      <c r="C586" s="3">
        <v>13.9114820710111</v>
      </c>
    </row>
    <row r="587">
      <c r="A587" s="1">
        <f>IFERROR(__xludf.DUMMYFUNCTION("""COMPUTED_VALUE"""),41204.666666666664)</f>
        <v>41204.66667</v>
      </c>
      <c r="B587" s="2">
        <f>IFERROR(__xludf.DUMMYFUNCTION("""COMPUTED_VALUE"""),1.86)</f>
        <v>1.86</v>
      </c>
      <c r="C587" s="3">
        <v>19.3464792707711</v>
      </c>
    </row>
    <row r="588">
      <c r="A588" s="1">
        <f>IFERROR(__xludf.DUMMYFUNCTION("""COMPUTED_VALUE"""),41205.666666666664)</f>
        <v>41205.66667</v>
      </c>
      <c r="B588" s="2">
        <f>IFERROR(__xludf.DUMMYFUNCTION("""COMPUTED_VALUE"""),1.89)</f>
        <v>1.89</v>
      </c>
      <c r="C588" s="3">
        <v>20.2785812005656</v>
      </c>
    </row>
    <row r="589">
      <c r="A589" s="1">
        <f>IFERROR(__xludf.DUMMYFUNCTION("""COMPUTED_VALUE"""),41206.666666666664)</f>
        <v>41206.66667</v>
      </c>
      <c r="B589" s="2">
        <f>IFERROR(__xludf.DUMMYFUNCTION("""COMPUTED_VALUE"""),1.83)</f>
        <v>1.83</v>
      </c>
      <c r="C589" s="3">
        <v>21.5334710617426</v>
      </c>
    </row>
    <row r="590">
      <c r="A590" s="1">
        <f>IFERROR(__xludf.DUMMYFUNCTION("""COMPUTED_VALUE"""),41207.666666666664)</f>
        <v>41207.66667</v>
      </c>
      <c r="B590" s="2">
        <f>IFERROR(__xludf.DUMMYFUNCTION("""COMPUTED_VALUE"""),1.83)</f>
        <v>1.83</v>
      </c>
      <c r="C590" s="3">
        <v>21.7806937420729</v>
      </c>
    </row>
    <row r="591">
      <c r="A591" s="1">
        <f>IFERROR(__xludf.DUMMYFUNCTION("""COMPUTED_VALUE"""),41208.666666666664)</f>
        <v>41208.66667</v>
      </c>
      <c r="B591" s="2">
        <f>IFERROR(__xludf.DUMMYFUNCTION("""COMPUTED_VALUE"""),1.83)</f>
        <v>1.83</v>
      </c>
      <c r="C591" s="3">
        <v>21.9152266045937</v>
      </c>
    </row>
    <row r="592">
      <c r="A592" s="1">
        <f>IFERROR(__xludf.DUMMYFUNCTION("""COMPUTED_VALUE"""),41213.666666666664)</f>
        <v>41213.66667</v>
      </c>
      <c r="B592" s="2">
        <f>IFERROR(__xludf.DUMMYFUNCTION("""COMPUTED_VALUE"""),1.88)</f>
        <v>1.88</v>
      </c>
      <c r="C592" s="3">
        <v>26.9238305855844</v>
      </c>
    </row>
    <row r="593">
      <c r="A593" s="1">
        <f>IFERROR(__xludf.DUMMYFUNCTION("""COMPUTED_VALUE"""),41214.666666666664)</f>
        <v>41214.66667</v>
      </c>
      <c r="B593" s="2">
        <f>IFERROR(__xludf.DUMMYFUNCTION("""COMPUTED_VALUE"""),1.95)</f>
        <v>1.95</v>
      </c>
      <c r="C593" s="3">
        <v>26.561415559488</v>
      </c>
    </row>
    <row r="594">
      <c r="A594" s="1">
        <f>IFERROR(__xludf.DUMMYFUNCTION("""COMPUTED_VALUE"""),41215.666666666664)</f>
        <v>41215.66667</v>
      </c>
      <c r="B594" s="2">
        <f>IFERROR(__xludf.DUMMYFUNCTION("""COMPUTED_VALUE"""),1.93)</f>
        <v>1.93</v>
      </c>
      <c r="C594" s="3">
        <v>26.0921525701146</v>
      </c>
    </row>
    <row r="595">
      <c r="A595" s="1">
        <f>IFERROR(__xludf.DUMMYFUNCTION("""COMPUTED_VALUE"""),41218.666666666664)</f>
        <v>41218.66667</v>
      </c>
      <c r="B595" s="2">
        <f>IFERROR(__xludf.DUMMYFUNCTION("""COMPUTED_VALUE"""),2.1)</f>
        <v>2.1</v>
      </c>
      <c r="C595" s="3">
        <v>28.4508436114131</v>
      </c>
    </row>
    <row r="596">
      <c r="A596" s="1">
        <f>IFERROR(__xludf.DUMMYFUNCTION("""COMPUTED_VALUE"""),41219.666666666664)</f>
        <v>41219.66667</v>
      </c>
      <c r="B596" s="2">
        <f>IFERROR(__xludf.DUMMYFUNCTION("""COMPUTED_VALUE"""),2.08)</f>
        <v>2.08</v>
      </c>
      <c r="C596" s="3">
        <v>28.3559419824928</v>
      </c>
    </row>
    <row r="597">
      <c r="A597" s="1">
        <f>IFERROR(__xludf.DUMMYFUNCTION("""COMPUTED_VALUE"""),41220.666666666664)</f>
        <v>41220.66667</v>
      </c>
      <c r="B597" s="2">
        <f>IFERROR(__xludf.DUMMYFUNCTION("""COMPUTED_VALUE"""),2.1)</f>
        <v>2.1</v>
      </c>
      <c r="C597" s="3">
        <v>28.622322968627</v>
      </c>
    </row>
    <row r="598">
      <c r="A598" s="1">
        <f>IFERROR(__xludf.DUMMYFUNCTION("""COMPUTED_VALUE"""),41221.666666666664)</f>
        <v>41221.66667</v>
      </c>
      <c r="B598" s="2">
        <f>IFERROR(__xludf.DUMMYFUNCTION("""COMPUTED_VALUE"""),2.09)</f>
        <v>2.09</v>
      </c>
      <c r="C598" s="3">
        <v>27.9403739363118</v>
      </c>
    </row>
    <row r="599">
      <c r="A599" s="1">
        <f>IFERROR(__xludf.DUMMYFUNCTION("""COMPUTED_VALUE"""),41222.666666666664)</f>
        <v>41222.66667</v>
      </c>
      <c r="B599" s="2">
        <f>IFERROR(__xludf.DUMMYFUNCTION("""COMPUTED_VALUE"""),2.02)</f>
        <v>2.02</v>
      </c>
      <c r="C599" s="3">
        <v>27.2232756749863</v>
      </c>
    </row>
    <row r="600">
      <c r="A600" s="1">
        <f>IFERROR(__xludf.DUMMYFUNCTION("""COMPUTED_VALUE"""),41225.666666666664)</f>
        <v>41225.66667</v>
      </c>
      <c r="B600" s="2">
        <f>IFERROR(__xludf.DUMMYFUNCTION("""COMPUTED_VALUE"""),2.07)</f>
        <v>2.07</v>
      </c>
      <c r="C600" s="3">
        <v>29.2650557204306</v>
      </c>
    </row>
    <row r="601">
      <c r="A601" s="1">
        <f>IFERROR(__xludf.DUMMYFUNCTION("""COMPUTED_VALUE"""),41226.666666666664)</f>
        <v>41226.66667</v>
      </c>
      <c r="B601" s="2">
        <f>IFERROR(__xludf.DUMMYFUNCTION("""COMPUTED_VALUE"""),2.11)</f>
        <v>2.11</v>
      </c>
      <c r="C601" s="3">
        <v>29.1937885388401</v>
      </c>
    </row>
    <row r="602">
      <c r="A602" s="1">
        <f>IFERROR(__xludf.DUMMYFUNCTION("""COMPUTED_VALUE"""),41227.666666666664)</f>
        <v>41227.66667</v>
      </c>
      <c r="B602" s="2">
        <f>IFERROR(__xludf.DUMMYFUNCTION("""COMPUTED_VALUE"""),2.09)</f>
        <v>2.09</v>
      </c>
      <c r="C602" s="3">
        <v>29.5366540270798</v>
      </c>
    </row>
    <row r="603">
      <c r="A603" s="1">
        <f>IFERROR(__xludf.DUMMYFUNCTION("""COMPUTED_VALUE"""),41228.666666666664)</f>
        <v>41228.66667</v>
      </c>
      <c r="B603" s="2">
        <f>IFERROR(__xludf.DUMMYFUNCTION("""COMPUTED_VALUE"""),2.05)</f>
        <v>2.05</v>
      </c>
      <c r="C603" s="3">
        <v>28.9742832006125</v>
      </c>
    </row>
    <row r="604">
      <c r="A604" s="1">
        <f>IFERROR(__xludf.DUMMYFUNCTION("""COMPUTED_VALUE"""),41229.666666666664)</f>
        <v>41229.66667</v>
      </c>
      <c r="B604" s="2">
        <f>IFERROR(__xludf.DUMMYFUNCTION("""COMPUTED_VALUE"""),2.12)</f>
        <v>2.12</v>
      </c>
      <c r="C604" s="3">
        <v>28.4087549448587</v>
      </c>
    </row>
    <row r="605">
      <c r="A605" s="1">
        <f>IFERROR(__xludf.DUMMYFUNCTION("""COMPUTED_VALUE"""),41232.666666666664)</f>
        <v>41232.66667</v>
      </c>
      <c r="B605" s="2">
        <f>IFERROR(__xludf.DUMMYFUNCTION("""COMPUTED_VALUE"""),2.19)</f>
        <v>2.19</v>
      </c>
      <c r="C605" s="3">
        <v>30.9741132648244</v>
      </c>
    </row>
    <row r="606">
      <c r="A606" s="1">
        <f>IFERROR(__xludf.DUMMYFUNCTION("""COMPUTED_VALUE"""),41233.666666666664)</f>
        <v>41233.66667</v>
      </c>
      <c r="B606" s="2">
        <f>IFERROR(__xludf.DUMMYFUNCTION("""COMPUTED_VALUE"""),2.2)</f>
        <v>2.2</v>
      </c>
      <c r="C606" s="3">
        <v>31.0582058861707</v>
      </c>
    </row>
    <row r="607">
      <c r="A607" s="1">
        <f>IFERROR(__xludf.DUMMYFUNCTION("""COMPUTED_VALUE"""),41234.666666666664)</f>
        <v>41234.66667</v>
      </c>
      <c r="B607" s="2">
        <f>IFERROR(__xludf.DUMMYFUNCTION("""COMPUTED_VALUE"""),2.16)</f>
        <v>2.16</v>
      </c>
      <c r="C607" s="3">
        <v>31.526736510813</v>
      </c>
    </row>
    <row r="608">
      <c r="A608" s="1">
        <f>IFERROR(__xludf.DUMMYFUNCTION("""COMPUTED_VALUE"""),41236.666666666664)</f>
        <v>41236.66667</v>
      </c>
      <c r="B608" s="2">
        <f>IFERROR(__xludf.DUMMYFUNCTION("""COMPUTED_VALUE"""),2.14)</f>
        <v>2.14</v>
      </c>
      <c r="C608" s="3">
        <v>30.5200767949865</v>
      </c>
    </row>
    <row r="609">
      <c r="A609" s="1">
        <f>IFERROR(__xludf.DUMMYFUNCTION("""COMPUTED_VALUE"""),41239.666666666664)</f>
        <v>41239.66667</v>
      </c>
      <c r="B609" s="2">
        <f>IFERROR(__xludf.DUMMYFUNCTION("""COMPUTED_VALUE"""),2.15)</f>
        <v>2.15</v>
      </c>
      <c r="C609" s="3">
        <v>32.8339640966308</v>
      </c>
    </row>
    <row r="610">
      <c r="A610" s="1">
        <f>IFERROR(__xludf.DUMMYFUNCTION("""COMPUTED_VALUE"""),41240.666666666664)</f>
        <v>41240.66667</v>
      </c>
      <c r="B610" s="2">
        <f>IFERROR(__xludf.DUMMYFUNCTION("""COMPUTED_VALUE"""),2.14)</f>
        <v>2.14</v>
      </c>
      <c r="C610" s="3">
        <v>32.7049163653571</v>
      </c>
    </row>
    <row r="611">
      <c r="A611" s="1">
        <f>IFERROR(__xludf.DUMMYFUNCTION("""COMPUTED_VALUE"""),41241.666666666664)</f>
        <v>41241.66667</v>
      </c>
      <c r="B611" s="2">
        <f>IFERROR(__xludf.DUMMYFUNCTION("""COMPUTED_VALUE"""),2.22)</f>
        <v>2.22</v>
      </c>
      <c r="C611" s="3">
        <v>32.8969339136345</v>
      </c>
    </row>
    <row r="612">
      <c r="A612" s="1">
        <f>IFERROR(__xludf.DUMMYFUNCTION("""COMPUTED_VALUE"""),41242.666666666664)</f>
        <v>41242.66667</v>
      </c>
      <c r="B612" s="2">
        <f>IFERROR(__xludf.DUMMYFUNCTION("""COMPUTED_VALUE"""),2.25)</f>
        <v>2.25</v>
      </c>
      <c r="C612" s="3">
        <v>32.0845209902173</v>
      </c>
    </row>
    <row r="613">
      <c r="A613" s="1">
        <f>IFERROR(__xludf.DUMMYFUNCTION("""COMPUTED_VALUE"""),41243.666666666664)</f>
        <v>41243.66667</v>
      </c>
      <c r="B613" s="2">
        <f>IFERROR(__xludf.DUMMYFUNCTION("""COMPUTED_VALUE"""),2.25)</f>
        <v>2.25</v>
      </c>
      <c r="C613" s="3">
        <v>31.1675145846076</v>
      </c>
    </row>
    <row r="614">
      <c r="A614" s="1">
        <f>IFERROR(__xludf.DUMMYFUNCTION("""COMPUTED_VALUE"""),41246.666666666664)</f>
        <v>41246.66667</v>
      </c>
      <c r="B614" s="2">
        <f>IFERROR(__xludf.DUMMYFUNCTION("""COMPUTED_VALUE"""),2.31)</f>
        <v>2.31</v>
      </c>
      <c r="C614" s="3">
        <v>32.1080811853443</v>
      </c>
    </row>
    <row r="615">
      <c r="A615" s="1">
        <f>IFERROR(__xludf.DUMMYFUNCTION("""COMPUTED_VALUE"""),41247.666666666664)</f>
        <v>41247.66667</v>
      </c>
      <c r="B615" s="2">
        <f>IFERROR(__xludf.DUMMYFUNCTION("""COMPUTED_VALUE"""),2.26)</f>
        <v>2.26</v>
      </c>
      <c r="C615" s="3">
        <v>31.4930500404655</v>
      </c>
    </row>
    <row r="616">
      <c r="A616" s="1">
        <f>IFERROR(__xludf.DUMMYFUNCTION("""COMPUTED_VALUE"""),41248.666666666664)</f>
        <v>41248.66667</v>
      </c>
      <c r="B616" s="2">
        <f>IFERROR(__xludf.DUMMYFUNCTION("""COMPUTED_VALUE"""),2.25)</f>
        <v>2.25</v>
      </c>
      <c r="C616" s="3">
        <v>31.2091260709794</v>
      </c>
    </row>
    <row r="617">
      <c r="A617" s="1">
        <f>IFERROR(__xludf.DUMMYFUNCTION("""COMPUTED_VALUE"""),41249.666666666664)</f>
        <v>41249.66667</v>
      </c>
      <c r="B617" s="2">
        <f>IFERROR(__xludf.DUMMYFUNCTION("""COMPUTED_VALUE"""),2.26)</f>
        <v>2.26</v>
      </c>
      <c r="C617" s="3">
        <v>29.9462509677416</v>
      </c>
    </row>
    <row r="618">
      <c r="A618" s="1">
        <f>IFERROR(__xludf.DUMMYFUNCTION("""COMPUTED_VALUE"""),41250.666666666664)</f>
        <v>41250.66667</v>
      </c>
      <c r="B618" s="2">
        <f>IFERROR(__xludf.DUMMYFUNCTION("""COMPUTED_VALUE"""),2.28)</f>
        <v>2.28</v>
      </c>
      <c r="C618" s="3">
        <v>28.6196895611956</v>
      </c>
    </row>
    <row r="619">
      <c r="A619" s="1">
        <f>IFERROR(__xludf.DUMMYFUNCTION("""COMPUTED_VALUE"""),41253.666666666664)</f>
        <v>41253.66667</v>
      </c>
      <c r="B619" s="2">
        <f>IFERROR(__xludf.DUMMYFUNCTION("""COMPUTED_VALUE"""),2.3)</f>
        <v>2.3</v>
      </c>
      <c r="C619" s="3">
        <v>28.7212305979627</v>
      </c>
    </row>
    <row r="620">
      <c r="A620" s="1">
        <f>IFERROR(__xludf.DUMMYFUNCTION("""COMPUTED_VALUE"""),41254.666666666664)</f>
        <v>41254.66667</v>
      </c>
      <c r="B620" s="2">
        <f>IFERROR(__xludf.DUMMYFUNCTION("""COMPUTED_VALUE"""),2.35)</f>
        <v>2.35</v>
      </c>
      <c r="C620" s="3">
        <v>27.9979190516394</v>
      </c>
    </row>
    <row r="621">
      <c r="A621" s="1">
        <f>IFERROR(__xludf.DUMMYFUNCTION("""COMPUTED_VALUE"""),41255.666666666664)</f>
        <v>41255.66667</v>
      </c>
      <c r="B621" s="2">
        <f>IFERROR(__xludf.DUMMYFUNCTION("""COMPUTED_VALUE"""),2.35)</f>
        <v>2.35</v>
      </c>
      <c r="C621" s="3">
        <v>27.7074421286567</v>
      </c>
    </row>
    <row r="622">
      <c r="A622" s="1">
        <f>IFERROR(__xludf.DUMMYFUNCTION("""COMPUTED_VALUE"""),41256.666666666664)</f>
        <v>41256.66667</v>
      </c>
      <c r="B622" s="2">
        <f>IFERROR(__xludf.DUMMYFUNCTION("""COMPUTED_VALUE"""),2.24)</f>
        <v>2.24</v>
      </c>
      <c r="C622" s="3">
        <v>26.545782699026</v>
      </c>
    </row>
    <row r="623">
      <c r="A623" s="1">
        <f>IFERROR(__xludf.DUMMYFUNCTION("""COMPUTED_VALUE"""),41257.666666666664)</f>
        <v>41257.66667</v>
      </c>
      <c r="B623" s="2">
        <f>IFERROR(__xludf.DUMMYFUNCTION("""COMPUTED_VALUE"""),2.25)</f>
        <v>2.25</v>
      </c>
      <c r="C623" s="3">
        <v>25.4314824109177</v>
      </c>
    </row>
    <row r="624">
      <c r="A624" s="1">
        <f>IFERROR(__xludf.DUMMYFUNCTION("""COMPUTED_VALUE"""),41260.666666666664)</f>
        <v>41260.66667</v>
      </c>
      <c r="B624" s="2">
        <f>IFERROR(__xludf.DUMMYFUNCTION("""COMPUTED_VALUE"""),2.29)</f>
        <v>2.29</v>
      </c>
      <c r="C624" s="3">
        <v>26.8242875418722</v>
      </c>
    </row>
    <row r="625">
      <c r="A625" s="1">
        <f>IFERROR(__xludf.DUMMYFUNCTION("""COMPUTED_VALUE"""),41261.666666666664)</f>
        <v>41261.66667</v>
      </c>
      <c r="B625" s="2">
        <f>IFERROR(__xludf.DUMMYFUNCTION("""COMPUTED_VALUE"""),2.31)</f>
        <v>2.31</v>
      </c>
      <c r="C625" s="3">
        <v>26.7305155285203</v>
      </c>
    </row>
    <row r="626">
      <c r="A626" s="1">
        <f>IFERROR(__xludf.DUMMYFUNCTION("""COMPUTED_VALUE"""),41262.666666666664)</f>
        <v>41262.66667</v>
      </c>
      <c r="B626" s="2">
        <f>IFERROR(__xludf.DUMMYFUNCTION("""COMPUTED_VALUE"""),2.31)</f>
        <v>2.31</v>
      </c>
      <c r="C626" s="3">
        <v>27.1523299202797</v>
      </c>
    </row>
    <row r="627">
      <c r="A627" s="1">
        <f>IFERROR(__xludf.DUMMYFUNCTION("""COMPUTED_VALUE"""),41263.666666666664)</f>
        <v>41263.66667</v>
      </c>
      <c r="B627" s="2">
        <f>IFERROR(__xludf.DUMMYFUNCTION("""COMPUTED_VALUE"""),2.3)</f>
        <v>2.3</v>
      </c>
      <c r="C627" s="3">
        <v>26.7716543046977</v>
      </c>
    </row>
    <row r="628">
      <c r="A628" s="1">
        <f>IFERROR(__xludf.DUMMYFUNCTION("""COMPUTED_VALUE"""),41264.666666666664)</f>
        <v>41264.66667</v>
      </c>
      <c r="B628" s="2">
        <f>IFERROR(__xludf.DUMMYFUNCTION("""COMPUTED_VALUE"""),2.27)</f>
        <v>2.27</v>
      </c>
      <c r="C628" s="3">
        <v>26.4907326181619</v>
      </c>
    </row>
    <row r="629">
      <c r="A629" s="1">
        <f>IFERROR(__xludf.DUMMYFUNCTION("""COMPUTED_VALUE"""),41267.666666666664)</f>
        <v>41267.66667</v>
      </c>
      <c r="B629" s="2">
        <f>IFERROR(__xludf.DUMMYFUNCTION("""COMPUTED_VALUE"""),2.29)</f>
        <v>2.29</v>
      </c>
      <c r="C629" s="3">
        <v>30.5100041391225</v>
      </c>
    </row>
    <row r="630">
      <c r="A630" s="1">
        <f>IFERROR(__xludf.DUMMYFUNCTION("""COMPUTED_VALUE"""),41269.666666666664)</f>
        <v>41269.66667</v>
      </c>
      <c r="B630" s="2">
        <f>IFERROR(__xludf.DUMMYFUNCTION("""COMPUTED_VALUE"""),2.24)</f>
        <v>2.24</v>
      </c>
      <c r="C630" s="3">
        <v>32.4904228445825</v>
      </c>
    </row>
    <row r="631">
      <c r="A631" s="1">
        <f>IFERROR(__xludf.DUMMYFUNCTION("""COMPUTED_VALUE"""),41270.666666666664)</f>
        <v>41270.66667</v>
      </c>
      <c r="B631" s="2">
        <f>IFERROR(__xludf.DUMMYFUNCTION("""COMPUTED_VALUE"""),2.25)</f>
        <v>2.25</v>
      </c>
      <c r="C631" s="3">
        <v>32.8448388738592</v>
      </c>
    </row>
    <row r="632">
      <c r="A632" s="1">
        <f>IFERROR(__xludf.DUMMYFUNCTION("""COMPUTED_VALUE"""),41271.666666666664)</f>
        <v>41271.66667</v>
      </c>
      <c r="B632" s="2">
        <f>IFERROR(__xludf.DUMMYFUNCTION("""COMPUTED_VALUE"""),2.21)</f>
        <v>2.21</v>
      </c>
      <c r="C632" s="3">
        <v>33.2127889517252</v>
      </c>
    </row>
    <row r="633">
      <c r="A633" s="1">
        <f>IFERROR(__xludf.DUMMYFUNCTION("""COMPUTED_VALUE"""),41274.666666666664)</f>
        <v>41274.66667</v>
      </c>
      <c r="B633" s="2">
        <f>IFERROR(__xludf.DUMMYFUNCTION("""COMPUTED_VALUE"""),2.26)</f>
        <v>2.26</v>
      </c>
      <c r="C633" s="3">
        <v>38.5018936383178</v>
      </c>
    </row>
    <row r="634">
      <c r="A634" s="1">
        <f>IFERROR(__xludf.DUMMYFUNCTION("""COMPUTED_VALUE"""),41276.666666666664)</f>
        <v>41276.66667</v>
      </c>
      <c r="B634" s="2">
        <f>IFERROR(__xludf.DUMMYFUNCTION("""COMPUTED_VALUE"""),2.36)</f>
        <v>2.36</v>
      </c>
      <c r="C634" s="3">
        <v>40.6505105803861</v>
      </c>
    </row>
    <row r="635">
      <c r="A635" s="1">
        <f>IFERROR(__xludf.DUMMYFUNCTION("""COMPUTED_VALUE"""),41277.666666666664)</f>
        <v>41277.66667</v>
      </c>
      <c r="B635" s="2">
        <f>IFERROR(__xludf.DUMMYFUNCTION("""COMPUTED_VALUE"""),2.32)</f>
        <v>2.32</v>
      </c>
      <c r="C635" s="3">
        <v>40.8673968763052</v>
      </c>
    </row>
    <row r="636">
      <c r="A636" s="1">
        <f>IFERROR(__xludf.DUMMYFUNCTION("""COMPUTED_VALUE"""),41278.666666666664)</f>
        <v>41278.66667</v>
      </c>
      <c r="B636" s="2">
        <f>IFERROR(__xludf.DUMMYFUNCTION("""COMPUTED_VALUE"""),2.29)</f>
        <v>2.29</v>
      </c>
      <c r="C636" s="3">
        <v>40.9499442241732</v>
      </c>
    </row>
    <row r="637">
      <c r="A637" s="1">
        <f>IFERROR(__xludf.DUMMYFUNCTION("""COMPUTED_VALUE"""),41281.666666666664)</f>
        <v>41281.66667</v>
      </c>
      <c r="B637" s="2">
        <f>IFERROR(__xludf.DUMMYFUNCTION("""COMPUTED_VALUE"""),2.29)</f>
        <v>2.29</v>
      </c>
      <c r="C637" s="3">
        <v>44.5554065424205</v>
      </c>
    </row>
    <row r="638">
      <c r="A638" s="1">
        <f>IFERROR(__xludf.DUMMYFUNCTION("""COMPUTED_VALUE"""),41282.666666666664)</f>
        <v>41282.66667</v>
      </c>
      <c r="B638" s="2">
        <f>IFERROR(__xludf.DUMMYFUNCTION("""COMPUTED_VALUE"""),2.25)</f>
        <v>2.25</v>
      </c>
      <c r="C638" s="3">
        <v>44.6677633046261</v>
      </c>
    </row>
    <row r="639">
      <c r="A639" s="1">
        <f>IFERROR(__xludf.DUMMYFUNCTION("""COMPUTED_VALUE"""),41283.666666666664)</f>
        <v>41283.66667</v>
      </c>
      <c r="B639" s="2">
        <f>IFERROR(__xludf.DUMMYFUNCTION("""COMPUTED_VALUE"""),2.24)</f>
        <v>2.24</v>
      </c>
      <c r="C639" s="3">
        <v>45.007900543833</v>
      </c>
    </row>
    <row r="640">
      <c r="A640" s="1">
        <f>IFERROR(__xludf.DUMMYFUNCTION("""COMPUTED_VALUE"""),41284.666666666664)</f>
        <v>41284.66667</v>
      </c>
      <c r="B640" s="2">
        <f>IFERROR(__xludf.DUMMYFUNCTION("""COMPUTED_VALUE"""),2.24)</f>
        <v>2.24</v>
      </c>
      <c r="C640" s="3">
        <v>44.253730165582</v>
      </c>
    </row>
    <row r="641">
      <c r="A641" s="1">
        <f>IFERROR(__xludf.DUMMYFUNCTION("""COMPUTED_VALUE"""),41285.666666666664)</f>
        <v>41285.66667</v>
      </c>
      <c r="B641" s="2">
        <f>IFERROR(__xludf.DUMMYFUNCTION("""COMPUTED_VALUE"""),2.19)</f>
        <v>2.19</v>
      </c>
      <c r="C641" s="3">
        <v>43.3099337879177</v>
      </c>
    </row>
    <row r="642">
      <c r="A642" s="1">
        <f>IFERROR(__xludf.DUMMYFUNCTION("""COMPUTED_VALUE"""),41288.666666666664)</f>
        <v>41288.66667</v>
      </c>
      <c r="B642" s="2">
        <f>IFERROR(__xludf.DUMMYFUNCTION("""COMPUTED_VALUE"""),2.22)</f>
        <v>2.22</v>
      </c>
      <c r="C642" s="3">
        <v>43.7239451795627</v>
      </c>
    </row>
    <row r="643">
      <c r="A643" s="1">
        <f>IFERROR(__xludf.DUMMYFUNCTION("""COMPUTED_VALUE"""),41289.666666666664)</f>
        <v>41289.66667</v>
      </c>
      <c r="B643" s="2">
        <f>IFERROR(__xludf.DUMMYFUNCTION("""COMPUTED_VALUE"""),2.26)</f>
        <v>2.26</v>
      </c>
      <c r="C643" s="3">
        <v>42.8090304949726</v>
      </c>
    </row>
    <row r="644">
      <c r="A644" s="1">
        <f>IFERROR(__xludf.DUMMYFUNCTION("""COMPUTED_VALUE"""),41290.666666666664)</f>
        <v>41290.66667</v>
      </c>
      <c r="B644" s="2">
        <f>IFERROR(__xludf.DUMMYFUNCTION("""COMPUTED_VALUE"""),2.27)</f>
        <v>2.27</v>
      </c>
      <c r="C644" s="3">
        <v>42.1756318202949</v>
      </c>
    </row>
    <row r="645">
      <c r="A645" s="1">
        <f>IFERROR(__xludf.DUMMYFUNCTION("""COMPUTED_VALUE"""),41291.666666666664)</f>
        <v>41291.66667</v>
      </c>
      <c r="B645" s="2">
        <f>IFERROR(__xludf.DUMMYFUNCTION("""COMPUTED_VALUE"""),2.29)</f>
        <v>2.29</v>
      </c>
      <c r="C645" s="3">
        <v>40.5208510278798</v>
      </c>
    </row>
    <row r="646">
      <c r="A646" s="1">
        <f>IFERROR(__xludf.DUMMYFUNCTION("""COMPUTED_VALUE"""),41292.666666666664)</f>
        <v>41292.66667</v>
      </c>
      <c r="B646" s="2">
        <f>IFERROR(__xludf.DUMMYFUNCTION("""COMPUTED_VALUE"""),2.3)</f>
        <v>2.3</v>
      </c>
      <c r="C646" s="3">
        <v>38.7664600172406</v>
      </c>
    </row>
    <row r="647">
      <c r="A647" s="1">
        <f>IFERROR(__xludf.DUMMYFUNCTION("""COMPUTED_VALUE"""),41296.666666666664)</f>
        <v>41296.66667</v>
      </c>
      <c r="B647" s="2">
        <f>IFERROR(__xludf.DUMMYFUNCTION("""COMPUTED_VALUE"""),2.35)</f>
        <v>2.35</v>
      </c>
      <c r="C647" s="3">
        <v>36.169284174936</v>
      </c>
    </row>
    <row r="648">
      <c r="A648" s="1">
        <f>IFERROR(__xludf.DUMMYFUNCTION("""COMPUTED_VALUE"""),41297.666666666664)</f>
        <v>41297.66667</v>
      </c>
      <c r="B648" s="2">
        <f>IFERROR(__xludf.DUMMYFUNCTION("""COMPUTED_VALUE"""),2.4)</f>
        <v>2.4</v>
      </c>
      <c r="C648" s="3">
        <v>35.3318793893852</v>
      </c>
    </row>
    <row r="649">
      <c r="A649" s="1">
        <f>IFERROR(__xludf.DUMMYFUNCTION("""COMPUTED_VALUE"""),41298.666666666664)</f>
        <v>41298.66667</v>
      </c>
      <c r="B649" s="2">
        <f>IFERROR(__xludf.DUMMYFUNCTION("""COMPUTED_VALUE"""),2.47)</f>
        <v>2.47</v>
      </c>
      <c r="C649" s="3">
        <v>33.6024871819425</v>
      </c>
    </row>
    <row r="650">
      <c r="A650" s="1">
        <f>IFERROR(__xludf.DUMMYFUNCTION("""COMPUTED_VALUE"""),41299.666666666664)</f>
        <v>41299.66667</v>
      </c>
      <c r="B650" s="2">
        <f>IFERROR(__xludf.DUMMYFUNCTION("""COMPUTED_VALUE"""),2.47)</f>
        <v>2.47</v>
      </c>
      <c r="C650" s="3">
        <v>31.8975006924899</v>
      </c>
    </row>
    <row r="651">
      <c r="A651" s="1">
        <f>IFERROR(__xludf.DUMMYFUNCTION("""COMPUTED_VALUE"""),41302.666666666664)</f>
        <v>41302.66667</v>
      </c>
      <c r="B651" s="2">
        <f>IFERROR(__xludf.DUMMYFUNCTION("""COMPUTED_VALUE"""),2.54)</f>
        <v>2.54</v>
      </c>
      <c r="C651" s="3">
        <v>31.34179342651</v>
      </c>
    </row>
    <row r="652">
      <c r="A652" s="1">
        <f>IFERROR(__xludf.DUMMYFUNCTION("""COMPUTED_VALUE"""),41303.666666666664)</f>
        <v>41303.66667</v>
      </c>
      <c r="B652" s="2">
        <f>IFERROR(__xludf.DUMMYFUNCTION("""COMPUTED_VALUE"""),2.53)</f>
        <v>2.53</v>
      </c>
      <c r="C652" s="3">
        <v>30.5223227000992</v>
      </c>
    </row>
    <row r="653">
      <c r="A653" s="1">
        <f>IFERROR(__xludf.DUMMYFUNCTION("""COMPUTED_VALUE"""),41304.666666666664)</f>
        <v>41304.66667</v>
      </c>
      <c r="B653" s="2">
        <f>IFERROR(__xludf.DUMMYFUNCTION("""COMPUTED_VALUE"""),2.5)</f>
        <v>2.5</v>
      </c>
      <c r="C653" s="3">
        <v>30.1702290600075</v>
      </c>
    </row>
    <row r="654">
      <c r="A654" s="1">
        <f>IFERROR(__xludf.DUMMYFUNCTION("""COMPUTED_VALUE"""),41305.666666666664)</f>
        <v>41305.66667</v>
      </c>
      <c r="B654" s="2">
        <f>IFERROR(__xludf.DUMMYFUNCTION("""COMPUTED_VALUE"""),2.5)</f>
        <v>2.5</v>
      </c>
      <c r="C654" s="3">
        <v>28.9610730816787</v>
      </c>
    </row>
    <row r="655">
      <c r="A655" s="1">
        <f>IFERROR(__xludf.DUMMYFUNCTION("""COMPUTED_VALUE"""),41306.666666666664)</f>
        <v>41306.66667</v>
      </c>
      <c r="B655" s="2">
        <f>IFERROR(__xludf.DUMMYFUNCTION("""COMPUTED_VALUE"""),2.55)</f>
        <v>2.55</v>
      </c>
      <c r="C655" s="3">
        <v>27.7909388267412</v>
      </c>
    </row>
    <row r="656">
      <c r="A656" s="1">
        <f>IFERROR(__xludf.DUMMYFUNCTION("""COMPUTED_VALUE"""),41309.666666666664)</f>
        <v>41309.66667</v>
      </c>
      <c r="B656" s="2">
        <f>IFERROR(__xludf.DUMMYFUNCTION("""COMPUTED_VALUE"""),2.52)</f>
        <v>2.52</v>
      </c>
      <c r="C656" s="3">
        <v>28.7256524044698</v>
      </c>
    </row>
    <row r="657">
      <c r="A657" s="1">
        <f>IFERROR(__xludf.DUMMYFUNCTION("""COMPUTED_VALUE"""),41310.666666666664)</f>
        <v>41310.66667</v>
      </c>
      <c r="B657" s="2">
        <f>IFERROR(__xludf.DUMMYFUNCTION("""COMPUTED_VALUE"""),2.54)</f>
        <v>2.54</v>
      </c>
      <c r="C657" s="3">
        <v>28.3019901915988</v>
      </c>
    </row>
    <row r="658">
      <c r="A658" s="1">
        <f>IFERROR(__xludf.DUMMYFUNCTION("""COMPUTED_VALUE"""),41311.666666666664)</f>
        <v>41311.66667</v>
      </c>
      <c r="B658" s="2">
        <f>IFERROR(__xludf.DUMMYFUNCTION("""COMPUTED_VALUE"""),2.61)</f>
        <v>2.61</v>
      </c>
      <c r="C658" s="3">
        <v>28.2677188183885</v>
      </c>
    </row>
    <row r="659">
      <c r="A659" s="1">
        <f>IFERROR(__xludf.DUMMYFUNCTION("""COMPUTED_VALUE"""),41312.666666666664)</f>
        <v>41312.66667</v>
      </c>
      <c r="B659" s="2">
        <f>IFERROR(__xludf.DUMMYFUNCTION("""COMPUTED_VALUE"""),2.63)</f>
        <v>2.63</v>
      </c>
      <c r="C659" s="3">
        <v>27.2852709589059</v>
      </c>
    </row>
    <row r="660">
      <c r="A660" s="1">
        <f>IFERROR(__xludf.DUMMYFUNCTION("""COMPUTED_VALUE"""),41313.666666666664)</f>
        <v>41313.66667</v>
      </c>
      <c r="B660" s="2">
        <f>IFERROR(__xludf.DUMMYFUNCTION("""COMPUTED_VALUE"""),2.62)</f>
        <v>2.62</v>
      </c>
      <c r="C660" s="3">
        <v>26.2403786058225</v>
      </c>
    </row>
    <row r="661">
      <c r="A661" s="1">
        <f>IFERROR(__xludf.DUMMYFUNCTION("""COMPUTED_VALUE"""),41316.666666666664)</f>
        <v>41316.66667</v>
      </c>
      <c r="B661" s="2">
        <f>IFERROR(__xludf.DUMMYFUNCTION("""COMPUTED_VALUE"""),2.56)</f>
        <v>2.56</v>
      </c>
      <c r="C661" s="3">
        <v>26.8854462841197</v>
      </c>
    </row>
    <row r="662">
      <c r="A662" s="1">
        <f>IFERROR(__xludf.DUMMYFUNCTION("""COMPUTED_VALUE"""),41317.666666666664)</f>
        <v>41317.66667</v>
      </c>
      <c r="B662" s="2">
        <f>IFERROR(__xludf.DUMMYFUNCTION("""COMPUTED_VALUE"""),2.53)</f>
        <v>2.53</v>
      </c>
      <c r="C662" s="3">
        <v>26.141190781074</v>
      </c>
    </row>
    <row r="663">
      <c r="A663" s="1">
        <f>IFERROR(__xludf.DUMMYFUNCTION("""COMPUTED_VALUE"""),41318.666666666664)</f>
        <v>41318.66667</v>
      </c>
      <c r="B663" s="2">
        <f>IFERROR(__xludf.DUMMYFUNCTION("""COMPUTED_VALUE"""),2.56)</f>
        <v>2.56</v>
      </c>
      <c r="C663" s="3">
        <v>25.6815305209446</v>
      </c>
    </row>
    <row r="664">
      <c r="A664" s="1">
        <f>IFERROR(__xludf.DUMMYFUNCTION("""COMPUTED_VALUE"""),41319.666666666664)</f>
        <v>41319.66667</v>
      </c>
      <c r="B664" s="2">
        <f>IFERROR(__xludf.DUMMYFUNCTION("""COMPUTED_VALUE"""),2.55)</f>
        <v>2.55</v>
      </c>
      <c r="C664" s="3">
        <v>24.1780223471772</v>
      </c>
    </row>
    <row r="665">
      <c r="A665" s="1">
        <f>IFERROR(__xludf.DUMMYFUNCTION("""COMPUTED_VALUE"""),41320.666666666664)</f>
        <v>41320.66667</v>
      </c>
      <c r="B665" s="2">
        <f>IFERROR(__xludf.DUMMYFUNCTION("""COMPUTED_VALUE"""),2.47)</f>
        <v>2.47</v>
      </c>
      <c r="C665" s="3">
        <v>22.5456728189772</v>
      </c>
    </row>
    <row r="666">
      <c r="A666" s="1">
        <f>IFERROR(__xludf.DUMMYFUNCTION("""COMPUTED_VALUE"""),41324.666666666664)</f>
        <v>41324.66667</v>
      </c>
      <c r="B666" s="2">
        <f>IFERROR(__xludf.DUMMYFUNCTION("""COMPUTED_VALUE"""),2.62)</f>
        <v>2.62</v>
      </c>
      <c r="C666" s="3">
        <v>19.5807004741007</v>
      </c>
    </row>
    <row r="667">
      <c r="A667" s="1">
        <f>IFERROR(__xludf.DUMMYFUNCTION("""COMPUTED_VALUE"""),41325.666666666664)</f>
        <v>41325.66667</v>
      </c>
      <c r="B667" s="2">
        <f>IFERROR(__xludf.DUMMYFUNCTION("""COMPUTED_VALUE"""),2.57)</f>
        <v>2.57</v>
      </c>
      <c r="C667" s="3">
        <v>18.3696879267088</v>
      </c>
    </row>
    <row r="668">
      <c r="A668" s="1">
        <f>IFERROR(__xludf.DUMMYFUNCTION("""COMPUTED_VALUE"""),41326.666666666664)</f>
        <v>41326.66667</v>
      </c>
      <c r="B668" s="2">
        <f>IFERROR(__xludf.DUMMYFUNCTION("""COMPUTED_VALUE"""),2.34)</f>
        <v>2.34</v>
      </c>
      <c r="C668" s="3">
        <v>16.1412282564128</v>
      </c>
    </row>
    <row r="669">
      <c r="A669" s="1">
        <f>IFERROR(__xludf.DUMMYFUNCTION("""COMPUTED_VALUE"""),41327.666666666664)</f>
        <v>41327.66667</v>
      </c>
      <c r="B669" s="2">
        <f>IFERROR(__xludf.DUMMYFUNCTION("""COMPUTED_VALUE"""),2.41)</f>
        <v>2.41</v>
      </c>
      <c r="C669" s="3">
        <v>13.8131079144394</v>
      </c>
    </row>
    <row r="670">
      <c r="A670" s="1">
        <f>IFERROR(__xludf.DUMMYFUNCTION("""COMPUTED_VALUE"""),41330.666666666664)</f>
        <v>41330.66667</v>
      </c>
      <c r="B670" s="2">
        <f>IFERROR(__xludf.DUMMYFUNCTION("""COMPUTED_VALUE"""),2.29)</f>
        <v>2.29</v>
      </c>
      <c r="C670" s="3">
        <v>10.724746540621</v>
      </c>
    </row>
    <row r="671">
      <c r="A671" s="1">
        <f>IFERROR(__xludf.DUMMYFUNCTION("""COMPUTED_VALUE"""),41331.666666666664)</f>
        <v>41331.66667</v>
      </c>
      <c r="B671" s="2">
        <f>IFERROR(__xludf.DUMMYFUNCTION("""COMPUTED_VALUE"""),2.3)</f>
        <v>2.3</v>
      </c>
      <c r="C671" s="3">
        <v>8.88798517879027</v>
      </c>
    </row>
    <row r="672">
      <c r="A672" s="1">
        <f>IFERROR(__xludf.DUMMYFUNCTION("""COMPUTED_VALUE"""),41332.666666666664)</f>
        <v>41332.66667</v>
      </c>
      <c r="B672" s="2">
        <f>IFERROR(__xludf.DUMMYFUNCTION("""COMPUTED_VALUE"""),2.34)</f>
        <v>2.34</v>
      </c>
      <c r="C672" s="3">
        <v>7.46531189457735</v>
      </c>
    </row>
    <row r="673">
      <c r="A673" s="1">
        <f>IFERROR(__xludf.DUMMYFUNCTION("""COMPUTED_VALUE"""),41333.666666666664)</f>
        <v>41333.66667</v>
      </c>
      <c r="B673" s="2">
        <f>IFERROR(__xludf.DUMMYFUNCTION("""COMPUTED_VALUE"""),2.32)</f>
        <v>2.32</v>
      </c>
      <c r="C673" s="3">
        <v>5.15676083606678</v>
      </c>
    </row>
    <row r="674">
      <c r="A674" s="1">
        <f>IFERROR(__xludf.DUMMYFUNCTION("""COMPUTED_VALUE"""),41334.666666666664)</f>
        <v>41334.66667</v>
      </c>
      <c r="B674" s="2">
        <f>IFERROR(__xludf.DUMMYFUNCTION("""COMPUTED_VALUE"""),2.31)</f>
        <v>2.31</v>
      </c>
      <c r="C674" s="3">
        <v>2.88507446691351</v>
      </c>
    </row>
    <row r="675">
      <c r="A675" s="1">
        <f>IFERROR(__xludf.DUMMYFUNCTION("""COMPUTED_VALUE"""),41337.666666666664)</f>
        <v>41337.66667</v>
      </c>
      <c r="B675" s="2">
        <f>IFERROR(__xludf.DUMMYFUNCTION("""COMPUTED_VALUE"""),2.37)</f>
        <v>2.37</v>
      </c>
      <c r="C675" s="3">
        <v>0.787103817094182</v>
      </c>
    </row>
    <row r="676">
      <c r="A676" s="1">
        <f>IFERROR(__xludf.DUMMYFUNCTION("""COMPUTED_VALUE"""),41338.666666666664)</f>
        <v>41338.66667</v>
      </c>
      <c r="B676" s="2">
        <f>IFERROR(__xludf.DUMMYFUNCTION("""COMPUTED_VALUE"""),2.44)</f>
        <v>2.44</v>
      </c>
      <c r="C676" s="3">
        <v>-0.460784470492402</v>
      </c>
    </row>
    <row r="677">
      <c r="A677" s="1">
        <f>IFERROR(__xludf.DUMMYFUNCTION("""COMPUTED_VALUE"""),41339.666666666664)</f>
        <v>41339.66667</v>
      </c>
      <c r="B677" s="2">
        <f>IFERROR(__xludf.DUMMYFUNCTION("""COMPUTED_VALUE"""),2.51)</f>
        <v>2.51</v>
      </c>
      <c r="C677" s="3">
        <v>-1.17997031864979</v>
      </c>
    </row>
    <row r="678">
      <c r="A678" s="1">
        <f>IFERROR(__xludf.DUMMYFUNCTION("""COMPUTED_VALUE"""),41340.666666666664)</f>
        <v>41340.66667</v>
      </c>
      <c r="B678" s="2">
        <f>IFERROR(__xludf.DUMMYFUNCTION("""COMPUTED_VALUE"""),2.55)</f>
        <v>2.55</v>
      </c>
      <c r="C678" s="3">
        <v>-2.6831202589872</v>
      </c>
    </row>
    <row r="679">
      <c r="A679" s="1">
        <f>IFERROR(__xludf.DUMMYFUNCTION("""COMPUTED_VALUE"""),41341.666666666664)</f>
        <v>41341.66667</v>
      </c>
      <c r="B679" s="2">
        <f>IFERROR(__xludf.DUMMYFUNCTION("""COMPUTED_VALUE"""),2.56)</f>
        <v>2.56</v>
      </c>
      <c r="C679" s="3">
        <v>-4.0622872993359</v>
      </c>
    </row>
    <row r="680">
      <c r="A680" s="1">
        <f>IFERROR(__xludf.DUMMYFUNCTION("""COMPUTED_VALUE"""),41344.666666666664)</f>
        <v>41344.66667</v>
      </c>
      <c r="B680" s="2">
        <f>IFERROR(__xludf.DUMMYFUNCTION("""COMPUTED_VALUE"""),2.61)</f>
        <v>2.61</v>
      </c>
      <c r="C680" s="3">
        <v>-3.13060641680393</v>
      </c>
    </row>
    <row r="681">
      <c r="A681" s="1">
        <f>IFERROR(__xludf.DUMMYFUNCTION("""COMPUTED_VALUE"""),41345.666666666664)</f>
        <v>41345.66667</v>
      </c>
      <c r="B681" s="2">
        <f>IFERROR(__xludf.DUMMYFUNCTION("""COMPUTED_VALUE"""),2.61)</f>
        <v>2.61</v>
      </c>
      <c r="C681" s="3">
        <v>-3.31247075513858</v>
      </c>
    </row>
    <row r="682">
      <c r="A682" s="1">
        <f>IFERROR(__xludf.DUMMYFUNCTION("""COMPUTED_VALUE"""),41346.666666666664)</f>
        <v>41346.66667</v>
      </c>
      <c r="B682" s="2">
        <f>IFERROR(__xludf.DUMMYFUNCTION("""COMPUTED_VALUE"""),2.6)</f>
        <v>2.6</v>
      </c>
      <c r="C682" s="3">
        <v>-2.96868909095944</v>
      </c>
    </row>
    <row r="683">
      <c r="A683" s="1">
        <f>IFERROR(__xludf.DUMMYFUNCTION("""COMPUTED_VALUE"""),41347.666666666664)</f>
        <v>41347.66667</v>
      </c>
      <c r="B683" s="2">
        <f>IFERROR(__xludf.DUMMYFUNCTION("""COMPUTED_VALUE"""),2.46)</f>
        <v>2.46</v>
      </c>
      <c r="C683" s="3">
        <v>-3.4299266133386</v>
      </c>
    </row>
    <row r="684">
      <c r="A684" s="1">
        <f>IFERROR(__xludf.DUMMYFUNCTION("""COMPUTED_VALUE"""),41348.666666666664)</f>
        <v>41348.66667</v>
      </c>
      <c r="B684" s="2">
        <f>IFERROR(__xludf.DUMMYFUNCTION("""COMPUTED_VALUE"""),2.35)</f>
        <v>2.35</v>
      </c>
      <c r="C684" s="3">
        <v>-3.80516511524065</v>
      </c>
    </row>
    <row r="685">
      <c r="A685" s="1">
        <f>IFERROR(__xludf.DUMMYFUNCTION("""COMPUTED_VALUE"""),41351.666666666664)</f>
        <v>41351.66667</v>
      </c>
      <c r="B685" s="2">
        <f>IFERROR(__xludf.DUMMYFUNCTION("""COMPUTED_VALUE"""),2.34)</f>
        <v>2.34</v>
      </c>
      <c r="C685" s="3">
        <v>-0.234941573695909</v>
      </c>
    </row>
    <row r="686">
      <c r="A686" s="1">
        <f>IFERROR(__xludf.DUMMYFUNCTION("""COMPUTED_VALUE"""),41352.666666666664)</f>
        <v>41352.66667</v>
      </c>
      <c r="B686" s="2">
        <f>IFERROR(__xludf.DUMMYFUNCTION("""COMPUTED_VALUE"""),2.34)</f>
        <v>2.34</v>
      </c>
      <c r="C686" s="3">
        <v>0.299952517223225</v>
      </c>
    </row>
    <row r="687">
      <c r="A687" s="1">
        <f>IFERROR(__xludf.DUMMYFUNCTION("""COMPUTED_VALUE"""),41353.666666666664)</f>
        <v>41353.66667</v>
      </c>
      <c r="B687" s="2">
        <f>IFERROR(__xludf.DUMMYFUNCTION("""COMPUTED_VALUE"""),2.4)</f>
        <v>2.4</v>
      </c>
      <c r="C687" s="3">
        <v>1.26575841162537</v>
      </c>
    </row>
    <row r="688">
      <c r="A688" s="1">
        <f>IFERROR(__xludf.DUMMYFUNCTION("""COMPUTED_VALUE"""),41354.666666666664)</f>
        <v>41354.66667</v>
      </c>
      <c r="B688" s="2">
        <f>IFERROR(__xludf.DUMMYFUNCTION("""COMPUTED_VALUE"""),2.4)</f>
        <v>2.4</v>
      </c>
      <c r="C688" s="3">
        <v>1.32754595139091</v>
      </c>
    </row>
    <row r="689">
      <c r="A689" s="1">
        <f>IFERROR(__xludf.DUMMYFUNCTION("""COMPUTED_VALUE"""),41355.666666666664)</f>
        <v>41355.66667</v>
      </c>
      <c r="B689" s="2">
        <f>IFERROR(__xludf.DUMMYFUNCTION("""COMPUTED_VALUE"""),2.44)</f>
        <v>2.44</v>
      </c>
      <c r="C689" s="3">
        <v>1.37460443927355</v>
      </c>
    </row>
    <row r="690">
      <c r="A690" s="1">
        <f>IFERROR(__xludf.DUMMYFUNCTION("""COMPUTED_VALUE"""),41358.666666666664)</f>
        <v>41358.66667</v>
      </c>
      <c r="B690" s="2">
        <f>IFERROR(__xludf.DUMMYFUNCTION("""COMPUTED_VALUE"""),2.5)</f>
        <v>2.5</v>
      </c>
      <c r="C690" s="3">
        <v>5.62615147919866</v>
      </c>
    </row>
    <row r="691">
      <c r="A691" s="1">
        <f>IFERROR(__xludf.DUMMYFUNCTION("""COMPUTED_VALUE"""),41359.666666666664)</f>
        <v>41359.66667</v>
      </c>
      <c r="B691" s="2">
        <f>IFERROR(__xludf.DUMMYFUNCTION("""COMPUTED_VALUE"""),2.52)</f>
        <v>2.52</v>
      </c>
      <c r="C691" s="3">
        <v>6.21000388847131</v>
      </c>
    </row>
    <row r="692">
      <c r="A692" s="1">
        <f>IFERROR(__xludf.DUMMYFUNCTION("""COMPUTED_VALUE"""),41360.666666666664)</f>
        <v>41360.66667</v>
      </c>
      <c r="B692" s="2">
        <f>IFERROR(__xludf.DUMMYFUNCTION("""COMPUTED_VALUE"""),2.54)</f>
        <v>2.54</v>
      </c>
      <c r="C692" s="3">
        <v>7.1487088261693</v>
      </c>
    </row>
    <row r="693">
      <c r="A693" s="1">
        <f>IFERROR(__xludf.DUMMYFUNCTION("""COMPUTED_VALUE"""),41361.666666666664)</f>
        <v>41361.66667</v>
      </c>
      <c r="B693" s="2">
        <f>IFERROR(__xludf.DUMMYFUNCTION("""COMPUTED_VALUE"""),2.53)</f>
        <v>2.53</v>
      </c>
      <c r="C693" s="3">
        <v>7.11718306195882</v>
      </c>
    </row>
    <row r="694">
      <c r="A694" s="1">
        <f>IFERROR(__xludf.DUMMYFUNCTION("""COMPUTED_VALUE"""),41365.666666666664)</f>
        <v>41365.66667</v>
      </c>
      <c r="B694" s="2">
        <f>IFERROR(__xludf.DUMMYFUNCTION("""COMPUTED_VALUE"""),2.93)</f>
        <v>2.93</v>
      </c>
      <c r="C694" s="3">
        <v>10.5994918890182</v>
      </c>
    </row>
    <row r="695">
      <c r="A695" s="1">
        <f>IFERROR(__xludf.DUMMYFUNCTION("""COMPUTED_VALUE"""),41366.666666666664)</f>
        <v>41366.66667</v>
      </c>
      <c r="B695" s="2">
        <f>IFERROR(__xludf.DUMMYFUNCTION("""COMPUTED_VALUE"""),2.96)</f>
        <v>2.96</v>
      </c>
      <c r="C695" s="3">
        <v>10.9235591774709</v>
      </c>
    </row>
    <row r="696">
      <c r="A696" s="1">
        <f>IFERROR(__xludf.DUMMYFUNCTION("""COMPUTED_VALUE"""),41367.666666666664)</f>
        <v>41367.66667</v>
      </c>
      <c r="B696" s="2">
        <f>IFERROR(__xludf.DUMMYFUNCTION("""COMPUTED_VALUE"""),2.74)</f>
        <v>2.74</v>
      </c>
      <c r="C696" s="3">
        <v>11.6003338736661</v>
      </c>
    </row>
    <row r="697">
      <c r="A697" s="1">
        <f>IFERROR(__xludf.DUMMYFUNCTION("""COMPUTED_VALUE"""),41368.666666666664)</f>
        <v>41368.66667</v>
      </c>
      <c r="B697" s="2">
        <f>IFERROR(__xludf.DUMMYFUNCTION("""COMPUTED_VALUE"""),2.8)</f>
        <v>2.8</v>
      </c>
      <c r="C697" s="3">
        <v>11.3129848361933</v>
      </c>
    </row>
    <row r="698">
      <c r="A698" s="1">
        <f>IFERROR(__xludf.DUMMYFUNCTION("""COMPUTED_VALUE"""),41369.666666666664)</f>
        <v>41369.66667</v>
      </c>
      <c r="B698" s="2">
        <f>IFERROR(__xludf.DUMMYFUNCTION("""COMPUTED_VALUE"""),2.76)</f>
        <v>2.76</v>
      </c>
      <c r="C698" s="3">
        <v>10.9683204788916</v>
      </c>
    </row>
    <row r="699">
      <c r="A699" s="1">
        <f>IFERROR(__xludf.DUMMYFUNCTION("""COMPUTED_VALUE"""),41372.666666666664)</f>
        <v>41372.66667</v>
      </c>
      <c r="B699" s="2">
        <f>IFERROR(__xludf.DUMMYFUNCTION("""COMPUTED_VALUE"""),2.79)</f>
        <v>2.79</v>
      </c>
      <c r="C699" s="3">
        <v>13.9445258037192</v>
      </c>
    </row>
    <row r="700">
      <c r="A700" s="1">
        <f>IFERROR(__xludf.DUMMYFUNCTION("""COMPUTED_VALUE"""),41373.666666666664)</f>
        <v>41373.66667</v>
      </c>
      <c r="B700" s="2">
        <f>IFERROR(__xludf.DUMMYFUNCTION("""COMPUTED_VALUE"""),2.7)</f>
        <v>2.7</v>
      </c>
      <c r="C700" s="3">
        <v>14.1119381601057</v>
      </c>
    </row>
    <row r="701">
      <c r="A701" s="1">
        <f>IFERROR(__xludf.DUMMYFUNCTION("""COMPUTED_VALUE"""),41374.666666666664)</f>
        <v>41374.66667</v>
      </c>
      <c r="B701" s="2">
        <f>IFERROR(__xludf.DUMMYFUNCTION("""COMPUTED_VALUE"""),2.79)</f>
        <v>2.79</v>
      </c>
      <c r="C701" s="3">
        <v>14.6535456046435</v>
      </c>
    </row>
    <row r="702">
      <c r="A702" s="1">
        <f>IFERROR(__xludf.DUMMYFUNCTION("""COMPUTED_VALUE"""),41375.666666666664)</f>
        <v>41375.66667</v>
      </c>
      <c r="B702" s="2">
        <f>IFERROR(__xludf.DUMMYFUNCTION("""COMPUTED_VALUE"""),2.91)</f>
        <v>2.91</v>
      </c>
      <c r="C702" s="3">
        <v>14.2492125799855</v>
      </c>
    </row>
    <row r="703">
      <c r="A703" s="1">
        <f>IFERROR(__xludf.DUMMYFUNCTION("""COMPUTED_VALUE"""),41376.666666666664)</f>
        <v>41376.66667</v>
      </c>
      <c r="B703" s="2">
        <f>IFERROR(__xludf.DUMMYFUNCTION("""COMPUTED_VALUE"""),2.92)</f>
        <v>2.92</v>
      </c>
      <c r="C703" s="3">
        <v>13.8010727124996</v>
      </c>
    </row>
    <row r="704">
      <c r="A704" s="1">
        <f>IFERROR(__xludf.DUMMYFUNCTION("""COMPUTED_VALUE"""),41379.666666666664)</f>
        <v>41379.66667</v>
      </c>
      <c r="B704" s="2">
        <f>IFERROR(__xludf.DUMMYFUNCTION("""COMPUTED_VALUE"""),2.89)</f>
        <v>2.89</v>
      </c>
      <c r="C704" s="3">
        <v>16.4857233105727</v>
      </c>
    </row>
    <row r="705">
      <c r="A705" s="1">
        <f>IFERROR(__xludf.DUMMYFUNCTION("""COMPUTED_VALUE"""),41380.666666666664)</f>
        <v>41380.66667</v>
      </c>
      <c r="B705" s="2">
        <f>IFERROR(__xludf.DUMMYFUNCTION("""COMPUTED_VALUE"""),3.04)</f>
        <v>3.04</v>
      </c>
      <c r="C705" s="3">
        <v>16.5383860908024</v>
      </c>
    </row>
    <row r="706">
      <c r="A706" s="1">
        <f>IFERROR(__xludf.DUMMYFUNCTION("""COMPUTED_VALUE"""),41381.666666666664)</f>
        <v>41381.66667</v>
      </c>
      <c r="B706" s="2">
        <f>IFERROR(__xludf.DUMMYFUNCTION("""COMPUTED_VALUE"""),3.03)</f>
        <v>3.03</v>
      </c>
      <c r="C706" s="3">
        <v>16.9440711799334</v>
      </c>
    </row>
    <row r="707">
      <c r="A707" s="1">
        <f>IFERROR(__xludf.DUMMYFUNCTION("""COMPUTED_VALUE"""),41382.666666666664)</f>
        <v>41382.66667</v>
      </c>
      <c r="B707" s="2">
        <f>IFERROR(__xludf.DUMMYFUNCTION("""COMPUTED_VALUE"""),3.13)</f>
        <v>3.13</v>
      </c>
      <c r="C707" s="3">
        <v>16.3756106041291</v>
      </c>
    </row>
    <row r="708">
      <c r="A708" s="1">
        <f>IFERROR(__xludf.DUMMYFUNCTION("""COMPUTED_VALUE"""),41383.666666666664)</f>
        <v>41383.66667</v>
      </c>
      <c r="B708" s="2">
        <f>IFERROR(__xludf.DUMMYFUNCTION("""COMPUTED_VALUE"""),3.19)</f>
        <v>3.19</v>
      </c>
      <c r="C708" s="3">
        <v>15.7288130571602</v>
      </c>
    </row>
    <row r="709">
      <c r="A709" s="1">
        <f>IFERROR(__xludf.DUMMYFUNCTION("""COMPUTED_VALUE"""),41386.666666666664)</f>
        <v>41386.66667</v>
      </c>
      <c r="B709" s="2">
        <f>IFERROR(__xludf.DUMMYFUNCTION("""COMPUTED_VALUE"""),3.35)</f>
        <v>3.35</v>
      </c>
      <c r="C709" s="3">
        <v>17.5634494698063</v>
      </c>
    </row>
    <row r="710">
      <c r="A710" s="1">
        <f>IFERROR(__xludf.DUMMYFUNCTION("""COMPUTED_VALUE"""),41387.666666666664)</f>
        <v>41387.66667</v>
      </c>
      <c r="B710" s="2">
        <f>IFERROR(__xludf.DUMMYFUNCTION("""COMPUTED_VALUE"""),3.4)</f>
        <v>3.4</v>
      </c>
      <c r="C710" s="3">
        <v>17.2395107313596</v>
      </c>
    </row>
    <row r="711">
      <c r="A711" s="1">
        <f>IFERROR(__xludf.DUMMYFUNCTION("""COMPUTED_VALUE"""),41388.666666666664)</f>
        <v>41388.66667</v>
      </c>
      <c r="B711" s="2">
        <f>IFERROR(__xludf.DUMMYFUNCTION("""COMPUTED_VALUE"""),3.36)</f>
        <v>3.36</v>
      </c>
      <c r="C711" s="3">
        <v>17.2217568077874</v>
      </c>
    </row>
    <row r="712">
      <c r="A712" s="1">
        <f>IFERROR(__xludf.DUMMYFUNCTION("""COMPUTED_VALUE"""),41389.666666666664)</f>
        <v>41389.66667</v>
      </c>
      <c r="B712" s="2">
        <f>IFERROR(__xludf.DUMMYFUNCTION("""COMPUTED_VALUE"""),3.47)</f>
        <v>3.47</v>
      </c>
      <c r="C712" s="3">
        <v>16.1855365776918</v>
      </c>
    </row>
    <row r="713">
      <c r="A713" s="1">
        <f>IFERROR(__xludf.DUMMYFUNCTION("""COMPUTED_VALUE"""),41390.666666666664)</f>
        <v>41390.66667</v>
      </c>
      <c r="B713" s="2">
        <f>IFERROR(__xludf.DUMMYFUNCTION("""COMPUTED_VALUE"""),3.41)</f>
        <v>3.41</v>
      </c>
      <c r="C713" s="3">
        <v>15.030952746831</v>
      </c>
    </row>
    <row r="714">
      <c r="A714" s="1">
        <f>IFERROR(__xludf.DUMMYFUNCTION("""COMPUTED_VALUE"""),41393.666666666664)</f>
        <v>41393.66667</v>
      </c>
      <c r="B714" s="2">
        <f>IFERROR(__xludf.DUMMYFUNCTION("""COMPUTED_VALUE"""),3.66)</f>
        <v>3.66</v>
      </c>
      <c r="C714" s="3">
        <v>15.169849365945</v>
      </c>
    </row>
    <row r="715">
      <c r="A715" s="1">
        <f>IFERROR(__xludf.DUMMYFUNCTION("""COMPUTED_VALUE"""),41394.666666666664)</f>
        <v>41394.66667</v>
      </c>
      <c r="B715" s="2">
        <f>IFERROR(__xludf.DUMMYFUNCTION("""COMPUTED_VALUE"""),3.6)</f>
        <v>3.6</v>
      </c>
      <c r="C715" s="3">
        <v>14.252950037698</v>
      </c>
    </row>
    <row r="716">
      <c r="A716" s="1">
        <f>IFERROR(__xludf.DUMMYFUNCTION("""COMPUTED_VALUE"""),41395.666666666664)</f>
        <v>41395.66667</v>
      </c>
      <c r="B716" s="2">
        <f>IFERROR(__xludf.DUMMYFUNCTION("""COMPUTED_VALUE"""),3.55)</f>
        <v>3.55</v>
      </c>
      <c r="C716" s="3">
        <v>13.6460345485517</v>
      </c>
    </row>
    <row r="717">
      <c r="A717" s="1">
        <f>IFERROR(__xludf.DUMMYFUNCTION("""COMPUTED_VALUE"""),41396.666666666664)</f>
        <v>41396.66667</v>
      </c>
      <c r="B717" s="2">
        <f>IFERROR(__xludf.DUMMYFUNCTION("""COMPUTED_VALUE"""),3.61)</f>
        <v>3.61</v>
      </c>
      <c r="C717" s="3">
        <v>12.0361248998039</v>
      </c>
    </row>
    <row r="718">
      <c r="A718" s="1">
        <f>IFERROR(__xludf.DUMMYFUNCTION("""COMPUTED_VALUE"""),41397.666666666664)</f>
        <v>41397.66667</v>
      </c>
      <c r="B718" s="2">
        <f>IFERROR(__xludf.DUMMYFUNCTION("""COMPUTED_VALUE"""),3.64)</f>
        <v>3.64</v>
      </c>
      <c r="C718" s="3">
        <v>10.3352674202805</v>
      </c>
    </row>
    <row r="719">
      <c r="A719" s="1">
        <f>IFERROR(__xludf.DUMMYFUNCTION("""COMPUTED_VALUE"""),41400.666666666664)</f>
        <v>41400.66667</v>
      </c>
      <c r="B719" s="2">
        <f>IFERROR(__xludf.DUMMYFUNCTION("""COMPUTED_VALUE"""),3.97)</f>
        <v>3.97</v>
      </c>
      <c r="C719" s="3">
        <v>9.1160884318565</v>
      </c>
    </row>
    <row r="720">
      <c r="A720" s="1">
        <f>IFERROR(__xludf.DUMMYFUNCTION("""COMPUTED_VALUE"""),41401.666666666664)</f>
        <v>41401.66667</v>
      </c>
      <c r="B720" s="2">
        <f>IFERROR(__xludf.DUMMYFUNCTION("""COMPUTED_VALUE"""),3.7)</f>
        <v>3.7</v>
      </c>
      <c r="C720" s="3">
        <v>7.87537255150914</v>
      </c>
    </row>
    <row r="721">
      <c r="A721" s="1">
        <f>IFERROR(__xludf.DUMMYFUNCTION("""COMPUTED_VALUE"""),41402.666666666664)</f>
        <v>41402.66667</v>
      </c>
      <c r="B721" s="2">
        <f>IFERROR(__xludf.DUMMYFUNCTION("""COMPUTED_VALUE"""),3.72)</f>
        <v>3.72</v>
      </c>
      <c r="C721" s="3">
        <v>7.02387212440649</v>
      </c>
    </row>
    <row r="722">
      <c r="A722" s="1">
        <f>IFERROR(__xludf.DUMMYFUNCTION("""COMPUTED_VALUE"""),41403.666666666664)</f>
        <v>41403.66667</v>
      </c>
      <c r="B722" s="2">
        <f>IFERROR(__xludf.DUMMYFUNCTION("""COMPUTED_VALUE"""),4.63)</f>
        <v>4.63</v>
      </c>
      <c r="C722" s="3">
        <v>5.25517885132174</v>
      </c>
    </row>
    <row r="723">
      <c r="A723" s="1">
        <f>IFERROR(__xludf.DUMMYFUNCTION("""COMPUTED_VALUE"""),41404.666666666664)</f>
        <v>41404.66667</v>
      </c>
      <c r="B723" s="2">
        <f>IFERROR(__xludf.DUMMYFUNCTION("""COMPUTED_VALUE"""),5.12)</f>
        <v>5.12</v>
      </c>
      <c r="C723" s="3">
        <v>3.4860489159406</v>
      </c>
    </row>
    <row r="724">
      <c r="A724" s="1">
        <f>IFERROR(__xludf.DUMMYFUNCTION("""COMPUTED_VALUE"""),41407.666666666664)</f>
        <v>41407.66667</v>
      </c>
      <c r="B724" s="2">
        <f>IFERROR(__xludf.DUMMYFUNCTION("""COMPUTED_VALUE"""),5.85)</f>
        <v>5.85</v>
      </c>
      <c r="C724" s="3">
        <v>2.62128024285202</v>
      </c>
    </row>
    <row r="725">
      <c r="A725" s="1">
        <f>IFERROR(__xludf.DUMMYFUNCTION("""COMPUTED_VALUE"""),41408.666666666664)</f>
        <v>41408.66667</v>
      </c>
      <c r="B725" s="2">
        <f>IFERROR(__xludf.DUMMYFUNCTION("""COMPUTED_VALUE"""),5.55)</f>
        <v>5.55</v>
      </c>
      <c r="C725" s="3">
        <v>1.67971980419104</v>
      </c>
    </row>
    <row r="726">
      <c r="A726" s="1">
        <f>IFERROR(__xludf.DUMMYFUNCTION("""COMPUTED_VALUE"""),41409.666666666664)</f>
        <v>41409.66667</v>
      </c>
      <c r="B726" s="2">
        <f>IFERROR(__xludf.DUMMYFUNCTION("""COMPUTED_VALUE"""),5.66)</f>
        <v>5.66</v>
      </c>
      <c r="C726" s="3">
        <v>1.20985542794739</v>
      </c>
    </row>
    <row r="727">
      <c r="A727" s="1">
        <f>IFERROR(__xludf.DUMMYFUNCTION("""COMPUTED_VALUE"""),41410.666666666664)</f>
        <v>41410.66667</v>
      </c>
      <c r="B727" s="2">
        <f>IFERROR(__xludf.DUMMYFUNCTION("""COMPUTED_VALUE"""),6.15)</f>
        <v>6.15</v>
      </c>
      <c r="C727" s="3">
        <v>-0.102533010790946</v>
      </c>
    </row>
    <row r="728">
      <c r="A728" s="1">
        <f>IFERROR(__xludf.DUMMYFUNCTION("""COMPUTED_VALUE"""),41411.666666666664)</f>
        <v>41411.66667</v>
      </c>
      <c r="B728" s="2">
        <f>IFERROR(__xludf.DUMMYFUNCTION("""COMPUTED_VALUE"""),6.1)</f>
        <v>6.1</v>
      </c>
      <c r="C728" s="3">
        <v>-1.35025144978486</v>
      </c>
    </row>
    <row r="729">
      <c r="A729" s="1">
        <f>IFERROR(__xludf.DUMMYFUNCTION("""COMPUTED_VALUE"""),41414.666666666664)</f>
        <v>41414.66667</v>
      </c>
      <c r="B729" s="2">
        <f>IFERROR(__xludf.DUMMYFUNCTION("""COMPUTED_VALUE"""),6.0)</f>
        <v>6</v>
      </c>
      <c r="C729" s="3">
        <v>-0.376559682827874</v>
      </c>
    </row>
    <row r="730">
      <c r="A730" s="1">
        <f>IFERROR(__xludf.DUMMYFUNCTION("""COMPUTED_VALUE"""),41415.666666666664)</f>
        <v>41415.66667</v>
      </c>
      <c r="B730" s="2">
        <f>IFERROR(__xludf.DUMMYFUNCTION("""COMPUTED_VALUE"""),5.84)</f>
        <v>5.84</v>
      </c>
      <c r="C730" s="3">
        <v>-0.657441380383886</v>
      </c>
    </row>
    <row r="731">
      <c r="A731" s="1">
        <f>IFERROR(__xludf.DUMMYFUNCTION("""COMPUTED_VALUE"""),41416.666666666664)</f>
        <v>41416.66667</v>
      </c>
      <c r="B731" s="2">
        <f>IFERROR(__xludf.DUMMYFUNCTION("""COMPUTED_VALUE"""),5.82)</f>
        <v>5.82</v>
      </c>
      <c r="C731" s="3">
        <v>-0.4656248572076</v>
      </c>
    </row>
    <row r="732">
      <c r="A732" s="1">
        <f>IFERROR(__xludf.DUMMYFUNCTION("""COMPUTED_VALUE"""),41417.666666666664)</f>
        <v>41417.66667</v>
      </c>
      <c r="B732" s="2">
        <f>IFERROR(__xludf.DUMMYFUNCTION("""COMPUTED_VALUE"""),6.18)</f>
        <v>6.18</v>
      </c>
      <c r="C732" s="3">
        <v>-1.12900530233068</v>
      </c>
    </row>
    <row r="733">
      <c r="A733" s="1">
        <f>IFERROR(__xludf.DUMMYFUNCTION("""COMPUTED_VALUE"""),41418.666666666664)</f>
        <v>41418.66667</v>
      </c>
      <c r="B733" s="2">
        <f>IFERROR(__xludf.DUMMYFUNCTION("""COMPUTED_VALUE"""),6.47)</f>
        <v>6.47</v>
      </c>
      <c r="C733" s="3">
        <v>-1.75349355400839</v>
      </c>
    </row>
    <row r="734">
      <c r="A734" s="1">
        <f>IFERROR(__xludf.DUMMYFUNCTION("""COMPUTED_VALUE"""),41422.666666666664)</f>
        <v>41422.66667</v>
      </c>
      <c r="B734" s="2">
        <f>IFERROR(__xludf.DUMMYFUNCTION("""COMPUTED_VALUE"""),7.36)</f>
        <v>7.36</v>
      </c>
      <c r="C734" s="3">
        <v>0.951139281280024</v>
      </c>
    </row>
    <row r="735">
      <c r="A735" s="1">
        <f>IFERROR(__xludf.DUMMYFUNCTION("""COMPUTED_VALUE"""),41423.666666666664)</f>
        <v>41423.66667</v>
      </c>
      <c r="B735" s="2">
        <f>IFERROR(__xludf.DUMMYFUNCTION("""COMPUTED_VALUE"""),6.98)</f>
        <v>6.98</v>
      </c>
      <c r="C735" s="3">
        <v>1.4834830154255</v>
      </c>
    </row>
    <row r="736">
      <c r="A736" s="1">
        <f>IFERROR(__xludf.DUMMYFUNCTION("""COMPUTED_VALUE"""),41424.666666666664)</f>
        <v>41424.66667</v>
      </c>
      <c r="B736" s="2">
        <f>IFERROR(__xludf.DUMMYFUNCTION("""COMPUTED_VALUE"""),7.0)</f>
        <v>7</v>
      </c>
      <c r="C736" s="3">
        <v>1.08547203123626</v>
      </c>
    </row>
    <row r="737">
      <c r="A737" s="1">
        <f>IFERROR(__xludf.DUMMYFUNCTION("""COMPUTED_VALUE"""),41425.666666666664)</f>
        <v>41425.66667</v>
      </c>
      <c r="B737" s="2">
        <f>IFERROR(__xludf.DUMMYFUNCTION("""COMPUTED_VALUE"""),6.52)</f>
        <v>6.52</v>
      </c>
      <c r="C737" s="3">
        <v>0.649810768243973</v>
      </c>
    </row>
    <row r="738">
      <c r="A738" s="1">
        <f>IFERROR(__xludf.DUMMYFUNCTION("""COMPUTED_VALUE"""),41428.666666666664)</f>
        <v>41428.66667</v>
      </c>
      <c r="B738" s="2">
        <f>IFERROR(__xludf.DUMMYFUNCTION("""COMPUTED_VALUE"""),6.17)</f>
        <v>6.17</v>
      </c>
      <c r="C738" s="3">
        <v>3.34896724087763</v>
      </c>
    </row>
    <row r="739">
      <c r="A739" s="1">
        <f>IFERROR(__xludf.DUMMYFUNCTION("""COMPUTED_VALUE"""),41429.666666666664)</f>
        <v>41429.66667</v>
      </c>
      <c r="B739" s="2">
        <f>IFERROR(__xludf.DUMMYFUNCTION("""COMPUTED_VALUE"""),6.32)</f>
        <v>6.32</v>
      </c>
      <c r="C739" s="3">
        <v>3.39154414448396</v>
      </c>
    </row>
    <row r="740">
      <c r="A740" s="1">
        <f>IFERROR(__xludf.DUMMYFUNCTION("""COMPUTED_VALUE"""),41430.666666666664)</f>
        <v>41430.66667</v>
      </c>
      <c r="B740" s="2">
        <f>IFERROR(__xludf.DUMMYFUNCTION("""COMPUTED_VALUE"""),6.36)</f>
        <v>6.36</v>
      </c>
      <c r="C740" s="3">
        <v>3.7825495137746</v>
      </c>
    </row>
    <row r="741">
      <c r="A741" s="1">
        <f>IFERROR(__xludf.DUMMYFUNCTION("""COMPUTED_VALUE"""),41431.666666666664)</f>
        <v>41431.66667</v>
      </c>
      <c r="B741" s="2">
        <f>IFERROR(__xludf.DUMMYFUNCTION("""COMPUTED_VALUE"""),6.49)</f>
        <v>6.49</v>
      </c>
      <c r="C741" s="3">
        <v>3.2002744647378</v>
      </c>
    </row>
    <row r="742">
      <c r="A742" s="1">
        <f>IFERROR(__xludf.DUMMYFUNCTION("""COMPUTED_VALUE"""),41432.666666666664)</f>
        <v>41432.66667</v>
      </c>
      <c r="B742" s="2">
        <f>IFERROR(__xludf.DUMMYFUNCTION("""COMPUTED_VALUE"""),6.8)</f>
        <v>6.8</v>
      </c>
      <c r="C742" s="3">
        <v>2.54820084156443</v>
      </c>
    </row>
    <row r="743">
      <c r="A743" s="1">
        <f>IFERROR(__xludf.DUMMYFUNCTION("""COMPUTED_VALUE"""),41435.666666666664)</f>
        <v>41435.66667</v>
      </c>
      <c r="B743" s="2">
        <f>IFERROR(__xludf.DUMMYFUNCTION("""COMPUTED_VALUE"""),6.67)</f>
        <v>6.67</v>
      </c>
      <c r="C743" s="3">
        <v>4.52122343010777</v>
      </c>
    </row>
    <row r="744">
      <c r="A744" s="1">
        <f>IFERROR(__xludf.DUMMYFUNCTION("""COMPUTED_VALUE"""),41436.666666666664)</f>
        <v>41436.66667</v>
      </c>
      <c r="B744" s="2">
        <f>IFERROR(__xludf.DUMMYFUNCTION("""COMPUTED_VALUE"""),6.3)</f>
        <v>6.3</v>
      </c>
      <c r="C744" s="3">
        <v>4.33499469814749</v>
      </c>
    </row>
    <row r="745">
      <c r="A745" s="1">
        <f>IFERROR(__xludf.DUMMYFUNCTION("""COMPUTED_VALUE"""),41437.666666666664)</f>
        <v>41437.66667</v>
      </c>
      <c r="B745" s="2">
        <f>IFERROR(__xludf.DUMMYFUNCTION("""COMPUTED_VALUE"""),6.52)</f>
        <v>6.52</v>
      </c>
      <c r="C745" s="3">
        <v>4.52209362114949</v>
      </c>
    </row>
    <row r="746">
      <c r="A746" s="1">
        <f>IFERROR(__xludf.DUMMYFUNCTION("""COMPUTED_VALUE"""),41438.666666666664)</f>
        <v>41438.66667</v>
      </c>
      <c r="B746" s="2">
        <f>IFERROR(__xludf.DUMMYFUNCTION("""COMPUTED_VALUE"""),6.55)</f>
        <v>6.55</v>
      </c>
      <c r="C746" s="3">
        <v>3.77037269183308</v>
      </c>
    </row>
    <row r="747">
      <c r="A747" s="1">
        <f>IFERROR(__xludf.DUMMYFUNCTION("""COMPUTED_VALUE"""),41439.666666666664)</f>
        <v>41439.66667</v>
      </c>
      <c r="B747" s="2">
        <f>IFERROR(__xludf.DUMMYFUNCTION("""COMPUTED_VALUE"""),6.69)</f>
        <v>6.69</v>
      </c>
      <c r="C747" s="3">
        <v>2.99151512624528</v>
      </c>
    </row>
    <row r="748">
      <c r="A748" s="1">
        <f>IFERROR(__xludf.DUMMYFUNCTION("""COMPUTED_VALUE"""),41442.666666666664)</f>
        <v>41442.66667</v>
      </c>
      <c r="B748" s="2">
        <f>IFERROR(__xludf.DUMMYFUNCTION("""COMPUTED_VALUE"""),6.81)</f>
        <v>6.81</v>
      </c>
      <c r="C748" s="3">
        <v>4.89691184505325</v>
      </c>
    </row>
    <row r="749">
      <c r="A749" s="1">
        <f>IFERROR(__xludf.DUMMYFUNCTION("""COMPUTED_VALUE"""),41443.666666666664)</f>
        <v>41443.66667</v>
      </c>
      <c r="B749" s="2">
        <f>IFERROR(__xludf.DUMMYFUNCTION("""COMPUTED_VALUE"""),6.89)</f>
        <v>6.89</v>
      </c>
      <c r="C749" s="3">
        <v>4.80175691394864</v>
      </c>
    </row>
    <row r="750">
      <c r="A750" s="1">
        <f>IFERROR(__xludf.DUMMYFUNCTION("""COMPUTED_VALUE"""),41444.666666666664)</f>
        <v>41444.66667</v>
      </c>
      <c r="B750" s="2">
        <f>IFERROR(__xludf.DUMMYFUNCTION("""COMPUTED_VALUE"""),6.98)</f>
        <v>6.98</v>
      </c>
      <c r="C750" s="3">
        <v>5.13636504342034</v>
      </c>
    </row>
    <row r="751">
      <c r="A751" s="1">
        <f>IFERROR(__xludf.DUMMYFUNCTION("""COMPUTED_VALUE"""),41445.666666666664)</f>
        <v>41445.66667</v>
      </c>
      <c r="B751" s="2">
        <f>IFERROR(__xludf.DUMMYFUNCTION("""COMPUTED_VALUE"""),6.71)</f>
        <v>6.71</v>
      </c>
      <c r="C751" s="3">
        <v>4.58533088209667</v>
      </c>
    </row>
    <row r="752">
      <c r="A752" s="1">
        <f>IFERROR(__xludf.DUMMYFUNCTION("""COMPUTED_VALUE"""),41446.666666666664)</f>
        <v>41446.66667</v>
      </c>
      <c r="B752" s="2">
        <f>IFERROR(__xludf.DUMMYFUNCTION("""COMPUTED_VALUE"""),6.64)</f>
        <v>6.64</v>
      </c>
      <c r="C752" s="3">
        <v>4.05517356336061</v>
      </c>
    </row>
    <row r="753">
      <c r="A753" s="1">
        <f>IFERROR(__xludf.DUMMYFUNCTION("""COMPUTED_VALUE"""),41449.666666666664)</f>
        <v>41449.66667</v>
      </c>
      <c r="B753" s="2">
        <f>IFERROR(__xludf.DUMMYFUNCTION("""COMPUTED_VALUE"""),6.77)</f>
        <v>6.77</v>
      </c>
      <c r="C753" s="3">
        <v>6.91829011620106</v>
      </c>
    </row>
    <row r="754">
      <c r="A754" s="1">
        <f>IFERROR(__xludf.DUMMYFUNCTION("""COMPUTED_VALUE"""),41450.666666666664)</f>
        <v>41450.66667</v>
      </c>
      <c r="B754" s="2">
        <f>IFERROR(__xludf.DUMMYFUNCTION("""COMPUTED_VALUE"""),6.83)</f>
        <v>6.83</v>
      </c>
      <c r="C754" s="3">
        <v>7.1808731938739</v>
      </c>
    </row>
    <row r="755">
      <c r="A755" s="1">
        <f>IFERROR(__xludf.DUMMYFUNCTION("""COMPUTED_VALUE"""),41451.666666666664)</f>
        <v>41451.66667</v>
      </c>
      <c r="B755" s="2">
        <f>IFERROR(__xludf.DUMMYFUNCTION("""COMPUTED_VALUE"""),7.05)</f>
        <v>7.05</v>
      </c>
      <c r="C755" s="3">
        <v>7.87421566892421</v>
      </c>
    </row>
    <row r="756">
      <c r="A756" s="1">
        <f>IFERROR(__xludf.DUMMYFUNCTION("""COMPUTED_VALUE"""),41452.666666666664)</f>
        <v>41452.66667</v>
      </c>
      <c r="B756" s="2">
        <f>IFERROR(__xludf.DUMMYFUNCTION("""COMPUTED_VALUE"""),7.28)</f>
        <v>7.28</v>
      </c>
      <c r="C756" s="3">
        <v>7.67132761841645</v>
      </c>
    </row>
    <row r="757">
      <c r="A757" s="1">
        <f>IFERROR(__xludf.DUMMYFUNCTION("""COMPUTED_VALUE"""),41453.666666666664)</f>
        <v>41453.66667</v>
      </c>
      <c r="B757" s="2">
        <f>IFERROR(__xludf.DUMMYFUNCTION("""COMPUTED_VALUE"""),7.16)</f>
        <v>7.16</v>
      </c>
      <c r="C757" s="3">
        <v>7.46722092314963</v>
      </c>
    </row>
    <row r="758">
      <c r="A758" s="1">
        <f>IFERROR(__xludf.DUMMYFUNCTION("""COMPUTED_VALUE"""),41456.666666666664)</f>
        <v>41456.66667</v>
      </c>
      <c r="B758" s="2">
        <f>IFERROR(__xludf.DUMMYFUNCTION("""COMPUTED_VALUE"""),7.81)</f>
        <v>7.81</v>
      </c>
      <c r="C758" s="3">
        <v>11.0694402290858</v>
      </c>
    </row>
    <row r="759">
      <c r="A759" s="1">
        <f>IFERROR(__xludf.DUMMYFUNCTION("""COMPUTED_VALUE"""),41457.666666666664)</f>
        <v>41457.66667</v>
      </c>
      <c r="B759" s="2">
        <f>IFERROR(__xludf.DUMMYFUNCTION("""COMPUTED_VALUE"""),7.85)</f>
        <v>7.85</v>
      </c>
      <c r="C759" s="3">
        <v>11.4683905039365</v>
      </c>
    </row>
    <row r="760">
      <c r="A760" s="1">
        <f>IFERROR(__xludf.DUMMYFUNCTION("""COMPUTED_VALUE"""),41458.666666666664)</f>
        <v>41458.66667</v>
      </c>
      <c r="B760" s="2">
        <f>IFERROR(__xludf.DUMMYFUNCTION("""COMPUTED_VALUE"""),7.68)</f>
        <v>7.68</v>
      </c>
      <c r="C760" s="3">
        <v>12.2315394519569</v>
      </c>
    </row>
    <row r="761">
      <c r="A761" s="1">
        <f>IFERROR(__xludf.DUMMYFUNCTION("""COMPUTED_VALUE"""),41460.666666666664)</f>
        <v>41460.66667</v>
      </c>
      <c r="B761" s="2">
        <f>IFERROR(__xludf.DUMMYFUNCTION("""COMPUTED_VALUE"""),8.01)</f>
        <v>8.01</v>
      </c>
      <c r="C761" s="3">
        <v>11.7493172528408</v>
      </c>
    </row>
    <row r="762">
      <c r="A762" s="1">
        <f>IFERROR(__xludf.DUMMYFUNCTION("""COMPUTED_VALUE"""),41463.666666666664)</f>
        <v>41463.66667</v>
      </c>
      <c r="B762" s="2">
        <f>IFERROR(__xludf.DUMMYFUNCTION("""COMPUTED_VALUE"""),8.11)</f>
        <v>8.11</v>
      </c>
      <c r="C762" s="3">
        <v>14.6985441439141</v>
      </c>
    </row>
    <row r="763">
      <c r="A763" s="1">
        <f>IFERROR(__xludf.DUMMYFUNCTION("""COMPUTED_VALUE"""),41464.666666666664)</f>
        <v>41464.66667</v>
      </c>
      <c r="B763" s="2">
        <f>IFERROR(__xludf.DUMMYFUNCTION("""COMPUTED_VALUE"""),8.23)</f>
        <v>8.23</v>
      </c>
      <c r="C763" s="3">
        <v>14.7494911869524</v>
      </c>
    </row>
    <row r="764">
      <c r="A764" s="1">
        <f>IFERROR(__xludf.DUMMYFUNCTION("""COMPUTED_VALUE"""),41465.666666666664)</f>
        <v>41465.66667</v>
      </c>
      <c r="B764" s="2">
        <f>IFERROR(__xludf.DUMMYFUNCTION("""COMPUTED_VALUE"""),8.15)</f>
        <v>8.15</v>
      </c>
      <c r="C764" s="3">
        <v>15.1108636523697</v>
      </c>
    </row>
    <row r="765">
      <c r="A765" s="1">
        <f>IFERROR(__xludf.DUMMYFUNCTION("""COMPUTED_VALUE"""),41466.666666666664)</f>
        <v>41466.66667</v>
      </c>
      <c r="B765" s="2">
        <f>IFERROR(__xludf.DUMMYFUNCTION("""COMPUTED_VALUE"""),8.37)</f>
        <v>8.37</v>
      </c>
      <c r="C765" s="3">
        <v>14.4607500886881</v>
      </c>
    </row>
    <row r="766">
      <c r="A766" s="1">
        <f>IFERROR(__xludf.DUMMYFUNCTION("""COMPUTED_VALUE"""),41467.666666666664)</f>
        <v>41467.66667</v>
      </c>
      <c r="B766" s="2">
        <f>IFERROR(__xludf.DUMMYFUNCTION("""COMPUTED_VALUE"""),8.66)</f>
        <v>8.66</v>
      </c>
      <c r="C766" s="3">
        <v>13.7025828196604</v>
      </c>
    </row>
    <row r="767">
      <c r="A767" s="1">
        <f>IFERROR(__xludf.DUMMYFUNCTION("""COMPUTED_VALUE"""),41470.666666666664)</f>
        <v>41470.66667</v>
      </c>
      <c r="B767" s="2">
        <f>IFERROR(__xludf.DUMMYFUNCTION("""COMPUTED_VALUE"""),8.48)</f>
        <v>8.48</v>
      </c>
      <c r="C767" s="3">
        <v>15.1308571982485</v>
      </c>
    </row>
    <row r="768">
      <c r="A768" s="1">
        <f>IFERROR(__xludf.DUMMYFUNCTION("""COMPUTED_VALUE"""),41471.666666666664)</f>
        <v>41471.66667</v>
      </c>
      <c r="B768" s="2">
        <f>IFERROR(__xludf.DUMMYFUNCTION("""COMPUTED_VALUE"""),7.27)</f>
        <v>7.27</v>
      </c>
      <c r="C768" s="3">
        <v>14.6901536657404</v>
      </c>
    </row>
    <row r="769">
      <c r="A769" s="1">
        <f>IFERROR(__xludf.DUMMYFUNCTION("""COMPUTED_VALUE"""),41472.666666666664)</f>
        <v>41472.66667</v>
      </c>
      <c r="B769" s="2">
        <f>IFERROR(__xludf.DUMMYFUNCTION("""COMPUTED_VALUE"""),8.02)</f>
        <v>8.02</v>
      </c>
      <c r="C769" s="3">
        <v>14.5885851854278</v>
      </c>
    </row>
    <row r="770">
      <c r="A770" s="1">
        <f>IFERROR(__xludf.DUMMYFUNCTION("""COMPUTED_VALUE"""),41473.666666666664)</f>
        <v>41473.66667</v>
      </c>
      <c r="B770" s="2">
        <f>IFERROR(__xludf.DUMMYFUNCTION("""COMPUTED_VALUE"""),7.94)</f>
        <v>7.94</v>
      </c>
      <c r="C770" s="3">
        <v>13.5160062268111</v>
      </c>
    </row>
    <row r="771">
      <c r="A771" s="1">
        <f>IFERROR(__xludf.DUMMYFUNCTION("""COMPUTED_VALUE"""),41474.666666666664)</f>
        <v>41474.66667</v>
      </c>
      <c r="B771" s="2">
        <f>IFERROR(__xludf.DUMMYFUNCTION("""COMPUTED_VALUE"""),7.98)</f>
        <v>7.98</v>
      </c>
      <c r="C771" s="3">
        <v>12.3865674322053</v>
      </c>
    </row>
    <row r="772">
      <c r="A772" s="1">
        <f>IFERROR(__xludf.DUMMYFUNCTION("""COMPUTED_VALUE"""),41477.666666666664)</f>
        <v>41477.66667</v>
      </c>
      <c r="B772" s="2">
        <f>IFERROR(__xludf.DUMMYFUNCTION("""COMPUTED_VALUE"""),8.16)</f>
        <v>8.16</v>
      </c>
      <c r="C772" s="3">
        <v>13.0936012547668</v>
      </c>
    </row>
    <row r="773">
      <c r="A773" s="1">
        <f>IFERROR(__xludf.DUMMYFUNCTION("""COMPUTED_VALUE"""),41478.666666666664)</f>
        <v>41478.66667</v>
      </c>
      <c r="B773" s="2">
        <f>IFERROR(__xludf.DUMMYFUNCTION("""COMPUTED_VALUE"""),8.18)</f>
        <v>8.18</v>
      </c>
      <c r="C773" s="3">
        <v>12.5629421478447</v>
      </c>
    </row>
    <row r="774">
      <c r="A774" s="1">
        <f>IFERROR(__xludf.DUMMYFUNCTION("""COMPUTED_VALUE"""),41479.666666666664)</f>
        <v>41479.66667</v>
      </c>
      <c r="B774" s="2">
        <f>IFERROR(__xludf.DUMMYFUNCTION("""COMPUTED_VALUE"""),8.11)</f>
        <v>8.11</v>
      </c>
      <c r="C774" s="3">
        <v>12.4514481563406</v>
      </c>
    </row>
    <row r="775">
      <c r="A775" s="1">
        <f>IFERROR(__xludf.DUMMYFUNCTION("""COMPUTED_VALUE"""),41480.666666666664)</f>
        <v>41480.66667</v>
      </c>
      <c r="B775" s="2">
        <f>IFERROR(__xludf.DUMMYFUNCTION("""COMPUTED_VALUE"""),8.27)</f>
        <v>8.27</v>
      </c>
      <c r="C775" s="3">
        <v>11.4486791032058</v>
      </c>
    </row>
    <row r="776">
      <c r="A776" s="1">
        <f>IFERROR(__xludf.DUMMYFUNCTION("""COMPUTED_VALUE"""),41481.666666666664)</f>
        <v>41481.66667</v>
      </c>
      <c r="B776" s="2">
        <f>IFERROR(__xludf.DUMMYFUNCTION("""COMPUTED_VALUE"""),8.63)</f>
        <v>8.63</v>
      </c>
      <c r="C776" s="3">
        <v>10.4663708573468</v>
      </c>
    </row>
    <row r="777">
      <c r="A777" s="1">
        <f>IFERROR(__xludf.DUMMYFUNCTION("""COMPUTED_VALUE"""),41484.666666666664)</f>
        <v>41484.66667</v>
      </c>
      <c r="B777" s="2">
        <f>IFERROR(__xludf.DUMMYFUNCTION("""COMPUTED_VALUE"""),8.97)</f>
        <v>8.97</v>
      </c>
      <c r="C777" s="3">
        <v>12.0248450468544</v>
      </c>
    </row>
    <row r="778">
      <c r="A778" s="1">
        <f>IFERROR(__xludf.DUMMYFUNCTION("""COMPUTED_VALUE"""),41485.666666666664)</f>
        <v>41485.66667</v>
      </c>
      <c r="B778" s="2">
        <f>IFERROR(__xludf.DUMMYFUNCTION("""COMPUTED_VALUE"""),8.78)</f>
        <v>8.78</v>
      </c>
      <c r="C778" s="3">
        <v>11.8880289005184</v>
      </c>
    </row>
    <row r="779">
      <c r="A779" s="1">
        <f>IFERROR(__xludf.DUMMYFUNCTION("""COMPUTED_VALUE"""),41486.666666666664)</f>
        <v>41486.66667</v>
      </c>
      <c r="B779" s="2">
        <f>IFERROR(__xludf.DUMMYFUNCTION("""COMPUTED_VALUE"""),8.95)</f>
        <v>8.95</v>
      </c>
      <c r="C779" s="3">
        <v>12.2085539046368</v>
      </c>
    </row>
    <row r="780">
      <c r="A780" s="1">
        <f>IFERROR(__xludf.DUMMYFUNCTION("""COMPUTED_VALUE"""),41487.666666666664)</f>
        <v>41487.66667</v>
      </c>
      <c r="B780" s="2">
        <f>IFERROR(__xludf.DUMMYFUNCTION("""COMPUTED_VALUE"""),9.04)</f>
        <v>9.04</v>
      </c>
      <c r="C780" s="3">
        <v>11.6643816103994</v>
      </c>
    </row>
    <row r="781">
      <c r="A781" s="1">
        <f>IFERROR(__xludf.DUMMYFUNCTION("""COMPUTED_VALUE"""),41488.666666666664)</f>
        <v>41488.66667</v>
      </c>
      <c r="B781" s="2">
        <f>IFERROR(__xludf.DUMMYFUNCTION("""COMPUTED_VALUE"""),9.2)</f>
        <v>9.2</v>
      </c>
      <c r="C781" s="3">
        <v>11.1551139848734</v>
      </c>
    </row>
    <row r="782">
      <c r="A782" s="1">
        <f>IFERROR(__xludf.DUMMYFUNCTION("""COMPUTED_VALUE"""),41491.666666666664)</f>
        <v>41491.66667</v>
      </c>
      <c r="B782" s="2">
        <f>IFERROR(__xludf.DUMMYFUNCTION("""COMPUTED_VALUE"""),9.65)</f>
        <v>9.65</v>
      </c>
      <c r="C782" s="3">
        <v>14.0973638204899</v>
      </c>
    </row>
    <row r="783">
      <c r="A783" s="1">
        <f>IFERROR(__xludf.DUMMYFUNCTION("""COMPUTED_VALUE"""),41492.666666666664)</f>
        <v>41492.66667</v>
      </c>
      <c r="B783" s="2">
        <f>IFERROR(__xludf.DUMMYFUNCTION("""COMPUTED_VALUE"""),9.48)</f>
        <v>9.48</v>
      </c>
      <c r="C783" s="3">
        <v>14.3715522031511</v>
      </c>
    </row>
    <row r="784">
      <c r="A784" s="1">
        <f>IFERROR(__xludf.DUMMYFUNCTION("""COMPUTED_VALUE"""),41493.666666666664)</f>
        <v>41493.66667</v>
      </c>
      <c r="B784" s="2">
        <f>IFERROR(__xludf.DUMMYFUNCTION("""COMPUTED_VALUE"""),8.95)</f>
        <v>8.95</v>
      </c>
      <c r="C784" s="3">
        <v>15.0609500367017</v>
      </c>
    </row>
    <row r="785">
      <c r="A785" s="1">
        <f>IFERROR(__xludf.DUMMYFUNCTION("""COMPUTED_VALUE"""),41494.666666666664)</f>
        <v>41494.66667</v>
      </c>
      <c r="B785" s="2">
        <f>IFERROR(__xludf.DUMMYFUNCTION("""COMPUTED_VALUE"""),10.23)</f>
        <v>10.23</v>
      </c>
      <c r="C785" s="3">
        <v>14.8352528063392</v>
      </c>
    </row>
    <row r="786">
      <c r="A786" s="1">
        <f>IFERROR(__xludf.DUMMYFUNCTION("""COMPUTED_VALUE"""),41495.666666666664)</f>
        <v>41495.66667</v>
      </c>
      <c r="B786" s="2">
        <f>IFERROR(__xludf.DUMMYFUNCTION("""COMPUTED_VALUE"""),10.2)</f>
        <v>10.2</v>
      </c>
      <c r="C786" s="3">
        <v>14.5874116753821</v>
      </c>
    </row>
    <row r="787">
      <c r="A787" s="1">
        <f>IFERROR(__xludf.DUMMYFUNCTION("""COMPUTED_VALUE"""),41498.666666666664)</f>
        <v>41498.66667</v>
      </c>
      <c r="B787" s="2">
        <f>IFERROR(__xludf.DUMMYFUNCTION("""COMPUTED_VALUE"""),9.83)</f>
        <v>9.83</v>
      </c>
      <c r="C787" s="3">
        <v>17.9324738642834</v>
      </c>
    </row>
    <row r="788">
      <c r="A788" s="1">
        <f>IFERROR(__xludf.DUMMYFUNCTION("""COMPUTED_VALUE"""),41499.666666666664)</f>
        <v>41499.66667</v>
      </c>
      <c r="B788" s="2">
        <f>IFERROR(__xludf.DUMMYFUNCTION("""COMPUTED_VALUE"""),9.7)</f>
        <v>9.7</v>
      </c>
      <c r="C788" s="3">
        <v>18.2103330313041</v>
      </c>
    </row>
    <row r="789">
      <c r="A789" s="1">
        <f>IFERROR(__xludf.DUMMYFUNCTION("""COMPUTED_VALUE"""),41500.666666666664)</f>
        <v>41500.66667</v>
      </c>
      <c r="B789" s="2">
        <f>IFERROR(__xludf.DUMMYFUNCTION("""COMPUTED_VALUE"""),9.29)</f>
        <v>9.29</v>
      </c>
      <c r="C789" s="3">
        <v>18.8411630282704</v>
      </c>
    </row>
    <row r="790">
      <c r="A790" s="1">
        <f>IFERROR(__xludf.DUMMYFUNCTION("""COMPUTED_VALUE"""),41501.666666666664)</f>
        <v>41501.66667</v>
      </c>
      <c r="B790" s="2">
        <f>IFERROR(__xludf.DUMMYFUNCTION("""COMPUTED_VALUE"""),9.31)</f>
        <v>9.31</v>
      </c>
      <c r="C790" s="3">
        <v>18.4991890732782</v>
      </c>
    </row>
    <row r="791">
      <c r="A791" s="1">
        <f>IFERROR(__xludf.DUMMYFUNCTION("""COMPUTED_VALUE"""),41502.666666666664)</f>
        <v>41502.66667</v>
      </c>
      <c r="B791" s="2">
        <f>IFERROR(__xludf.DUMMYFUNCTION("""COMPUTED_VALUE"""),9.47)</f>
        <v>9.47</v>
      </c>
      <c r="C791" s="3">
        <v>18.0834672892509</v>
      </c>
    </row>
    <row r="792">
      <c r="A792" s="1">
        <f>IFERROR(__xludf.DUMMYFUNCTION("""COMPUTED_VALUE"""),41505.666666666664)</f>
        <v>41505.66667</v>
      </c>
      <c r="B792" s="2">
        <f>IFERROR(__xludf.DUMMYFUNCTION("""COMPUTED_VALUE"""),9.66)</f>
        <v>9.66</v>
      </c>
      <c r="C792" s="3">
        <v>20.6950212903594</v>
      </c>
    </row>
    <row r="793">
      <c r="A793" s="1">
        <f>IFERROR(__xludf.DUMMYFUNCTION("""COMPUTED_VALUE"""),41506.666666666664)</f>
        <v>41506.66667</v>
      </c>
      <c r="B793" s="2">
        <f>IFERROR(__xludf.DUMMYFUNCTION("""COMPUTED_VALUE"""),9.97)</f>
        <v>9.97</v>
      </c>
      <c r="C793" s="3">
        <v>20.6826134240685</v>
      </c>
    </row>
    <row r="794">
      <c r="A794" s="1">
        <f>IFERROR(__xludf.DUMMYFUNCTION("""COMPUTED_VALUE"""),41507.666666666664)</f>
        <v>41507.66667</v>
      </c>
      <c r="B794" s="2">
        <f>IFERROR(__xludf.DUMMYFUNCTION("""COMPUTED_VALUE"""),9.86)</f>
        <v>9.86</v>
      </c>
      <c r="C794" s="3">
        <v>21.0167692684634</v>
      </c>
    </row>
    <row r="795">
      <c r="A795" s="1">
        <f>IFERROR(__xludf.DUMMYFUNCTION("""COMPUTED_VALUE"""),41508.666666666664)</f>
        <v>41508.66667</v>
      </c>
      <c r="B795" s="2">
        <f>IFERROR(__xludf.DUMMYFUNCTION("""COMPUTED_VALUE"""),10.47)</f>
        <v>10.47</v>
      </c>
      <c r="C795" s="3">
        <v>20.3815435539963</v>
      </c>
    </row>
    <row r="796">
      <c r="A796" s="1">
        <f>IFERROR(__xludf.DUMMYFUNCTION("""COMPUTED_VALUE"""),41509.666666666664)</f>
        <v>41509.66667</v>
      </c>
      <c r="B796" s="2">
        <f>IFERROR(__xludf.DUMMYFUNCTION("""COMPUTED_VALUE"""),10.79)</f>
        <v>10.79</v>
      </c>
      <c r="C796" s="3">
        <v>19.6853344898719</v>
      </c>
    </row>
    <row r="797">
      <c r="A797" s="1">
        <f>IFERROR(__xludf.DUMMYFUNCTION("""COMPUTED_VALUE"""),41512.666666666664)</f>
        <v>41512.66667</v>
      </c>
      <c r="B797" s="2">
        <f>IFERROR(__xludf.DUMMYFUNCTION("""COMPUTED_VALUE"""),10.95)</f>
        <v>10.95</v>
      </c>
      <c r="C797" s="3">
        <v>21.612012535986</v>
      </c>
    </row>
    <row r="798">
      <c r="A798" s="1">
        <f>IFERROR(__xludf.DUMMYFUNCTION("""COMPUTED_VALUE"""),41513.666666666664)</f>
        <v>41513.66667</v>
      </c>
      <c r="B798" s="2">
        <f>IFERROR(__xludf.DUMMYFUNCTION("""COMPUTED_VALUE"""),11.13)</f>
        <v>11.13</v>
      </c>
      <c r="C798" s="3">
        <v>21.4439699229605</v>
      </c>
    </row>
    <row r="799">
      <c r="A799" s="1">
        <f>IFERROR(__xludf.DUMMYFUNCTION("""COMPUTED_VALUE"""),41514.666666666664)</f>
        <v>41514.66667</v>
      </c>
      <c r="B799" s="2">
        <f>IFERROR(__xludf.DUMMYFUNCTION("""COMPUTED_VALUE"""),11.1)</f>
        <v>11.1</v>
      </c>
      <c r="C799" s="3">
        <v>21.6652823316655</v>
      </c>
    </row>
    <row r="800">
      <c r="A800" s="1">
        <f>IFERROR(__xludf.DUMMYFUNCTION("""COMPUTED_VALUE"""),41515.666666666664)</f>
        <v>41515.66667</v>
      </c>
      <c r="B800" s="2">
        <f>IFERROR(__xludf.DUMMYFUNCTION("""COMPUTED_VALUE"""),11.07)</f>
        <v>11.07</v>
      </c>
      <c r="C800" s="3">
        <v>20.961362507629</v>
      </c>
    </row>
    <row r="801">
      <c r="A801" s="1">
        <f>IFERROR(__xludf.DUMMYFUNCTION("""COMPUTED_VALUE"""),41516.666666666664)</f>
        <v>41516.66667</v>
      </c>
      <c r="B801" s="2">
        <f>IFERROR(__xludf.DUMMYFUNCTION("""COMPUTED_VALUE"""),11.27)</f>
        <v>11.27</v>
      </c>
      <c r="C801" s="3">
        <v>20.240218184426</v>
      </c>
    </row>
    <row r="802">
      <c r="A802" s="1">
        <f>IFERROR(__xludf.DUMMYFUNCTION("""COMPUTED_VALUE"""),41520.666666666664)</f>
        <v>41520.66667</v>
      </c>
      <c r="B802" s="2">
        <f>IFERROR(__xludf.DUMMYFUNCTION("""COMPUTED_VALUE"""),11.26)</f>
        <v>11.26</v>
      </c>
      <c r="C802" s="3">
        <v>22.2708547449395</v>
      </c>
    </row>
    <row r="803">
      <c r="A803" s="1">
        <f>IFERROR(__xludf.DUMMYFUNCTION("""COMPUTED_VALUE"""),41521.666666666664)</f>
        <v>41521.66667</v>
      </c>
      <c r="B803" s="2">
        <f>IFERROR(__xludf.DUMMYFUNCTION("""COMPUTED_VALUE"""),11.37)</f>
        <v>11.37</v>
      </c>
      <c r="C803" s="3">
        <v>22.6240690239591</v>
      </c>
    </row>
    <row r="804">
      <c r="A804" s="1">
        <f>IFERROR(__xludf.DUMMYFUNCTION("""COMPUTED_VALUE"""),41522.666666666664)</f>
        <v>41522.66667</v>
      </c>
      <c r="B804" s="2">
        <f>IFERROR(__xludf.DUMMYFUNCTION("""COMPUTED_VALUE"""),11.33)</f>
        <v>11.33</v>
      </c>
      <c r="C804" s="3">
        <v>22.0621483540849</v>
      </c>
    </row>
    <row r="805">
      <c r="A805" s="1">
        <f>IFERROR(__xludf.DUMMYFUNCTION("""COMPUTED_VALUE"""),41523.666666666664)</f>
        <v>41523.66667</v>
      </c>
      <c r="B805" s="2">
        <f>IFERROR(__xludf.DUMMYFUNCTION("""COMPUTED_VALUE"""),11.13)</f>
        <v>11.13</v>
      </c>
      <c r="C805" s="3">
        <v>21.4841960533063</v>
      </c>
    </row>
    <row r="806">
      <c r="A806" s="1">
        <f>IFERROR(__xludf.DUMMYFUNCTION("""COMPUTED_VALUE"""),41526.666666666664)</f>
        <v>41526.66667</v>
      </c>
      <c r="B806" s="2">
        <f>IFERROR(__xludf.DUMMYFUNCTION("""COMPUTED_VALUE"""),10.71)</f>
        <v>10.71</v>
      </c>
      <c r="C806" s="3">
        <v>23.9164972440624</v>
      </c>
    </row>
    <row r="807">
      <c r="A807" s="1">
        <f>IFERROR(__xludf.DUMMYFUNCTION("""COMPUTED_VALUE"""),41527.666666666664)</f>
        <v>41527.66667</v>
      </c>
      <c r="B807" s="2">
        <f>IFERROR(__xludf.DUMMYFUNCTION("""COMPUTED_VALUE"""),11.09)</f>
        <v>11.09</v>
      </c>
      <c r="C807" s="3">
        <v>23.9221556829254</v>
      </c>
    </row>
    <row r="808">
      <c r="A808" s="1">
        <f>IFERROR(__xludf.DUMMYFUNCTION("""COMPUTED_VALUE"""),41528.666666666664)</f>
        <v>41528.66667</v>
      </c>
      <c r="B808" s="2">
        <f>IFERROR(__xludf.DUMMYFUNCTION("""COMPUTED_VALUE"""),10.9)</f>
        <v>10.9</v>
      </c>
      <c r="C808" s="3">
        <v>24.2961870513481</v>
      </c>
    </row>
    <row r="809">
      <c r="A809" s="1">
        <f>IFERROR(__xludf.DUMMYFUNCTION("""COMPUTED_VALUE"""),41529.666666666664)</f>
        <v>41529.66667</v>
      </c>
      <c r="B809" s="2">
        <f>IFERROR(__xludf.DUMMYFUNCTION("""COMPUTED_VALUE"""),11.0)</f>
        <v>11</v>
      </c>
      <c r="C809" s="3">
        <v>23.7103730483446</v>
      </c>
    </row>
    <row r="810">
      <c r="A810" s="1">
        <f>IFERROR(__xludf.DUMMYFUNCTION("""COMPUTED_VALUE"""),41530.666666666664)</f>
        <v>41530.66667</v>
      </c>
      <c r="B810" s="2">
        <f>IFERROR(__xludf.DUMMYFUNCTION("""COMPUTED_VALUE"""),11.04)</f>
        <v>11.04</v>
      </c>
      <c r="C810" s="3">
        <v>23.0601611071616</v>
      </c>
    </row>
    <row r="811">
      <c r="A811" s="1">
        <f>IFERROR(__xludf.DUMMYFUNCTION("""COMPUTED_VALUE"""),41533.666666666664)</f>
        <v>41533.66667</v>
      </c>
      <c r="B811" s="2">
        <f>IFERROR(__xludf.DUMMYFUNCTION("""COMPUTED_VALUE"""),11.11)</f>
        <v>11.11</v>
      </c>
      <c r="C811" s="3">
        <v>24.9756519941347</v>
      </c>
    </row>
    <row r="812">
      <c r="A812" s="1">
        <f>IFERROR(__xludf.DUMMYFUNCTION("""COMPUTED_VALUE"""),41534.666666666664)</f>
        <v>41534.66667</v>
      </c>
      <c r="B812" s="2">
        <f>IFERROR(__xludf.DUMMYFUNCTION("""COMPUTED_VALUE"""),11.08)</f>
        <v>11.08</v>
      </c>
      <c r="C812" s="3">
        <v>24.7152119366933</v>
      </c>
    </row>
    <row r="813">
      <c r="A813" s="1">
        <f>IFERROR(__xludf.DUMMYFUNCTION("""COMPUTED_VALUE"""),41535.666666666664)</f>
        <v>41535.66667</v>
      </c>
      <c r="B813" s="2">
        <f>IFERROR(__xludf.DUMMYFUNCTION("""COMPUTED_VALUE"""),11.08)</f>
        <v>11.08</v>
      </c>
      <c r="C813" s="3">
        <v>24.7840467080068</v>
      </c>
    </row>
    <row r="814">
      <c r="A814" s="1">
        <f>IFERROR(__xludf.DUMMYFUNCTION("""COMPUTED_VALUE"""),41536.666666666664)</f>
        <v>41536.66667</v>
      </c>
      <c r="B814" s="2">
        <f>IFERROR(__xludf.DUMMYFUNCTION("""COMPUTED_VALUE"""),11.86)</f>
        <v>11.86</v>
      </c>
      <c r="C814" s="3">
        <v>23.8612887467489</v>
      </c>
    </row>
    <row r="815">
      <c r="A815" s="1">
        <f>IFERROR(__xludf.DUMMYFUNCTION("""COMPUTED_VALUE"""),41537.666666666664)</f>
        <v>41537.66667</v>
      </c>
      <c r="B815" s="2">
        <f>IFERROR(__xludf.DUMMYFUNCTION("""COMPUTED_VALUE"""),12.23)</f>
        <v>12.23</v>
      </c>
      <c r="C815" s="3">
        <v>22.851284170634</v>
      </c>
    </row>
    <row r="816">
      <c r="A816" s="1">
        <f>IFERROR(__xludf.DUMMYFUNCTION("""COMPUTED_VALUE"""),41540.666666666664)</f>
        <v>41540.66667</v>
      </c>
      <c r="B816" s="2">
        <f>IFERROR(__xludf.DUMMYFUNCTION("""COMPUTED_VALUE"""),12.07)</f>
        <v>12.07</v>
      </c>
      <c r="C816" s="3">
        <v>23.6572929201478</v>
      </c>
    </row>
    <row r="817">
      <c r="A817" s="1">
        <f>IFERROR(__xludf.DUMMYFUNCTION("""COMPUTED_VALUE"""),41541.666666666664)</f>
        <v>41541.66667</v>
      </c>
      <c r="B817" s="2">
        <f>IFERROR(__xludf.DUMMYFUNCTION("""COMPUTED_VALUE"""),12.16)</f>
        <v>12.16</v>
      </c>
      <c r="C817" s="3">
        <v>23.0565268813734</v>
      </c>
    </row>
    <row r="818">
      <c r="A818" s="1">
        <f>IFERROR(__xludf.DUMMYFUNCTION("""COMPUTED_VALUE"""),41542.666666666664)</f>
        <v>41542.66667</v>
      </c>
      <c r="B818" s="2">
        <f>IFERROR(__xludf.DUMMYFUNCTION("""COMPUTED_VALUE"""),12.35)</f>
        <v>12.35</v>
      </c>
      <c r="C818" s="3">
        <v>22.8202871495395</v>
      </c>
    </row>
    <row r="819">
      <c r="A819" s="1">
        <f>IFERROR(__xludf.DUMMYFUNCTION("""COMPUTED_VALUE"""),41543.666666666664)</f>
        <v>41543.66667</v>
      </c>
      <c r="B819" s="2">
        <f>IFERROR(__xludf.DUMMYFUNCTION("""COMPUTED_VALUE"""),12.58)</f>
        <v>12.58</v>
      </c>
      <c r="C819" s="3">
        <v>21.6396757405604</v>
      </c>
    </row>
    <row r="820">
      <c r="A820" s="1">
        <f>IFERROR(__xludf.DUMMYFUNCTION("""COMPUTED_VALUE"""),41544.666666666664)</f>
        <v>41544.66667</v>
      </c>
      <c r="B820" s="2">
        <f>IFERROR(__xludf.DUMMYFUNCTION("""COMPUTED_VALUE"""),12.73)</f>
        <v>12.73</v>
      </c>
      <c r="C820" s="3">
        <v>20.430268139562</v>
      </c>
    </row>
    <row r="821">
      <c r="A821" s="1">
        <f>IFERROR(__xludf.DUMMYFUNCTION("""COMPUTED_VALUE"""),41547.666666666664)</f>
        <v>41547.66667</v>
      </c>
      <c r="B821" s="2">
        <f>IFERROR(__xludf.DUMMYFUNCTION("""COMPUTED_VALUE"""),12.89)</f>
        <v>12.89</v>
      </c>
      <c r="C821" s="3">
        <v>21.0826673422788</v>
      </c>
    </row>
    <row r="822">
      <c r="A822" s="1">
        <f>IFERROR(__xludf.DUMMYFUNCTION("""COMPUTED_VALUE"""),41548.666666666664)</f>
        <v>41548.66667</v>
      </c>
      <c r="B822" s="2">
        <f>IFERROR(__xludf.DUMMYFUNCTION("""COMPUTED_VALUE"""),12.87)</f>
        <v>12.87</v>
      </c>
      <c r="C822" s="3">
        <v>20.6019233294409</v>
      </c>
    </row>
    <row r="823">
      <c r="A823" s="1">
        <f>IFERROR(__xludf.DUMMYFUNCTION("""COMPUTED_VALUE"""),41549.666666666664)</f>
        <v>41549.66667</v>
      </c>
      <c r="B823" s="2">
        <f>IFERROR(__xludf.DUMMYFUNCTION("""COMPUTED_VALUE"""),12.06)</f>
        <v>12.06</v>
      </c>
      <c r="C823" s="3">
        <v>20.5778251527628</v>
      </c>
    </row>
    <row r="824">
      <c r="A824" s="1">
        <f>IFERROR(__xludf.DUMMYFUNCTION("""COMPUTED_VALUE"""),41550.666666666664)</f>
        <v>41550.66667</v>
      </c>
      <c r="B824" s="2">
        <f>IFERROR(__xludf.DUMMYFUNCTION("""COMPUTED_VALUE"""),11.55)</f>
        <v>11.55</v>
      </c>
      <c r="C824" s="3">
        <v>19.7020039067343</v>
      </c>
    </row>
    <row r="825">
      <c r="A825" s="1">
        <f>IFERROR(__xludf.DUMMYFUNCTION("""COMPUTED_VALUE"""),41551.666666666664)</f>
        <v>41551.66667</v>
      </c>
      <c r="B825" s="2">
        <f>IFERROR(__xludf.DUMMYFUNCTION("""COMPUTED_VALUE"""),12.07)</f>
        <v>12.07</v>
      </c>
      <c r="C825" s="3">
        <v>18.8881807773273</v>
      </c>
    </row>
    <row r="826">
      <c r="A826" s="1">
        <f>IFERROR(__xludf.DUMMYFUNCTION("""COMPUTED_VALUE"""),41554.666666666664)</f>
        <v>41554.66667</v>
      </c>
      <c r="B826" s="2">
        <f>IFERROR(__xludf.DUMMYFUNCTION("""COMPUTED_VALUE"""),12.2)</f>
        <v>12.2</v>
      </c>
      <c r="C826" s="3">
        <v>21.2181387642524</v>
      </c>
    </row>
    <row r="827">
      <c r="A827" s="1">
        <f>IFERROR(__xludf.DUMMYFUNCTION("""COMPUTED_VALUE"""),41555.666666666664)</f>
        <v>41555.66667</v>
      </c>
      <c r="B827" s="2">
        <f>IFERROR(__xludf.DUMMYFUNCTION("""COMPUTED_VALUE"""),11.65)</f>
        <v>11.65</v>
      </c>
      <c r="C827" s="3">
        <v>21.4311307161705</v>
      </c>
    </row>
    <row r="828">
      <c r="A828" s="1">
        <f>IFERROR(__xludf.DUMMYFUNCTION("""COMPUTED_VALUE"""),41556.666666666664)</f>
        <v>41556.66667</v>
      </c>
      <c r="B828" s="2">
        <f>IFERROR(__xludf.DUMMYFUNCTION("""COMPUTED_VALUE"""),11.25)</f>
        <v>11.25</v>
      </c>
      <c r="C828" s="3">
        <v>22.1486548567164</v>
      </c>
    </row>
    <row r="829">
      <c r="A829" s="1">
        <f>IFERROR(__xludf.DUMMYFUNCTION("""COMPUTED_VALUE"""),41557.666666666664)</f>
        <v>41557.66667</v>
      </c>
      <c r="B829" s="2">
        <f>IFERROR(__xludf.DUMMYFUNCTION("""COMPUTED_VALUE"""),11.53)</f>
        <v>11.53</v>
      </c>
      <c r="C829" s="3">
        <v>22.048356211854</v>
      </c>
    </row>
    <row r="830">
      <c r="A830" s="1">
        <f>IFERROR(__xludf.DUMMYFUNCTION("""COMPUTED_VALUE"""),41558.666666666664)</f>
        <v>41558.66667</v>
      </c>
      <c r="B830" s="2">
        <f>IFERROR(__xludf.DUMMYFUNCTION("""COMPUTED_VALUE"""),11.91)</f>
        <v>11.91</v>
      </c>
      <c r="C830" s="3">
        <v>22.0288689083731</v>
      </c>
    </row>
    <row r="831">
      <c r="A831" s="1">
        <f>IFERROR(__xludf.DUMMYFUNCTION("""COMPUTED_VALUE"""),41561.666666666664)</f>
        <v>41561.66667</v>
      </c>
      <c r="B831" s="2">
        <f>IFERROR(__xludf.DUMMYFUNCTION("""COMPUTED_VALUE"""),11.98)</f>
        <v>11.98</v>
      </c>
      <c r="C831" s="3">
        <v>26.6955465907468</v>
      </c>
    </row>
    <row r="832">
      <c r="A832" s="1">
        <f>IFERROR(__xludf.DUMMYFUNCTION("""COMPUTED_VALUE"""),41562.666666666664)</f>
        <v>41562.66667</v>
      </c>
      <c r="B832" s="2">
        <f>IFERROR(__xludf.DUMMYFUNCTION("""COMPUTED_VALUE"""),12.26)</f>
        <v>12.26</v>
      </c>
      <c r="C832" s="3">
        <v>27.6190956730328</v>
      </c>
    </row>
    <row r="833">
      <c r="A833" s="1">
        <f>IFERROR(__xludf.DUMMYFUNCTION("""COMPUTED_VALUE"""),41563.666666666664)</f>
        <v>41563.66667</v>
      </c>
      <c r="B833" s="2">
        <f>IFERROR(__xludf.DUMMYFUNCTION("""COMPUTED_VALUE"""),12.24)</f>
        <v>12.24</v>
      </c>
      <c r="C833" s="3">
        <v>28.9880704387003</v>
      </c>
    </row>
    <row r="834">
      <c r="A834" s="1">
        <f>IFERROR(__xludf.DUMMYFUNCTION("""COMPUTED_VALUE"""),41564.666666666664)</f>
        <v>41564.66667</v>
      </c>
      <c r="B834" s="2">
        <f>IFERROR(__xludf.DUMMYFUNCTION("""COMPUTED_VALUE"""),12.19)</f>
        <v>12.19</v>
      </c>
      <c r="C834" s="3">
        <v>29.4669130738727</v>
      </c>
    </row>
    <row r="835">
      <c r="A835" s="1">
        <f>IFERROR(__xludf.DUMMYFUNCTION("""COMPUTED_VALUE"""),41565.666666666664)</f>
        <v>41565.66667</v>
      </c>
      <c r="B835" s="2">
        <f>IFERROR(__xludf.DUMMYFUNCTION("""COMPUTED_VALUE"""),12.23)</f>
        <v>12.23</v>
      </c>
      <c r="C835" s="3">
        <v>29.9427326638053</v>
      </c>
    </row>
    <row r="836">
      <c r="A836" s="1">
        <f>IFERROR(__xludf.DUMMYFUNCTION("""COMPUTED_VALUE"""),41568.666666666664)</f>
        <v>41568.66667</v>
      </c>
      <c r="B836" s="2">
        <f>IFERROR(__xludf.DUMMYFUNCTION("""COMPUTED_VALUE"""),11.51)</f>
        <v>11.51</v>
      </c>
      <c r="C836" s="3">
        <v>35.5082887787265</v>
      </c>
    </row>
    <row r="837">
      <c r="A837" s="1">
        <f>IFERROR(__xludf.DUMMYFUNCTION("""COMPUTED_VALUE"""),41569.666666666664)</f>
        <v>41569.66667</v>
      </c>
      <c r="B837" s="2">
        <f>IFERROR(__xludf.DUMMYFUNCTION("""COMPUTED_VALUE"""),11.44)</f>
        <v>11.44</v>
      </c>
      <c r="C837" s="3">
        <v>36.5196512919303</v>
      </c>
    </row>
    <row r="838">
      <c r="A838" s="1">
        <f>IFERROR(__xludf.DUMMYFUNCTION("""COMPUTED_VALUE"""),41570.666666666664)</f>
        <v>41570.66667</v>
      </c>
      <c r="B838" s="2">
        <f>IFERROR(__xludf.DUMMYFUNCTION("""COMPUTED_VALUE"""),10.97)</f>
        <v>10.97</v>
      </c>
      <c r="C838" s="3">
        <v>37.8688376112692</v>
      </c>
    </row>
    <row r="839">
      <c r="A839" s="1">
        <f>IFERROR(__xludf.DUMMYFUNCTION("""COMPUTED_VALUE"""),41571.666666666664)</f>
        <v>41571.66667</v>
      </c>
      <c r="B839" s="2">
        <f>IFERROR(__xludf.DUMMYFUNCTION("""COMPUTED_VALUE"""),11.54)</f>
        <v>11.54</v>
      </c>
      <c r="C839" s="3">
        <v>38.2231553164514</v>
      </c>
    </row>
    <row r="840">
      <c r="A840" s="1">
        <f>IFERROR(__xludf.DUMMYFUNCTION("""COMPUTED_VALUE"""),41572.666666666664)</f>
        <v>41572.66667</v>
      </c>
      <c r="B840" s="2">
        <f>IFERROR(__xludf.DUMMYFUNCTION("""COMPUTED_VALUE"""),11.31)</f>
        <v>11.31</v>
      </c>
      <c r="C840" s="3">
        <v>38.4750728277913</v>
      </c>
    </row>
    <row r="841">
      <c r="A841" s="1">
        <f>IFERROR(__xludf.DUMMYFUNCTION("""COMPUTED_VALUE"""),41575.666666666664)</f>
        <v>41575.66667</v>
      </c>
      <c r="B841" s="2">
        <f>IFERROR(__xludf.DUMMYFUNCTION("""COMPUTED_VALUE"""),10.86)</f>
        <v>10.86</v>
      </c>
      <c r="C841" s="3">
        <v>42.8598223581955</v>
      </c>
    </row>
    <row r="842">
      <c r="A842" s="1">
        <f>IFERROR(__xludf.DUMMYFUNCTION("""COMPUTED_VALUE"""),41576.666666666664)</f>
        <v>41576.66667</v>
      </c>
      <c r="B842" s="2">
        <f>IFERROR(__xludf.DUMMYFUNCTION("""COMPUTED_VALUE"""),10.96)</f>
        <v>10.96</v>
      </c>
      <c r="C842" s="3">
        <v>43.3462733114343</v>
      </c>
    </row>
    <row r="843">
      <c r="A843" s="1">
        <f>IFERROR(__xludf.DUMMYFUNCTION("""COMPUTED_VALUE"""),41577.666666666664)</f>
        <v>41577.66667</v>
      </c>
      <c r="B843" s="2">
        <f>IFERROR(__xludf.DUMMYFUNCTION("""COMPUTED_VALUE"""),10.61)</f>
        <v>10.61</v>
      </c>
      <c r="C843" s="3">
        <v>44.1275900644601</v>
      </c>
    </row>
    <row r="844">
      <c r="A844" s="1">
        <f>IFERROR(__xludf.DUMMYFUNCTION("""COMPUTED_VALUE"""),41578.666666666664)</f>
        <v>41578.66667</v>
      </c>
      <c r="B844" s="2">
        <f>IFERROR(__xludf.DUMMYFUNCTION("""COMPUTED_VALUE"""),10.66)</f>
        <v>10.66</v>
      </c>
      <c r="C844" s="3">
        <v>43.8859891228659</v>
      </c>
    </row>
    <row r="845">
      <c r="A845" s="1">
        <f>IFERROR(__xludf.DUMMYFUNCTION("""COMPUTED_VALUE"""),41579.666666666664)</f>
        <v>41579.66667</v>
      </c>
      <c r="B845" s="2">
        <f>IFERROR(__xludf.DUMMYFUNCTION("""COMPUTED_VALUE"""),10.81)</f>
        <v>10.81</v>
      </c>
      <c r="C845" s="3">
        <v>43.5291220355179</v>
      </c>
    </row>
    <row r="846">
      <c r="A846" s="1">
        <f>IFERROR(__xludf.DUMMYFUNCTION("""COMPUTED_VALUE"""),41582.666666666664)</f>
        <v>41582.66667</v>
      </c>
      <c r="B846" s="2">
        <f>IFERROR(__xludf.DUMMYFUNCTION("""COMPUTED_VALUE"""),11.68)</f>
        <v>11.68</v>
      </c>
      <c r="C846" s="3">
        <v>46.1572672823769</v>
      </c>
    </row>
    <row r="847">
      <c r="A847" s="1">
        <f>IFERROR(__xludf.DUMMYFUNCTION("""COMPUTED_VALUE"""),41583.666666666664)</f>
        <v>41583.66667</v>
      </c>
      <c r="B847" s="2">
        <f>IFERROR(__xludf.DUMMYFUNCTION("""COMPUTED_VALUE"""),11.79)</f>
        <v>11.79</v>
      </c>
      <c r="C847" s="3">
        <v>46.1259154470931</v>
      </c>
    </row>
    <row r="848">
      <c r="A848" s="1">
        <f>IFERROR(__xludf.DUMMYFUNCTION("""COMPUTED_VALUE"""),41584.666666666664)</f>
        <v>41584.66667</v>
      </c>
      <c r="B848" s="2">
        <f>IFERROR(__xludf.DUMMYFUNCTION("""COMPUTED_VALUE"""),10.08)</f>
        <v>10.08</v>
      </c>
      <c r="C848" s="3">
        <v>46.4419874987383</v>
      </c>
    </row>
    <row r="849">
      <c r="A849" s="1">
        <f>IFERROR(__xludf.DUMMYFUNCTION("""COMPUTED_VALUE"""),41585.666666666664)</f>
        <v>41585.66667</v>
      </c>
      <c r="B849" s="2">
        <f>IFERROR(__xludf.DUMMYFUNCTION("""COMPUTED_VALUE"""),9.32)</f>
        <v>9.32</v>
      </c>
      <c r="C849" s="3">
        <v>45.7961274718183</v>
      </c>
    </row>
    <row r="850">
      <c r="A850" s="1">
        <f>IFERROR(__xludf.DUMMYFUNCTION("""COMPUTED_VALUE"""),41586.666666666664)</f>
        <v>41586.66667</v>
      </c>
      <c r="B850" s="2">
        <f>IFERROR(__xludf.DUMMYFUNCTION("""COMPUTED_VALUE"""),9.2)</f>
        <v>9.2</v>
      </c>
      <c r="C850" s="3">
        <v>45.1022203547212</v>
      </c>
    </row>
    <row r="851">
      <c r="A851" s="1">
        <f>IFERROR(__xludf.DUMMYFUNCTION("""COMPUTED_VALUE"""),41589.666666666664)</f>
        <v>41589.66667</v>
      </c>
      <c r="B851" s="2">
        <f>IFERROR(__xludf.DUMMYFUNCTION("""COMPUTED_VALUE"""),9.65)</f>
        <v>9.65</v>
      </c>
      <c r="C851" s="3">
        <v>47.149267312597</v>
      </c>
    </row>
    <row r="852">
      <c r="A852" s="1">
        <f>IFERROR(__xludf.DUMMYFUNCTION("""COMPUTED_VALUE"""),41590.666666666664)</f>
        <v>41590.66667</v>
      </c>
      <c r="B852" s="2">
        <f>IFERROR(__xludf.DUMMYFUNCTION("""COMPUTED_VALUE"""),9.19)</f>
        <v>9.19</v>
      </c>
      <c r="C852" s="3">
        <v>47.0643557137273</v>
      </c>
    </row>
    <row r="853">
      <c r="A853" s="1">
        <f>IFERROR(__xludf.DUMMYFUNCTION("""COMPUTED_VALUE"""),41591.666666666664)</f>
        <v>41591.66667</v>
      </c>
      <c r="B853" s="2">
        <f>IFERROR(__xludf.DUMMYFUNCTION("""COMPUTED_VALUE"""),9.25)</f>
        <v>9.25</v>
      </c>
      <c r="C853" s="3">
        <v>47.3895155645092</v>
      </c>
    </row>
    <row r="854">
      <c r="A854" s="1">
        <f>IFERROR(__xludf.DUMMYFUNCTION("""COMPUTED_VALUE"""),41592.666666666664)</f>
        <v>41592.66667</v>
      </c>
      <c r="B854" s="2">
        <f>IFERROR(__xludf.DUMMYFUNCTION("""COMPUTED_VALUE"""),9.17)</f>
        <v>9.17</v>
      </c>
      <c r="C854" s="3">
        <v>46.8077818242578</v>
      </c>
    </row>
    <row r="855">
      <c r="A855" s="1">
        <f>IFERROR(__xludf.DUMMYFUNCTION("""COMPUTED_VALUE"""),41593.666666666664)</f>
        <v>41593.66667</v>
      </c>
      <c r="B855" s="2">
        <f>IFERROR(__xludf.DUMMYFUNCTION("""COMPUTED_VALUE"""),9.03)</f>
        <v>9.03</v>
      </c>
      <c r="C855" s="3">
        <v>46.2236738202314</v>
      </c>
    </row>
    <row r="856">
      <c r="A856" s="1">
        <f>IFERROR(__xludf.DUMMYFUNCTION("""COMPUTED_VALUE"""),41596.666666666664)</f>
        <v>41596.66667</v>
      </c>
      <c r="B856" s="2">
        <f>IFERROR(__xludf.DUMMYFUNCTION("""COMPUTED_VALUE"""),8.11)</f>
        <v>8.11</v>
      </c>
      <c r="C856" s="3">
        <v>48.7612315594013</v>
      </c>
    </row>
    <row r="857">
      <c r="A857" s="1">
        <f>IFERROR(__xludf.DUMMYFUNCTION("""COMPUTED_VALUE"""),41597.666666666664)</f>
        <v>41597.66667</v>
      </c>
      <c r="B857" s="2">
        <f>IFERROR(__xludf.DUMMYFUNCTION("""COMPUTED_VALUE"""),8.41)</f>
        <v>8.41</v>
      </c>
      <c r="C857" s="3">
        <v>48.8521822744107</v>
      </c>
    </row>
    <row r="858">
      <c r="A858" s="1">
        <f>IFERROR(__xludf.DUMMYFUNCTION("""COMPUTED_VALUE"""),41598.666666666664)</f>
        <v>41598.66667</v>
      </c>
      <c r="B858" s="2">
        <f>IFERROR(__xludf.DUMMYFUNCTION("""COMPUTED_VALUE"""),8.07)</f>
        <v>8.07</v>
      </c>
      <c r="C858" s="3">
        <v>49.3383249750572</v>
      </c>
    </row>
    <row r="859">
      <c r="A859" s="1">
        <f>IFERROR(__xludf.DUMMYFUNCTION("""COMPUTED_VALUE"""),41599.666666666664)</f>
        <v>41599.66667</v>
      </c>
      <c r="B859" s="2">
        <f>IFERROR(__xludf.DUMMYFUNCTION("""COMPUTED_VALUE"""),8.14)</f>
        <v>8.14</v>
      </c>
      <c r="C859" s="3">
        <v>48.8907266793973</v>
      </c>
    </row>
    <row r="860">
      <c r="A860" s="1">
        <f>IFERROR(__xludf.DUMMYFUNCTION("""COMPUTED_VALUE"""),41600.666666666664)</f>
        <v>41600.66667</v>
      </c>
      <c r="B860" s="2">
        <f>IFERROR(__xludf.DUMMYFUNCTION("""COMPUTED_VALUE"""),8.09)</f>
        <v>8.09</v>
      </c>
      <c r="C860" s="3">
        <v>48.4029642223917</v>
      </c>
    </row>
    <row r="861">
      <c r="A861" s="1">
        <f>IFERROR(__xludf.DUMMYFUNCTION("""COMPUTED_VALUE"""),41603.666666666664)</f>
        <v>41603.66667</v>
      </c>
      <c r="B861" s="2">
        <f>IFERROR(__xludf.DUMMYFUNCTION("""COMPUTED_VALUE"""),8.06)</f>
        <v>8.06</v>
      </c>
      <c r="C861" s="3">
        <v>50.9164501779417</v>
      </c>
    </row>
    <row r="862">
      <c r="A862" s="1">
        <f>IFERROR(__xludf.DUMMYFUNCTION("""COMPUTED_VALUE"""),41604.666666666664)</f>
        <v>41604.66667</v>
      </c>
      <c r="B862" s="2">
        <f>IFERROR(__xludf.DUMMYFUNCTION("""COMPUTED_VALUE"""),8.03)</f>
        <v>8.03</v>
      </c>
      <c r="C862" s="3">
        <v>50.8760158832467</v>
      </c>
    </row>
    <row r="863">
      <c r="A863" s="1">
        <f>IFERROR(__xludf.DUMMYFUNCTION("""COMPUTED_VALUE"""),41605.666666666664)</f>
        <v>41605.66667</v>
      </c>
      <c r="B863" s="2">
        <f>IFERROR(__xludf.DUMMYFUNCTION("""COMPUTED_VALUE"""),8.46)</f>
        <v>8.46</v>
      </c>
      <c r="C863" s="3">
        <v>51.1652741595455</v>
      </c>
    </row>
    <row r="864">
      <c r="A864" s="1">
        <f>IFERROR(__xludf.DUMMYFUNCTION("""COMPUTED_VALUE"""),41607.666666666664)</f>
        <v>41607.66667</v>
      </c>
      <c r="B864" s="2">
        <f>IFERROR(__xludf.DUMMYFUNCTION("""COMPUTED_VALUE"""),8.49)</f>
        <v>8.49</v>
      </c>
      <c r="C864" s="3">
        <v>49.6476942664021</v>
      </c>
    </row>
    <row r="865">
      <c r="A865" s="1">
        <f>IFERROR(__xludf.DUMMYFUNCTION("""COMPUTED_VALUE"""),41610.666666666664)</f>
        <v>41610.66667</v>
      </c>
      <c r="B865" s="2">
        <f>IFERROR(__xludf.DUMMYFUNCTION("""COMPUTED_VALUE"""),8.28)</f>
        <v>8.28</v>
      </c>
      <c r="C865" s="3">
        <v>50.9103174734075</v>
      </c>
    </row>
    <row r="866">
      <c r="A866" s="1">
        <f>IFERROR(__xludf.DUMMYFUNCTION("""COMPUTED_VALUE"""),41611.666666666664)</f>
        <v>41611.66667</v>
      </c>
      <c r="B866" s="2">
        <f>IFERROR(__xludf.DUMMYFUNCTION("""COMPUTED_VALUE"""),9.65)</f>
        <v>9.65</v>
      </c>
      <c r="C866" s="3">
        <v>50.3923167524548</v>
      </c>
    </row>
    <row r="867">
      <c r="A867" s="1">
        <f>IFERROR(__xludf.DUMMYFUNCTION("""COMPUTED_VALUE"""),41612.666666666664)</f>
        <v>41612.66667</v>
      </c>
      <c r="B867" s="2">
        <f>IFERROR(__xludf.DUMMYFUNCTION("""COMPUTED_VALUE"""),9.26)</f>
        <v>9.26</v>
      </c>
      <c r="C867" s="3">
        <v>50.1954496423307</v>
      </c>
    </row>
    <row r="868">
      <c r="A868" s="1">
        <f>IFERROR(__xludf.DUMMYFUNCTION("""COMPUTED_VALUE"""),41613.666666666664)</f>
        <v>41613.66667</v>
      </c>
      <c r="B868" s="2">
        <f>IFERROR(__xludf.DUMMYFUNCTION("""COMPUTED_VALUE"""),9.37)</f>
        <v>9.37</v>
      </c>
      <c r="C868" s="3">
        <v>49.0069665056597</v>
      </c>
    </row>
    <row r="869">
      <c r="A869" s="1">
        <f>IFERROR(__xludf.DUMMYFUNCTION("""COMPUTED_VALUE"""),41614.666666666664)</f>
        <v>41614.66667</v>
      </c>
      <c r="B869" s="2">
        <f>IFERROR(__xludf.DUMMYFUNCTION("""COMPUTED_VALUE"""),9.16)</f>
        <v>9.16</v>
      </c>
      <c r="C869" s="3">
        <v>47.7396936466251</v>
      </c>
    </row>
    <row r="870">
      <c r="A870" s="1">
        <f>IFERROR(__xludf.DUMMYFUNCTION("""COMPUTED_VALUE"""),41617.666666666664)</f>
        <v>41617.66667</v>
      </c>
      <c r="B870" s="2">
        <f>IFERROR(__xludf.DUMMYFUNCTION("""COMPUTED_VALUE"""),9.44)</f>
        <v>9.44</v>
      </c>
      <c r="C870" s="3">
        <v>47.9095134174678</v>
      </c>
    </row>
    <row r="871">
      <c r="A871" s="1">
        <f>IFERROR(__xludf.DUMMYFUNCTION("""COMPUTED_VALUE"""),41618.666666666664)</f>
        <v>41618.66667</v>
      </c>
      <c r="B871" s="2">
        <f>IFERROR(__xludf.DUMMYFUNCTION("""COMPUTED_VALUE"""),9.48)</f>
        <v>9.48</v>
      </c>
      <c r="C871" s="3">
        <v>47.1683703978856</v>
      </c>
    </row>
    <row r="872">
      <c r="A872" s="1">
        <f>IFERROR(__xludf.DUMMYFUNCTION("""COMPUTED_VALUE"""),41619.666666666664)</f>
        <v>41619.66667</v>
      </c>
      <c r="B872" s="2">
        <f>IFERROR(__xludf.DUMMYFUNCTION("""COMPUTED_VALUE"""),9.31)</f>
        <v>9.31</v>
      </c>
      <c r="C872" s="3">
        <v>46.8390361459596</v>
      </c>
    </row>
    <row r="873">
      <c r="A873" s="1">
        <f>IFERROR(__xludf.DUMMYFUNCTION("""COMPUTED_VALUE"""),41620.666666666664)</f>
        <v>41620.66667</v>
      </c>
      <c r="B873" s="2">
        <f>IFERROR(__xludf.DUMMYFUNCTION("""COMPUTED_VALUE"""),9.83)</f>
        <v>9.83</v>
      </c>
      <c r="C873" s="3">
        <v>45.6178987864255</v>
      </c>
    </row>
    <row r="874">
      <c r="A874" s="1">
        <f>IFERROR(__xludf.DUMMYFUNCTION("""COMPUTED_VALUE"""),41621.666666666664)</f>
        <v>41621.66667</v>
      </c>
      <c r="B874" s="2">
        <f>IFERROR(__xludf.DUMMYFUNCTION("""COMPUTED_VALUE"""),9.84)</f>
        <v>9.84</v>
      </c>
      <c r="C874" s="3">
        <v>44.4244806756536</v>
      </c>
    </row>
    <row r="875">
      <c r="A875" s="1">
        <f>IFERROR(__xludf.DUMMYFUNCTION("""COMPUTED_VALUE"""),41624.666666666664)</f>
        <v>41624.66667</v>
      </c>
      <c r="B875" s="2">
        <f>IFERROR(__xludf.DUMMYFUNCTION("""COMPUTED_VALUE"""),9.86)</f>
        <v>9.86</v>
      </c>
      <c r="C875" s="3">
        <v>45.4801641596089</v>
      </c>
    </row>
    <row r="876">
      <c r="A876" s="1">
        <f>IFERROR(__xludf.DUMMYFUNCTION("""COMPUTED_VALUE"""),41625.666666666664)</f>
        <v>41625.66667</v>
      </c>
      <c r="B876" s="2">
        <f>IFERROR(__xludf.DUMMYFUNCTION("""COMPUTED_VALUE"""),10.16)</f>
        <v>10.16</v>
      </c>
      <c r="C876" s="3">
        <v>45.2492711522821</v>
      </c>
    </row>
    <row r="877">
      <c r="A877" s="1">
        <f>IFERROR(__xludf.DUMMYFUNCTION("""COMPUTED_VALUE"""),41626.666666666664)</f>
        <v>41626.66667</v>
      </c>
      <c r="B877" s="2">
        <f>IFERROR(__xludf.DUMMYFUNCTION("""COMPUTED_VALUE"""),9.87)</f>
        <v>9.87</v>
      </c>
      <c r="C877" s="3">
        <v>45.5268855052564</v>
      </c>
    </row>
    <row r="878">
      <c r="A878" s="1">
        <f>IFERROR(__xludf.DUMMYFUNCTION("""COMPUTED_VALUE"""),41627.666666666664)</f>
        <v>41627.66667</v>
      </c>
      <c r="B878" s="2">
        <f>IFERROR(__xludf.DUMMYFUNCTION("""COMPUTED_VALUE"""),9.38)</f>
        <v>9.38</v>
      </c>
      <c r="C878" s="3">
        <v>44.9985745594177</v>
      </c>
    </row>
    <row r="879">
      <c r="A879" s="1">
        <f>IFERROR(__xludf.DUMMYFUNCTION("""COMPUTED_VALUE"""),41628.666666666664)</f>
        <v>41628.66667</v>
      </c>
      <c r="B879" s="2">
        <f>IFERROR(__xludf.DUMMYFUNCTION("""COMPUTED_VALUE"""),9.55)</f>
        <v>9.55</v>
      </c>
      <c r="C879" s="3">
        <v>44.570413735418</v>
      </c>
    </row>
    <row r="880">
      <c r="A880" s="1">
        <f>IFERROR(__xludf.DUMMYFUNCTION("""COMPUTED_VALUE"""),41631.666666666664)</f>
        <v>41631.66667</v>
      </c>
      <c r="B880" s="2">
        <f>IFERROR(__xludf.DUMMYFUNCTION("""COMPUTED_VALUE"""),9.57)</f>
        <v>9.57</v>
      </c>
      <c r="C880" s="3">
        <v>48.1893961090395</v>
      </c>
    </row>
    <row r="881">
      <c r="A881" s="1">
        <f>IFERROR(__xludf.DUMMYFUNCTION("""COMPUTED_VALUE"""),41632.666666666664)</f>
        <v>41632.66667</v>
      </c>
      <c r="B881" s="2">
        <f>IFERROR(__xludf.DUMMYFUNCTION("""COMPUTED_VALUE"""),10.09)</f>
        <v>10.09</v>
      </c>
      <c r="C881" s="3">
        <v>48.8384282463319</v>
      </c>
    </row>
    <row r="882">
      <c r="A882" s="1">
        <f>IFERROR(__xludf.DUMMYFUNCTION("""COMPUTED_VALUE"""),41634.666666666664)</f>
        <v>41634.66667</v>
      </c>
      <c r="B882" s="2">
        <f>IFERROR(__xludf.DUMMYFUNCTION("""COMPUTED_VALUE"""),10.37)</f>
        <v>10.37</v>
      </c>
      <c r="C882" s="3">
        <v>50.2624871659968</v>
      </c>
    </row>
    <row r="883">
      <c r="A883" s="1">
        <f>IFERROR(__xludf.DUMMYFUNCTION("""COMPUTED_VALUE"""),41635.666666666664)</f>
        <v>41635.66667</v>
      </c>
      <c r="B883" s="2">
        <f>IFERROR(__xludf.DUMMYFUNCTION("""COMPUTED_VALUE"""),10.07)</f>
        <v>10.07</v>
      </c>
      <c r="C883" s="3">
        <v>50.5880903376347</v>
      </c>
    </row>
    <row r="884">
      <c r="A884" s="1">
        <f>IFERROR(__xludf.DUMMYFUNCTION("""COMPUTED_VALUE"""),41638.666666666664)</f>
        <v>41638.66667</v>
      </c>
      <c r="B884" s="2">
        <f>IFERROR(__xludf.DUMMYFUNCTION("""COMPUTED_VALUE"""),10.16)</f>
        <v>10.16</v>
      </c>
      <c r="C884" s="3">
        <v>55.9102425282021</v>
      </c>
    </row>
    <row r="885">
      <c r="A885" s="1">
        <f>IFERROR(__xludf.DUMMYFUNCTION("""COMPUTED_VALUE"""),41639.666666666664)</f>
        <v>41639.66667</v>
      </c>
      <c r="B885" s="2">
        <f>IFERROR(__xludf.DUMMYFUNCTION("""COMPUTED_VALUE"""),10.03)</f>
        <v>10.03</v>
      </c>
      <c r="C885" s="3">
        <v>56.8897824641916</v>
      </c>
    </row>
    <row r="886">
      <c r="A886" s="1">
        <f>IFERROR(__xludf.DUMMYFUNCTION("""COMPUTED_VALUE"""),41641.666666666664)</f>
        <v>41641.66667</v>
      </c>
      <c r="B886" s="2">
        <f>IFERROR(__xludf.DUMMYFUNCTION("""COMPUTED_VALUE"""),10.01)</f>
        <v>10.01</v>
      </c>
      <c r="C886" s="3">
        <v>58.5545737293971</v>
      </c>
    </row>
    <row r="887">
      <c r="A887" s="1">
        <f>IFERROR(__xludf.DUMMYFUNCTION("""COMPUTED_VALUE"""),41642.666666666664)</f>
        <v>41642.66667</v>
      </c>
      <c r="B887" s="2">
        <f>IFERROR(__xludf.DUMMYFUNCTION("""COMPUTED_VALUE"""),9.97)</f>
        <v>9.97</v>
      </c>
      <c r="C887" s="3">
        <v>58.7798756173759</v>
      </c>
    </row>
    <row r="888">
      <c r="A888" s="1">
        <f>IFERROR(__xludf.DUMMYFUNCTION("""COMPUTED_VALUE"""),41645.666666666664)</f>
        <v>41645.66667</v>
      </c>
      <c r="B888" s="2">
        <f>IFERROR(__xludf.DUMMYFUNCTION("""COMPUTED_VALUE"""),9.8)</f>
        <v>9.8</v>
      </c>
      <c r="C888" s="3">
        <v>62.9278500220793</v>
      </c>
    </row>
    <row r="889">
      <c r="A889" s="1">
        <f>IFERROR(__xludf.DUMMYFUNCTION("""COMPUTED_VALUE"""),41646.666666666664)</f>
        <v>41646.66667</v>
      </c>
      <c r="B889" s="2">
        <f>IFERROR(__xludf.DUMMYFUNCTION("""COMPUTED_VALUE"""),9.96)</f>
        <v>9.96</v>
      </c>
      <c r="C889" s="3">
        <v>63.2476345389208</v>
      </c>
    </row>
    <row r="890">
      <c r="A890" s="1">
        <f>IFERROR(__xludf.DUMMYFUNCTION("""COMPUTED_VALUE"""),41647.666666666664)</f>
        <v>41647.66667</v>
      </c>
      <c r="B890" s="2">
        <f>IFERROR(__xludf.DUMMYFUNCTION("""COMPUTED_VALUE"""),10.09)</f>
        <v>10.09</v>
      </c>
      <c r="C890" s="3">
        <v>63.8019586143684</v>
      </c>
    </row>
    <row r="891">
      <c r="A891" s="1">
        <f>IFERROR(__xludf.DUMMYFUNCTION("""COMPUTED_VALUE"""),41648.666666666664)</f>
        <v>41648.66667</v>
      </c>
      <c r="B891" s="2">
        <f>IFERROR(__xludf.DUMMYFUNCTION("""COMPUTED_VALUE"""),9.84)</f>
        <v>9.84</v>
      </c>
      <c r="C891" s="3">
        <v>63.2645479596222</v>
      </c>
    </row>
    <row r="892">
      <c r="A892" s="1">
        <f>IFERROR(__xludf.DUMMYFUNCTION("""COMPUTED_VALUE"""),41649.666666666664)</f>
        <v>41649.66667</v>
      </c>
      <c r="B892" s="2">
        <f>IFERROR(__xludf.DUMMYFUNCTION("""COMPUTED_VALUE"""),9.71)</f>
        <v>9.71</v>
      </c>
      <c r="C892" s="3">
        <v>62.5358712059551</v>
      </c>
    </row>
    <row r="893">
      <c r="A893" s="1">
        <f>IFERROR(__xludf.DUMMYFUNCTION("""COMPUTED_VALUE"""),41652.666666666664)</f>
        <v>41652.66667</v>
      </c>
      <c r="B893" s="2">
        <f>IFERROR(__xludf.DUMMYFUNCTION("""COMPUTED_VALUE"""),9.29)</f>
        <v>9.29</v>
      </c>
      <c r="C893" s="3">
        <v>63.5451402321401</v>
      </c>
    </row>
    <row r="894">
      <c r="A894" s="1">
        <f>IFERROR(__xludf.DUMMYFUNCTION("""COMPUTED_VALUE"""),41653.666666666664)</f>
        <v>41653.66667</v>
      </c>
      <c r="B894" s="2">
        <f>IFERROR(__xludf.DUMMYFUNCTION("""COMPUTED_VALUE"""),10.75)</f>
        <v>10.75</v>
      </c>
      <c r="C894" s="3">
        <v>62.799868689423</v>
      </c>
    </row>
    <row r="895">
      <c r="A895" s="1">
        <f>IFERROR(__xludf.DUMMYFUNCTION("""COMPUTED_VALUE"""),41654.666666666664)</f>
        <v>41654.66667</v>
      </c>
      <c r="B895" s="2">
        <f>IFERROR(__xludf.DUMMYFUNCTION("""COMPUTED_VALUE"""),10.94)</f>
        <v>10.94</v>
      </c>
      <c r="C895" s="3">
        <v>62.3166857688422</v>
      </c>
    </row>
    <row r="896">
      <c r="A896" s="1">
        <f>IFERROR(__xludf.DUMMYFUNCTION("""COMPUTED_VALUE"""),41655.666666666664)</f>
        <v>41655.66667</v>
      </c>
      <c r="B896" s="2">
        <f>IFERROR(__xludf.DUMMYFUNCTION("""COMPUTED_VALUE"""),11.4)</f>
        <v>11.4</v>
      </c>
      <c r="C896" s="3">
        <v>60.7904346634815</v>
      </c>
    </row>
    <row r="897">
      <c r="A897" s="1">
        <f>IFERROR(__xludf.DUMMYFUNCTION("""COMPUTED_VALUE"""),41656.666666666664)</f>
        <v>41656.66667</v>
      </c>
      <c r="B897" s="2">
        <f>IFERROR(__xludf.DUMMYFUNCTION("""COMPUTED_VALUE"""),11.33)</f>
        <v>11.33</v>
      </c>
      <c r="C897" s="3">
        <v>59.1412239707614</v>
      </c>
    </row>
    <row r="898">
      <c r="A898" s="1">
        <f>IFERROR(__xludf.DUMMYFUNCTION("""COMPUTED_VALUE"""),41660.666666666664)</f>
        <v>41660.66667</v>
      </c>
      <c r="B898" s="2">
        <f>IFERROR(__xludf.DUMMYFUNCTION("""COMPUTED_VALUE"""),11.78)</f>
        <v>11.78</v>
      </c>
      <c r="C898" s="3">
        <v>56.7206071804182</v>
      </c>
    </row>
    <row r="899">
      <c r="A899" s="1">
        <f>IFERROR(__xludf.DUMMYFUNCTION("""COMPUTED_VALUE"""),41661.666666666664)</f>
        <v>41661.66667</v>
      </c>
      <c r="B899" s="2">
        <f>IFERROR(__xludf.DUMMYFUNCTION("""COMPUTED_VALUE"""),11.9)</f>
        <v>11.9</v>
      </c>
      <c r="C899" s="3">
        <v>55.869354477625</v>
      </c>
    </row>
    <row r="900">
      <c r="A900" s="1">
        <f>IFERROR(__xludf.DUMMYFUNCTION("""COMPUTED_VALUE"""),41662.666666666664)</f>
        <v>41662.66667</v>
      </c>
      <c r="B900" s="2">
        <f>IFERROR(__xludf.DUMMYFUNCTION("""COMPUTED_VALUE"""),12.1)</f>
        <v>12.1</v>
      </c>
      <c r="C900" s="3">
        <v>54.1063083390308</v>
      </c>
    </row>
    <row r="901">
      <c r="A901" s="1">
        <f>IFERROR(__xludf.DUMMYFUNCTION("""COMPUTED_VALUE"""),41663.666666666664)</f>
        <v>41663.66667</v>
      </c>
      <c r="B901" s="2">
        <f>IFERROR(__xludf.DUMMYFUNCTION("""COMPUTED_VALUE"""),11.64)</f>
        <v>11.64</v>
      </c>
      <c r="C901" s="3">
        <v>52.3505098432329</v>
      </c>
    </row>
    <row r="902">
      <c r="A902" s="1">
        <f>IFERROR(__xludf.DUMMYFUNCTION("""COMPUTED_VALUE"""),41666.666666666664)</f>
        <v>41666.66667</v>
      </c>
      <c r="B902" s="2">
        <f>IFERROR(__xludf.DUMMYFUNCTION("""COMPUTED_VALUE"""),11.31)</f>
        <v>11.31</v>
      </c>
      <c r="C902" s="3">
        <v>51.5718751407877</v>
      </c>
    </row>
    <row r="903">
      <c r="A903" s="1">
        <f>IFERROR(__xludf.DUMMYFUNCTION("""COMPUTED_VALUE"""),41667.666666666664)</f>
        <v>41667.66667</v>
      </c>
      <c r="B903" s="2">
        <f>IFERROR(__xludf.DUMMYFUNCTION("""COMPUTED_VALUE"""),11.89)</f>
        <v>11.89</v>
      </c>
      <c r="C903" s="3">
        <v>50.6667558113936</v>
      </c>
    </row>
    <row r="904">
      <c r="A904" s="1">
        <f>IFERROR(__xludf.DUMMYFUNCTION("""COMPUTED_VALUE"""),41668.666666666664)</f>
        <v>41668.66667</v>
      </c>
      <c r="B904" s="2">
        <f>IFERROR(__xludf.DUMMYFUNCTION("""COMPUTED_VALUE"""),11.68)</f>
        <v>11.68</v>
      </c>
      <c r="C904" s="3">
        <v>50.2297334409633</v>
      </c>
    </row>
    <row r="905">
      <c r="A905" s="1">
        <f>IFERROR(__xludf.DUMMYFUNCTION("""COMPUTED_VALUE"""),41669.666666666664)</f>
        <v>41669.66667</v>
      </c>
      <c r="B905" s="2">
        <f>IFERROR(__xludf.DUMMYFUNCTION("""COMPUTED_VALUE"""),12.19)</f>
        <v>12.19</v>
      </c>
      <c r="C905" s="3">
        <v>48.9401648516432</v>
      </c>
    </row>
    <row r="906">
      <c r="A906" s="1">
        <f>IFERROR(__xludf.DUMMYFUNCTION("""COMPUTED_VALUE"""),41670.666666666664)</f>
        <v>41670.66667</v>
      </c>
      <c r="B906" s="2">
        <f>IFERROR(__xludf.DUMMYFUNCTION("""COMPUTED_VALUE"""),12.09)</f>
        <v>12.09</v>
      </c>
      <c r="C906" s="3">
        <v>47.6977571601515</v>
      </c>
    </row>
    <row r="907">
      <c r="A907" s="1">
        <f>IFERROR(__xludf.DUMMYFUNCTION("""COMPUTED_VALUE"""),41673.666666666664)</f>
        <v>41673.66667</v>
      </c>
      <c r="B907" s="2">
        <f>IFERROR(__xludf.DUMMYFUNCTION("""COMPUTED_VALUE"""),11.81)</f>
        <v>11.81</v>
      </c>
      <c r="C907" s="3">
        <v>48.4960744627841</v>
      </c>
    </row>
    <row r="908">
      <c r="A908" s="1">
        <f>IFERROR(__xludf.DUMMYFUNCTION("""COMPUTED_VALUE"""),41674.666666666664)</f>
        <v>41674.66667</v>
      </c>
      <c r="B908" s="2">
        <f>IFERROR(__xludf.DUMMYFUNCTION("""COMPUTED_VALUE"""),11.92)</f>
        <v>11.92</v>
      </c>
      <c r="C908" s="3">
        <v>48.0621426124172</v>
      </c>
    </row>
    <row r="909">
      <c r="A909" s="1">
        <f>IFERROR(__xludf.DUMMYFUNCTION("""COMPUTED_VALUE"""),41675.666666666664)</f>
        <v>41675.66667</v>
      </c>
      <c r="B909" s="2">
        <f>IFERROR(__xludf.DUMMYFUNCTION("""COMPUTED_VALUE"""),11.63)</f>
        <v>11.63</v>
      </c>
      <c r="C909" s="3">
        <v>48.0380819218017</v>
      </c>
    </row>
    <row r="910">
      <c r="A910" s="1">
        <f>IFERROR(__xludf.DUMMYFUNCTION("""COMPUTED_VALUE"""),41676.666666666664)</f>
        <v>41676.66667</v>
      </c>
      <c r="B910" s="2">
        <f>IFERROR(__xludf.DUMMYFUNCTION("""COMPUTED_VALUE"""),11.89)</f>
        <v>11.89</v>
      </c>
      <c r="C910" s="3">
        <v>47.0871640115255</v>
      </c>
    </row>
    <row r="911">
      <c r="A911" s="1">
        <f>IFERROR(__xludf.DUMMYFUNCTION("""COMPUTED_VALUE"""),41677.666666666664)</f>
        <v>41677.66667</v>
      </c>
      <c r="B911" s="2">
        <f>IFERROR(__xludf.DUMMYFUNCTION("""COMPUTED_VALUE"""),12.44)</f>
        <v>12.44</v>
      </c>
      <c r="C911" s="3">
        <v>46.0953273446056</v>
      </c>
    </row>
    <row r="912">
      <c r="A912" s="1">
        <f>IFERROR(__xludf.DUMMYFUNCTION("""COMPUTED_VALUE"""),41680.666666666664)</f>
        <v>41680.66667</v>
      </c>
      <c r="B912" s="2">
        <f>IFERROR(__xludf.DUMMYFUNCTION("""COMPUTED_VALUE"""),13.1)</f>
        <v>13.1</v>
      </c>
      <c r="C912" s="3">
        <v>47.0213148927337</v>
      </c>
    </row>
    <row r="913">
      <c r="A913" s="1">
        <f>IFERROR(__xludf.DUMMYFUNCTION("""COMPUTED_VALUE"""),41681.666666666664)</f>
        <v>41681.66667</v>
      </c>
      <c r="B913" s="2">
        <f>IFERROR(__xludf.DUMMYFUNCTION("""COMPUTED_VALUE"""),13.11)</f>
        <v>13.11</v>
      </c>
      <c r="C913" s="3">
        <v>46.4058275533862</v>
      </c>
    </row>
    <row r="914">
      <c r="A914" s="1">
        <f>IFERROR(__xludf.DUMMYFUNCTION("""COMPUTED_VALUE"""),41682.666666666664)</f>
        <v>41682.66667</v>
      </c>
      <c r="B914" s="2">
        <f>IFERROR(__xludf.DUMMYFUNCTION("""COMPUTED_VALUE"""),13.02)</f>
        <v>13.02</v>
      </c>
      <c r="C914" s="3">
        <v>46.0884355059541</v>
      </c>
    </row>
    <row r="915">
      <c r="A915" s="1">
        <f>IFERROR(__xludf.DUMMYFUNCTION("""COMPUTED_VALUE"""),41683.666666666664)</f>
        <v>41683.66667</v>
      </c>
      <c r="B915" s="2">
        <f>IFERROR(__xludf.DUMMYFUNCTION("""COMPUTED_VALUE"""),13.31)</f>
        <v>13.31</v>
      </c>
      <c r="C915" s="3">
        <v>44.7375908701614</v>
      </c>
    </row>
    <row r="916">
      <c r="A916" s="1">
        <f>IFERROR(__xludf.DUMMYFUNCTION("""COMPUTED_VALUE"""),41684.666666666664)</f>
        <v>41684.66667</v>
      </c>
      <c r="B916" s="2">
        <f>IFERROR(__xludf.DUMMYFUNCTION("""COMPUTED_VALUE"""),13.22)</f>
        <v>13.22</v>
      </c>
      <c r="C916" s="3">
        <v>43.2475937974762</v>
      </c>
    </row>
    <row r="917">
      <c r="A917" s="1">
        <f>IFERROR(__xludf.DUMMYFUNCTION("""COMPUTED_VALUE"""),41688.666666666664)</f>
        <v>41688.66667</v>
      </c>
      <c r="B917" s="2">
        <f>IFERROR(__xludf.DUMMYFUNCTION("""COMPUTED_VALUE"""),13.58)</f>
        <v>13.58</v>
      </c>
      <c r="C917" s="3">
        <v>40.8466335988505</v>
      </c>
    </row>
    <row r="918">
      <c r="A918" s="1">
        <f>IFERROR(__xludf.DUMMYFUNCTION("""COMPUTED_VALUE"""),41689.666666666664)</f>
        <v>41689.66667</v>
      </c>
      <c r="B918" s="2">
        <f>IFERROR(__xludf.DUMMYFUNCTION("""COMPUTED_VALUE"""),12.91)</f>
        <v>12.91</v>
      </c>
      <c r="C918" s="3">
        <v>39.7563705105968</v>
      </c>
    </row>
    <row r="919">
      <c r="A919" s="1">
        <f>IFERROR(__xludf.DUMMYFUNCTION("""COMPUTED_VALUE"""),41690.666666666664)</f>
        <v>41690.66667</v>
      </c>
      <c r="B919" s="2">
        <f>IFERROR(__xludf.DUMMYFUNCTION("""COMPUTED_VALUE"""),14.0)</f>
        <v>14</v>
      </c>
      <c r="C919" s="3">
        <v>37.6334946717175</v>
      </c>
    </row>
    <row r="920">
      <c r="A920" s="1">
        <f>IFERROR(__xludf.DUMMYFUNCTION("""COMPUTED_VALUE"""),41691.666666666664)</f>
        <v>41691.66667</v>
      </c>
      <c r="B920" s="2">
        <f>IFERROR(__xludf.DUMMYFUNCTION("""COMPUTED_VALUE"""),13.97)</f>
        <v>13.97</v>
      </c>
      <c r="C920" s="3">
        <v>35.3927712491909</v>
      </c>
    </row>
    <row r="921">
      <c r="A921" s="1">
        <f>IFERROR(__xludf.DUMMYFUNCTION("""COMPUTED_VALUE"""),41694.666666666664)</f>
        <v>41694.66667</v>
      </c>
      <c r="B921" s="2">
        <f>IFERROR(__xludf.DUMMYFUNCTION("""COMPUTED_VALUE"""),14.51)</f>
        <v>14.51</v>
      </c>
      <c r="C921" s="3">
        <v>32.4339831976043</v>
      </c>
    </row>
    <row r="922">
      <c r="A922" s="1">
        <f>IFERROR(__xludf.DUMMYFUNCTION("""COMPUTED_VALUE"""),41695.666666666664)</f>
        <v>41695.66667</v>
      </c>
      <c r="B922" s="2">
        <f>IFERROR(__xludf.DUMMYFUNCTION("""COMPUTED_VALUE"""),16.53)</f>
        <v>16.53</v>
      </c>
      <c r="C922" s="3">
        <v>30.5910050145091</v>
      </c>
    </row>
    <row r="923">
      <c r="A923" s="1">
        <f>IFERROR(__xludf.DUMMYFUNCTION("""COMPUTED_VALUE"""),41696.666666666664)</f>
        <v>41696.66667</v>
      </c>
      <c r="B923" s="2">
        <f>IFERROR(__xludf.DUMMYFUNCTION("""COMPUTED_VALUE"""),16.87)</f>
        <v>16.87</v>
      </c>
      <c r="C923" s="3">
        <v>29.136252074676</v>
      </c>
    </row>
    <row r="924">
      <c r="A924" s="1">
        <f>IFERROR(__xludf.DUMMYFUNCTION("""COMPUTED_VALUE"""),41697.666666666664)</f>
        <v>41697.66667</v>
      </c>
      <c r="B924" s="2">
        <f>IFERROR(__xludf.DUMMYFUNCTION("""COMPUTED_VALUE"""),16.84)</f>
        <v>16.84</v>
      </c>
      <c r="C924" s="3">
        <v>26.7699609647075</v>
      </c>
    </row>
    <row r="925">
      <c r="A925" s="1">
        <f>IFERROR(__xludf.DUMMYFUNCTION("""COMPUTED_VALUE"""),41698.666666666664)</f>
        <v>41698.66667</v>
      </c>
      <c r="B925" s="2">
        <f>IFERROR(__xludf.DUMMYFUNCTION("""COMPUTED_VALUE"""),16.32)</f>
        <v>16.32</v>
      </c>
      <c r="C925" s="3">
        <v>24.4156668014438</v>
      </c>
    </row>
    <row r="926">
      <c r="A926" s="1">
        <f>IFERROR(__xludf.DUMMYFUNCTION("""COMPUTED_VALUE"""),41701.666666666664)</f>
        <v>41701.66667</v>
      </c>
      <c r="B926" s="2">
        <f>IFERROR(__xludf.DUMMYFUNCTION("""COMPUTED_VALUE"""),16.7)</f>
        <v>16.7</v>
      </c>
      <c r="C926" s="3">
        <v>21.936782461335</v>
      </c>
    </row>
    <row r="927">
      <c r="A927" s="1">
        <f>IFERROR(__xludf.DUMMYFUNCTION("""COMPUTED_VALUE"""),41702.666666666664)</f>
        <v>41702.66667</v>
      </c>
      <c r="B927" s="2">
        <f>IFERROR(__xludf.DUMMYFUNCTION("""COMPUTED_VALUE"""),16.99)</f>
        <v>16.99</v>
      </c>
      <c r="C927" s="3">
        <v>20.5253115778785</v>
      </c>
    </row>
    <row r="928">
      <c r="A928" s="1">
        <f>IFERROR(__xludf.DUMMYFUNCTION("""COMPUTED_VALUE"""),41703.666666666664)</f>
        <v>41703.66667</v>
      </c>
      <c r="B928" s="2">
        <f>IFERROR(__xludf.DUMMYFUNCTION("""COMPUTED_VALUE"""),16.84)</f>
        <v>16.84</v>
      </c>
      <c r="C928" s="3">
        <v>19.6290738244444</v>
      </c>
    </row>
    <row r="929">
      <c r="A929" s="1">
        <f>IFERROR(__xludf.DUMMYFUNCTION("""COMPUTED_VALUE"""),41704.666666666664)</f>
        <v>41704.66667</v>
      </c>
      <c r="B929" s="2">
        <f>IFERROR(__xludf.DUMMYFUNCTION("""COMPUTED_VALUE"""),16.86)</f>
        <v>16.86</v>
      </c>
      <c r="C929" s="3">
        <v>17.9387171748133</v>
      </c>
    </row>
    <row r="930">
      <c r="A930" s="1">
        <f>IFERROR(__xludf.DUMMYFUNCTION("""COMPUTED_VALUE"""),41705.666666666664)</f>
        <v>41705.66667</v>
      </c>
      <c r="B930" s="2">
        <f>IFERROR(__xludf.DUMMYFUNCTION("""COMPUTED_VALUE"""),16.41)</f>
        <v>16.41</v>
      </c>
      <c r="C930" s="3">
        <v>16.3656575434085</v>
      </c>
    </row>
    <row r="931">
      <c r="A931" s="1">
        <f>IFERROR(__xludf.DUMMYFUNCTION("""COMPUTED_VALUE"""),41708.666666666664)</f>
        <v>41708.66667</v>
      </c>
      <c r="B931" s="2">
        <f>IFERROR(__xludf.DUMMYFUNCTION("""COMPUTED_VALUE"""),15.92)</f>
        <v>15.92</v>
      </c>
      <c r="C931" s="3">
        <v>16.7106573877186</v>
      </c>
    </row>
    <row r="932">
      <c r="A932" s="1">
        <f>IFERROR(__xludf.DUMMYFUNCTION("""COMPUTED_VALUE"""),41709.666666666664)</f>
        <v>41709.66667</v>
      </c>
      <c r="B932" s="2">
        <f>IFERROR(__xludf.DUMMYFUNCTION("""COMPUTED_VALUE"""),15.63)</f>
        <v>15.63</v>
      </c>
      <c r="C932" s="3">
        <v>16.3427936890763</v>
      </c>
    </row>
    <row r="933">
      <c r="A933" s="1">
        <f>IFERROR(__xludf.DUMMYFUNCTION("""COMPUTED_VALUE"""),41710.666666666664)</f>
        <v>41710.66667</v>
      </c>
      <c r="B933" s="2">
        <f>IFERROR(__xludf.DUMMYFUNCTION("""COMPUTED_VALUE"""),16.1)</f>
        <v>16.1</v>
      </c>
      <c r="C933" s="3">
        <v>16.5104470990112</v>
      </c>
    </row>
    <row r="934">
      <c r="A934" s="1">
        <f>IFERROR(__xludf.DUMMYFUNCTION("""COMPUTED_VALUE"""),41711.666666666664)</f>
        <v>41711.66667</v>
      </c>
      <c r="B934" s="2">
        <f>IFERROR(__xludf.DUMMYFUNCTION("""COMPUTED_VALUE"""),15.85)</f>
        <v>15.85</v>
      </c>
      <c r="C934" s="3">
        <v>15.8855419826775</v>
      </c>
    </row>
    <row r="935">
      <c r="A935" s="1">
        <f>IFERROR(__xludf.DUMMYFUNCTION("""COMPUTED_VALUE"""),41712.666666666664)</f>
        <v>41712.66667</v>
      </c>
      <c r="B935" s="2">
        <f>IFERROR(__xludf.DUMMYFUNCTION("""COMPUTED_VALUE"""),15.4)</f>
        <v>15.4</v>
      </c>
      <c r="C935" s="3">
        <v>15.3612944730103</v>
      </c>
    </row>
    <row r="936">
      <c r="A936" s="1">
        <f>IFERROR(__xludf.DUMMYFUNCTION("""COMPUTED_VALUE"""),41715.666666666664)</f>
        <v>41715.66667</v>
      </c>
      <c r="B936" s="2">
        <f>IFERROR(__xludf.DUMMYFUNCTION("""COMPUTED_VALUE"""),15.6)</f>
        <v>15.6</v>
      </c>
      <c r="C936" s="3">
        <v>18.5877479449847</v>
      </c>
    </row>
    <row r="937">
      <c r="A937" s="1">
        <f>IFERROR(__xludf.DUMMYFUNCTION("""COMPUTED_VALUE"""),41716.666666666664)</f>
        <v>41716.66667</v>
      </c>
      <c r="B937" s="2">
        <f>IFERROR(__xludf.DUMMYFUNCTION("""COMPUTED_VALUE"""),16.0)</f>
        <v>16</v>
      </c>
      <c r="C937" s="3">
        <v>19.0452081194435</v>
      </c>
    </row>
    <row r="938">
      <c r="A938" s="1">
        <f>IFERROR(__xludf.DUMMYFUNCTION("""COMPUTED_VALUE"""),41717.666666666664)</f>
        <v>41717.66667</v>
      </c>
      <c r="B938" s="2">
        <f>IFERROR(__xludf.DUMMYFUNCTION("""COMPUTED_VALUE"""),15.72)</f>
        <v>15.72</v>
      </c>
      <c r="C938" s="3">
        <v>19.9523390293412</v>
      </c>
    </row>
    <row r="939">
      <c r="A939" s="1">
        <f>IFERROR(__xludf.DUMMYFUNCTION("""COMPUTED_VALUE"""),41718.666666666664)</f>
        <v>41718.66667</v>
      </c>
      <c r="B939" s="2">
        <f>IFERROR(__xludf.DUMMYFUNCTION("""COMPUTED_VALUE"""),15.66)</f>
        <v>15.66</v>
      </c>
      <c r="C939" s="3">
        <v>19.9736411246923</v>
      </c>
    </row>
    <row r="940">
      <c r="A940" s="1">
        <f>IFERROR(__xludf.DUMMYFUNCTION("""COMPUTED_VALUE"""),41719.666666666664)</f>
        <v>41719.66667</v>
      </c>
      <c r="B940" s="2">
        <f>IFERROR(__xludf.DUMMYFUNCTION("""COMPUTED_VALUE"""),15.26)</f>
        <v>15.26</v>
      </c>
      <c r="C940" s="3">
        <v>19.9974289617158</v>
      </c>
    </row>
    <row r="941">
      <c r="A941" s="1">
        <f>IFERROR(__xludf.DUMMYFUNCTION("""COMPUTED_VALUE"""),41722.666666666664)</f>
        <v>41722.66667</v>
      </c>
      <c r="B941" s="2">
        <f>IFERROR(__xludf.DUMMYFUNCTION("""COMPUTED_VALUE"""),14.68)</f>
        <v>14.68</v>
      </c>
      <c r="C941" s="3">
        <v>24.2676936556591</v>
      </c>
    </row>
    <row r="942">
      <c r="A942" s="1">
        <f>IFERROR(__xludf.DUMMYFUNCTION("""COMPUTED_VALUE"""),41723.666666666664)</f>
        <v>41723.66667</v>
      </c>
      <c r="B942" s="2">
        <f>IFERROR(__xludf.DUMMYFUNCTION("""COMPUTED_VALUE"""),14.7)</f>
        <v>14.7</v>
      </c>
      <c r="C942" s="3">
        <v>24.881134575926</v>
      </c>
    </row>
    <row r="943">
      <c r="A943" s="1">
        <f>IFERROR(__xludf.DUMMYFUNCTION("""COMPUTED_VALUE"""),41724.666666666664)</f>
        <v>41724.66667</v>
      </c>
      <c r="B943" s="2">
        <f>IFERROR(__xludf.DUMMYFUNCTION("""COMPUTED_VALUE"""),14.2)</f>
        <v>14.2</v>
      </c>
      <c r="C943" s="3">
        <v>25.8576413698479</v>
      </c>
    </row>
    <row r="944">
      <c r="A944" s="1">
        <f>IFERROR(__xludf.DUMMYFUNCTION("""COMPUTED_VALUE"""),41725.666666666664)</f>
        <v>41725.66667</v>
      </c>
      <c r="B944" s="2">
        <f>IFERROR(__xludf.DUMMYFUNCTION("""COMPUTED_VALUE"""),13.82)</f>
        <v>13.82</v>
      </c>
      <c r="C944" s="3">
        <v>25.8699759403485</v>
      </c>
    </row>
    <row r="945">
      <c r="A945" s="1">
        <f>IFERROR(__xludf.DUMMYFUNCTION("""COMPUTED_VALUE"""),41726.666666666664)</f>
        <v>41726.66667</v>
      </c>
      <c r="B945" s="2">
        <f>IFERROR(__xludf.DUMMYFUNCTION("""COMPUTED_VALUE"""),14.16)</f>
        <v>14.16</v>
      </c>
      <c r="C945" s="3">
        <v>25.8160269802932</v>
      </c>
    </row>
    <row r="946">
      <c r="A946" s="1">
        <f>IFERROR(__xludf.DUMMYFUNCTION("""COMPUTED_VALUE"""),41729.666666666664)</f>
        <v>41729.66667</v>
      </c>
      <c r="B946" s="2">
        <f>IFERROR(__xludf.DUMMYFUNCTION("""COMPUTED_VALUE"""),13.9)</f>
        <v>13.9</v>
      </c>
      <c r="C946" s="3">
        <v>29.548236476347</v>
      </c>
    </row>
    <row r="947">
      <c r="A947" s="1">
        <f>IFERROR(__xludf.DUMMYFUNCTION("""COMPUTED_VALUE"""),41730.666666666664)</f>
        <v>41730.66667</v>
      </c>
      <c r="B947" s="2">
        <f>IFERROR(__xludf.DUMMYFUNCTION("""COMPUTED_VALUE"""),14.46)</f>
        <v>14.46</v>
      </c>
      <c r="C947" s="3">
        <v>29.917999395603</v>
      </c>
    </row>
    <row r="948">
      <c r="A948" s="1">
        <f>IFERROR(__xludf.DUMMYFUNCTION("""COMPUTED_VALUE"""),41731.666666666664)</f>
        <v>41731.66667</v>
      </c>
      <c r="B948" s="2">
        <f>IFERROR(__xludf.DUMMYFUNCTION("""COMPUTED_VALUE"""),15.35)</f>
        <v>15.35</v>
      </c>
      <c r="C948" s="3">
        <v>30.6342754041925</v>
      </c>
    </row>
    <row r="949">
      <c r="A949" s="1">
        <f>IFERROR(__xludf.DUMMYFUNCTION("""COMPUTED_VALUE"""),41732.666666666664)</f>
        <v>41732.66667</v>
      </c>
      <c r="B949" s="2">
        <f>IFERROR(__xludf.DUMMYFUNCTION("""COMPUTED_VALUE"""),15.03)</f>
        <v>15.03</v>
      </c>
      <c r="C949" s="3">
        <v>30.3819716068193</v>
      </c>
    </row>
    <row r="950">
      <c r="A950" s="1">
        <f>IFERROR(__xludf.DUMMYFUNCTION("""COMPUTED_VALUE"""),41733.666666666664)</f>
        <v>41733.66667</v>
      </c>
      <c r="B950" s="2">
        <f>IFERROR(__xludf.DUMMYFUNCTION("""COMPUTED_VALUE"""),14.15)</f>
        <v>14.15</v>
      </c>
      <c r="C950" s="3">
        <v>30.06755521798</v>
      </c>
    </row>
    <row r="951">
      <c r="A951" s="1">
        <f>IFERROR(__xludf.DUMMYFUNCTION("""COMPUTED_VALUE"""),41736.666666666664)</f>
        <v>41736.66667</v>
      </c>
      <c r="B951" s="2">
        <f>IFERROR(__xludf.DUMMYFUNCTION("""COMPUTED_VALUE"""),13.83)</f>
        <v>13.83</v>
      </c>
      <c r="C951" s="3">
        <v>33.1072954963588</v>
      </c>
    </row>
    <row r="952">
      <c r="A952" s="1">
        <f>IFERROR(__xludf.DUMMYFUNCTION("""COMPUTED_VALUE"""),41737.666666666664)</f>
        <v>41737.66667</v>
      </c>
      <c r="B952" s="2">
        <f>IFERROR(__xludf.DUMMYFUNCTION("""COMPUTED_VALUE"""),14.36)</f>
        <v>14.36</v>
      </c>
      <c r="C952" s="3">
        <v>33.2888613623095</v>
      </c>
    </row>
    <row r="953">
      <c r="A953" s="1">
        <f>IFERROR(__xludf.DUMMYFUNCTION("""COMPUTED_VALUE"""),41738.666666666664)</f>
        <v>41738.66667</v>
      </c>
      <c r="B953" s="2">
        <f>IFERROR(__xludf.DUMMYFUNCTION("""COMPUTED_VALUE"""),14.46)</f>
        <v>14.46</v>
      </c>
      <c r="C953" s="3">
        <v>33.8427731758149</v>
      </c>
    </row>
    <row r="954">
      <c r="A954" s="1">
        <f>IFERROR(__xludf.DUMMYFUNCTION("""COMPUTED_VALUE"""),41739.666666666664)</f>
        <v>41739.66667</v>
      </c>
      <c r="B954" s="2">
        <f>IFERROR(__xludf.DUMMYFUNCTION("""COMPUTED_VALUE"""),13.61)</f>
        <v>13.61</v>
      </c>
      <c r="C954" s="3">
        <v>33.4501820059544</v>
      </c>
    </row>
    <row r="955">
      <c r="A955" s="1">
        <f>IFERROR(__xludf.DUMMYFUNCTION("""COMPUTED_VALUE"""),41740.666666666664)</f>
        <v>41740.66667</v>
      </c>
      <c r="B955" s="2">
        <f>IFERROR(__xludf.DUMMYFUNCTION("""COMPUTED_VALUE"""),13.59)</f>
        <v>13.59</v>
      </c>
      <c r="C955" s="3">
        <v>33.0146241748485</v>
      </c>
    </row>
    <row r="956">
      <c r="A956" s="1">
        <f>IFERROR(__xludf.DUMMYFUNCTION("""COMPUTED_VALUE"""),41743.666666666664)</f>
        <v>41743.66667</v>
      </c>
      <c r="B956" s="2">
        <f>IFERROR(__xludf.DUMMYFUNCTION("""COMPUTED_VALUE"""),13.21)</f>
        <v>13.21</v>
      </c>
      <c r="C956" s="3">
        <v>35.756552018285</v>
      </c>
    </row>
    <row r="957">
      <c r="A957" s="1">
        <f>IFERROR(__xludf.DUMMYFUNCTION("""COMPUTED_VALUE"""),41744.666666666664)</f>
        <v>41744.66667</v>
      </c>
      <c r="B957" s="2">
        <f>IFERROR(__xludf.DUMMYFUNCTION("""COMPUTED_VALUE"""),12.93)</f>
        <v>12.93</v>
      </c>
      <c r="C957" s="3">
        <v>35.83937019444</v>
      </c>
    </row>
    <row r="958">
      <c r="A958" s="1">
        <f>IFERROR(__xludf.DUMMYFUNCTION("""COMPUTED_VALUE"""),41745.666666666664)</f>
        <v>41745.66667</v>
      </c>
      <c r="B958" s="2">
        <f>IFERROR(__xludf.DUMMYFUNCTION("""COMPUTED_VALUE"""),13.27)</f>
        <v>13.27</v>
      </c>
      <c r="C958" s="3">
        <v>36.2826731904151</v>
      </c>
    </row>
    <row r="959">
      <c r="A959" s="1">
        <f>IFERROR(__xludf.DUMMYFUNCTION("""COMPUTED_VALUE"""),41746.666666666664)</f>
        <v>41746.66667</v>
      </c>
      <c r="B959" s="2">
        <f>IFERROR(__xludf.DUMMYFUNCTION("""COMPUTED_VALUE"""),13.21)</f>
        <v>13.21</v>
      </c>
      <c r="C959" s="3">
        <v>35.7601331120357</v>
      </c>
    </row>
    <row r="960">
      <c r="A960" s="1">
        <f>IFERROR(__xludf.DUMMYFUNCTION("""COMPUTED_VALUE"""),41750.666666666664)</f>
        <v>41750.66667</v>
      </c>
      <c r="B960" s="2">
        <f>IFERROR(__xludf.DUMMYFUNCTION("""COMPUTED_VALUE"""),13.63)</f>
        <v>13.63</v>
      </c>
      <c r="C960" s="3">
        <v>37.2212816565055</v>
      </c>
    </row>
    <row r="961">
      <c r="A961" s="1">
        <f>IFERROR(__xludf.DUMMYFUNCTION("""COMPUTED_VALUE"""),41751.666666666664)</f>
        <v>41751.66667</v>
      </c>
      <c r="B961" s="2">
        <f>IFERROR(__xludf.DUMMYFUNCTION("""COMPUTED_VALUE"""),14.58)</f>
        <v>14.58</v>
      </c>
      <c r="C961" s="3">
        <v>36.9868695083265</v>
      </c>
    </row>
    <row r="962">
      <c r="A962" s="1">
        <f>IFERROR(__xludf.DUMMYFUNCTION("""COMPUTED_VALUE"""),41752.666666666664)</f>
        <v>41752.66667</v>
      </c>
      <c r="B962" s="2">
        <f>IFERROR(__xludf.DUMMYFUNCTION("""COMPUTED_VALUE"""),13.87)</f>
        <v>13.87</v>
      </c>
      <c r="C962" s="3">
        <v>37.0654637665324</v>
      </c>
    </row>
    <row r="963">
      <c r="A963" s="1">
        <f>IFERROR(__xludf.DUMMYFUNCTION("""COMPUTED_VALUE"""),41753.666666666664)</f>
        <v>41753.66667</v>
      </c>
      <c r="B963" s="2">
        <f>IFERROR(__xludf.DUMMYFUNCTION("""COMPUTED_VALUE"""),13.86)</f>
        <v>13.86</v>
      </c>
      <c r="C963" s="3">
        <v>36.131028145708</v>
      </c>
    </row>
    <row r="964">
      <c r="A964" s="1">
        <f>IFERROR(__xludf.DUMMYFUNCTION("""COMPUTED_VALUE"""),41754.666666666664)</f>
        <v>41754.66667</v>
      </c>
      <c r="B964" s="2">
        <f>IFERROR(__xludf.DUMMYFUNCTION("""COMPUTED_VALUE"""),13.32)</f>
        <v>13.32</v>
      </c>
      <c r="C964" s="3">
        <v>35.0820064392696</v>
      </c>
    </row>
    <row r="965">
      <c r="A965" s="1">
        <f>IFERROR(__xludf.DUMMYFUNCTION("""COMPUTED_VALUE"""),41757.666666666664)</f>
        <v>41757.66667</v>
      </c>
      <c r="B965" s="2">
        <f>IFERROR(__xludf.DUMMYFUNCTION("""COMPUTED_VALUE"""),13.23)</f>
        <v>13.23</v>
      </c>
      <c r="C965" s="3">
        <v>35.5405032119087</v>
      </c>
    </row>
    <row r="966">
      <c r="A966" s="1">
        <f>IFERROR(__xludf.DUMMYFUNCTION("""COMPUTED_VALUE"""),41758.666666666664)</f>
        <v>41758.66667</v>
      </c>
      <c r="B966" s="2">
        <f>IFERROR(__xludf.DUMMYFUNCTION("""COMPUTED_VALUE"""),13.79)</f>
        <v>13.79</v>
      </c>
      <c r="C966" s="3">
        <v>34.7238534886721</v>
      </c>
    </row>
    <row r="967">
      <c r="A967" s="1">
        <f>IFERROR(__xludf.DUMMYFUNCTION("""COMPUTED_VALUE"""),41759.666666666664)</f>
        <v>41759.66667</v>
      </c>
      <c r="B967" s="2">
        <f>IFERROR(__xludf.DUMMYFUNCTION("""COMPUTED_VALUE"""),13.86)</f>
        <v>13.86</v>
      </c>
      <c r="C967" s="3">
        <v>34.2102979422351</v>
      </c>
    </row>
    <row r="968">
      <c r="A968" s="1">
        <f>IFERROR(__xludf.DUMMYFUNCTION("""COMPUTED_VALUE"""),41760.666666666664)</f>
        <v>41760.66667</v>
      </c>
      <c r="B968" s="2">
        <f>IFERROR(__xludf.DUMMYFUNCTION("""COMPUTED_VALUE"""),13.85)</f>
        <v>13.85</v>
      </c>
      <c r="C968" s="3">
        <v>32.6846746060388</v>
      </c>
    </row>
    <row r="969">
      <c r="A969" s="1">
        <f>IFERROR(__xludf.DUMMYFUNCTION("""COMPUTED_VALUE"""),41761.666666666664)</f>
        <v>41761.66667</v>
      </c>
      <c r="B969" s="2">
        <f>IFERROR(__xludf.DUMMYFUNCTION("""COMPUTED_VALUE"""),14.06)</f>
        <v>14.06</v>
      </c>
      <c r="C969" s="3">
        <v>31.056980491219</v>
      </c>
    </row>
    <row r="970">
      <c r="A970" s="1">
        <f>IFERROR(__xludf.DUMMYFUNCTION("""COMPUTED_VALUE"""),41764.666666666664)</f>
        <v>41764.66667</v>
      </c>
      <c r="B970" s="2">
        <f>IFERROR(__xludf.DUMMYFUNCTION("""COMPUTED_VALUE"""),14.44)</f>
        <v>14.44</v>
      </c>
      <c r="C970" s="3">
        <v>29.9733486100836</v>
      </c>
    </row>
    <row r="971">
      <c r="A971" s="1">
        <f>IFERROR(__xludf.DUMMYFUNCTION("""COMPUTED_VALUE"""),41765.666666666664)</f>
        <v>41765.66667</v>
      </c>
      <c r="B971" s="2">
        <f>IFERROR(__xludf.DUMMYFUNCTION("""COMPUTED_VALUE"""),13.82)</f>
        <v>13.82</v>
      </c>
      <c r="C971" s="3">
        <v>28.7455622661963</v>
      </c>
    </row>
    <row r="972">
      <c r="A972" s="1">
        <f>IFERROR(__xludf.DUMMYFUNCTION("""COMPUTED_VALUE"""),41766.666666666664)</f>
        <v>41766.66667</v>
      </c>
      <c r="B972" s="2">
        <f>IFERROR(__xludf.DUMMYFUNCTION("""COMPUTED_VALUE"""),13.42)</f>
        <v>13.42</v>
      </c>
      <c r="C972" s="3">
        <v>27.8896068811225</v>
      </c>
    </row>
    <row r="973">
      <c r="A973" s="1">
        <f>IFERROR(__xludf.DUMMYFUNCTION("""COMPUTED_VALUE"""),41767.666666666664)</f>
        <v>41767.66667</v>
      </c>
      <c r="B973" s="2">
        <f>IFERROR(__xludf.DUMMYFUNCTION("""COMPUTED_VALUE"""),11.91)</f>
        <v>11.91</v>
      </c>
      <c r="C973" s="3">
        <v>26.0989065087287</v>
      </c>
    </row>
    <row r="974">
      <c r="A974" s="1">
        <f>IFERROR(__xludf.DUMMYFUNCTION("""COMPUTED_VALUE"""),41768.666666666664)</f>
        <v>41768.66667</v>
      </c>
      <c r="B974" s="2">
        <f>IFERROR(__xludf.DUMMYFUNCTION("""COMPUTED_VALUE"""),12.15)</f>
        <v>12.15</v>
      </c>
      <c r="C974" s="3">
        <v>24.2904610226017</v>
      </c>
    </row>
    <row r="975">
      <c r="A975" s="1">
        <f>IFERROR(__xludf.DUMMYFUNCTION("""COMPUTED_VALUE"""),41771.666666666664)</f>
        <v>41771.66667</v>
      </c>
      <c r="B975" s="2">
        <f>IFERROR(__xludf.DUMMYFUNCTION("""COMPUTED_VALUE"""),12.31)</f>
        <v>12.31</v>
      </c>
      <c r="C975" s="3">
        <v>23.2123907182132</v>
      </c>
    </row>
    <row r="976">
      <c r="A976" s="1">
        <f>IFERROR(__xludf.DUMMYFUNCTION("""COMPUTED_VALUE"""),41772.666666666664)</f>
        <v>41772.66667</v>
      </c>
      <c r="B976" s="2">
        <f>IFERROR(__xludf.DUMMYFUNCTION("""COMPUTED_VALUE"""),12.68)</f>
        <v>12.68</v>
      </c>
      <c r="C976" s="3">
        <v>22.172650915946</v>
      </c>
    </row>
    <row r="977">
      <c r="A977" s="1">
        <f>IFERROR(__xludf.DUMMYFUNCTION("""COMPUTED_VALUE"""),41773.666666666664)</f>
        <v>41773.66667</v>
      </c>
      <c r="B977" s="2">
        <f>IFERROR(__xludf.DUMMYFUNCTION("""COMPUTED_VALUE"""),12.71)</f>
        <v>12.71</v>
      </c>
      <c r="C977" s="3">
        <v>21.5942346708182</v>
      </c>
    </row>
    <row r="978">
      <c r="A978" s="1">
        <f>IFERROR(__xludf.DUMMYFUNCTION("""COMPUTED_VALUE"""),41774.666666666664)</f>
        <v>41774.66667</v>
      </c>
      <c r="B978" s="2">
        <f>IFERROR(__xludf.DUMMYFUNCTION("""COMPUTED_VALUE"""),12.57)</f>
        <v>12.57</v>
      </c>
      <c r="C978" s="3">
        <v>20.1652094867386</v>
      </c>
    </row>
    <row r="979">
      <c r="A979" s="1">
        <f>IFERROR(__xludf.DUMMYFUNCTION("""COMPUTED_VALUE"""),41775.666666666664)</f>
        <v>41775.66667</v>
      </c>
      <c r="B979" s="2">
        <f>IFERROR(__xludf.DUMMYFUNCTION("""COMPUTED_VALUE"""),12.77)</f>
        <v>12.77</v>
      </c>
      <c r="C979" s="3">
        <v>18.7952335479287</v>
      </c>
    </row>
    <row r="980">
      <c r="A980" s="1">
        <f>IFERROR(__xludf.DUMMYFUNCTION("""COMPUTED_VALUE"""),41778.666666666664)</f>
        <v>41778.66667</v>
      </c>
      <c r="B980" s="2">
        <f>IFERROR(__xludf.DUMMYFUNCTION("""COMPUTED_VALUE"""),13.07)</f>
        <v>13.07</v>
      </c>
      <c r="C980" s="3">
        <v>19.3943086909521</v>
      </c>
    </row>
    <row r="981">
      <c r="A981" s="1">
        <f>IFERROR(__xludf.DUMMYFUNCTION("""COMPUTED_VALUE"""),41779.666666666664)</f>
        <v>41779.66667</v>
      </c>
      <c r="B981" s="2">
        <f>IFERROR(__xludf.DUMMYFUNCTION("""COMPUTED_VALUE"""),13.02)</f>
        <v>13.02</v>
      </c>
      <c r="C981" s="3">
        <v>18.9944907274767</v>
      </c>
    </row>
    <row r="982">
      <c r="A982" s="1">
        <f>IFERROR(__xludf.DUMMYFUNCTION("""COMPUTED_VALUE"""),41780.666666666664)</f>
        <v>41780.66667</v>
      </c>
      <c r="B982" s="2">
        <f>IFERROR(__xludf.DUMMYFUNCTION("""COMPUTED_VALUE"""),13.3)</f>
        <v>13.3</v>
      </c>
      <c r="C982" s="3">
        <v>19.0743339770843</v>
      </c>
    </row>
    <row r="983">
      <c r="A983" s="1">
        <f>IFERROR(__xludf.DUMMYFUNCTION("""COMPUTED_VALUE"""),41781.666666666664)</f>
        <v>41781.66667</v>
      </c>
      <c r="B983" s="2">
        <f>IFERROR(__xludf.DUMMYFUNCTION("""COMPUTED_VALUE"""),13.66)</f>
        <v>13.66</v>
      </c>
      <c r="C983" s="3">
        <v>18.3080354753773</v>
      </c>
    </row>
    <row r="984">
      <c r="A984" s="1">
        <f>IFERROR(__xludf.DUMMYFUNCTION("""COMPUTED_VALUE"""),41782.666666666664)</f>
        <v>41782.66667</v>
      </c>
      <c r="B984" s="2">
        <f>IFERROR(__xludf.DUMMYFUNCTION("""COMPUTED_VALUE"""),13.82)</f>
        <v>13.82</v>
      </c>
      <c r="C984" s="3">
        <v>17.591492771674</v>
      </c>
    </row>
    <row r="985">
      <c r="A985" s="1">
        <f>IFERROR(__xludf.DUMMYFUNCTION("""COMPUTED_VALUE"""),41786.666666666664)</f>
        <v>41786.66667</v>
      </c>
      <c r="B985" s="2">
        <f>IFERROR(__xludf.DUMMYFUNCTION("""COMPUTED_VALUE"""),14.1)</f>
        <v>14.1</v>
      </c>
      <c r="C985" s="3">
        <v>20.0604123504411</v>
      </c>
    </row>
    <row r="986">
      <c r="A986" s="1">
        <f>IFERROR(__xludf.DUMMYFUNCTION("""COMPUTED_VALUE"""),41787.666666666664)</f>
        <v>41787.66667</v>
      </c>
      <c r="B986" s="2">
        <f>IFERROR(__xludf.DUMMYFUNCTION("""COMPUTED_VALUE"""),14.02)</f>
        <v>14.02</v>
      </c>
      <c r="C986" s="3">
        <v>20.5694752264211</v>
      </c>
    </row>
    <row r="987">
      <c r="A987" s="1">
        <f>IFERROR(__xludf.DUMMYFUNCTION("""COMPUTED_VALUE"""),41788.666666666664)</f>
        <v>41788.66667</v>
      </c>
      <c r="B987" s="2">
        <f>IFERROR(__xludf.DUMMYFUNCTION("""COMPUTED_VALUE"""),14.02)</f>
        <v>14.02</v>
      </c>
      <c r="C987" s="3">
        <v>20.162020996623</v>
      </c>
    </row>
    <row r="988">
      <c r="A988" s="1">
        <f>IFERROR(__xludf.DUMMYFUNCTION("""COMPUTED_VALUE"""),41789.666666666664)</f>
        <v>41789.66667</v>
      </c>
      <c r="B988" s="2">
        <f>IFERROR(__xludf.DUMMYFUNCTION("""COMPUTED_VALUE"""),13.85)</f>
        <v>13.85</v>
      </c>
      <c r="C988" s="3">
        <v>19.7298526295014</v>
      </c>
    </row>
    <row r="989">
      <c r="A989" s="1">
        <f>IFERROR(__xludf.DUMMYFUNCTION("""COMPUTED_VALUE"""),41792.666666666664)</f>
        <v>41792.66667</v>
      </c>
      <c r="B989" s="2">
        <f>IFERROR(__xludf.DUMMYFUNCTION("""COMPUTED_VALUE"""),13.65)</f>
        <v>13.65</v>
      </c>
      <c r="C989" s="3">
        <v>22.5030521817505</v>
      </c>
    </row>
    <row r="990">
      <c r="A990" s="1">
        <f>IFERROR(__xludf.DUMMYFUNCTION("""COMPUTED_VALUE"""),41793.666666666664)</f>
        <v>41793.66667</v>
      </c>
      <c r="B990" s="2">
        <f>IFERROR(__xludf.DUMMYFUNCTION("""COMPUTED_VALUE"""),13.66)</f>
        <v>13.66</v>
      </c>
      <c r="C990" s="3">
        <v>22.5854677028868</v>
      </c>
    </row>
    <row r="991">
      <c r="A991" s="1">
        <f>IFERROR(__xludf.DUMMYFUNCTION("""COMPUTED_VALUE"""),41794.666666666664)</f>
        <v>41794.66667</v>
      </c>
      <c r="B991" s="2">
        <f>IFERROR(__xludf.DUMMYFUNCTION("""COMPUTED_VALUE"""),13.6)</f>
        <v>13.6</v>
      </c>
      <c r="C991" s="3">
        <v>23.0204038105008</v>
      </c>
    </row>
    <row r="992">
      <c r="A992" s="1">
        <f>IFERROR(__xludf.DUMMYFUNCTION("""COMPUTED_VALUE"""),41795.666666666664)</f>
        <v>41795.66667</v>
      </c>
      <c r="B992" s="2">
        <f>IFERROR(__xludf.DUMMYFUNCTION("""COMPUTED_VALUE"""),13.79)</f>
        <v>13.79</v>
      </c>
      <c r="C992" s="3">
        <v>22.4839128458437</v>
      </c>
    </row>
    <row r="993">
      <c r="A993" s="1">
        <f>IFERROR(__xludf.DUMMYFUNCTION("""COMPUTED_VALUE"""),41796.666666666664)</f>
        <v>41796.66667</v>
      </c>
      <c r="B993" s="2">
        <f>IFERROR(__xludf.DUMMYFUNCTION("""COMPUTED_VALUE"""),13.88)</f>
        <v>13.88</v>
      </c>
      <c r="C993" s="3">
        <v>21.8772361251111</v>
      </c>
    </row>
    <row r="994">
      <c r="A994" s="1">
        <f>IFERROR(__xludf.DUMMYFUNCTION("""COMPUTED_VALUE"""),41799.666666666664)</f>
        <v>41799.66667</v>
      </c>
      <c r="B994" s="2">
        <f>IFERROR(__xludf.DUMMYFUNCTION("""COMPUTED_VALUE"""),13.69)</f>
        <v>13.69</v>
      </c>
      <c r="C994" s="3">
        <v>23.9631248035455</v>
      </c>
    </row>
    <row r="995">
      <c r="A995" s="1">
        <f>IFERROR(__xludf.DUMMYFUNCTION("""COMPUTED_VALUE"""),41800.666666666664)</f>
        <v>41800.66667</v>
      </c>
      <c r="B995" s="2">
        <f>IFERROR(__xludf.DUMMYFUNCTION("""COMPUTED_VALUE"""),13.49)</f>
        <v>13.49</v>
      </c>
      <c r="C995" s="3">
        <v>23.8006546409638</v>
      </c>
    </row>
    <row r="996">
      <c r="A996" s="1">
        <f>IFERROR(__xludf.DUMMYFUNCTION("""COMPUTED_VALUE"""),41801.666666666664)</f>
        <v>41801.66667</v>
      </c>
      <c r="B996" s="2">
        <f>IFERROR(__xludf.DUMMYFUNCTION("""COMPUTED_VALUE"""),13.63)</f>
        <v>13.63</v>
      </c>
      <c r="C996" s="3">
        <v>24.0021864860758</v>
      </c>
    </row>
    <row r="997">
      <c r="A997" s="1">
        <f>IFERROR(__xludf.DUMMYFUNCTION("""COMPUTED_VALUE"""),41802.666666666664)</f>
        <v>41802.66667</v>
      </c>
      <c r="B997" s="2">
        <f>IFERROR(__xludf.DUMMYFUNCTION("""COMPUTED_VALUE"""),13.57)</f>
        <v>13.57</v>
      </c>
      <c r="C997" s="3">
        <v>23.2546208712193</v>
      </c>
    </row>
    <row r="998">
      <c r="A998" s="1">
        <f>IFERROR(__xludf.DUMMYFUNCTION("""COMPUTED_VALUE"""),41803.666666666664)</f>
        <v>41803.66667</v>
      </c>
      <c r="B998" s="2">
        <f>IFERROR(__xludf.DUMMYFUNCTION("""COMPUTED_VALUE"""),13.76)</f>
        <v>13.76</v>
      </c>
      <c r="C998" s="3">
        <v>22.469056526007</v>
      </c>
    </row>
    <row r="999">
      <c r="A999" s="1">
        <f>IFERROR(__xludf.DUMMYFUNCTION("""COMPUTED_VALUE"""),41806.666666666664)</f>
        <v>41806.66667</v>
      </c>
      <c r="B999" s="2">
        <f>IFERROR(__xludf.DUMMYFUNCTION("""COMPUTED_VALUE"""),14.97)</f>
        <v>14.97</v>
      </c>
      <c r="C999" s="3">
        <v>24.2891042434951</v>
      </c>
    </row>
    <row r="1000">
      <c r="A1000" s="1">
        <f>IFERROR(__xludf.DUMMYFUNCTION("""COMPUTED_VALUE"""),41807.666666666664)</f>
        <v>41807.66667</v>
      </c>
      <c r="B1000" s="2">
        <f>IFERROR(__xludf.DUMMYFUNCTION("""COMPUTED_VALUE"""),15.44)</f>
        <v>15.44</v>
      </c>
      <c r="C1000" s="3">
        <v>24.1456495245322</v>
      </c>
    </row>
    <row r="1001">
      <c r="A1001" s="1">
        <f>IFERROR(__xludf.DUMMYFUNCTION("""COMPUTED_VALUE"""),41808.666666666664)</f>
        <v>41808.66667</v>
      </c>
      <c r="B1001" s="2">
        <f>IFERROR(__xludf.DUMMYFUNCTION("""COMPUTED_VALUE"""),15.14)</f>
        <v>15.14</v>
      </c>
      <c r="C1001" s="3">
        <v>24.4238714296753</v>
      </c>
    </row>
    <row r="1002">
      <c r="A1002" s="1">
        <f>IFERROR(__xludf.DUMMYFUNCTION("""COMPUTED_VALUE"""),41809.666666666664)</f>
        <v>41809.66667</v>
      </c>
      <c r="B1002" s="2">
        <f>IFERROR(__xludf.DUMMYFUNCTION("""COMPUTED_VALUE"""),15.19)</f>
        <v>15.19</v>
      </c>
      <c r="C1002" s="3">
        <v>23.80993438305</v>
      </c>
    </row>
    <row r="1003">
      <c r="A1003" s="1">
        <f>IFERROR(__xludf.DUMMYFUNCTION("""COMPUTED_VALUE"""),41810.666666666664)</f>
        <v>41810.66667</v>
      </c>
      <c r="B1003" s="2">
        <f>IFERROR(__xludf.DUMMYFUNCTION("""COMPUTED_VALUE"""),15.31)</f>
        <v>15.31</v>
      </c>
      <c r="C1003" s="3">
        <v>23.2121744237299</v>
      </c>
    </row>
    <row r="1004">
      <c r="A1004" s="1">
        <f>IFERROR(__xludf.DUMMYFUNCTION("""COMPUTED_VALUE"""),41813.666666666664)</f>
        <v>41813.66667</v>
      </c>
      <c r="B1004" s="2">
        <f>IFERROR(__xludf.DUMMYFUNCTION("""COMPUTED_VALUE"""),15.81)</f>
        <v>15.81</v>
      </c>
      <c r="C1004" s="3">
        <v>25.8649385830125</v>
      </c>
    </row>
    <row r="1005">
      <c r="A1005" s="1">
        <f>IFERROR(__xludf.DUMMYFUNCTION("""COMPUTED_VALUE"""),41814.666666666664)</f>
        <v>41814.66667</v>
      </c>
      <c r="B1005" s="2">
        <f>IFERROR(__xludf.DUMMYFUNCTION("""COMPUTED_VALUE"""),15.5)</f>
        <v>15.5</v>
      </c>
      <c r="C1005" s="3">
        <v>26.0621503133708</v>
      </c>
    </row>
    <row r="1006">
      <c r="A1006" s="1">
        <f>IFERROR(__xludf.DUMMYFUNCTION("""COMPUTED_VALUE"""),41815.666666666664)</f>
        <v>41815.66667</v>
      </c>
      <c r="B1006" s="2">
        <f>IFERROR(__xludf.DUMMYFUNCTION("""COMPUTED_VALUE"""),15.79)</f>
        <v>15.79</v>
      </c>
      <c r="C1006" s="3">
        <v>26.6960763812053</v>
      </c>
    </row>
    <row r="1007">
      <c r="A1007" s="1">
        <f>IFERROR(__xludf.DUMMYFUNCTION("""COMPUTED_VALUE"""),41816.666666666664)</f>
        <v>41816.66667</v>
      </c>
      <c r="B1007" s="2">
        <f>IFERROR(__xludf.DUMMYFUNCTION("""COMPUTED_VALUE"""),15.71)</f>
        <v>15.71</v>
      </c>
      <c r="C1007" s="3">
        <v>26.441705720843</v>
      </c>
    </row>
    <row r="1008">
      <c r="A1008" s="1">
        <f>IFERROR(__xludf.DUMMYFUNCTION("""COMPUTED_VALUE"""),41817.666666666664)</f>
        <v>41817.66667</v>
      </c>
      <c r="B1008" s="2">
        <f>IFERROR(__xludf.DUMMYFUNCTION("""COMPUTED_VALUE"""),15.94)</f>
        <v>15.94</v>
      </c>
      <c r="C1008" s="3">
        <v>26.1958269366497</v>
      </c>
    </row>
    <row r="1009">
      <c r="A1009" s="1">
        <f>IFERROR(__xludf.DUMMYFUNCTION("""COMPUTED_VALUE"""),41820.666666666664)</f>
        <v>41820.66667</v>
      </c>
      <c r="B1009" s="2">
        <f>IFERROR(__xludf.DUMMYFUNCTION("""COMPUTED_VALUE"""),16.0)</f>
        <v>16</v>
      </c>
      <c r="C1009" s="3">
        <v>29.7446047309693</v>
      </c>
    </row>
    <row r="1010">
      <c r="A1010" s="1">
        <f>IFERROR(__xludf.DUMMYFUNCTION("""COMPUTED_VALUE"""),41821.666666666664)</f>
        <v>41821.66667</v>
      </c>
      <c r="B1010" s="2">
        <f>IFERROR(__xludf.DUMMYFUNCTION("""COMPUTED_VALUE"""),15.98)</f>
        <v>15.98</v>
      </c>
      <c r="C1010" s="3">
        <v>30.15255542687</v>
      </c>
    </row>
    <row r="1011">
      <c r="A1011" s="1">
        <f>IFERROR(__xludf.DUMMYFUNCTION("""COMPUTED_VALUE"""),41822.666666666664)</f>
        <v>41822.66667</v>
      </c>
      <c r="B1011" s="2">
        <f>IFERROR(__xludf.DUMMYFUNCTION("""COMPUTED_VALUE"""),15.3)</f>
        <v>15.3</v>
      </c>
      <c r="C1011" s="3">
        <v>30.9385980804503</v>
      </c>
    </row>
    <row r="1012">
      <c r="A1012" s="1">
        <f>IFERROR(__xludf.DUMMYFUNCTION("""COMPUTED_VALUE"""),41823.666666666664)</f>
        <v>41823.66667</v>
      </c>
      <c r="B1012" s="2">
        <f>IFERROR(__xludf.DUMMYFUNCTION("""COMPUTED_VALUE"""),15.28)</f>
        <v>15.28</v>
      </c>
      <c r="C1012" s="3">
        <v>30.7711512918517</v>
      </c>
    </row>
    <row r="1013">
      <c r="A1013" s="1">
        <f>IFERROR(__xludf.DUMMYFUNCTION("""COMPUTED_VALUE"""),41827.666666666664)</f>
        <v>41827.66667</v>
      </c>
      <c r="B1013" s="2">
        <f>IFERROR(__xludf.DUMMYFUNCTION("""COMPUTED_VALUE"""),14.84)</f>
        <v>14.84</v>
      </c>
      <c r="C1013" s="3">
        <v>33.7045056395099</v>
      </c>
    </row>
    <row r="1014">
      <c r="A1014" s="1">
        <f>IFERROR(__xludf.DUMMYFUNCTION("""COMPUTED_VALUE"""),41828.666666666664)</f>
        <v>41828.66667</v>
      </c>
      <c r="B1014" s="2">
        <f>IFERROR(__xludf.DUMMYFUNCTION("""COMPUTED_VALUE"""),14.6)</f>
        <v>14.6</v>
      </c>
      <c r="C1014" s="3">
        <v>33.8423756120174</v>
      </c>
    </row>
    <row r="1015">
      <c r="A1015" s="1">
        <f>IFERROR(__xludf.DUMMYFUNCTION("""COMPUTED_VALUE"""),41829.666666666664)</f>
        <v>41829.66667</v>
      </c>
      <c r="B1015" s="2">
        <f>IFERROR(__xludf.DUMMYFUNCTION("""COMPUTED_VALUE"""),14.87)</f>
        <v>14.87</v>
      </c>
      <c r="C1015" s="3">
        <v>34.2951388571892</v>
      </c>
    </row>
    <row r="1016">
      <c r="A1016" s="1">
        <f>IFERROR(__xludf.DUMMYFUNCTION("""COMPUTED_VALUE"""),41830.666666666664)</f>
        <v>41830.66667</v>
      </c>
      <c r="B1016" s="2">
        <f>IFERROR(__xludf.DUMMYFUNCTION("""COMPUTED_VALUE"""),14.63)</f>
        <v>14.63</v>
      </c>
      <c r="C1016" s="3">
        <v>33.7385393668552</v>
      </c>
    </row>
    <row r="1017">
      <c r="A1017" s="1">
        <f>IFERROR(__xludf.DUMMYFUNCTION("""COMPUTED_VALUE"""),41831.666666666664)</f>
        <v>41831.66667</v>
      </c>
      <c r="B1017" s="2">
        <f>IFERROR(__xludf.DUMMYFUNCTION("""COMPUTED_VALUE"""),14.54)</f>
        <v>14.54</v>
      </c>
      <c r="C1017" s="3">
        <v>33.0735872015802</v>
      </c>
    </row>
    <row r="1018">
      <c r="A1018" s="1">
        <f>IFERROR(__xludf.DUMMYFUNCTION("""COMPUTED_VALUE"""),41834.666666666664)</f>
        <v>41834.66667</v>
      </c>
      <c r="B1018" s="2">
        <f>IFERROR(__xludf.DUMMYFUNCTION("""COMPUTED_VALUE"""),15.11)</f>
        <v>15.11</v>
      </c>
      <c r="C1018" s="3">
        <v>34.7557666800788</v>
      </c>
    </row>
    <row r="1019">
      <c r="A1019" s="1">
        <f>IFERROR(__xludf.DUMMYFUNCTION("""COMPUTED_VALUE"""),41835.666666666664)</f>
        <v>41835.66667</v>
      </c>
      <c r="B1019" s="2">
        <f>IFERROR(__xludf.DUMMYFUNCTION("""COMPUTED_VALUE"""),14.64)</f>
        <v>14.64</v>
      </c>
      <c r="C1019" s="3">
        <v>34.3837009086081</v>
      </c>
    </row>
    <row r="1020">
      <c r="A1020" s="1">
        <f>IFERROR(__xludf.DUMMYFUNCTION("""COMPUTED_VALUE"""),41836.666666666664)</f>
        <v>41836.66667</v>
      </c>
      <c r="B1020" s="2">
        <f>IFERROR(__xludf.DUMMYFUNCTION("""COMPUTED_VALUE"""),14.48)</f>
        <v>14.48</v>
      </c>
      <c r="C1020" s="3">
        <v>34.3395660454297</v>
      </c>
    </row>
    <row r="1021">
      <c r="A1021" s="1">
        <f>IFERROR(__xludf.DUMMYFUNCTION("""COMPUTED_VALUE"""),41837.666666666664)</f>
        <v>41837.66667</v>
      </c>
      <c r="B1021" s="2">
        <f>IFERROR(__xludf.DUMMYFUNCTION("""COMPUTED_VALUE"""),14.36)</f>
        <v>14.36</v>
      </c>
      <c r="C1021" s="3">
        <v>33.3117113347898</v>
      </c>
    </row>
    <row r="1022">
      <c r="A1022" s="1">
        <f>IFERROR(__xludf.DUMMYFUNCTION("""COMPUTED_VALUE"""),41838.666666666664)</f>
        <v>41838.66667</v>
      </c>
      <c r="B1022" s="2">
        <f>IFERROR(__xludf.DUMMYFUNCTION("""COMPUTED_VALUE"""),14.67)</f>
        <v>14.67</v>
      </c>
      <c r="C1022" s="3">
        <v>32.2131236945619</v>
      </c>
    </row>
    <row r="1023">
      <c r="A1023" s="1">
        <f>IFERROR(__xludf.DUMMYFUNCTION("""COMPUTED_VALUE"""),41841.666666666664)</f>
        <v>41841.66667</v>
      </c>
      <c r="B1023" s="2">
        <f>IFERROR(__xludf.DUMMYFUNCTION("""COMPUTED_VALUE"""),14.7)</f>
        <v>14.7</v>
      </c>
      <c r="C1023" s="3">
        <v>32.9235535751662</v>
      </c>
    </row>
    <row r="1024">
      <c r="A1024" s="1">
        <f>IFERROR(__xludf.DUMMYFUNCTION("""COMPUTED_VALUE"""),41842.666666666664)</f>
        <v>41842.66667</v>
      </c>
      <c r="B1024" s="2">
        <f>IFERROR(__xludf.DUMMYFUNCTION("""COMPUTED_VALUE"""),14.64)</f>
        <v>14.64</v>
      </c>
      <c r="C1024" s="3">
        <v>32.3643347255149</v>
      </c>
    </row>
    <row r="1025">
      <c r="A1025" s="1">
        <f>IFERROR(__xludf.DUMMYFUNCTION("""COMPUTED_VALUE"""),41843.666666666664)</f>
        <v>41843.66667</v>
      </c>
      <c r="B1025" s="2">
        <f>IFERROR(__xludf.DUMMYFUNCTION("""COMPUTED_VALUE"""),14.83)</f>
        <v>14.83</v>
      </c>
      <c r="C1025" s="3">
        <v>32.210441810831</v>
      </c>
    </row>
    <row r="1026">
      <c r="A1026" s="1">
        <f>IFERROR(__xludf.DUMMYFUNCTION("""COMPUTED_VALUE"""),41844.666666666664)</f>
        <v>41844.66667</v>
      </c>
      <c r="B1026" s="2">
        <f>IFERROR(__xludf.DUMMYFUNCTION("""COMPUTED_VALUE"""),14.9)</f>
        <v>14.9</v>
      </c>
      <c r="C1026" s="3">
        <v>31.1525980009166</v>
      </c>
    </row>
    <row r="1027">
      <c r="A1027" s="1">
        <f>IFERROR(__xludf.DUMMYFUNCTION("""COMPUTED_VALUE"""),41845.666666666664)</f>
        <v>41845.66667</v>
      </c>
      <c r="B1027" s="2">
        <f>IFERROR(__xludf.DUMMYFUNCTION("""COMPUTED_VALUE"""),14.9)</f>
        <v>14.9</v>
      </c>
      <c r="C1027" s="3">
        <v>30.1040308728678</v>
      </c>
    </row>
    <row r="1028">
      <c r="A1028" s="1">
        <f>IFERROR(__xludf.DUMMYFUNCTION("""COMPUTED_VALUE"""),41848.666666666664)</f>
        <v>41848.66667</v>
      </c>
      <c r="B1028" s="2">
        <f>IFERROR(__xludf.DUMMYFUNCTION("""COMPUTED_VALUE"""),14.99)</f>
        <v>14.99</v>
      </c>
      <c r="C1028" s="3">
        <v>31.4154745798264</v>
      </c>
    </row>
    <row r="1029">
      <c r="A1029" s="1">
        <f>IFERROR(__xludf.DUMMYFUNCTION("""COMPUTED_VALUE"""),41849.666666666664)</f>
        <v>41849.66667</v>
      </c>
      <c r="B1029" s="2">
        <f>IFERROR(__xludf.DUMMYFUNCTION("""COMPUTED_VALUE"""),15.0)</f>
        <v>15</v>
      </c>
      <c r="C1029" s="3">
        <v>31.1874290487844</v>
      </c>
    </row>
    <row r="1030">
      <c r="A1030" s="1">
        <f>IFERROR(__xludf.DUMMYFUNCTION("""COMPUTED_VALUE"""),41850.666666666664)</f>
        <v>41850.66667</v>
      </c>
      <c r="B1030" s="2">
        <f>IFERROR(__xludf.DUMMYFUNCTION("""COMPUTED_VALUE"""),15.26)</f>
        <v>15.26</v>
      </c>
      <c r="C1030" s="3">
        <v>31.4161180451702</v>
      </c>
    </row>
    <row r="1031">
      <c r="A1031" s="1">
        <f>IFERROR(__xludf.DUMMYFUNCTION("""COMPUTED_VALUE"""),41851.666666666664)</f>
        <v>41851.66667</v>
      </c>
      <c r="B1031" s="2">
        <f>IFERROR(__xludf.DUMMYFUNCTION("""COMPUTED_VALUE"""),14.89)</f>
        <v>14.89</v>
      </c>
      <c r="C1031" s="3">
        <v>30.7818080796985</v>
      </c>
    </row>
    <row r="1032">
      <c r="A1032" s="1">
        <f>IFERROR(__xludf.DUMMYFUNCTION("""COMPUTED_VALUE"""),41852.666666666664)</f>
        <v>41852.66667</v>
      </c>
      <c r="B1032" s="2">
        <f>IFERROR(__xludf.DUMMYFUNCTION("""COMPUTED_VALUE"""),15.55)</f>
        <v>15.55</v>
      </c>
      <c r="C1032" s="3">
        <v>30.1863158251577</v>
      </c>
    </row>
    <row r="1033">
      <c r="A1033" s="1">
        <f>IFERROR(__xludf.DUMMYFUNCTION("""COMPUTED_VALUE"""),41855.666666666664)</f>
        <v>41855.66667</v>
      </c>
      <c r="B1033" s="2">
        <f>IFERROR(__xludf.DUMMYFUNCTION("""COMPUTED_VALUE"""),15.9)</f>
        <v>15.9</v>
      </c>
      <c r="C1033" s="3">
        <v>32.9128908829843</v>
      </c>
    </row>
    <row r="1034">
      <c r="A1034" s="1">
        <f>IFERROR(__xludf.DUMMYFUNCTION("""COMPUTED_VALUE"""),41856.666666666664)</f>
        <v>41856.66667</v>
      </c>
      <c r="B1034" s="2">
        <f>IFERROR(__xludf.DUMMYFUNCTION("""COMPUTED_VALUE"""),15.9)</f>
        <v>15.9</v>
      </c>
      <c r="C1034" s="3">
        <v>33.1347846032451</v>
      </c>
    </row>
    <row r="1035">
      <c r="A1035" s="1">
        <f>IFERROR(__xludf.DUMMYFUNCTION("""COMPUTED_VALUE"""),41857.666666666664)</f>
        <v>41857.66667</v>
      </c>
      <c r="B1035" s="2">
        <f>IFERROR(__xludf.DUMMYFUNCTION("""COMPUTED_VALUE"""),16.6)</f>
        <v>16.6</v>
      </c>
      <c r="C1035" s="3">
        <v>33.7835501947928</v>
      </c>
    </row>
    <row r="1036">
      <c r="A1036" s="1">
        <f>IFERROR(__xludf.DUMMYFUNCTION("""COMPUTED_VALUE"""),41858.666666666664)</f>
        <v>41858.66667</v>
      </c>
      <c r="B1036" s="2">
        <f>IFERROR(__xludf.DUMMYFUNCTION("""COMPUTED_VALUE"""),16.83)</f>
        <v>16.83</v>
      </c>
      <c r="C1036" s="3">
        <v>33.5294796203238</v>
      </c>
    </row>
    <row r="1037">
      <c r="A1037" s="1">
        <f>IFERROR(__xludf.DUMMYFUNCTION("""COMPUTED_VALUE"""),41859.666666666664)</f>
        <v>41859.66667</v>
      </c>
      <c r="B1037" s="2">
        <f>IFERROR(__xludf.DUMMYFUNCTION("""COMPUTED_VALUE"""),16.54)</f>
        <v>16.54</v>
      </c>
      <c r="C1037" s="3">
        <v>33.2657517324111</v>
      </c>
    </row>
    <row r="1038">
      <c r="A1038" s="1">
        <f>IFERROR(__xludf.DUMMYFUNCTION("""COMPUTED_VALUE"""),41862.666666666664)</f>
        <v>41862.66667</v>
      </c>
      <c r="B1038" s="2">
        <f>IFERROR(__xludf.DUMMYFUNCTION("""COMPUTED_VALUE"""),17.29)</f>
        <v>17.29</v>
      </c>
      <c r="C1038" s="3">
        <v>36.6348974605327</v>
      </c>
    </row>
    <row r="1039">
      <c r="A1039" s="1">
        <f>IFERROR(__xludf.DUMMYFUNCTION("""COMPUTED_VALUE"""),41863.666666666664)</f>
        <v>41863.66667</v>
      </c>
      <c r="B1039" s="2">
        <f>IFERROR(__xludf.DUMMYFUNCTION("""COMPUTED_VALUE"""),17.33)</f>
        <v>17.33</v>
      </c>
      <c r="C1039" s="3">
        <v>36.9419516058484</v>
      </c>
    </row>
    <row r="1040">
      <c r="A1040" s="1">
        <f>IFERROR(__xludf.DUMMYFUNCTION("""COMPUTED_VALUE"""),41864.666666666664)</f>
        <v>41864.66667</v>
      </c>
      <c r="B1040" s="2">
        <f>IFERROR(__xludf.DUMMYFUNCTION("""COMPUTED_VALUE"""),17.35)</f>
        <v>17.35</v>
      </c>
      <c r="C1040" s="3">
        <v>37.6104534346547</v>
      </c>
    </row>
    <row r="1041">
      <c r="A1041" s="1">
        <f>IFERROR(__xludf.DUMMYFUNCTION("""COMPUTED_VALUE"""),41865.666666666664)</f>
        <v>41865.66667</v>
      </c>
      <c r="B1041" s="2">
        <f>IFERROR(__xludf.DUMMYFUNCTION("""COMPUTED_VALUE"""),17.43)</f>
        <v>17.43</v>
      </c>
      <c r="C1041" s="3">
        <v>37.3130157758186</v>
      </c>
    </row>
    <row r="1042">
      <c r="A1042" s="1">
        <f>IFERROR(__xludf.DUMMYFUNCTION("""COMPUTED_VALUE"""),41866.666666666664)</f>
        <v>41866.66667</v>
      </c>
      <c r="B1042" s="2">
        <f>IFERROR(__xludf.DUMMYFUNCTION("""COMPUTED_VALUE"""),17.47)</f>
        <v>17.47</v>
      </c>
      <c r="C1042" s="3">
        <v>36.9469241277293</v>
      </c>
    </row>
    <row r="1043">
      <c r="A1043" s="1">
        <f>IFERROR(__xludf.DUMMYFUNCTION("""COMPUTED_VALUE"""),41869.666666666664)</f>
        <v>41869.66667</v>
      </c>
      <c r="B1043" s="2">
        <f>IFERROR(__xludf.DUMMYFUNCTION("""COMPUTED_VALUE"""),17.33)</f>
        <v>17.33</v>
      </c>
      <c r="C1043" s="3">
        <v>39.5823427294259</v>
      </c>
    </row>
    <row r="1044">
      <c r="A1044" s="1">
        <f>IFERROR(__xludf.DUMMYFUNCTION("""COMPUTED_VALUE"""),41870.666666666664)</f>
        <v>41870.66667</v>
      </c>
      <c r="B1044" s="2">
        <f>IFERROR(__xludf.DUMMYFUNCTION("""COMPUTED_VALUE"""),17.12)</f>
        <v>17.12</v>
      </c>
      <c r="C1044" s="3">
        <v>39.5755958647405</v>
      </c>
    </row>
    <row r="1045">
      <c r="A1045" s="1">
        <f>IFERROR(__xludf.DUMMYFUNCTION("""COMPUTED_VALUE"""),41871.666666666664)</f>
        <v>41871.66667</v>
      </c>
      <c r="B1045" s="2">
        <f>IFERROR(__xludf.DUMMYFUNCTION("""COMPUTED_VALUE"""),17.05)</f>
        <v>17.05</v>
      </c>
      <c r="C1045" s="3">
        <v>39.9114047160177</v>
      </c>
    </row>
    <row r="1046">
      <c r="A1046" s="1">
        <f>IFERROR(__xludf.DUMMYFUNCTION("""COMPUTED_VALUE"""),41872.666666666664)</f>
        <v>41872.66667</v>
      </c>
      <c r="B1046" s="2">
        <f>IFERROR(__xludf.DUMMYFUNCTION("""COMPUTED_VALUE"""),16.96)</f>
        <v>16.96</v>
      </c>
      <c r="C1046" s="3">
        <v>39.2723705790083</v>
      </c>
    </row>
    <row r="1047">
      <c r="A1047" s="1">
        <f>IFERROR(__xludf.DUMMYFUNCTION("""COMPUTED_VALUE"""),41873.666666666664)</f>
        <v>41873.66667</v>
      </c>
      <c r="B1047" s="2">
        <f>IFERROR(__xludf.DUMMYFUNCTION("""COMPUTED_VALUE"""),17.12)</f>
        <v>17.12</v>
      </c>
      <c r="C1047" s="3">
        <v>38.5656809317575</v>
      </c>
    </row>
    <row r="1048">
      <c r="A1048" s="1">
        <f>IFERROR(__xludf.DUMMYFUNCTION("""COMPUTED_VALUE"""),41876.666666666664)</f>
        <v>41876.66667</v>
      </c>
      <c r="B1048" s="2">
        <f>IFERROR(__xludf.DUMMYFUNCTION("""COMPUTED_VALUE"""),17.5)</f>
        <v>17.5</v>
      </c>
      <c r="C1048" s="3">
        <v>40.4131413181034</v>
      </c>
    </row>
    <row r="1049">
      <c r="A1049" s="1">
        <f>IFERROR(__xludf.DUMMYFUNCTION("""COMPUTED_VALUE"""),41877.666666666664)</f>
        <v>41877.66667</v>
      </c>
      <c r="B1049" s="2">
        <f>IFERROR(__xludf.DUMMYFUNCTION("""COMPUTED_VALUE"""),17.45)</f>
        <v>17.45</v>
      </c>
      <c r="C1049" s="3">
        <v>40.2017905382281</v>
      </c>
    </row>
    <row r="1050">
      <c r="A1050" s="1">
        <f>IFERROR(__xludf.DUMMYFUNCTION("""COMPUTED_VALUE"""),41878.666666666664)</f>
        <v>41878.66667</v>
      </c>
      <c r="B1050" s="2">
        <f>IFERROR(__xludf.DUMMYFUNCTION("""COMPUTED_VALUE"""),17.55)</f>
        <v>17.55</v>
      </c>
      <c r="C1050" s="3">
        <v>40.3716818629132</v>
      </c>
    </row>
    <row r="1051">
      <c r="A1051" s="1">
        <f>IFERROR(__xludf.DUMMYFUNCTION("""COMPUTED_VALUE"""),41879.666666666664)</f>
        <v>41879.66667</v>
      </c>
      <c r="B1051" s="2">
        <f>IFERROR(__xludf.DUMMYFUNCTION("""COMPUTED_VALUE"""),17.59)</f>
        <v>17.59</v>
      </c>
      <c r="C1051" s="3">
        <v>39.6089110634061</v>
      </c>
    </row>
    <row r="1052">
      <c r="A1052" s="1">
        <f>IFERROR(__xludf.DUMMYFUNCTION("""COMPUTED_VALUE"""),41880.666666666664)</f>
        <v>41880.66667</v>
      </c>
      <c r="B1052" s="2">
        <f>IFERROR(__xludf.DUMMYFUNCTION("""COMPUTED_VALUE"""),17.98)</f>
        <v>17.98</v>
      </c>
      <c r="C1052" s="3">
        <v>38.8224583143166</v>
      </c>
    </row>
    <row r="1053">
      <c r="A1053" s="1">
        <f>IFERROR(__xludf.DUMMYFUNCTION("""COMPUTED_VALUE"""),41884.666666666664)</f>
        <v>41884.66667</v>
      </c>
      <c r="B1053" s="2">
        <f>IFERROR(__xludf.DUMMYFUNCTION("""COMPUTED_VALUE"""),18.94)</f>
        <v>18.94</v>
      </c>
      <c r="C1053" s="3">
        <v>40.5546681060282</v>
      </c>
    </row>
    <row r="1054">
      <c r="A1054" s="1">
        <f>IFERROR(__xludf.DUMMYFUNCTION("""COMPUTED_VALUE"""),41885.666666666664)</f>
        <v>41885.66667</v>
      </c>
      <c r="B1054" s="2">
        <f>IFERROR(__xludf.DUMMYFUNCTION("""COMPUTED_VALUE"""),18.75)</f>
        <v>18.75</v>
      </c>
      <c r="C1054" s="3">
        <v>40.8321019764801</v>
      </c>
    </row>
    <row r="1055">
      <c r="A1055" s="1">
        <f>IFERROR(__xludf.DUMMYFUNCTION("""COMPUTED_VALUE"""),41886.666666666664)</f>
        <v>41886.66667</v>
      </c>
      <c r="B1055" s="2">
        <f>IFERROR(__xludf.DUMMYFUNCTION("""COMPUTED_VALUE"""),19.07)</f>
        <v>19.07</v>
      </c>
      <c r="C1055" s="3">
        <v>40.1973687036921</v>
      </c>
    </row>
    <row r="1056">
      <c r="A1056" s="1">
        <f>IFERROR(__xludf.DUMMYFUNCTION("""COMPUTED_VALUE"""),41887.666666666664)</f>
        <v>41887.66667</v>
      </c>
      <c r="B1056" s="2">
        <f>IFERROR(__xludf.DUMMYFUNCTION("""COMPUTED_VALUE"""),18.49)</f>
        <v>18.49</v>
      </c>
      <c r="C1056" s="3">
        <v>39.5512115666208</v>
      </c>
    </row>
    <row r="1057">
      <c r="A1057" s="1">
        <f>IFERROR(__xludf.DUMMYFUNCTION("""COMPUTED_VALUE"""),41890.666666666664)</f>
        <v>41890.66667</v>
      </c>
      <c r="B1057" s="2">
        <f>IFERROR(__xludf.DUMMYFUNCTION("""COMPUTED_VALUE"""),18.81)</f>
        <v>18.81</v>
      </c>
      <c r="C1057" s="3">
        <v>41.8204718555947</v>
      </c>
    </row>
    <row r="1058">
      <c r="A1058" s="1">
        <f>IFERROR(__xludf.DUMMYFUNCTION("""COMPUTED_VALUE"""),41891.666666666664)</f>
        <v>41891.66667</v>
      </c>
      <c r="B1058" s="2">
        <f>IFERROR(__xludf.DUMMYFUNCTION("""COMPUTED_VALUE"""),18.57)</f>
        <v>18.57</v>
      </c>
      <c r="C1058" s="3">
        <v>41.789093642606</v>
      </c>
    </row>
    <row r="1059">
      <c r="A1059" s="1">
        <f>IFERROR(__xludf.DUMMYFUNCTION("""COMPUTED_VALUE"""),41892.666666666664)</f>
        <v>41892.66667</v>
      </c>
      <c r="B1059" s="2">
        <f>IFERROR(__xludf.DUMMYFUNCTION("""COMPUTED_VALUE"""),18.74)</f>
        <v>18.74</v>
      </c>
      <c r="C1059" s="3">
        <v>42.1357255356879</v>
      </c>
    </row>
    <row r="1060">
      <c r="A1060" s="1">
        <f>IFERROR(__xludf.DUMMYFUNCTION("""COMPUTED_VALUE"""),41893.666666666664)</f>
        <v>41893.66667</v>
      </c>
      <c r="B1060" s="2">
        <f>IFERROR(__xludf.DUMMYFUNCTION("""COMPUTED_VALUE"""),18.69)</f>
        <v>18.69</v>
      </c>
      <c r="C1060" s="3">
        <v>41.5322276703494</v>
      </c>
    </row>
    <row r="1061">
      <c r="A1061" s="1">
        <f>IFERROR(__xludf.DUMMYFUNCTION("""COMPUTED_VALUE"""),41894.666666666664)</f>
        <v>41894.66667</v>
      </c>
      <c r="B1061" s="2">
        <f>IFERROR(__xludf.DUMMYFUNCTION("""COMPUTED_VALUE"""),18.61)</f>
        <v>18.61</v>
      </c>
      <c r="C1061" s="3">
        <v>40.8737620638843</v>
      </c>
    </row>
    <row r="1062">
      <c r="A1062" s="1">
        <f>IFERROR(__xludf.DUMMYFUNCTION("""COMPUTED_VALUE"""),41897.666666666664)</f>
        <v>41897.66667</v>
      </c>
      <c r="B1062" s="2">
        <f>IFERROR(__xludf.DUMMYFUNCTION("""COMPUTED_VALUE"""),16.92)</f>
        <v>16.92</v>
      </c>
      <c r="C1062" s="3">
        <v>42.8128108396749</v>
      </c>
    </row>
    <row r="1063">
      <c r="A1063" s="1">
        <f>IFERROR(__xludf.DUMMYFUNCTION("""COMPUTED_VALUE"""),41898.666666666664)</f>
        <v>41898.66667</v>
      </c>
      <c r="B1063" s="2">
        <f>IFERROR(__xludf.DUMMYFUNCTION("""COMPUTED_VALUE"""),17.38)</f>
        <v>17.38</v>
      </c>
      <c r="C1063" s="3">
        <v>42.5718974855656</v>
      </c>
    </row>
    <row r="1064">
      <c r="A1064" s="1">
        <f>IFERROR(__xludf.DUMMYFUNCTION("""COMPUTED_VALUE"""),41899.666666666664)</f>
        <v>41899.66667</v>
      </c>
      <c r="B1064" s="2">
        <f>IFERROR(__xludf.DUMMYFUNCTION("""COMPUTED_VALUE"""),17.43)</f>
        <v>17.43</v>
      </c>
      <c r="C1064" s="3">
        <v>42.6631545398155</v>
      </c>
    </row>
    <row r="1065">
      <c r="A1065" s="1">
        <f>IFERROR(__xludf.DUMMYFUNCTION("""COMPUTED_VALUE"""),41900.666666666664)</f>
        <v>41900.66667</v>
      </c>
      <c r="B1065" s="2">
        <f>IFERROR(__xludf.DUMMYFUNCTION("""COMPUTED_VALUE"""),17.59)</f>
        <v>17.59</v>
      </c>
      <c r="C1065" s="3">
        <v>41.7636103380722</v>
      </c>
    </row>
    <row r="1066">
      <c r="A1066" s="1">
        <f>IFERROR(__xludf.DUMMYFUNCTION("""COMPUTED_VALUE"""),41901.666666666664)</f>
        <v>41901.66667</v>
      </c>
      <c r="B1066" s="2">
        <f>IFERROR(__xludf.DUMMYFUNCTION("""COMPUTED_VALUE"""),17.29)</f>
        <v>17.29</v>
      </c>
      <c r="C1066" s="3">
        <v>40.7753602233559</v>
      </c>
    </row>
    <row r="1067">
      <c r="A1067" s="1">
        <f>IFERROR(__xludf.DUMMYFUNCTION("""COMPUTED_VALUE"""),41904.666666666664)</f>
        <v>41904.66667</v>
      </c>
      <c r="B1067" s="2">
        <f>IFERROR(__xludf.DUMMYFUNCTION("""COMPUTED_VALUE"""),16.67)</f>
        <v>16.67</v>
      </c>
      <c r="C1067" s="3">
        <v>41.6145611813262</v>
      </c>
    </row>
    <row r="1068">
      <c r="A1068" s="1">
        <f>IFERROR(__xludf.DUMMYFUNCTION("""COMPUTED_VALUE"""),41905.666666666664)</f>
        <v>41905.66667</v>
      </c>
      <c r="B1068" s="2">
        <f>IFERROR(__xludf.DUMMYFUNCTION("""COMPUTED_VALUE"""),16.69)</f>
        <v>16.69</v>
      </c>
      <c r="C1068" s="3">
        <v>41.0066170907268</v>
      </c>
    </row>
    <row r="1069">
      <c r="A1069" s="1">
        <f>IFERROR(__xludf.DUMMYFUNCTION("""COMPUTED_VALUE"""),41906.666666666664)</f>
        <v>41906.66667</v>
      </c>
      <c r="B1069" s="2">
        <f>IFERROR(__xludf.DUMMYFUNCTION("""COMPUTED_VALUE"""),16.81)</f>
        <v>16.81</v>
      </c>
      <c r="C1069" s="3">
        <v>40.7506570869993</v>
      </c>
    </row>
    <row r="1070">
      <c r="A1070" s="1">
        <f>IFERROR(__xludf.DUMMYFUNCTION("""COMPUTED_VALUE"""),41907.666666666664)</f>
        <v>41907.66667</v>
      </c>
      <c r="B1070" s="2">
        <f>IFERROR(__xludf.DUMMYFUNCTION("""COMPUTED_VALUE"""),16.46)</f>
        <v>16.46</v>
      </c>
      <c r="C1070" s="3">
        <v>39.5360825297088</v>
      </c>
    </row>
    <row r="1071">
      <c r="A1071" s="1">
        <f>IFERROR(__xludf.DUMMYFUNCTION("""COMPUTED_VALUE"""),41908.666666666664)</f>
        <v>41908.66667</v>
      </c>
      <c r="B1071" s="2">
        <f>IFERROR(__xludf.DUMMYFUNCTION("""COMPUTED_VALUE"""),16.44)</f>
        <v>16.44</v>
      </c>
      <c r="C1071" s="3">
        <v>38.2770857979319</v>
      </c>
    </row>
    <row r="1072">
      <c r="A1072" s="1">
        <f>IFERROR(__xludf.DUMMYFUNCTION("""COMPUTED_VALUE"""),41911.666666666664)</f>
        <v>41911.66667</v>
      </c>
      <c r="B1072" s="2">
        <f>IFERROR(__xludf.DUMMYFUNCTION("""COMPUTED_VALUE"""),16.35)</f>
        <v>16.35</v>
      </c>
      <c r="C1072" s="3">
        <v>38.6788500860667</v>
      </c>
    </row>
    <row r="1073">
      <c r="A1073" s="1">
        <f>IFERROR(__xludf.DUMMYFUNCTION("""COMPUTED_VALUE"""),41912.666666666664)</f>
        <v>41912.66667</v>
      </c>
      <c r="B1073" s="2">
        <f>IFERROR(__xludf.DUMMYFUNCTION("""COMPUTED_VALUE"""),16.18)</f>
        <v>16.18</v>
      </c>
      <c r="C1073" s="3">
        <v>38.080028449823</v>
      </c>
    </row>
    <row r="1074">
      <c r="A1074" s="1">
        <f>IFERROR(__xludf.DUMMYFUNCTION("""COMPUTED_VALUE"""),41913.666666666664)</f>
        <v>41913.66667</v>
      </c>
      <c r="B1074" s="2">
        <f>IFERROR(__xludf.DUMMYFUNCTION("""COMPUTED_VALUE"""),16.02)</f>
        <v>16.02</v>
      </c>
      <c r="C1074" s="3">
        <v>37.9214164445043</v>
      </c>
    </row>
    <row r="1075">
      <c r="A1075" s="1">
        <f>IFERROR(__xludf.DUMMYFUNCTION("""COMPUTED_VALUE"""),41914.666666666664)</f>
        <v>41914.66667</v>
      </c>
      <c r="B1075" s="2">
        <f>IFERROR(__xludf.DUMMYFUNCTION("""COMPUTED_VALUE"""),16.76)</f>
        <v>16.76</v>
      </c>
      <c r="C1075" s="3">
        <v>36.8958119776218</v>
      </c>
    </row>
    <row r="1076">
      <c r="A1076" s="1">
        <f>IFERROR(__xludf.DUMMYFUNCTION("""COMPUTED_VALUE"""),41915.666666666664)</f>
        <v>41915.66667</v>
      </c>
      <c r="B1076" s="2">
        <f>IFERROR(__xludf.DUMMYFUNCTION("""COMPUTED_VALUE"""),17.01)</f>
        <v>17.01</v>
      </c>
      <c r="C1076" s="3">
        <v>35.9185233561892</v>
      </c>
    </row>
    <row r="1077">
      <c r="A1077" s="1">
        <f>IFERROR(__xludf.DUMMYFUNCTION("""COMPUTED_VALUE"""),41918.666666666664)</f>
        <v>41918.66667</v>
      </c>
      <c r="B1077" s="2">
        <f>IFERROR(__xludf.DUMMYFUNCTION("""COMPUTED_VALUE"""),17.37)</f>
        <v>17.37</v>
      </c>
      <c r="C1077" s="3">
        <v>37.6973584325399</v>
      </c>
    </row>
    <row r="1078">
      <c r="A1078" s="1">
        <f>IFERROR(__xludf.DUMMYFUNCTION("""COMPUTED_VALUE"""),41919.666666666664)</f>
        <v>41919.66667</v>
      </c>
      <c r="B1078" s="2">
        <f>IFERROR(__xludf.DUMMYFUNCTION("""COMPUTED_VALUE"""),17.3)</f>
        <v>17.3</v>
      </c>
      <c r="C1078" s="3">
        <v>37.7149859642564</v>
      </c>
    </row>
    <row r="1079">
      <c r="A1079" s="1">
        <f>IFERROR(__xludf.DUMMYFUNCTION("""COMPUTED_VALUE"""),41920.666666666664)</f>
        <v>41920.66667</v>
      </c>
      <c r="B1079" s="2">
        <f>IFERROR(__xludf.DUMMYFUNCTION("""COMPUTED_VALUE"""),17.29)</f>
        <v>17.29</v>
      </c>
      <c r="C1079" s="3">
        <v>38.2361158820101</v>
      </c>
    </row>
    <row r="1080">
      <c r="A1080" s="1">
        <f>IFERROR(__xludf.DUMMYFUNCTION("""COMPUTED_VALUE"""),41921.666666666664)</f>
        <v>41921.66667</v>
      </c>
      <c r="B1080" s="2">
        <f>IFERROR(__xludf.DUMMYFUNCTION("""COMPUTED_VALUE"""),17.13)</f>
        <v>17.13</v>
      </c>
      <c r="C1080" s="3">
        <v>37.9414223483491</v>
      </c>
    </row>
    <row r="1081">
      <c r="A1081" s="1">
        <f>IFERROR(__xludf.DUMMYFUNCTION("""COMPUTED_VALUE"""),41922.666666666664)</f>
        <v>41922.66667</v>
      </c>
      <c r="B1081" s="2">
        <f>IFERROR(__xludf.DUMMYFUNCTION("""COMPUTED_VALUE"""),15.79)</f>
        <v>15.79</v>
      </c>
      <c r="C1081" s="3">
        <v>37.732558991992</v>
      </c>
    </row>
    <row r="1082">
      <c r="A1082" s="1">
        <f>IFERROR(__xludf.DUMMYFUNCTION("""COMPUTED_VALUE"""),41925.666666666664)</f>
        <v>41925.66667</v>
      </c>
      <c r="B1082" s="2">
        <f>IFERROR(__xludf.DUMMYFUNCTION("""COMPUTED_VALUE"""),14.97)</f>
        <v>14.97</v>
      </c>
      <c r="C1082" s="3">
        <v>41.8896138632168</v>
      </c>
    </row>
    <row r="1083">
      <c r="A1083" s="1">
        <f>IFERROR(__xludf.DUMMYFUNCTION("""COMPUTED_VALUE"""),41926.666666666664)</f>
        <v>41926.66667</v>
      </c>
      <c r="B1083" s="2">
        <f>IFERROR(__xludf.DUMMYFUNCTION("""COMPUTED_VALUE"""),15.14)</f>
        <v>15.14</v>
      </c>
      <c r="C1083" s="3">
        <v>42.6711304048819</v>
      </c>
    </row>
    <row r="1084">
      <c r="A1084" s="1">
        <f>IFERROR(__xludf.DUMMYFUNCTION("""COMPUTED_VALUE"""),41927.666666666664)</f>
        <v>41927.66667</v>
      </c>
      <c r="B1084" s="2">
        <f>IFERROR(__xludf.DUMMYFUNCTION("""COMPUTED_VALUE"""),15.31)</f>
        <v>15.31</v>
      </c>
      <c r="C1084" s="3">
        <v>43.9153674115099</v>
      </c>
    </row>
    <row r="1085">
      <c r="A1085" s="1">
        <f>IFERROR(__xludf.DUMMYFUNCTION("""COMPUTED_VALUE"""),41928.666666666664)</f>
        <v>41928.66667</v>
      </c>
      <c r="B1085" s="2">
        <f>IFERROR(__xludf.DUMMYFUNCTION("""COMPUTED_VALUE"""),15.09)</f>
        <v>15.09</v>
      </c>
      <c r="C1085" s="3">
        <v>44.2881970233278</v>
      </c>
    </row>
    <row r="1086">
      <c r="A1086" s="1">
        <f>IFERROR(__xludf.DUMMYFUNCTION("""COMPUTED_VALUE"""),41929.666666666664)</f>
        <v>41929.66667</v>
      </c>
      <c r="B1086" s="2">
        <f>IFERROR(__xludf.DUMMYFUNCTION("""COMPUTED_VALUE"""),15.17)</f>
        <v>15.17</v>
      </c>
      <c r="C1086" s="3">
        <v>44.6777039080613</v>
      </c>
    </row>
    <row r="1087">
      <c r="A1087" s="1">
        <f>IFERROR(__xludf.DUMMYFUNCTION("""COMPUTED_VALUE"""),41932.666666666664)</f>
        <v>41932.66667</v>
      </c>
      <c r="B1087" s="2">
        <f>IFERROR(__xludf.DUMMYFUNCTION("""COMPUTED_VALUE"""),15.36)</f>
        <v>15.36</v>
      </c>
      <c r="C1087" s="3">
        <v>50.1050286731069</v>
      </c>
    </row>
    <row r="1088">
      <c r="A1088" s="1">
        <f>IFERROR(__xludf.DUMMYFUNCTION("""COMPUTED_VALUE"""),41933.666666666664)</f>
        <v>41933.66667</v>
      </c>
      <c r="B1088" s="2">
        <f>IFERROR(__xludf.DUMMYFUNCTION("""COMPUTED_VALUE"""),15.69)</f>
        <v>15.69</v>
      </c>
      <c r="C1088" s="3">
        <v>51.1089486258384</v>
      </c>
    </row>
    <row r="1089">
      <c r="A1089" s="1">
        <f>IFERROR(__xludf.DUMMYFUNCTION("""COMPUTED_VALUE"""),41934.666666666664)</f>
        <v>41934.66667</v>
      </c>
      <c r="B1089" s="2">
        <f>IFERROR(__xludf.DUMMYFUNCTION("""COMPUTED_VALUE"""),15.41)</f>
        <v>15.41</v>
      </c>
      <c r="C1089" s="3">
        <v>52.4680452412635</v>
      </c>
    </row>
    <row r="1090">
      <c r="A1090" s="1">
        <f>IFERROR(__xludf.DUMMYFUNCTION("""COMPUTED_VALUE"""),41935.666666666664)</f>
        <v>41935.66667</v>
      </c>
      <c r="B1090" s="2">
        <f>IFERROR(__xludf.DUMMYFUNCTION("""COMPUTED_VALUE"""),15.69)</f>
        <v>15.69</v>
      </c>
      <c r="C1090" s="3">
        <v>52.8478182284738</v>
      </c>
    </row>
    <row r="1091">
      <c r="A1091" s="1">
        <f>IFERROR(__xludf.DUMMYFUNCTION("""COMPUTED_VALUE"""),41936.666666666664)</f>
        <v>41936.66667</v>
      </c>
      <c r="B1091" s="2">
        <f>IFERROR(__xludf.DUMMYFUNCTION("""COMPUTED_VALUE"""),15.68)</f>
        <v>15.68</v>
      </c>
      <c r="C1091" s="3">
        <v>53.1385770517643</v>
      </c>
    </row>
    <row r="1092">
      <c r="A1092" s="1">
        <f>IFERROR(__xludf.DUMMYFUNCTION("""COMPUTED_VALUE"""),41939.666666666664)</f>
        <v>41939.66667</v>
      </c>
      <c r="B1092" s="2">
        <f>IFERROR(__xludf.DUMMYFUNCTION("""COMPUTED_VALUE"""),14.78)</f>
        <v>14.78</v>
      </c>
      <c r="C1092" s="3">
        <v>57.6946773900028</v>
      </c>
    </row>
    <row r="1093">
      <c r="A1093" s="1">
        <f>IFERROR(__xludf.DUMMYFUNCTION("""COMPUTED_VALUE"""),41940.666666666664)</f>
        <v>41940.66667</v>
      </c>
      <c r="B1093" s="2">
        <f>IFERROR(__xludf.DUMMYFUNCTION("""COMPUTED_VALUE"""),16.18)</f>
        <v>16.18</v>
      </c>
      <c r="C1093" s="3">
        <v>58.2472438360845</v>
      </c>
    </row>
    <row r="1094">
      <c r="A1094" s="1">
        <f>IFERROR(__xludf.DUMMYFUNCTION("""COMPUTED_VALUE"""),41941.666666666664)</f>
        <v>41941.66667</v>
      </c>
      <c r="B1094" s="2">
        <f>IFERROR(__xludf.DUMMYFUNCTION("""COMPUTED_VALUE"""),15.87)</f>
        <v>15.87</v>
      </c>
      <c r="C1094" s="3">
        <v>59.0944250543749</v>
      </c>
    </row>
    <row r="1095">
      <c r="A1095" s="1">
        <f>IFERROR(__xludf.DUMMYFUNCTION("""COMPUTED_VALUE"""),41942.666666666664)</f>
        <v>41942.66667</v>
      </c>
      <c r="B1095" s="2">
        <f>IFERROR(__xludf.DUMMYFUNCTION("""COMPUTED_VALUE"""),15.91)</f>
        <v>15.91</v>
      </c>
      <c r="C1095" s="3">
        <v>58.9156904230809</v>
      </c>
    </row>
    <row r="1096">
      <c r="A1096" s="1">
        <f>IFERROR(__xludf.DUMMYFUNCTION("""COMPUTED_VALUE"""),41943.666666666664)</f>
        <v>41943.66667</v>
      </c>
      <c r="B1096" s="2">
        <f>IFERROR(__xludf.DUMMYFUNCTION("""COMPUTED_VALUE"""),16.11)</f>
        <v>16.11</v>
      </c>
      <c r="C1096" s="3">
        <v>58.6161227910888</v>
      </c>
    </row>
    <row r="1097">
      <c r="A1097" s="1">
        <f>IFERROR(__xludf.DUMMYFUNCTION("""COMPUTED_VALUE"""),41946.666666666664)</f>
        <v>41946.66667</v>
      </c>
      <c r="B1097" s="2">
        <f>IFERROR(__xludf.DUMMYFUNCTION("""COMPUTED_VALUE"""),16.17)</f>
        <v>16.17</v>
      </c>
      <c r="C1097" s="3">
        <v>61.3612059812223</v>
      </c>
    </row>
    <row r="1098">
      <c r="A1098" s="1">
        <f>IFERROR(__xludf.DUMMYFUNCTION("""COMPUTED_VALUE"""),41947.666666666664)</f>
        <v>41947.66667</v>
      </c>
      <c r="B1098" s="2">
        <f>IFERROR(__xludf.DUMMYFUNCTION("""COMPUTED_VALUE"""),15.93)</f>
        <v>15.93</v>
      </c>
      <c r="C1098" s="3">
        <v>61.3451046949014</v>
      </c>
    </row>
    <row r="1099">
      <c r="A1099" s="1">
        <f>IFERROR(__xludf.DUMMYFUNCTION("""COMPUTED_VALUE"""),41948.666666666664)</f>
        <v>41948.66667</v>
      </c>
      <c r="B1099" s="2">
        <f>IFERROR(__xludf.DUMMYFUNCTION("""COMPUTED_VALUE"""),15.4)</f>
        <v>15.4</v>
      </c>
      <c r="C1099" s="3">
        <v>61.6628974665691</v>
      </c>
    </row>
    <row r="1100">
      <c r="A1100" s="1">
        <f>IFERROR(__xludf.DUMMYFUNCTION("""COMPUTED_VALUE"""),41949.666666666664)</f>
        <v>41949.66667</v>
      </c>
      <c r="B1100" s="2">
        <f>IFERROR(__xludf.DUMMYFUNCTION("""COMPUTED_VALUE"""),16.08)</f>
        <v>16.08</v>
      </c>
      <c r="C1100" s="3">
        <v>61.0049071697888</v>
      </c>
    </row>
    <row r="1101">
      <c r="A1101" s="1">
        <f>IFERROR(__xludf.DUMMYFUNCTION("""COMPUTED_VALUE"""),41950.666666666664)</f>
        <v>41950.66667</v>
      </c>
      <c r="B1101" s="2">
        <f>IFERROR(__xludf.DUMMYFUNCTION("""COMPUTED_VALUE"""),16.01)</f>
        <v>16.01</v>
      </c>
      <c r="C1101" s="3">
        <v>60.2851608049866</v>
      </c>
    </row>
    <row r="1102">
      <c r="A1102" s="1">
        <f>IFERROR(__xludf.DUMMYFUNCTION("""COMPUTED_VALUE"""),41953.66666666667)</f>
        <v>41953.66667</v>
      </c>
      <c r="B1102" s="2">
        <f>IFERROR(__xludf.DUMMYFUNCTION("""COMPUTED_VALUE"""),16.13)</f>
        <v>16.13</v>
      </c>
      <c r="C1102" s="3">
        <v>62.1804818953027</v>
      </c>
    </row>
    <row r="1103">
      <c r="A1103" s="1">
        <f>IFERROR(__xludf.DUMMYFUNCTION("""COMPUTED_VALUE"""),41954.66666666667)</f>
        <v>41954.66667</v>
      </c>
      <c r="B1103" s="2">
        <f>IFERROR(__xludf.DUMMYFUNCTION("""COMPUTED_VALUE"""),16.74)</f>
        <v>16.74</v>
      </c>
      <c r="C1103" s="3">
        <v>62.0249177577772</v>
      </c>
    </row>
    <row r="1104">
      <c r="A1104" s="1">
        <f>IFERROR(__xludf.DUMMYFUNCTION("""COMPUTED_VALUE"""),41955.66666666667)</f>
        <v>41955.66667</v>
      </c>
      <c r="B1104" s="2">
        <f>IFERROR(__xludf.DUMMYFUNCTION("""COMPUTED_VALUE"""),16.61)</f>
        <v>16.61</v>
      </c>
      <c r="C1104" s="3">
        <v>62.2725322947513</v>
      </c>
    </row>
    <row r="1105">
      <c r="A1105" s="1">
        <f>IFERROR(__xludf.DUMMYFUNCTION("""COMPUTED_VALUE"""),41956.66666666667)</f>
        <v>41956.66667</v>
      </c>
      <c r="B1105" s="2">
        <f>IFERROR(__xludf.DUMMYFUNCTION("""COMPUTED_VALUE"""),16.78)</f>
        <v>16.78</v>
      </c>
      <c r="C1105" s="3">
        <v>61.6086062679676</v>
      </c>
    </row>
    <row r="1106">
      <c r="A1106" s="1">
        <f>IFERROR(__xludf.DUMMYFUNCTION("""COMPUTED_VALUE"""),41957.66666666667)</f>
        <v>41957.66667</v>
      </c>
      <c r="B1106" s="2">
        <f>IFERROR(__xludf.DUMMYFUNCTION("""COMPUTED_VALUE"""),17.25)</f>
        <v>17.25</v>
      </c>
      <c r="C1106" s="3">
        <v>60.9400411704712</v>
      </c>
    </row>
    <row r="1107">
      <c r="A1107" s="1">
        <f>IFERROR(__xludf.DUMMYFUNCTION("""COMPUTED_VALUE"""),41960.66666666667)</f>
        <v>41960.66667</v>
      </c>
      <c r="B1107" s="2">
        <f>IFERROR(__xludf.DUMMYFUNCTION("""COMPUTED_VALUE"""),16.93)</f>
        <v>16.93</v>
      </c>
      <c r="C1107" s="3">
        <v>63.2348216664841</v>
      </c>
    </row>
    <row r="1108">
      <c r="A1108" s="1">
        <f>IFERROR(__xludf.DUMMYFUNCTION("""COMPUTED_VALUE"""),41961.66666666667)</f>
        <v>41961.66667</v>
      </c>
      <c r="B1108" s="2">
        <f>IFERROR(__xludf.DUMMYFUNCTION("""COMPUTED_VALUE"""),17.18)</f>
        <v>17.18</v>
      </c>
      <c r="C1108" s="3">
        <v>63.2559914132522</v>
      </c>
    </row>
    <row r="1109">
      <c r="A1109" s="1">
        <f>IFERROR(__xludf.DUMMYFUNCTION("""COMPUTED_VALUE"""),41962.66666666667)</f>
        <v>41962.66667</v>
      </c>
      <c r="B1109" s="2">
        <f>IFERROR(__xludf.DUMMYFUNCTION("""COMPUTED_VALUE"""),16.52)</f>
        <v>16.52</v>
      </c>
      <c r="C1109" s="3">
        <v>63.6812367136332</v>
      </c>
    </row>
    <row r="1110">
      <c r="A1110" s="1">
        <f>IFERROR(__xludf.DUMMYFUNCTION("""COMPUTED_VALUE"""),41963.66666666667)</f>
        <v>41963.66667</v>
      </c>
      <c r="B1110" s="2">
        <f>IFERROR(__xludf.DUMMYFUNCTION("""COMPUTED_VALUE"""),16.58)</f>
        <v>16.58</v>
      </c>
      <c r="C1110" s="3">
        <v>63.183166712464</v>
      </c>
    </row>
    <row r="1111">
      <c r="A1111" s="1">
        <f>IFERROR(__xludf.DUMMYFUNCTION("""COMPUTED_VALUE"""),41964.66666666667)</f>
        <v>41964.66667</v>
      </c>
      <c r="B1111" s="2">
        <f>IFERROR(__xludf.DUMMYFUNCTION("""COMPUTED_VALUE"""),16.19)</f>
        <v>16.19</v>
      </c>
      <c r="C1111" s="3">
        <v>62.6565216046775</v>
      </c>
    </row>
    <row r="1112">
      <c r="A1112" s="1">
        <f>IFERROR(__xludf.DUMMYFUNCTION("""COMPUTED_VALUE"""),41967.66666666667)</f>
        <v>41967.66667</v>
      </c>
      <c r="B1112" s="2">
        <f>IFERROR(__xludf.DUMMYFUNCTION("""COMPUTED_VALUE"""),16.45)</f>
        <v>16.45</v>
      </c>
      <c r="C1112" s="3">
        <v>65.1280065478908</v>
      </c>
    </row>
    <row r="1113">
      <c r="A1113" s="1">
        <f>IFERROR(__xludf.DUMMYFUNCTION("""COMPUTED_VALUE"""),41968.66666666667)</f>
        <v>41968.66667</v>
      </c>
      <c r="B1113" s="2">
        <f>IFERROR(__xludf.DUMMYFUNCTION("""COMPUTED_VALUE"""),16.54)</f>
        <v>16.54</v>
      </c>
      <c r="C1113" s="3">
        <v>65.0978301607165</v>
      </c>
    </row>
    <row r="1114">
      <c r="A1114" s="1">
        <f>IFERROR(__xludf.DUMMYFUNCTION("""COMPUTED_VALUE"""),41969.66666666667)</f>
        <v>41969.66667</v>
      </c>
      <c r="B1114" s="2">
        <f>IFERROR(__xludf.DUMMYFUNCTION("""COMPUTED_VALUE"""),16.56)</f>
        <v>16.56</v>
      </c>
      <c r="C1114" s="3">
        <v>65.4079891400387</v>
      </c>
    </row>
    <row r="1115">
      <c r="A1115" s="1">
        <f>IFERROR(__xludf.DUMMYFUNCTION("""COMPUTED_VALUE"""),41971.66666666667)</f>
        <v>41971.66667</v>
      </c>
      <c r="B1115" s="2">
        <f>IFERROR(__xludf.DUMMYFUNCTION("""COMPUTED_VALUE"""),16.3)</f>
        <v>16.3</v>
      </c>
      <c r="C1115" s="3">
        <v>63.9574972199795</v>
      </c>
    </row>
    <row r="1116">
      <c r="A1116" s="1">
        <f>IFERROR(__xludf.DUMMYFUNCTION("""COMPUTED_VALUE"""),41974.66666666667)</f>
        <v>41974.66667</v>
      </c>
      <c r="B1116" s="2">
        <f>IFERROR(__xludf.DUMMYFUNCTION("""COMPUTED_VALUE"""),15.44)</f>
        <v>15.44</v>
      </c>
      <c r="C1116" s="3">
        <v>65.3498540201536</v>
      </c>
    </row>
    <row r="1117">
      <c r="A1117" s="1">
        <f>IFERROR(__xludf.DUMMYFUNCTION("""COMPUTED_VALUE"""),41975.66666666667)</f>
        <v>41975.66667</v>
      </c>
      <c r="B1117" s="2">
        <f>IFERROR(__xludf.DUMMYFUNCTION("""COMPUTED_VALUE"""),15.43)</f>
        <v>15.43</v>
      </c>
      <c r="C1117" s="3">
        <v>64.8720408864424</v>
      </c>
    </row>
    <row r="1118">
      <c r="A1118" s="1">
        <f>IFERROR(__xludf.DUMMYFUNCTION("""COMPUTED_VALUE"""),41976.66666666667)</f>
        <v>41976.66667</v>
      </c>
      <c r="B1118" s="2">
        <f>IFERROR(__xludf.DUMMYFUNCTION("""COMPUTED_VALUE"""),15.29)</f>
        <v>15.29</v>
      </c>
      <c r="C1118" s="3">
        <v>64.7089758720668</v>
      </c>
    </row>
    <row r="1119">
      <c r="A1119" s="1">
        <f>IFERROR(__xludf.DUMMYFUNCTION("""COMPUTED_VALUE"""),41977.66666666667)</f>
        <v>41977.66667</v>
      </c>
      <c r="B1119" s="2">
        <f>IFERROR(__xludf.DUMMYFUNCTION("""COMPUTED_VALUE"""),15.22)</f>
        <v>15.22</v>
      </c>
      <c r="C1119" s="3">
        <v>63.5450235950228</v>
      </c>
    </row>
    <row r="1120">
      <c r="A1120" s="1">
        <f>IFERROR(__xludf.DUMMYFUNCTION("""COMPUTED_VALUE"""),41978.66666666667)</f>
        <v>41978.66667</v>
      </c>
      <c r="B1120" s="2">
        <f>IFERROR(__xludf.DUMMYFUNCTION("""COMPUTED_VALUE"""),14.91)</f>
        <v>14.91</v>
      </c>
      <c r="C1120" s="3">
        <v>62.29026911974</v>
      </c>
    </row>
    <row r="1121">
      <c r="A1121" s="1">
        <f>IFERROR(__xludf.DUMMYFUNCTION("""COMPUTED_VALUE"""),41981.66666666667)</f>
        <v>41981.66667</v>
      </c>
      <c r="B1121" s="2">
        <f>IFERROR(__xludf.DUMMYFUNCTION("""COMPUTED_VALUE"""),14.29)</f>
        <v>14.29</v>
      </c>
      <c r="C1121" s="3">
        <v>62.4021168992985</v>
      </c>
    </row>
    <row r="1122">
      <c r="A1122" s="1">
        <f>IFERROR(__xludf.DUMMYFUNCTION("""COMPUTED_VALUE"""),41982.66666666667)</f>
        <v>41982.66667</v>
      </c>
      <c r="B1122" s="2">
        <f>IFERROR(__xludf.DUMMYFUNCTION("""COMPUTED_VALUE"""),14.46)</f>
        <v>14.46</v>
      </c>
      <c r="C1122" s="3">
        <v>61.6038461851258</v>
      </c>
    </row>
    <row r="1123">
      <c r="A1123" s="1">
        <f>IFERROR(__xludf.DUMMYFUNCTION("""COMPUTED_VALUE"""),41983.66666666667)</f>
        <v>41983.66667</v>
      </c>
      <c r="B1123" s="2">
        <f>IFERROR(__xludf.DUMMYFUNCTION("""COMPUTED_VALUE"""),13.99)</f>
        <v>13.99</v>
      </c>
      <c r="C1123" s="3">
        <v>61.1966532510141</v>
      </c>
    </row>
    <row r="1124">
      <c r="A1124" s="1">
        <f>IFERROR(__xludf.DUMMYFUNCTION("""COMPUTED_VALUE"""),41984.66666666667)</f>
        <v>41984.66667</v>
      </c>
      <c r="B1124" s="2">
        <f>IFERROR(__xludf.DUMMYFUNCTION("""COMPUTED_VALUE"""),13.93)</f>
        <v>13.93</v>
      </c>
      <c r="C1124" s="3">
        <v>59.8766198273507</v>
      </c>
    </row>
    <row r="1125">
      <c r="A1125" s="1">
        <f>IFERROR(__xludf.DUMMYFUNCTION("""COMPUTED_VALUE"""),41985.66666666667)</f>
        <v>41985.66667</v>
      </c>
      <c r="B1125" s="2">
        <f>IFERROR(__xludf.DUMMYFUNCTION("""COMPUTED_VALUE"""),13.8)</f>
        <v>13.8</v>
      </c>
      <c r="C1125" s="3">
        <v>58.5635296724721</v>
      </c>
    </row>
    <row r="1126">
      <c r="A1126" s="1">
        <f>IFERROR(__xludf.DUMMYFUNCTION("""COMPUTED_VALUE"""),41988.66666666667)</f>
        <v>41988.66667</v>
      </c>
      <c r="B1126" s="2">
        <f>IFERROR(__xludf.DUMMYFUNCTION("""COMPUTED_VALUE"""),13.6)</f>
        <v>13.6</v>
      </c>
      <c r="C1126" s="3">
        <v>59.1467296190138</v>
      </c>
    </row>
    <row r="1127">
      <c r="A1127" s="1">
        <f>IFERROR(__xludf.DUMMYFUNCTION("""COMPUTED_VALUE"""),41989.66666666667)</f>
        <v>41989.66667</v>
      </c>
      <c r="B1127" s="2">
        <f>IFERROR(__xludf.DUMMYFUNCTION("""COMPUTED_VALUE"""),13.19)</f>
        <v>13.19</v>
      </c>
      <c r="C1127" s="3">
        <v>58.7269754954003</v>
      </c>
    </row>
    <row r="1128">
      <c r="A1128" s="1">
        <f>IFERROR(__xludf.DUMMYFUNCTION("""COMPUTED_VALUE"""),41990.66666666667)</f>
        <v>41990.66667</v>
      </c>
      <c r="B1128" s="2">
        <f>IFERROR(__xludf.DUMMYFUNCTION("""COMPUTED_VALUE"""),13.72)</f>
        <v>13.72</v>
      </c>
      <c r="C1128" s="3">
        <v>58.8044974122785</v>
      </c>
    </row>
    <row r="1129">
      <c r="A1129" s="1">
        <f>IFERROR(__xludf.DUMMYFUNCTION("""COMPUTED_VALUE"""),41991.66666666667)</f>
        <v>41991.66667</v>
      </c>
      <c r="B1129" s="2">
        <f>IFERROR(__xludf.DUMMYFUNCTION("""COMPUTED_VALUE"""),14.55)</f>
        <v>14.55</v>
      </c>
      <c r="C1129" s="3">
        <v>58.0681442697605</v>
      </c>
    </row>
    <row r="1130">
      <c r="A1130" s="1">
        <f>IFERROR(__xludf.DUMMYFUNCTION("""COMPUTED_VALUE"""),41992.66666666667)</f>
        <v>41992.66667</v>
      </c>
      <c r="B1130" s="2">
        <f>IFERROR(__xludf.DUMMYFUNCTION("""COMPUTED_VALUE"""),14.62)</f>
        <v>14.62</v>
      </c>
      <c r="C1130" s="3">
        <v>57.427573718533</v>
      </c>
    </row>
    <row r="1131">
      <c r="A1131" s="1">
        <f>IFERROR(__xludf.DUMMYFUNCTION("""COMPUTED_VALUE"""),41995.66666666667)</f>
        <v>41995.66667</v>
      </c>
      <c r="B1131" s="2">
        <f>IFERROR(__xludf.DUMMYFUNCTION("""COMPUTED_VALUE"""),14.84)</f>
        <v>14.84</v>
      </c>
      <c r="C1131" s="3">
        <v>60.4215297951291</v>
      </c>
    </row>
    <row r="1132">
      <c r="A1132" s="1">
        <f>IFERROR(__xludf.DUMMYFUNCTION("""COMPUTED_VALUE"""),41996.66666666667)</f>
        <v>41996.66667</v>
      </c>
      <c r="B1132" s="2">
        <f>IFERROR(__xludf.DUMMYFUNCTION("""COMPUTED_VALUE"""),14.73)</f>
        <v>14.73</v>
      </c>
      <c r="C1132" s="3">
        <v>60.8792582286654</v>
      </c>
    </row>
    <row r="1133">
      <c r="A1133" s="1">
        <f>IFERROR(__xludf.DUMMYFUNCTION("""COMPUTED_VALUE"""),41997.66666666667)</f>
        <v>41997.66667</v>
      </c>
      <c r="B1133" s="2">
        <f>IFERROR(__xludf.DUMMYFUNCTION("""COMPUTED_VALUE"""),14.82)</f>
        <v>14.82</v>
      </c>
      <c r="C1133" s="3">
        <v>61.8387976649567</v>
      </c>
    </row>
    <row r="1134">
      <c r="A1134" s="1">
        <f>IFERROR(__xludf.DUMMYFUNCTION("""COMPUTED_VALUE"""),41999.66666666667)</f>
        <v>41999.66667</v>
      </c>
      <c r="B1134" s="2">
        <f>IFERROR(__xludf.DUMMYFUNCTION("""COMPUTED_VALUE"""),15.19)</f>
        <v>15.19</v>
      </c>
      <c r="C1134" s="3">
        <v>62.1564367230381</v>
      </c>
    </row>
    <row r="1135">
      <c r="A1135" s="1">
        <f>IFERROR(__xludf.DUMMYFUNCTION("""COMPUTED_VALUE"""),42002.66666666667)</f>
        <v>42002.66667</v>
      </c>
      <c r="B1135" s="2">
        <f>IFERROR(__xludf.DUMMYFUNCTION("""COMPUTED_VALUE"""),15.05)</f>
        <v>15.05</v>
      </c>
      <c r="C1135" s="3">
        <v>67.2150941284229</v>
      </c>
    </row>
    <row r="1136">
      <c r="A1136" s="1">
        <f>IFERROR(__xludf.DUMMYFUNCTION("""COMPUTED_VALUE"""),42003.66666666667)</f>
        <v>42003.66667</v>
      </c>
      <c r="B1136" s="2">
        <f>IFERROR(__xludf.DUMMYFUNCTION("""COMPUTED_VALUE"""),14.82)</f>
        <v>14.82</v>
      </c>
      <c r="C1136" s="3">
        <v>68.1610010966666</v>
      </c>
    </row>
    <row r="1137">
      <c r="A1137" s="1">
        <f>IFERROR(__xludf.DUMMYFUNCTION("""COMPUTED_VALUE"""),42004.66666666667)</f>
        <v>42004.66667</v>
      </c>
      <c r="B1137" s="2">
        <f>IFERROR(__xludf.DUMMYFUNCTION("""COMPUTED_VALUE"""),14.83)</f>
        <v>14.83</v>
      </c>
      <c r="C1137" s="3">
        <v>69.4840318805912</v>
      </c>
    </row>
    <row r="1138">
      <c r="A1138" s="1">
        <f>IFERROR(__xludf.DUMMYFUNCTION("""COMPUTED_VALUE"""),42006.66666666667)</f>
        <v>42006.66667</v>
      </c>
      <c r="B1138" s="2">
        <f>IFERROR(__xludf.DUMMYFUNCTION("""COMPUTED_VALUE"""),14.62)</f>
        <v>14.62</v>
      </c>
      <c r="C1138" s="3">
        <v>70.1142778920547</v>
      </c>
    </row>
    <row r="1139">
      <c r="A1139" s="1">
        <f>IFERROR(__xludf.DUMMYFUNCTION("""COMPUTED_VALUE"""),42009.66666666667)</f>
        <v>42009.66667</v>
      </c>
      <c r="B1139" s="2">
        <f>IFERROR(__xludf.DUMMYFUNCTION("""COMPUTED_VALUE"""),14.01)</f>
        <v>14.01</v>
      </c>
      <c r="C1139" s="3">
        <v>74.5401248772794</v>
      </c>
    </row>
    <row r="1140">
      <c r="A1140" s="1">
        <f>IFERROR(__xludf.DUMMYFUNCTION("""COMPUTED_VALUE"""),42010.66666666667)</f>
        <v>42010.66667</v>
      </c>
      <c r="B1140" s="2">
        <f>IFERROR(__xludf.DUMMYFUNCTION("""COMPUTED_VALUE"""),14.09)</f>
        <v>14.09</v>
      </c>
      <c r="C1140" s="3">
        <v>74.9879374171927</v>
      </c>
    </row>
    <row r="1141">
      <c r="A1141" s="1">
        <f>IFERROR(__xludf.DUMMYFUNCTION("""COMPUTED_VALUE"""),42011.66666666667)</f>
        <v>42011.66667</v>
      </c>
      <c r="B1141" s="2">
        <f>IFERROR(__xludf.DUMMYFUNCTION("""COMPUTED_VALUE"""),14.06)</f>
        <v>14.06</v>
      </c>
      <c r="C1141" s="3">
        <v>75.6820791318356</v>
      </c>
    </row>
    <row r="1142">
      <c r="A1142" s="1">
        <f>IFERROR(__xludf.DUMMYFUNCTION("""COMPUTED_VALUE"""),42012.66666666667)</f>
        <v>42012.66667</v>
      </c>
      <c r="B1142" s="2">
        <f>IFERROR(__xludf.DUMMYFUNCTION("""COMPUTED_VALUE"""),14.04)</f>
        <v>14.04</v>
      </c>
      <c r="C1142" s="3">
        <v>75.2922748198392</v>
      </c>
    </row>
    <row r="1143">
      <c r="A1143" s="1">
        <f>IFERROR(__xludf.DUMMYFUNCTION("""COMPUTED_VALUE"""),42013.66666666667)</f>
        <v>42013.66667</v>
      </c>
      <c r="B1143" s="2">
        <f>IFERROR(__xludf.DUMMYFUNCTION("""COMPUTED_VALUE"""),13.78)</f>
        <v>13.78</v>
      </c>
      <c r="C1143" s="3">
        <v>74.7148306198792</v>
      </c>
    </row>
    <row r="1144">
      <c r="A1144" s="1">
        <f>IFERROR(__xludf.DUMMYFUNCTION("""COMPUTED_VALUE"""),42016.66666666667)</f>
        <v>42016.66667</v>
      </c>
      <c r="B1144" s="2">
        <f>IFERROR(__xludf.DUMMYFUNCTION("""COMPUTED_VALUE"""),13.48)</f>
        <v>13.48</v>
      </c>
      <c r="C1144" s="3">
        <v>76.1577722118442</v>
      </c>
    </row>
    <row r="1145">
      <c r="A1145" s="1">
        <f>IFERROR(__xludf.DUMMYFUNCTION("""COMPUTED_VALUE"""),42017.66666666667)</f>
        <v>42017.66667</v>
      </c>
      <c r="B1145" s="2">
        <f>IFERROR(__xludf.DUMMYFUNCTION("""COMPUTED_VALUE"""),13.62)</f>
        <v>13.62</v>
      </c>
      <c r="C1145" s="3">
        <v>75.5371572529227</v>
      </c>
    </row>
    <row r="1146">
      <c r="A1146" s="1">
        <f>IFERROR(__xludf.DUMMYFUNCTION("""COMPUTED_VALUE"""),42018.66666666667)</f>
        <v>42018.66667</v>
      </c>
      <c r="B1146" s="2">
        <f>IFERROR(__xludf.DUMMYFUNCTION("""COMPUTED_VALUE"""),12.85)</f>
        <v>12.85</v>
      </c>
      <c r="C1146" s="3">
        <v>75.1627770342768</v>
      </c>
    </row>
    <row r="1147">
      <c r="A1147" s="1">
        <f>IFERROR(__xludf.DUMMYFUNCTION("""COMPUTED_VALUE"""),42019.66666666667)</f>
        <v>42019.66667</v>
      </c>
      <c r="B1147" s="2">
        <f>IFERROR(__xludf.DUMMYFUNCTION("""COMPUTED_VALUE"""),12.79)</f>
        <v>12.79</v>
      </c>
      <c r="C1147" s="3">
        <v>73.7265526846353</v>
      </c>
    </row>
    <row r="1148">
      <c r="A1148" s="1">
        <f>IFERROR(__xludf.DUMMYFUNCTION("""COMPUTED_VALUE"""),42020.66666666667)</f>
        <v>42020.66667</v>
      </c>
      <c r="B1148" s="2">
        <f>IFERROR(__xludf.DUMMYFUNCTION("""COMPUTED_VALUE"""),12.87)</f>
        <v>12.87</v>
      </c>
      <c r="C1148" s="3">
        <v>72.1461934650986</v>
      </c>
    </row>
    <row r="1149">
      <c r="A1149" s="1">
        <f>IFERROR(__xludf.DUMMYFUNCTION("""COMPUTED_VALUE"""),42024.66666666667)</f>
        <v>42024.66667</v>
      </c>
      <c r="B1149" s="2">
        <f>IFERROR(__xludf.DUMMYFUNCTION("""COMPUTED_VALUE"""),12.8)</f>
        <v>12.8</v>
      </c>
      <c r="C1149" s="3">
        <v>69.7624499662333</v>
      </c>
    </row>
    <row r="1150">
      <c r="A1150" s="1">
        <f>IFERROR(__xludf.DUMMYFUNCTION("""COMPUTED_VALUE"""),42025.66666666667)</f>
        <v>42025.66667</v>
      </c>
      <c r="B1150" s="2">
        <f>IFERROR(__xludf.DUMMYFUNCTION("""COMPUTED_VALUE"""),13.1)</f>
        <v>13.1</v>
      </c>
      <c r="C1150" s="3">
        <v>68.8597670678428</v>
      </c>
    </row>
    <row r="1151">
      <c r="A1151" s="1">
        <f>IFERROR(__xludf.DUMMYFUNCTION("""COMPUTED_VALUE"""),42026.66666666667)</f>
        <v>42026.66667</v>
      </c>
      <c r="B1151" s="2">
        <f>IFERROR(__xludf.DUMMYFUNCTION("""COMPUTED_VALUE"""),13.44)</f>
        <v>13.44</v>
      </c>
      <c r="C1151" s="3">
        <v>67.0229001949443</v>
      </c>
    </row>
    <row r="1152">
      <c r="A1152" s="1">
        <f>IFERROR(__xludf.DUMMYFUNCTION("""COMPUTED_VALUE"""),42027.66666666667)</f>
        <v>42027.66667</v>
      </c>
      <c r="B1152" s="2">
        <f>IFERROR(__xludf.DUMMYFUNCTION("""COMPUTED_VALUE"""),13.42)</f>
        <v>13.42</v>
      </c>
      <c r="C1152" s="3">
        <v>65.1728900243864</v>
      </c>
    </row>
    <row r="1153">
      <c r="A1153" s="1">
        <f>IFERROR(__xludf.DUMMYFUNCTION("""COMPUTED_VALUE"""),42030.66666666667)</f>
        <v>42030.66667</v>
      </c>
      <c r="B1153" s="2">
        <f>IFERROR(__xludf.DUMMYFUNCTION("""COMPUTED_VALUE"""),13.77)</f>
        <v>13.77</v>
      </c>
      <c r="C1153" s="3">
        <v>64.0167315438344</v>
      </c>
    </row>
    <row r="1154">
      <c r="A1154" s="1">
        <f>IFERROR(__xludf.DUMMYFUNCTION("""COMPUTED_VALUE"""),42031.66666666667)</f>
        <v>42031.66667</v>
      </c>
      <c r="B1154" s="2">
        <f>IFERROR(__xludf.DUMMYFUNCTION("""COMPUTED_VALUE"""),13.73)</f>
        <v>13.73</v>
      </c>
      <c r="C1154" s="3">
        <v>62.9652158200634</v>
      </c>
    </row>
    <row r="1155">
      <c r="A1155" s="1">
        <f>IFERROR(__xludf.DUMMYFUNCTION("""COMPUTED_VALUE"""),42032.66666666667)</f>
        <v>42032.66667</v>
      </c>
      <c r="B1155" s="2">
        <f>IFERROR(__xludf.DUMMYFUNCTION("""COMPUTED_VALUE"""),13.29)</f>
        <v>13.29</v>
      </c>
      <c r="C1155" s="3">
        <v>62.3776886279553</v>
      </c>
    </row>
    <row r="1156">
      <c r="A1156" s="1">
        <f>IFERROR(__xludf.DUMMYFUNCTION("""COMPUTED_VALUE"""),42033.66666666667)</f>
        <v>42033.66667</v>
      </c>
      <c r="B1156" s="2">
        <f>IFERROR(__xludf.DUMMYFUNCTION("""COMPUTED_VALUE"""),13.68)</f>
        <v>13.68</v>
      </c>
      <c r="C1156" s="3">
        <v>60.9373712246939</v>
      </c>
    </row>
    <row r="1157">
      <c r="A1157" s="1">
        <f>IFERROR(__xludf.DUMMYFUNCTION("""COMPUTED_VALUE"""),42034.66666666667)</f>
        <v>42034.66667</v>
      </c>
      <c r="B1157" s="2">
        <f>IFERROR(__xludf.DUMMYFUNCTION("""COMPUTED_VALUE"""),13.57)</f>
        <v>13.57</v>
      </c>
      <c r="C1157" s="3">
        <v>59.5477939698916</v>
      </c>
    </row>
    <row r="1158">
      <c r="A1158" s="1">
        <f>IFERROR(__xludf.DUMMYFUNCTION("""COMPUTED_VALUE"""),42037.66666666667)</f>
        <v>42037.66667</v>
      </c>
      <c r="B1158" s="2">
        <f>IFERROR(__xludf.DUMMYFUNCTION("""COMPUTED_VALUE"""),14.06)</f>
        <v>14.06</v>
      </c>
      <c r="C1158" s="3">
        <v>59.9614991476543</v>
      </c>
    </row>
    <row r="1159">
      <c r="A1159" s="1">
        <f>IFERROR(__xludf.DUMMYFUNCTION("""COMPUTED_VALUE"""),42038.66666666667)</f>
        <v>42038.66667</v>
      </c>
      <c r="B1159" s="2">
        <f>IFERROR(__xludf.DUMMYFUNCTION("""COMPUTED_VALUE"""),14.56)</f>
        <v>14.56</v>
      </c>
      <c r="C1159" s="3">
        <v>59.4285236035439</v>
      </c>
    </row>
    <row r="1160">
      <c r="A1160" s="1">
        <f>IFERROR(__xludf.DUMMYFUNCTION("""COMPUTED_VALUE"""),42039.66666666667)</f>
        <v>42039.66667</v>
      </c>
      <c r="B1160" s="2">
        <f>IFERROR(__xludf.DUMMYFUNCTION("""COMPUTED_VALUE"""),14.57)</f>
        <v>14.57</v>
      </c>
      <c r="C1160" s="3">
        <v>59.3239967977433</v>
      </c>
    </row>
    <row r="1161">
      <c r="A1161" s="1">
        <f>IFERROR(__xludf.DUMMYFUNCTION("""COMPUTED_VALUE"""),42040.66666666667)</f>
        <v>42040.66667</v>
      </c>
      <c r="B1161" s="2">
        <f>IFERROR(__xludf.DUMMYFUNCTION("""COMPUTED_VALUE"""),14.73)</f>
        <v>14.73</v>
      </c>
      <c r="C1161" s="3">
        <v>58.3127867511583</v>
      </c>
    </row>
    <row r="1162">
      <c r="A1162" s="1">
        <f>IFERROR(__xludf.DUMMYFUNCTION("""COMPUTED_VALUE"""),42041.66666666667)</f>
        <v>42041.66667</v>
      </c>
      <c r="B1162" s="2">
        <f>IFERROR(__xludf.DUMMYFUNCTION("""COMPUTED_VALUE"""),14.49)</f>
        <v>14.49</v>
      </c>
      <c r="C1162" s="3">
        <v>57.2818262016625</v>
      </c>
    </row>
    <row r="1163">
      <c r="A1163" s="1">
        <f>IFERROR(__xludf.DUMMYFUNCTION("""COMPUTED_VALUE"""),42044.66666666667)</f>
        <v>42044.66667</v>
      </c>
      <c r="B1163" s="2">
        <f>IFERROR(__xludf.DUMMYFUNCTION("""COMPUTED_VALUE"""),14.5)</f>
        <v>14.5</v>
      </c>
      <c r="C1163" s="3">
        <v>58.2179285913833</v>
      </c>
    </row>
    <row r="1164">
      <c r="A1164" s="1">
        <f>IFERROR(__xludf.DUMMYFUNCTION("""COMPUTED_VALUE"""),42045.66666666667)</f>
        <v>42045.66667</v>
      </c>
      <c r="B1164" s="2">
        <f>IFERROR(__xludf.DUMMYFUNCTION("""COMPUTED_VALUE"""),14.42)</f>
        <v>14.42</v>
      </c>
      <c r="C1164" s="3">
        <v>57.6453290892989</v>
      </c>
    </row>
    <row r="1165">
      <c r="A1165" s="1">
        <f>IFERROR(__xludf.DUMMYFUNCTION("""COMPUTED_VALUE"""),42046.66666666667)</f>
        <v>42046.66667</v>
      </c>
      <c r="B1165" s="2">
        <f>IFERROR(__xludf.DUMMYFUNCTION("""COMPUTED_VALUE"""),14.19)</f>
        <v>14.19</v>
      </c>
      <c r="C1165" s="3">
        <v>57.3876123571793</v>
      </c>
    </row>
    <row r="1166">
      <c r="A1166" s="1">
        <f>IFERROR(__xludf.DUMMYFUNCTION("""COMPUTED_VALUE"""),42047.66666666667)</f>
        <v>42047.66667</v>
      </c>
      <c r="B1166" s="2">
        <f>IFERROR(__xludf.DUMMYFUNCTION("""COMPUTED_VALUE"""),13.53)</f>
        <v>13.53</v>
      </c>
      <c r="C1166" s="3">
        <v>56.110657378061</v>
      </c>
    </row>
    <row r="1167">
      <c r="A1167" s="1">
        <f>IFERROR(__xludf.DUMMYFUNCTION("""COMPUTED_VALUE"""),42048.66666666667)</f>
        <v>42048.66667</v>
      </c>
      <c r="B1167" s="2">
        <f>IFERROR(__xludf.DUMMYFUNCTION("""COMPUTED_VALUE"""),13.58)</f>
        <v>13.58</v>
      </c>
      <c r="C1167" s="3">
        <v>54.7057560005826</v>
      </c>
    </row>
    <row r="1168">
      <c r="A1168" s="1">
        <f>IFERROR(__xludf.DUMMYFUNCTION("""COMPUTED_VALUE"""),42052.66666666667)</f>
        <v>42052.66667</v>
      </c>
      <c r="B1168" s="2">
        <f>IFERROR(__xludf.DUMMYFUNCTION("""COMPUTED_VALUE"""),13.62)</f>
        <v>13.62</v>
      </c>
      <c r="C1168" s="3">
        <v>52.6866536872013</v>
      </c>
    </row>
    <row r="1169">
      <c r="A1169" s="1">
        <f>IFERROR(__xludf.DUMMYFUNCTION("""COMPUTED_VALUE"""),42053.66666666667)</f>
        <v>42053.66667</v>
      </c>
      <c r="B1169" s="2">
        <f>IFERROR(__xludf.DUMMYFUNCTION("""COMPUTED_VALUE"""),13.63)</f>
        <v>13.63</v>
      </c>
      <c r="C1169" s="3">
        <v>51.6833205694767</v>
      </c>
    </row>
    <row r="1170">
      <c r="A1170" s="1">
        <f>IFERROR(__xludf.DUMMYFUNCTION("""COMPUTED_VALUE"""),42054.66666666667)</f>
        <v>42054.66667</v>
      </c>
      <c r="B1170" s="2">
        <f>IFERROR(__xludf.DUMMYFUNCTION("""COMPUTED_VALUE"""),14.11)</f>
        <v>14.11</v>
      </c>
      <c r="C1170" s="3">
        <v>49.6364616347396</v>
      </c>
    </row>
    <row r="1171">
      <c r="A1171" s="1">
        <f>IFERROR(__xludf.DUMMYFUNCTION("""COMPUTED_VALUE"""),42055.66666666667)</f>
        <v>42055.66667</v>
      </c>
      <c r="B1171" s="2">
        <f>IFERROR(__xludf.DUMMYFUNCTION("""COMPUTED_VALUE"""),14.47)</f>
        <v>14.47</v>
      </c>
      <c r="C1171" s="3">
        <v>47.4574020528422</v>
      </c>
    </row>
    <row r="1172">
      <c r="A1172" s="1">
        <f>IFERROR(__xludf.DUMMYFUNCTION("""COMPUTED_VALUE"""),42058.66666666667)</f>
        <v>42058.66667</v>
      </c>
      <c r="B1172" s="2">
        <f>IFERROR(__xludf.DUMMYFUNCTION("""COMPUTED_VALUE"""),13.82)</f>
        <v>13.82</v>
      </c>
      <c r="C1172" s="3">
        <v>44.5684242870395</v>
      </c>
    </row>
    <row r="1173">
      <c r="A1173" s="1">
        <f>IFERROR(__xludf.DUMMYFUNCTION("""COMPUTED_VALUE"""),42059.66666666667)</f>
        <v>42059.66667</v>
      </c>
      <c r="B1173" s="2">
        <f>IFERROR(__xludf.DUMMYFUNCTION("""COMPUTED_VALUE"""),13.61)</f>
        <v>13.61</v>
      </c>
      <c r="C1173" s="3">
        <v>42.7029168545562</v>
      </c>
    </row>
    <row r="1174">
      <c r="A1174" s="1">
        <f>IFERROR(__xludf.DUMMYFUNCTION("""COMPUTED_VALUE"""),42060.66666666667)</f>
        <v>42060.66667</v>
      </c>
      <c r="B1174" s="2">
        <f>IFERROR(__xludf.DUMMYFUNCTION("""COMPUTED_VALUE"""),13.58)</f>
        <v>13.58</v>
      </c>
      <c r="C1174" s="3">
        <v>41.2003644220394</v>
      </c>
    </row>
    <row r="1175">
      <c r="A1175" s="1">
        <f>IFERROR(__xludf.DUMMYFUNCTION("""COMPUTED_VALUE"""),42061.66666666667)</f>
        <v>42061.66667</v>
      </c>
      <c r="B1175" s="2">
        <f>IFERROR(__xludf.DUMMYFUNCTION("""COMPUTED_VALUE"""),13.81)</f>
        <v>13.81</v>
      </c>
      <c r="C1175" s="3">
        <v>38.7604542679283</v>
      </c>
    </row>
    <row r="1176">
      <c r="A1176" s="1">
        <f>IFERROR(__xludf.DUMMYFUNCTION("""COMPUTED_VALUE"""),42062.66666666667)</f>
        <v>42062.66667</v>
      </c>
      <c r="B1176" s="2">
        <f>IFERROR(__xludf.DUMMYFUNCTION("""COMPUTED_VALUE"""),13.56)</f>
        <v>13.56</v>
      </c>
      <c r="C1176" s="3">
        <v>36.3067740111803</v>
      </c>
    </row>
    <row r="1177">
      <c r="A1177" s="1">
        <f>IFERROR(__xludf.DUMMYFUNCTION("""COMPUTED_VALUE"""),42065.66666666667)</f>
        <v>42065.66667</v>
      </c>
      <c r="B1177" s="2">
        <f>IFERROR(__xludf.DUMMYFUNCTION("""COMPUTED_VALUE"""),13.16)</f>
        <v>13.16</v>
      </c>
      <c r="C1177" s="3">
        <v>33.3844190510983</v>
      </c>
    </row>
    <row r="1178">
      <c r="A1178" s="1">
        <f>IFERROR(__xludf.DUMMYFUNCTION("""COMPUTED_VALUE"""),42066.66666666667)</f>
        <v>42066.66667</v>
      </c>
      <c r="B1178" s="2">
        <f>IFERROR(__xludf.DUMMYFUNCTION("""COMPUTED_VALUE"""),13.3)</f>
        <v>13.3</v>
      </c>
      <c r="C1178" s="3">
        <v>31.7824764295663</v>
      </c>
    </row>
    <row r="1179">
      <c r="A1179" s="1">
        <f>IFERROR(__xludf.DUMMYFUNCTION("""COMPUTED_VALUE"""),42067.66666666667)</f>
        <v>42067.66667</v>
      </c>
      <c r="B1179" s="2">
        <f>IFERROR(__xludf.DUMMYFUNCTION("""COMPUTED_VALUE"""),13.5)</f>
        <v>13.5</v>
      </c>
      <c r="C1179" s="3">
        <v>30.6785052242968</v>
      </c>
    </row>
    <row r="1180">
      <c r="A1180" s="1">
        <f>IFERROR(__xludf.DUMMYFUNCTION("""COMPUTED_VALUE"""),42068.66666666667)</f>
        <v>42068.66667</v>
      </c>
      <c r="B1180" s="2">
        <f>IFERROR(__xludf.DUMMYFUNCTION("""COMPUTED_VALUE"""),13.38)</f>
        <v>13.38</v>
      </c>
      <c r="C1180" s="3">
        <v>28.7661517117658</v>
      </c>
    </row>
    <row r="1181">
      <c r="A1181" s="1">
        <f>IFERROR(__xludf.DUMMYFUNCTION("""COMPUTED_VALUE"""),42069.66666666667)</f>
        <v>42069.66667</v>
      </c>
      <c r="B1181" s="2">
        <f>IFERROR(__xludf.DUMMYFUNCTION("""COMPUTED_VALUE"""),12.93)</f>
        <v>12.93</v>
      </c>
      <c r="C1181" s="3">
        <v>26.9600938140965</v>
      </c>
    </row>
    <row r="1182">
      <c r="A1182" s="1">
        <f>IFERROR(__xludf.DUMMYFUNCTION("""COMPUTED_VALUE"""),42072.66666666667)</f>
        <v>42072.66667</v>
      </c>
      <c r="B1182" s="2">
        <f>IFERROR(__xludf.DUMMYFUNCTION("""COMPUTED_VALUE"""),12.73)</f>
        <v>12.73</v>
      </c>
      <c r="C1182" s="3">
        <v>26.5748210886619</v>
      </c>
    </row>
    <row r="1183">
      <c r="A1183" s="1">
        <f>IFERROR(__xludf.DUMMYFUNCTION("""COMPUTED_VALUE"""),42073.66666666667)</f>
        <v>42073.66667</v>
      </c>
      <c r="B1183" s="2">
        <f>IFERROR(__xludf.DUMMYFUNCTION("""COMPUTED_VALUE"""),12.69)</f>
        <v>12.69</v>
      </c>
      <c r="C1183" s="3">
        <v>25.9647581485246</v>
      </c>
    </row>
    <row r="1184">
      <c r="A1184" s="1">
        <f>IFERROR(__xludf.DUMMYFUNCTION("""COMPUTED_VALUE"""),42074.66666666667)</f>
        <v>42074.66667</v>
      </c>
      <c r="B1184" s="2">
        <f>IFERROR(__xludf.DUMMYFUNCTION("""COMPUTED_VALUE"""),12.92)</f>
        <v>12.92</v>
      </c>
      <c r="C1184" s="3">
        <v>25.8963803331906</v>
      </c>
    </row>
    <row r="1185">
      <c r="A1185" s="1">
        <f>IFERROR(__xludf.DUMMYFUNCTION("""COMPUTED_VALUE"""),42075.66666666667)</f>
        <v>42075.66667</v>
      </c>
      <c r="B1185" s="2">
        <f>IFERROR(__xludf.DUMMYFUNCTION("""COMPUTED_VALUE"""),12.74)</f>
        <v>12.74</v>
      </c>
      <c r="C1185" s="3">
        <v>25.044612688532</v>
      </c>
    </row>
    <row r="1186">
      <c r="A1186" s="1">
        <f>IFERROR(__xludf.DUMMYFUNCTION("""COMPUTED_VALUE"""),42076.66666666667)</f>
        <v>42076.66667</v>
      </c>
      <c r="B1186" s="2">
        <f>IFERROR(__xludf.DUMMYFUNCTION("""COMPUTED_VALUE"""),12.58)</f>
        <v>12.58</v>
      </c>
      <c r="C1186" s="3">
        <v>24.3053506973251</v>
      </c>
    </row>
    <row r="1187">
      <c r="A1187" s="1">
        <f>IFERROR(__xludf.DUMMYFUNCTION("""COMPUTED_VALUE"""),42079.66666666667)</f>
        <v>42079.66667</v>
      </c>
      <c r="B1187" s="2">
        <f>IFERROR(__xludf.DUMMYFUNCTION("""COMPUTED_VALUE"""),13.05)</f>
        <v>13.05</v>
      </c>
      <c r="C1187" s="3">
        <v>26.9786959226168</v>
      </c>
    </row>
    <row r="1188">
      <c r="A1188" s="1">
        <f>IFERROR(__xludf.DUMMYFUNCTION("""COMPUTED_VALUE"""),42080.66666666667)</f>
        <v>42080.66667</v>
      </c>
      <c r="B1188" s="2">
        <f>IFERROR(__xludf.DUMMYFUNCTION("""COMPUTED_VALUE"""),12.98)</f>
        <v>12.98</v>
      </c>
      <c r="C1188" s="3">
        <v>27.287140268603</v>
      </c>
    </row>
    <row r="1189">
      <c r="A1189" s="1">
        <f>IFERROR(__xludf.DUMMYFUNCTION("""COMPUTED_VALUE"""),42081.66666666667)</f>
        <v>42081.66667</v>
      </c>
      <c r="B1189" s="2">
        <f>IFERROR(__xludf.DUMMYFUNCTION("""COMPUTED_VALUE"""),13.38)</f>
        <v>13.38</v>
      </c>
      <c r="C1189" s="3">
        <v>28.0641002419686</v>
      </c>
    </row>
    <row r="1190">
      <c r="A1190" s="1">
        <f>IFERROR(__xludf.DUMMYFUNCTION("""COMPUTED_VALUE"""),42082.66666666667)</f>
        <v>42082.66667</v>
      </c>
      <c r="B1190" s="2">
        <f>IFERROR(__xludf.DUMMYFUNCTION("""COMPUTED_VALUE"""),13.04)</f>
        <v>13.04</v>
      </c>
      <c r="C1190" s="3">
        <v>27.9740647139123</v>
      </c>
    </row>
    <row r="1191">
      <c r="A1191" s="1">
        <f>IFERROR(__xludf.DUMMYFUNCTION("""COMPUTED_VALUE"""),42083.66666666667)</f>
        <v>42083.66667</v>
      </c>
      <c r="B1191" s="2">
        <f>IFERROR(__xludf.DUMMYFUNCTION("""COMPUTED_VALUE"""),13.21)</f>
        <v>13.21</v>
      </c>
      <c r="C1191" s="3">
        <v>27.9048864696373</v>
      </c>
    </row>
    <row r="1192">
      <c r="A1192" s="1">
        <f>IFERROR(__xludf.DUMMYFUNCTION("""COMPUTED_VALUE"""),42086.66666666667)</f>
        <v>42086.66667</v>
      </c>
      <c r="B1192" s="2">
        <f>IFERROR(__xludf.DUMMYFUNCTION("""COMPUTED_VALUE"""),13.31)</f>
        <v>13.31</v>
      </c>
      <c r="C1192" s="3">
        <v>31.9959105023051</v>
      </c>
    </row>
    <row r="1193">
      <c r="A1193" s="1">
        <f>IFERROR(__xludf.DUMMYFUNCTION("""COMPUTED_VALUE"""),42087.66666666667)</f>
        <v>42087.66667</v>
      </c>
      <c r="B1193" s="2">
        <f>IFERROR(__xludf.DUMMYFUNCTION("""COMPUTED_VALUE"""),13.45)</f>
        <v>13.45</v>
      </c>
      <c r="C1193" s="3">
        <v>32.5776755833491</v>
      </c>
    </row>
    <row r="1194">
      <c r="A1194" s="1">
        <f>IFERROR(__xludf.DUMMYFUNCTION("""COMPUTED_VALUE"""),42088.66666666667)</f>
        <v>42088.66667</v>
      </c>
      <c r="B1194" s="2">
        <f>IFERROR(__xludf.DUMMYFUNCTION("""COMPUTED_VALUE"""),12.95)</f>
        <v>12.95</v>
      </c>
      <c r="C1194" s="3">
        <v>33.5333724372801</v>
      </c>
    </row>
    <row r="1195">
      <c r="A1195" s="1">
        <f>IFERROR(__xludf.DUMMYFUNCTION("""COMPUTED_VALUE"""),42089.66666666667)</f>
        <v>42089.66667</v>
      </c>
      <c r="B1195" s="2">
        <f>IFERROR(__xludf.DUMMYFUNCTION("""COMPUTED_VALUE"""),12.69)</f>
        <v>12.69</v>
      </c>
      <c r="C1195" s="3">
        <v>33.5336483266921</v>
      </c>
    </row>
    <row r="1196">
      <c r="A1196" s="1">
        <f>IFERROR(__xludf.DUMMYFUNCTION("""COMPUTED_VALUE"""),42090.66666666667)</f>
        <v>42090.66667</v>
      </c>
      <c r="B1196" s="2">
        <f>IFERROR(__xludf.DUMMYFUNCTION("""COMPUTED_VALUE"""),12.33)</f>
        <v>12.33</v>
      </c>
      <c r="C1196" s="3">
        <v>33.4742361374841</v>
      </c>
    </row>
    <row r="1197">
      <c r="A1197" s="1">
        <f>IFERROR(__xludf.DUMMYFUNCTION("""COMPUTED_VALUE"""),42093.66666666667)</f>
        <v>42093.66667</v>
      </c>
      <c r="B1197" s="2">
        <f>IFERROR(__xludf.DUMMYFUNCTION("""COMPUTED_VALUE"""),12.7)</f>
        <v>12.7</v>
      </c>
      <c r="C1197" s="3">
        <v>37.2089248044755</v>
      </c>
    </row>
    <row r="1198">
      <c r="A1198" s="1">
        <f>IFERROR(__xludf.DUMMYFUNCTION("""COMPUTED_VALUE"""),42094.66666666667)</f>
        <v>42094.66667</v>
      </c>
      <c r="B1198" s="2">
        <f>IFERROR(__xludf.DUMMYFUNCTION("""COMPUTED_VALUE"""),12.58)</f>
        <v>12.58</v>
      </c>
      <c r="C1198" s="3">
        <v>37.5796360584896</v>
      </c>
    </row>
    <row r="1199">
      <c r="A1199" s="1">
        <f>IFERROR(__xludf.DUMMYFUNCTION("""COMPUTED_VALUE"""),42095.66666666667)</f>
        <v>42095.66667</v>
      </c>
      <c r="B1199" s="2">
        <f>IFERROR(__xludf.DUMMYFUNCTION("""COMPUTED_VALUE"""),12.51)</f>
        <v>12.51</v>
      </c>
      <c r="C1199" s="3">
        <v>38.296815732148</v>
      </c>
    </row>
    <row r="1200">
      <c r="A1200" s="1">
        <f>IFERROR(__xludf.DUMMYFUNCTION("""COMPUTED_VALUE"""),42096.66666666667)</f>
        <v>42096.66667</v>
      </c>
      <c r="B1200" s="2">
        <f>IFERROR(__xludf.DUMMYFUNCTION("""COMPUTED_VALUE"""),12.73)</f>
        <v>12.73</v>
      </c>
      <c r="C1200" s="3">
        <v>38.0418627181236</v>
      </c>
    </row>
    <row r="1201">
      <c r="A1201" s="1">
        <f>IFERROR(__xludf.DUMMYFUNCTION("""COMPUTED_VALUE"""),42100.66666666667)</f>
        <v>42100.66667</v>
      </c>
      <c r="B1201" s="2">
        <f>IFERROR(__xludf.DUMMYFUNCTION("""COMPUTED_VALUE"""),13.54)</f>
        <v>13.54</v>
      </c>
      <c r="C1201" s="3">
        <v>40.7108392799089</v>
      </c>
    </row>
    <row r="1202">
      <c r="A1202" s="1">
        <f>IFERROR(__xludf.DUMMYFUNCTION("""COMPUTED_VALUE"""),42101.66666666667)</f>
        <v>42101.66667</v>
      </c>
      <c r="B1202" s="2">
        <f>IFERROR(__xludf.DUMMYFUNCTION("""COMPUTED_VALUE"""),13.55)</f>
        <v>13.55</v>
      </c>
      <c r="C1202" s="3">
        <v>40.8672402104587</v>
      </c>
    </row>
    <row r="1203">
      <c r="A1203" s="1">
        <f>IFERROR(__xludf.DUMMYFUNCTION("""COMPUTED_VALUE"""),42102.66666666667)</f>
        <v>42102.66667</v>
      </c>
      <c r="B1203" s="2">
        <f>IFERROR(__xludf.DUMMYFUNCTION("""COMPUTED_VALUE"""),13.84)</f>
        <v>13.84</v>
      </c>
      <c r="C1203" s="3">
        <v>41.3927785088839</v>
      </c>
    </row>
    <row r="1204">
      <c r="A1204" s="1">
        <f>IFERROR(__xludf.DUMMYFUNCTION("""COMPUTED_VALUE"""),42103.66666666667)</f>
        <v>42103.66667</v>
      </c>
      <c r="B1204" s="2">
        <f>IFERROR(__xludf.DUMMYFUNCTION("""COMPUTED_VALUE"""),14.01)</f>
        <v>14.01</v>
      </c>
      <c r="C1204" s="3">
        <v>40.9696679003213</v>
      </c>
    </row>
    <row r="1205">
      <c r="A1205" s="1">
        <f>IFERROR(__xludf.DUMMYFUNCTION("""COMPUTED_VALUE"""),42104.66666666667)</f>
        <v>42104.66667</v>
      </c>
      <c r="B1205" s="2">
        <f>IFERROR(__xludf.DUMMYFUNCTION("""COMPUTED_VALUE"""),14.06)</f>
        <v>14.06</v>
      </c>
      <c r="C1205" s="3">
        <v>40.5026932892349</v>
      </c>
    </row>
    <row r="1206">
      <c r="A1206" s="1">
        <f>IFERROR(__xludf.DUMMYFUNCTION("""COMPUTED_VALUE"""),42107.66666666667)</f>
        <v>42107.66667</v>
      </c>
      <c r="B1206" s="2">
        <f>IFERROR(__xludf.DUMMYFUNCTION("""COMPUTED_VALUE"""),13.99)</f>
        <v>13.99</v>
      </c>
      <c r="C1206" s="3">
        <v>43.1590723271243</v>
      </c>
    </row>
    <row r="1207">
      <c r="A1207" s="1">
        <f>IFERROR(__xludf.DUMMYFUNCTION("""COMPUTED_VALUE"""),42108.66666666667)</f>
        <v>42108.66667</v>
      </c>
      <c r="B1207" s="2">
        <f>IFERROR(__xludf.DUMMYFUNCTION("""COMPUTED_VALUE"""),13.83)</f>
        <v>13.83</v>
      </c>
      <c r="C1207" s="3">
        <v>43.2210773740349</v>
      </c>
    </row>
    <row r="1208">
      <c r="A1208" s="1">
        <f>IFERROR(__xludf.DUMMYFUNCTION("""COMPUTED_VALUE"""),42109.66666666667)</f>
        <v>42109.66667</v>
      </c>
      <c r="B1208" s="2">
        <f>IFERROR(__xludf.DUMMYFUNCTION("""COMPUTED_VALUE"""),13.86)</f>
        <v>13.86</v>
      </c>
      <c r="C1208" s="3">
        <v>43.6496583850759</v>
      </c>
    </row>
    <row r="1209">
      <c r="A1209" s="1">
        <f>IFERROR(__xludf.DUMMYFUNCTION("""COMPUTED_VALUE"""),42110.66666666667)</f>
        <v>42110.66667</v>
      </c>
      <c r="B1209" s="2">
        <f>IFERROR(__xludf.DUMMYFUNCTION("""COMPUTED_VALUE"""),13.78)</f>
        <v>13.78</v>
      </c>
      <c r="C1209" s="3">
        <v>43.1196106882641</v>
      </c>
    </row>
    <row r="1210">
      <c r="A1210" s="1">
        <f>IFERROR(__xludf.DUMMYFUNCTION("""COMPUTED_VALUE"""),42111.66666666667)</f>
        <v>42111.66667</v>
      </c>
      <c r="B1210" s="2">
        <f>IFERROR(__xludf.DUMMYFUNCTION("""COMPUTED_VALUE"""),13.79)</f>
        <v>13.79</v>
      </c>
      <c r="C1210" s="3">
        <v>42.5282114774608</v>
      </c>
    </row>
    <row r="1211">
      <c r="A1211" s="1">
        <f>IFERROR(__xludf.DUMMYFUNCTION("""COMPUTED_VALUE"""),42114.66666666667)</f>
        <v>42114.66667</v>
      </c>
      <c r="B1211" s="2">
        <f>IFERROR(__xludf.DUMMYFUNCTION("""COMPUTED_VALUE"""),13.68)</f>
        <v>13.68</v>
      </c>
      <c r="C1211" s="3">
        <v>44.6367553587499</v>
      </c>
    </row>
    <row r="1212">
      <c r="A1212" s="1">
        <f>IFERROR(__xludf.DUMMYFUNCTION("""COMPUTED_VALUE"""),42115.66666666667)</f>
        <v>42115.66667</v>
      </c>
      <c r="B1212" s="2">
        <f>IFERROR(__xludf.DUMMYFUNCTION("""COMPUTED_VALUE"""),13.96)</f>
        <v>13.96</v>
      </c>
      <c r="C1212" s="3">
        <v>44.4386929799665</v>
      </c>
    </row>
    <row r="1213">
      <c r="A1213" s="1">
        <f>IFERROR(__xludf.DUMMYFUNCTION("""COMPUTED_VALUE"""),42116.66666666667)</f>
        <v>42116.66667</v>
      </c>
      <c r="B1213" s="2">
        <f>IFERROR(__xludf.DUMMYFUNCTION("""COMPUTED_VALUE"""),14.63)</f>
        <v>14.63</v>
      </c>
      <c r="C1213" s="3">
        <v>44.5617560648599</v>
      </c>
    </row>
    <row r="1214">
      <c r="A1214" s="1">
        <f>IFERROR(__xludf.DUMMYFUNCTION("""COMPUTED_VALUE"""),42117.66666666667)</f>
        <v>42117.66667</v>
      </c>
      <c r="B1214" s="2">
        <f>IFERROR(__xludf.DUMMYFUNCTION("""COMPUTED_VALUE"""),14.57)</f>
        <v>14.57</v>
      </c>
      <c r="C1214" s="3">
        <v>43.678910309602</v>
      </c>
    </row>
    <row r="1215">
      <c r="A1215" s="1">
        <f>IFERROR(__xludf.DUMMYFUNCTION("""COMPUTED_VALUE"""),42118.66666666667)</f>
        <v>42118.66667</v>
      </c>
      <c r="B1215" s="2">
        <f>IFERROR(__xludf.DUMMYFUNCTION("""COMPUTED_VALUE"""),14.56)</f>
        <v>14.56</v>
      </c>
      <c r="C1215" s="3">
        <v>42.6872883039088</v>
      </c>
    </row>
    <row r="1216">
      <c r="A1216" s="1">
        <f>IFERROR(__xludf.DUMMYFUNCTION("""COMPUTED_VALUE"""),42121.66666666667)</f>
        <v>42121.66667</v>
      </c>
      <c r="B1216" s="2">
        <f>IFERROR(__xludf.DUMMYFUNCTION("""COMPUTED_VALUE"""),15.44)</f>
        <v>15.44</v>
      </c>
      <c r="C1216" s="3">
        <v>43.3357366159539</v>
      </c>
    </row>
    <row r="1217">
      <c r="A1217" s="1">
        <f>IFERROR(__xludf.DUMMYFUNCTION("""COMPUTED_VALUE"""),42122.66666666667)</f>
        <v>42122.66667</v>
      </c>
      <c r="B1217" s="2">
        <f>IFERROR(__xludf.DUMMYFUNCTION("""COMPUTED_VALUE"""),15.37)</f>
        <v>15.37</v>
      </c>
      <c r="C1217" s="3">
        <v>42.5816064844244</v>
      </c>
    </row>
    <row r="1218">
      <c r="A1218" s="1">
        <f>IFERROR(__xludf.DUMMYFUNCTION("""COMPUTED_VALUE"""),42123.66666666667)</f>
        <v>42123.66667</v>
      </c>
      <c r="B1218" s="2">
        <f>IFERROR(__xludf.DUMMYFUNCTION("""COMPUTED_VALUE"""),15.5)</f>
        <v>15.5</v>
      </c>
      <c r="C1218" s="3">
        <v>42.1265008276611</v>
      </c>
    </row>
    <row r="1219">
      <c r="A1219" s="1">
        <f>IFERROR(__xludf.DUMMYFUNCTION("""COMPUTED_VALUE"""),42124.66666666667)</f>
        <v>42124.66667</v>
      </c>
      <c r="B1219" s="2">
        <f>IFERROR(__xludf.DUMMYFUNCTION("""COMPUTED_VALUE"""),15.07)</f>
        <v>15.07</v>
      </c>
      <c r="C1219" s="3">
        <v>40.652997154816</v>
      </c>
    </row>
    <row r="1220">
      <c r="A1220" s="1">
        <f>IFERROR(__xludf.DUMMYFUNCTION("""COMPUTED_VALUE"""),42125.66666666667)</f>
        <v>42125.66667</v>
      </c>
      <c r="B1220" s="2">
        <f>IFERROR(__xludf.DUMMYFUNCTION("""COMPUTED_VALUE"""),15.07)</f>
        <v>15.07</v>
      </c>
      <c r="C1220" s="3">
        <v>39.0688849496965</v>
      </c>
    </row>
    <row r="1221">
      <c r="A1221" s="1">
        <f>IFERROR(__xludf.DUMMYFUNCTION("""COMPUTED_VALUE"""),42128.66666666667)</f>
        <v>42128.66667</v>
      </c>
      <c r="B1221" s="2">
        <f>IFERROR(__xludf.DUMMYFUNCTION("""COMPUTED_VALUE"""),15.37)</f>
        <v>15.37</v>
      </c>
      <c r="C1221" s="3">
        <v>38.044849453448</v>
      </c>
    </row>
    <row r="1222">
      <c r="A1222" s="1">
        <f>IFERROR(__xludf.DUMMYFUNCTION("""COMPUTED_VALUE"""),42129.66666666667)</f>
        <v>42129.66667</v>
      </c>
      <c r="B1222" s="2">
        <f>IFERROR(__xludf.DUMMYFUNCTION("""COMPUTED_VALUE"""),15.53)</f>
        <v>15.53</v>
      </c>
      <c r="C1222" s="3">
        <v>36.8077073822444</v>
      </c>
    </row>
    <row r="1223">
      <c r="A1223" s="1">
        <f>IFERROR(__xludf.DUMMYFUNCTION("""COMPUTED_VALUE"""),42130.66666666667)</f>
        <v>42130.66667</v>
      </c>
      <c r="B1223" s="2">
        <f>IFERROR(__xludf.DUMMYFUNCTION("""COMPUTED_VALUE"""),15.36)</f>
        <v>15.36</v>
      </c>
      <c r="C1223" s="3">
        <v>35.925782800519</v>
      </c>
    </row>
    <row r="1224">
      <c r="A1224" s="1">
        <f>IFERROR(__xludf.DUMMYFUNCTION("""COMPUTED_VALUE"""),42131.66666666667)</f>
        <v>42131.66667</v>
      </c>
      <c r="B1224" s="2">
        <f>IFERROR(__xludf.DUMMYFUNCTION("""COMPUTED_VALUE"""),15.79)</f>
        <v>15.79</v>
      </c>
      <c r="C1224" s="3">
        <v>34.0918339536988</v>
      </c>
    </row>
    <row r="1225">
      <c r="A1225" s="1">
        <f>IFERROR(__xludf.DUMMYFUNCTION("""COMPUTED_VALUE"""),42132.66666666667)</f>
        <v>42132.66667</v>
      </c>
      <c r="B1225" s="2">
        <f>IFERROR(__xludf.DUMMYFUNCTION("""COMPUTED_VALUE"""),15.77)</f>
        <v>15.77</v>
      </c>
      <c r="C1225" s="3">
        <v>32.2225914080467</v>
      </c>
    </row>
    <row r="1226">
      <c r="A1226" s="1">
        <f>IFERROR(__xludf.DUMMYFUNCTION("""COMPUTED_VALUE"""),42135.66666666667)</f>
        <v>42135.66667</v>
      </c>
      <c r="B1226" s="2">
        <f>IFERROR(__xludf.DUMMYFUNCTION("""COMPUTED_VALUE"""),15.97)</f>
        <v>15.97</v>
      </c>
      <c r="C1226" s="3">
        <v>30.8602904735532</v>
      </c>
    </row>
    <row r="1227">
      <c r="A1227" s="1">
        <f>IFERROR(__xludf.DUMMYFUNCTION("""COMPUTED_VALUE"""),42136.66666666667)</f>
        <v>42136.66667</v>
      </c>
      <c r="B1227" s="2">
        <f>IFERROR(__xludf.DUMMYFUNCTION("""COMPUTED_VALUE"""),16.32)</f>
        <v>16.32</v>
      </c>
      <c r="C1227" s="3">
        <v>29.6950158089886</v>
      </c>
    </row>
    <row r="1228">
      <c r="A1228" s="1">
        <f>IFERROR(__xludf.DUMMYFUNCTION("""COMPUTED_VALUE"""),42137.66666666667)</f>
        <v>42137.66667</v>
      </c>
      <c r="B1228" s="2">
        <f>IFERROR(__xludf.DUMMYFUNCTION("""COMPUTED_VALUE"""),16.21)</f>
        <v>16.21</v>
      </c>
      <c r="C1228" s="3">
        <v>28.9781729137672</v>
      </c>
    </row>
    <row r="1229">
      <c r="A1229" s="1">
        <f>IFERROR(__xludf.DUMMYFUNCTION("""COMPUTED_VALUE"""),42138.66666666667)</f>
        <v>42138.66667</v>
      </c>
      <c r="B1229" s="2">
        <f>IFERROR(__xludf.DUMMYFUNCTION("""COMPUTED_VALUE"""),16.27)</f>
        <v>16.27</v>
      </c>
      <c r="C1229" s="3">
        <v>27.3998115155078</v>
      </c>
    </row>
    <row r="1230">
      <c r="A1230" s="1">
        <f>IFERROR(__xludf.DUMMYFUNCTION("""COMPUTED_VALUE"""),42139.66666666667)</f>
        <v>42139.66667</v>
      </c>
      <c r="B1230" s="2">
        <f>IFERROR(__xludf.DUMMYFUNCTION("""COMPUTED_VALUE"""),16.59)</f>
        <v>16.59</v>
      </c>
      <c r="C1230" s="3">
        <v>25.87182355241</v>
      </c>
    </row>
    <row r="1231">
      <c r="A1231" s="1">
        <f>IFERROR(__xludf.DUMMYFUNCTION("""COMPUTED_VALUE"""),42142.66666666667)</f>
        <v>42142.66667</v>
      </c>
      <c r="B1231" s="2">
        <f>IFERROR(__xludf.DUMMYFUNCTION("""COMPUTED_VALUE"""),16.58)</f>
        <v>16.58</v>
      </c>
      <c r="C1231" s="3">
        <v>25.9696359225553</v>
      </c>
    </row>
    <row r="1232">
      <c r="A1232" s="1">
        <f>IFERROR(__xludf.DUMMYFUNCTION("""COMPUTED_VALUE"""),42143.66666666667)</f>
        <v>42143.66667</v>
      </c>
      <c r="B1232" s="2">
        <f>IFERROR(__xludf.DUMMYFUNCTION("""COMPUTED_VALUE"""),16.48)</f>
        <v>16.48</v>
      </c>
      <c r="C1232" s="3">
        <v>25.4022909089698</v>
      </c>
    </row>
    <row r="1233">
      <c r="A1233" s="1">
        <f>IFERROR(__xludf.DUMMYFUNCTION("""COMPUTED_VALUE"""),42144.66666666667)</f>
        <v>42144.66667</v>
      </c>
      <c r="B1233" s="2">
        <f>IFERROR(__xludf.DUMMYFUNCTION("""COMPUTED_VALUE"""),16.29)</f>
        <v>16.29</v>
      </c>
      <c r="C1233" s="3">
        <v>25.3186408467362</v>
      </c>
    </row>
    <row r="1234">
      <c r="A1234" s="1">
        <f>IFERROR(__xludf.DUMMYFUNCTION("""COMPUTED_VALUE"""),42145.66666666667)</f>
        <v>42145.66667</v>
      </c>
      <c r="B1234" s="2">
        <f>IFERROR(__xludf.DUMMYFUNCTION("""COMPUTED_VALUE"""),16.37)</f>
        <v>16.37</v>
      </c>
      <c r="C1234" s="3">
        <v>24.3952509616336</v>
      </c>
    </row>
    <row r="1235">
      <c r="A1235" s="1">
        <f>IFERROR(__xludf.DUMMYFUNCTION("""COMPUTED_VALUE"""),42146.66666666667)</f>
        <v>42146.66667</v>
      </c>
      <c r="B1235" s="2">
        <f>IFERROR(__xludf.DUMMYFUNCTION("""COMPUTED_VALUE"""),16.52)</f>
        <v>16.52</v>
      </c>
      <c r="C1235" s="3">
        <v>23.5301736076169</v>
      </c>
    </row>
    <row r="1236">
      <c r="A1236" s="1">
        <f>IFERROR(__xludf.DUMMYFUNCTION("""COMPUTED_VALUE"""),42150.66666666667)</f>
        <v>42150.66667</v>
      </c>
      <c r="B1236" s="2">
        <f>IFERROR(__xludf.DUMMYFUNCTION("""COMPUTED_VALUE"""),16.5)</f>
        <v>16.5</v>
      </c>
      <c r="C1236" s="3">
        <v>25.5231728647117</v>
      </c>
    </row>
    <row r="1237">
      <c r="A1237" s="1">
        <f>IFERROR(__xludf.DUMMYFUNCTION("""COMPUTED_VALUE"""),42151.66666666667)</f>
        <v>42151.66667</v>
      </c>
      <c r="B1237" s="2">
        <f>IFERROR(__xludf.DUMMYFUNCTION("""COMPUTED_VALUE"""),16.5)</f>
        <v>16.5</v>
      </c>
      <c r="C1237" s="3">
        <v>25.9478072230716</v>
      </c>
    </row>
    <row r="1238">
      <c r="A1238" s="1">
        <f>IFERROR(__xludf.DUMMYFUNCTION("""COMPUTED_VALUE"""),42152.66666666667)</f>
        <v>42152.66667</v>
      </c>
      <c r="B1238" s="2">
        <f>IFERROR(__xludf.DUMMYFUNCTION("""COMPUTED_VALUE"""),16.76)</f>
        <v>16.76</v>
      </c>
      <c r="C1238" s="3">
        <v>25.4703451420316</v>
      </c>
    </row>
    <row r="1239">
      <c r="A1239" s="1">
        <f>IFERROR(__xludf.DUMMYFUNCTION("""COMPUTED_VALUE"""),42153.66666666667)</f>
        <v>42153.66667</v>
      </c>
      <c r="B1239" s="2">
        <f>IFERROR(__xludf.DUMMYFUNCTION("""COMPUTED_VALUE"""),16.72)</f>
        <v>16.72</v>
      </c>
      <c r="C1239" s="3">
        <v>24.982172775363</v>
      </c>
    </row>
    <row r="1240">
      <c r="A1240" s="1">
        <f>IFERROR(__xludf.DUMMYFUNCTION("""COMPUTED_VALUE"""),42156.66666666667)</f>
        <v>42156.66667</v>
      </c>
      <c r="B1240" s="2">
        <f>IFERROR(__xludf.DUMMYFUNCTION("""COMPUTED_VALUE"""),16.63)</f>
        <v>16.63</v>
      </c>
      <c r="C1240" s="3">
        <v>27.6615342858941</v>
      </c>
    </row>
    <row r="1241">
      <c r="A1241" s="1">
        <f>IFERROR(__xludf.DUMMYFUNCTION("""COMPUTED_VALUE"""),42157.66666666667)</f>
        <v>42157.66667</v>
      </c>
      <c r="B1241" s="2">
        <f>IFERROR(__xludf.DUMMYFUNCTION("""COMPUTED_VALUE"""),16.56)</f>
        <v>16.56</v>
      </c>
      <c r="C1241" s="3">
        <v>27.7324684528253</v>
      </c>
    </row>
    <row r="1242">
      <c r="A1242" s="1">
        <f>IFERROR(__xludf.DUMMYFUNCTION("""COMPUTED_VALUE"""),42158.66666666667)</f>
        <v>42158.66667</v>
      </c>
      <c r="B1242" s="2">
        <f>IFERROR(__xludf.DUMMYFUNCTION("""COMPUTED_VALUE"""),16.6)</f>
        <v>16.6</v>
      </c>
      <c r="C1242" s="3">
        <v>28.1627058706359</v>
      </c>
    </row>
    <row r="1243">
      <c r="A1243" s="1">
        <f>IFERROR(__xludf.DUMMYFUNCTION("""COMPUTED_VALUE"""),42159.66666666667)</f>
        <v>42159.66667</v>
      </c>
      <c r="B1243" s="2">
        <f>IFERROR(__xludf.DUMMYFUNCTION("""COMPUTED_VALUE"""),16.39)</f>
        <v>16.39</v>
      </c>
      <c r="C1243" s="3">
        <v>27.6261596115161</v>
      </c>
    </row>
    <row r="1244">
      <c r="A1244" s="1">
        <f>IFERROR(__xludf.DUMMYFUNCTION("""COMPUTED_VALUE"""),42160.66666666667)</f>
        <v>42160.66667</v>
      </c>
      <c r="B1244" s="2">
        <f>IFERROR(__xludf.DUMMYFUNCTION("""COMPUTED_VALUE"""),16.61)</f>
        <v>16.61</v>
      </c>
      <c r="C1244" s="3">
        <v>27.0218435183778</v>
      </c>
    </row>
    <row r="1245">
      <c r="A1245" s="1">
        <f>IFERROR(__xludf.DUMMYFUNCTION("""COMPUTED_VALUE"""),42163.66666666667)</f>
        <v>42163.66667</v>
      </c>
      <c r="B1245" s="2">
        <f>IFERROR(__xludf.DUMMYFUNCTION("""COMPUTED_VALUE"""),17.09)</f>
        <v>17.09</v>
      </c>
      <c r="C1245" s="3">
        <v>29.1071615994718</v>
      </c>
    </row>
    <row r="1246">
      <c r="A1246" s="1">
        <f>IFERROR(__xludf.DUMMYFUNCTION("""COMPUTED_VALUE"""),42164.66666666667)</f>
        <v>42164.66667</v>
      </c>
      <c r="B1246" s="2">
        <f>IFERROR(__xludf.DUMMYFUNCTION("""COMPUTED_VALUE"""),17.07)</f>
        <v>17.07</v>
      </c>
      <c r="C1246" s="3">
        <v>28.9350840687954</v>
      </c>
    </row>
    <row r="1247">
      <c r="A1247" s="1">
        <f>IFERROR(__xludf.DUMMYFUNCTION("""COMPUTED_VALUE"""),42165.66666666667)</f>
        <v>42165.66667</v>
      </c>
      <c r="B1247" s="2">
        <f>IFERROR(__xludf.DUMMYFUNCTION("""COMPUTED_VALUE"""),16.71)</f>
        <v>16.71</v>
      </c>
      <c r="C1247" s="3">
        <v>29.1193453475348</v>
      </c>
    </row>
    <row r="1248">
      <c r="A1248" s="1">
        <f>IFERROR(__xludf.DUMMYFUNCTION("""COMPUTED_VALUE"""),42166.66666666667)</f>
        <v>42166.66667</v>
      </c>
      <c r="B1248" s="2">
        <f>IFERROR(__xludf.DUMMYFUNCTION("""COMPUTED_VALUE"""),16.76)</f>
        <v>16.76</v>
      </c>
      <c r="C1248" s="3">
        <v>28.3454758372697</v>
      </c>
    </row>
    <row r="1249">
      <c r="A1249" s="1">
        <f>IFERROR(__xludf.DUMMYFUNCTION("""COMPUTED_VALUE"""),42167.66666666667)</f>
        <v>42167.66667</v>
      </c>
      <c r="B1249" s="2">
        <f>IFERROR(__xludf.DUMMYFUNCTION("""COMPUTED_VALUE"""),16.71)</f>
        <v>16.71</v>
      </c>
      <c r="C1249" s="3">
        <v>27.5235344498428</v>
      </c>
    </row>
    <row r="1250">
      <c r="A1250" s="1">
        <f>IFERROR(__xludf.DUMMYFUNCTION("""COMPUTED_VALUE"""),42170.66666666667)</f>
        <v>42170.66667</v>
      </c>
      <c r="B1250" s="2">
        <f>IFERROR(__xludf.DUMMYFUNCTION("""COMPUTED_VALUE"""),16.69)</f>
        <v>16.69</v>
      </c>
      <c r="C1250" s="3">
        <v>29.1691433302895</v>
      </c>
    </row>
    <row r="1251">
      <c r="A1251" s="1">
        <f>IFERROR(__xludf.DUMMYFUNCTION("""COMPUTED_VALUE"""),42171.66666666667)</f>
        <v>42171.66667</v>
      </c>
      <c r="B1251" s="2">
        <f>IFERROR(__xludf.DUMMYFUNCTION("""COMPUTED_VALUE"""),16.87)</f>
        <v>16.87</v>
      </c>
      <c r="C1251" s="3">
        <v>28.9460784107455</v>
      </c>
    </row>
    <row r="1252">
      <c r="A1252" s="1">
        <f>IFERROR(__xludf.DUMMYFUNCTION("""COMPUTED_VALUE"""),42172.66666666667)</f>
        <v>42172.66667</v>
      </c>
      <c r="B1252" s="2">
        <f>IFERROR(__xludf.DUMMYFUNCTION("""COMPUTED_VALUE"""),17.36)</f>
        <v>17.36</v>
      </c>
      <c r="C1252" s="3">
        <v>29.1350623991906</v>
      </c>
    </row>
    <row r="1253">
      <c r="A1253" s="1">
        <f>IFERROR(__xludf.DUMMYFUNCTION("""COMPUTED_VALUE"""),42173.66666666667)</f>
        <v>42173.66667</v>
      </c>
      <c r="B1253" s="2">
        <f>IFERROR(__xludf.DUMMYFUNCTION("""COMPUTED_VALUE"""),17.46)</f>
        <v>17.46</v>
      </c>
      <c r="C1253" s="3">
        <v>28.4234530701368</v>
      </c>
    </row>
    <row r="1254">
      <c r="A1254" s="1">
        <f>IFERROR(__xludf.DUMMYFUNCTION("""COMPUTED_VALUE"""),42174.66666666667)</f>
        <v>42174.66667</v>
      </c>
      <c r="B1254" s="2">
        <f>IFERROR(__xludf.DUMMYFUNCTION("""COMPUTED_VALUE"""),17.5)</f>
        <v>17.5</v>
      </c>
      <c r="C1254" s="3">
        <v>27.7210865094305</v>
      </c>
    </row>
    <row r="1255">
      <c r="A1255" s="1">
        <f>IFERROR(__xludf.DUMMYFUNCTION("""COMPUTED_VALUE"""),42177.66666666667)</f>
        <v>42177.66667</v>
      </c>
      <c r="B1255" s="2">
        <f>IFERROR(__xludf.DUMMYFUNCTION("""COMPUTED_VALUE"""),17.32)</f>
        <v>17.32</v>
      </c>
      <c r="C1255" s="3">
        <v>30.0369929625188</v>
      </c>
    </row>
    <row r="1256">
      <c r="A1256" s="1">
        <f>IFERROR(__xludf.DUMMYFUNCTION("""COMPUTED_VALUE"""),42178.66666666667)</f>
        <v>42178.66667</v>
      </c>
      <c r="B1256" s="2">
        <f>IFERROR(__xludf.DUMMYFUNCTION("""COMPUTED_VALUE"""),17.84)</f>
        <v>17.84</v>
      </c>
      <c r="C1256" s="3">
        <v>30.1212083182436</v>
      </c>
    </row>
    <row r="1257">
      <c r="A1257" s="1">
        <f>IFERROR(__xludf.DUMMYFUNCTION("""COMPUTED_VALUE"""),42179.66666666667)</f>
        <v>42179.66667</v>
      </c>
      <c r="B1257" s="2">
        <f>IFERROR(__xludf.DUMMYFUNCTION("""COMPUTED_VALUE"""),17.68)</f>
        <v>17.68</v>
      </c>
      <c r="C1257" s="3">
        <v>30.6454300567999</v>
      </c>
    </row>
    <row r="1258">
      <c r="A1258" s="1">
        <f>IFERROR(__xludf.DUMMYFUNCTION("""COMPUTED_VALUE"""),42180.66666666667)</f>
        <v>42180.66667</v>
      </c>
      <c r="B1258" s="2">
        <f>IFERROR(__xludf.DUMMYFUNCTION("""COMPUTED_VALUE"""),17.92)</f>
        <v>17.92</v>
      </c>
      <c r="C1258" s="3">
        <v>30.2867908754711</v>
      </c>
    </row>
    <row r="1259">
      <c r="A1259" s="1">
        <f>IFERROR(__xludf.DUMMYFUNCTION("""COMPUTED_VALUE"""),42181.66666666667)</f>
        <v>42181.66667</v>
      </c>
      <c r="B1259" s="2">
        <f>IFERROR(__xludf.DUMMYFUNCTION("""COMPUTED_VALUE"""),17.81)</f>
        <v>17.81</v>
      </c>
      <c r="C1259" s="3">
        <v>29.9440992675264</v>
      </c>
    </row>
    <row r="1260">
      <c r="A1260" s="1">
        <f>IFERROR(__xludf.DUMMYFUNCTION("""COMPUTED_VALUE"""),42184.66666666667)</f>
        <v>42184.66667</v>
      </c>
      <c r="B1260" s="2">
        <f>IFERROR(__xludf.DUMMYFUNCTION("""COMPUTED_VALUE"""),17.47)</f>
        <v>17.47</v>
      </c>
      <c r="C1260" s="3">
        <v>33.2642256755085</v>
      </c>
    </row>
    <row r="1261">
      <c r="A1261" s="1">
        <f>IFERROR(__xludf.DUMMYFUNCTION("""COMPUTED_VALUE"""),42185.66666666667)</f>
        <v>42185.66667</v>
      </c>
      <c r="B1261" s="2">
        <f>IFERROR(__xludf.DUMMYFUNCTION("""COMPUTED_VALUE"""),17.88)</f>
        <v>17.88</v>
      </c>
      <c r="C1261" s="3">
        <v>33.6208214275663</v>
      </c>
    </row>
    <row r="1262">
      <c r="A1262" s="1">
        <f>IFERROR(__xludf.DUMMYFUNCTION("""COMPUTED_VALUE"""),42186.66666666667)</f>
        <v>42186.66667</v>
      </c>
      <c r="B1262" s="2">
        <f>IFERROR(__xludf.DUMMYFUNCTION("""COMPUTED_VALUE"""),17.94)</f>
        <v>17.94</v>
      </c>
      <c r="C1262" s="3">
        <v>34.369219450793</v>
      </c>
    </row>
    <row r="1263">
      <c r="A1263" s="1">
        <f>IFERROR(__xludf.DUMMYFUNCTION("""COMPUTED_VALUE"""),42187.66666666667)</f>
        <v>42187.66667</v>
      </c>
      <c r="B1263" s="2">
        <f>IFERROR(__xludf.DUMMYFUNCTION("""COMPUTED_VALUE"""),18.67)</f>
        <v>18.67</v>
      </c>
      <c r="C1263" s="3">
        <v>34.1780345507229</v>
      </c>
    </row>
    <row r="1264">
      <c r="A1264" s="1">
        <f>IFERROR(__xludf.DUMMYFUNCTION("""COMPUTED_VALUE"""),42191.66666666667)</f>
        <v>42191.66667</v>
      </c>
      <c r="B1264" s="2">
        <f>IFERROR(__xludf.DUMMYFUNCTION("""COMPUTED_VALUE"""),18.65)</f>
        <v>18.65</v>
      </c>
      <c r="C1264" s="3">
        <v>37.1455856723302</v>
      </c>
    </row>
    <row r="1265">
      <c r="A1265" s="1">
        <f>IFERROR(__xludf.DUMMYFUNCTION("""COMPUTED_VALUE"""),42192.66666666667)</f>
        <v>42192.66667</v>
      </c>
      <c r="B1265" s="2">
        <f>IFERROR(__xludf.DUMMYFUNCTION("""COMPUTED_VALUE"""),17.86)</f>
        <v>17.86</v>
      </c>
      <c r="C1265" s="3">
        <v>37.3185507967488</v>
      </c>
    </row>
    <row r="1266">
      <c r="A1266" s="1">
        <f>IFERROR(__xludf.DUMMYFUNCTION("""COMPUTED_VALUE"""),42193.66666666667)</f>
        <v>42193.66667</v>
      </c>
      <c r="B1266" s="2">
        <f>IFERROR(__xludf.DUMMYFUNCTION("""COMPUTED_VALUE"""),17.0)</f>
        <v>17</v>
      </c>
      <c r="C1266" s="3">
        <v>37.8135978568413</v>
      </c>
    </row>
    <row r="1267">
      <c r="A1267" s="1">
        <f>IFERROR(__xludf.DUMMYFUNCTION("""COMPUTED_VALUE"""),42194.66666666667)</f>
        <v>42194.66667</v>
      </c>
      <c r="B1267" s="2">
        <f>IFERROR(__xludf.DUMMYFUNCTION("""COMPUTED_VALUE"""),17.19)</f>
        <v>17.19</v>
      </c>
      <c r="C1267" s="3">
        <v>37.3043161804176</v>
      </c>
    </row>
    <row r="1268">
      <c r="A1268" s="1">
        <f>IFERROR(__xludf.DUMMYFUNCTION("""COMPUTED_VALUE"""),42195.66666666667)</f>
        <v>42195.66667</v>
      </c>
      <c r="B1268" s="2">
        <f>IFERROR(__xludf.DUMMYFUNCTION("""COMPUTED_VALUE"""),17.28)</f>
        <v>17.28</v>
      </c>
      <c r="C1268" s="3">
        <v>36.6894011920089</v>
      </c>
    </row>
    <row r="1269">
      <c r="A1269" s="1">
        <f>IFERROR(__xludf.DUMMYFUNCTION("""COMPUTED_VALUE"""),42198.66666666667)</f>
        <v>42198.66667</v>
      </c>
      <c r="B1269" s="2">
        <f>IFERROR(__xludf.DUMMYFUNCTION("""COMPUTED_VALUE"""),17.48)</f>
        <v>17.48</v>
      </c>
      <c r="C1269" s="3">
        <v>38.5138536581563</v>
      </c>
    </row>
    <row r="1270">
      <c r="A1270" s="1">
        <f>IFERROR(__xludf.DUMMYFUNCTION("""COMPUTED_VALUE"""),42199.66666666667)</f>
        <v>42199.66667</v>
      </c>
      <c r="B1270" s="2">
        <f>IFERROR(__xludf.DUMMYFUNCTION("""COMPUTED_VALUE"""),17.71)</f>
        <v>17.71</v>
      </c>
      <c r="C1270" s="3">
        <v>38.1786912663127</v>
      </c>
    </row>
    <row r="1271">
      <c r="A1271" s="1">
        <f>IFERROR(__xludf.DUMMYFUNCTION("""COMPUTED_VALUE"""),42200.66666666667)</f>
        <v>42200.66667</v>
      </c>
      <c r="B1271" s="2">
        <f>IFERROR(__xludf.DUMMYFUNCTION("""COMPUTED_VALUE"""),17.54)</f>
        <v>17.54</v>
      </c>
      <c r="C1271" s="3">
        <v>38.1625525703031</v>
      </c>
    </row>
    <row r="1272">
      <c r="A1272" s="1">
        <f>IFERROR(__xludf.DUMMYFUNCTION("""COMPUTED_VALUE"""),42201.66666666667)</f>
        <v>42201.66667</v>
      </c>
      <c r="B1272" s="2">
        <f>IFERROR(__xludf.DUMMYFUNCTION("""COMPUTED_VALUE"""),17.78)</f>
        <v>17.78</v>
      </c>
      <c r="C1272" s="3">
        <v>37.1519148297189</v>
      </c>
    </row>
    <row r="1273">
      <c r="A1273" s="1">
        <f>IFERROR(__xludf.DUMMYFUNCTION("""COMPUTED_VALUE"""),42202.66666666667)</f>
        <v>42202.66667</v>
      </c>
      <c r="B1273" s="2">
        <f>IFERROR(__xludf.DUMMYFUNCTION("""COMPUTED_VALUE"""),18.31)</f>
        <v>18.31</v>
      </c>
      <c r="C1273" s="3">
        <v>36.0581805596492</v>
      </c>
    </row>
    <row r="1274">
      <c r="A1274" s="1">
        <f>IFERROR(__xludf.DUMMYFUNCTION("""COMPUTED_VALUE"""),42205.66666666667)</f>
        <v>42205.66667</v>
      </c>
      <c r="B1274" s="2">
        <f>IFERROR(__xludf.DUMMYFUNCTION("""COMPUTED_VALUE"""),18.82)</f>
        <v>18.82</v>
      </c>
      <c r="C1274" s="3">
        <v>36.6983203643514</v>
      </c>
    </row>
    <row r="1275">
      <c r="A1275" s="1">
        <f>IFERROR(__xludf.DUMMYFUNCTION("""COMPUTED_VALUE"""),42206.66666666667)</f>
        <v>42206.66667</v>
      </c>
      <c r="B1275" s="2">
        <f>IFERROR(__xludf.DUMMYFUNCTION("""COMPUTED_VALUE"""),17.78)</f>
        <v>17.78</v>
      </c>
      <c r="C1275" s="3">
        <v>36.0857488578967</v>
      </c>
    </row>
    <row r="1276">
      <c r="A1276" s="1">
        <f>IFERROR(__xludf.DUMMYFUNCTION("""COMPUTED_VALUE"""),42207.66666666667)</f>
        <v>42207.66667</v>
      </c>
      <c r="B1276" s="2">
        <f>IFERROR(__xludf.DUMMYFUNCTION("""COMPUTED_VALUE"""),17.86)</f>
        <v>17.86</v>
      </c>
      <c r="C1276" s="3">
        <v>35.8637244946632</v>
      </c>
    </row>
    <row r="1277">
      <c r="A1277" s="1">
        <f>IFERROR(__xludf.DUMMYFUNCTION("""COMPUTED_VALUE"""),42208.66666666667)</f>
        <v>42208.66667</v>
      </c>
      <c r="B1277" s="2">
        <f>IFERROR(__xludf.DUMMYFUNCTION("""COMPUTED_VALUE"""),17.81)</f>
        <v>17.81</v>
      </c>
      <c r="C1277" s="3">
        <v>34.7236748851447</v>
      </c>
    </row>
    <row r="1278">
      <c r="A1278" s="1">
        <f>IFERROR(__xludf.DUMMYFUNCTION("""COMPUTED_VALUE"""),42209.66666666667)</f>
        <v>42209.66667</v>
      </c>
      <c r="B1278" s="2">
        <f>IFERROR(__xludf.DUMMYFUNCTION("""COMPUTED_VALUE"""),17.69)</f>
        <v>17.69</v>
      </c>
      <c r="C1278" s="3">
        <v>33.579902955194</v>
      </c>
    </row>
    <row r="1279">
      <c r="A1279" s="1">
        <f>IFERROR(__xludf.DUMMYFUNCTION("""COMPUTED_VALUE"""),42212.66666666667)</f>
        <v>42212.66667</v>
      </c>
      <c r="B1279" s="2">
        <f>IFERROR(__xludf.DUMMYFUNCTION("""COMPUTED_VALUE"""),16.87)</f>
        <v>16.87</v>
      </c>
      <c r="C1279" s="3">
        <v>34.5433005177503</v>
      </c>
    </row>
    <row r="1280">
      <c r="A1280" s="1">
        <f>IFERROR(__xludf.DUMMYFUNCTION("""COMPUTED_VALUE"""),42213.66666666667)</f>
        <v>42213.66667</v>
      </c>
      <c r="B1280" s="2">
        <f>IFERROR(__xludf.DUMMYFUNCTION("""COMPUTED_VALUE"""),17.65)</f>
        <v>17.65</v>
      </c>
      <c r="C1280" s="3">
        <v>34.1848850740991</v>
      </c>
    </row>
    <row r="1281">
      <c r="A1281" s="1">
        <f>IFERROR(__xludf.DUMMYFUNCTION("""COMPUTED_VALUE"""),42214.66666666667)</f>
        <v>42214.66667</v>
      </c>
      <c r="B1281" s="2">
        <f>IFERROR(__xludf.DUMMYFUNCTION("""COMPUTED_VALUE"""),17.59)</f>
        <v>17.59</v>
      </c>
      <c r="C1281" s="3">
        <v>34.2796895587103</v>
      </c>
    </row>
    <row r="1282">
      <c r="A1282" s="1">
        <f>IFERROR(__xludf.DUMMYFUNCTION("""COMPUTED_VALUE"""),42215.66666666667)</f>
        <v>42215.66667</v>
      </c>
      <c r="B1282" s="2">
        <f>IFERROR(__xludf.DUMMYFUNCTION("""COMPUTED_VALUE"""),17.79)</f>
        <v>17.79</v>
      </c>
      <c r="C1282" s="3">
        <v>33.5103057638732</v>
      </c>
    </row>
    <row r="1283">
      <c r="A1283" s="1">
        <f>IFERROR(__xludf.DUMMYFUNCTION("""COMPUTED_VALUE"""),42216.66666666667)</f>
        <v>42216.66667</v>
      </c>
      <c r="B1283" s="2">
        <f>IFERROR(__xludf.DUMMYFUNCTION("""COMPUTED_VALUE"""),17.74)</f>
        <v>17.74</v>
      </c>
      <c r="C1283" s="3">
        <v>32.7808677150189</v>
      </c>
    </row>
    <row r="1284">
      <c r="A1284" s="1">
        <f>IFERROR(__xludf.DUMMYFUNCTION("""COMPUTED_VALUE"""),42219.66666666667)</f>
        <v>42219.66667</v>
      </c>
      <c r="B1284" s="2">
        <f>IFERROR(__xludf.DUMMYFUNCTION("""COMPUTED_VALUE"""),17.33)</f>
        <v>17.33</v>
      </c>
      <c r="C1284" s="3">
        <v>35.1340604441855</v>
      </c>
    </row>
    <row r="1285">
      <c r="A1285" s="1">
        <f>IFERROR(__xludf.DUMMYFUNCTION("""COMPUTED_VALUE"""),42220.66666666667)</f>
        <v>42220.66667</v>
      </c>
      <c r="B1285" s="2">
        <f>IFERROR(__xludf.DUMMYFUNCTION("""COMPUTED_VALUE"""),17.75)</f>
        <v>17.75</v>
      </c>
      <c r="C1285" s="3">
        <v>35.2472917027741</v>
      </c>
    </row>
    <row r="1286">
      <c r="A1286" s="1">
        <f>IFERROR(__xludf.DUMMYFUNCTION("""COMPUTED_VALUE"""),42221.66666666667)</f>
        <v>42221.66667</v>
      </c>
      <c r="B1286" s="2">
        <f>IFERROR(__xludf.DUMMYFUNCTION("""COMPUTED_VALUE"""),18.01)</f>
        <v>18.01</v>
      </c>
      <c r="C1286" s="3">
        <v>35.7978112451002</v>
      </c>
    </row>
    <row r="1287">
      <c r="A1287" s="1">
        <f>IFERROR(__xludf.DUMMYFUNCTION("""COMPUTED_VALUE"""),42222.66666666667)</f>
        <v>42222.66667</v>
      </c>
      <c r="B1287" s="2">
        <f>IFERROR(__xludf.DUMMYFUNCTION("""COMPUTED_VALUE"""),16.41)</f>
        <v>16.41</v>
      </c>
      <c r="C1287" s="3">
        <v>35.4569513718534</v>
      </c>
    </row>
    <row r="1288">
      <c r="A1288" s="1">
        <f>IFERROR(__xludf.DUMMYFUNCTION("""COMPUTED_VALUE"""),42223.66666666667)</f>
        <v>42223.66667</v>
      </c>
      <c r="B1288" s="2">
        <f>IFERROR(__xludf.DUMMYFUNCTION("""COMPUTED_VALUE"""),16.17)</f>
        <v>16.17</v>
      </c>
      <c r="C1288" s="3">
        <v>35.1185782903458</v>
      </c>
    </row>
    <row r="1289">
      <c r="A1289" s="1">
        <f>IFERROR(__xludf.DUMMYFUNCTION("""COMPUTED_VALUE"""),42226.66666666667)</f>
        <v>42226.66667</v>
      </c>
      <c r="B1289" s="2">
        <f>IFERROR(__xludf.DUMMYFUNCTION("""COMPUTED_VALUE"""),16.08)</f>
        <v>16.08</v>
      </c>
      <c r="C1289" s="3">
        <v>38.3380157489269</v>
      </c>
    </row>
    <row r="1290">
      <c r="A1290" s="1">
        <f>IFERROR(__xludf.DUMMYFUNCTION("""COMPUTED_VALUE"""),42227.66666666667)</f>
        <v>42227.66667</v>
      </c>
      <c r="B1290" s="2">
        <f>IFERROR(__xludf.DUMMYFUNCTION("""COMPUTED_VALUE"""),15.82)</f>
        <v>15.82</v>
      </c>
      <c r="C1290" s="3">
        <v>38.6185596693794</v>
      </c>
    </row>
    <row r="1291">
      <c r="A1291" s="1">
        <f>IFERROR(__xludf.DUMMYFUNCTION("""COMPUTED_VALUE"""),42228.66666666667)</f>
        <v>42228.66667</v>
      </c>
      <c r="B1291" s="2">
        <f>IFERROR(__xludf.DUMMYFUNCTION("""COMPUTED_VALUE"""),15.88)</f>
        <v>15.88</v>
      </c>
      <c r="C1291" s="3">
        <v>39.2707378989738</v>
      </c>
    </row>
    <row r="1292">
      <c r="A1292" s="1">
        <f>IFERROR(__xludf.DUMMYFUNCTION("""COMPUTED_VALUE"""),42229.66666666667)</f>
        <v>42229.66667</v>
      </c>
      <c r="B1292" s="2">
        <f>IFERROR(__xludf.DUMMYFUNCTION("""COMPUTED_VALUE"""),16.17)</f>
        <v>16.17</v>
      </c>
      <c r="C1292" s="3">
        <v>38.965825302737</v>
      </c>
    </row>
    <row r="1293">
      <c r="A1293" s="1">
        <f>IFERROR(__xludf.DUMMYFUNCTION("""COMPUTED_VALUE"""),42230.66666666667)</f>
        <v>42230.66667</v>
      </c>
      <c r="B1293" s="2">
        <f>IFERROR(__xludf.DUMMYFUNCTION("""COMPUTED_VALUE"""),16.21)</f>
        <v>16.21</v>
      </c>
      <c r="C1293" s="3">
        <v>38.5995433499559</v>
      </c>
    </row>
    <row r="1294">
      <c r="A1294" s="1">
        <f>IFERROR(__xludf.DUMMYFUNCTION("""COMPUTED_VALUE"""),42233.66666666667)</f>
        <v>42233.66667</v>
      </c>
      <c r="B1294" s="2">
        <f>IFERROR(__xludf.DUMMYFUNCTION("""COMPUTED_VALUE"""),17.0)</f>
        <v>17</v>
      </c>
      <c r="C1294" s="3">
        <v>41.3969966363276</v>
      </c>
    </row>
    <row r="1295">
      <c r="A1295" s="1">
        <f>IFERROR(__xludf.DUMMYFUNCTION("""COMPUTED_VALUE"""),42234.66666666667)</f>
        <v>42234.66667</v>
      </c>
      <c r="B1295" s="2">
        <f>IFERROR(__xludf.DUMMYFUNCTION("""COMPUTED_VALUE"""),17.38)</f>
        <v>17.38</v>
      </c>
      <c r="C1295" s="3">
        <v>41.4465915449761</v>
      </c>
    </row>
    <row r="1296">
      <c r="A1296" s="1">
        <f>IFERROR(__xludf.DUMMYFUNCTION("""COMPUTED_VALUE"""),42235.66666666667)</f>
        <v>42235.66667</v>
      </c>
      <c r="B1296" s="2">
        <f>IFERROR(__xludf.DUMMYFUNCTION("""COMPUTED_VALUE"""),17.02)</f>
        <v>17.02</v>
      </c>
      <c r="C1296" s="3">
        <v>41.8368217576933</v>
      </c>
    </row>
    <row r="1297">
      <c r="A1297" s="1">
        <f>IFERROR(__xludf.DUMMYFUNCTION("""COMPUTED_VALUE"""),42236.66666666667)</f>
        <v>42236.66667</v>
      </c>
      <c r="B1297" s="2">
        <f>IFERROR(__xludf.DUMMYFUNCTION("""COMPUTED_VALUE"""),16.15)</f>
        <v>16.15</v>
      </c>
      <c r="C1297" s="3">
        <v>41.2485970565879</v>
      </c>
    </row>
    <row r="1298">
      <c r="A1298" s="1">
        <f>IFERROR(__xludf.DUMMYFUNCTION("""COMPUTED_VALUE"""),42237.66666666667)</f>
        <v>42237.66667</v>
      </c>
      <c r="B1298" s="2">
        <f>IFERROR(__xludf.DUMMYFUNCTION("""COMPUTED_VALUE"""),15.38)</f>
        <v>15.38</v>
      </c>
      <c r="C1298" s="3">
        <v>40.5875976818832</v>
      </c>
    </row>
    <row r="1299">
      <c r="A1299" s="1">
        <f>IFERROR(__xludf.DUMMYFUNCTION("""COMPUTED_VALUE"""),42240.66666666667)</f>
        <v>42240.66667</v>
      </c>
      <c r="B1299" s="2">
        <f>IFERROR(__xludf.DUMMYFUNCTION("""COMPUTED_VALUE"""),14.59)</f>
        <v>14.59</v>
      </c>
      <c r="C1299" s="3">
        <v>42.5300506711755</v>
      </c>
    </row>
    <row r="1300">
      <c r="A1300" s="1">
        <f>IFERROR(__xludf.DUMMYFUNCTION("""COMPUTED_VALUE"""),42241.66666666667)</f>
        <v>42241.66667</v>
      </c>
      <c r="B1300" s="2">
        <f>IFERROR(__xludf.DUMMYFUNCTION("""COMPUTED_VALUE"""),14.67)</f>
        <v>14.67</v>
      </c>
      <c r="C1300" s="3">
        <v>42.3340218208053</v>
      </c>
    </row>
    <row r="1301">
      <c r="A1301" s="1">
        <f>IFERROR(__xludf.DUMMYFUNCTION("""COMPUTED_VALUE"""),42242.66666666667)</f>
        <v>42242.66667</v>
      </c>
      <c r="B1301" s="2">
        <f>IFERROR(__xludf.DUMMYFUNCTION("""COMPUTED_VALUE"""),14.99)</f>
        <v>14.99</v>
      </c>
      <c r="C1301" s="3">
        <v>42.5107130878295</v>
      </c>
    </row>
    <row r="1302">
      <c r="A1302" s="1">
        <f>IFERROR(__xludf.DUMMYFUNCTION("""COMPUTED_VALUE"""),42243.66666666667)</f>
        <v>42243.66667</v>
      </c>
      <c r="B1302" s="2">
        <f>IFERROR(__xludf.DUMMYFUNCTION("""COMPUTED_VALUE"""),16.2)</f>
        <v>16.2</v>
      </c>
      <c r="C1302" s="3">
        <v>41.7465069821837</v>
      </c>
    </row>
    <row r="1303">
      <c r="A1303" s="1">
        <f>IFERROR(__xludf.DUMMYFUNCTION("""COMPUTED_VALUE"""),42244.66666666667)</f>
        <v>42244.66667</v>
      </c>
      <c r="B1303" s="2">
        <f>IFERROR(__xludf.DUMMYFUNCTION("""COMPUTED_VALUE"""),16.57)</f>
        <v>16.57</v>
      </c>
      <c r="C1303" s="3">
        <v>40.9509899805648</v>
      </c>
    </row>
    <row r="1304">
      <c r="A1304" s="1">
        <f>IFERROR(__xludf.DUMMYFUNCTION("""COMPUTED_VALUE"""),42247.66666666667)</f>
        <v>42247.66667</v>
      </c>
      <c r="B1304" s="2">
        <f>IFERROR(__xludf.DUMMYFUNCTION("""COMPUTED_VALUE"""),16.6)</f>
        <v>16.6</v>
      </c>
      <c r="C1304" s="3">
        <v>42.752214132926</v>
      </c>
    </row>
    <row r="1305">
      <c r="A1305" s="1">
        <f>IFERROR(__xludf.DUMMYFUNCTION("""COMPUTED_VALUE"""),42248.66666666667)</f>
        <v>42248.66667</v>
      </c>
      <c r="B1305" s="2">
        <f>IFERROR(__xludf.DUMMYFUNCTION("""COMPUTED_VALUE"""),15.91)</f>
        <v>15.91</v>
      </c>
      <c r="C1305" s="3">
        <v>42.592414740561</v>
      </c>
    </row>
    <row r="1306">
      <c r="A1306" s="1">
        <f>IFERROR(__xludf.DUMMYFUNCTION("""COMPUTED_VALUE"""),42249.66666666667)</f>
        <v>42249.66667</v>
      </c>
      <c r="B1306" s="2">
        <f>IFERROR(__xludf.DUMMYFUNCTION("""COMPUTED_VALUE"""),16.51)</f>
        <v>16.51</v>
      </c>
      <c r="C1306" s="3">
        <v>42.8407937954095</v>
      </c>
    </row>
    <row r="1307">
      <c r="A1307" s="1">
        <f>IFERROR(__xludf.DUMMYFUNCTION("""COMPUTED_VALUE"""),42250.66666666667)</f>
        <v>42250.66667</v>
      </c>
      <c r="B1307" s="2">
        <f>IFERROR(__xludf.DUMMYFUNCTION("""COMPUTED_VALUE"""),16.37)</f>
        <v>16.37</v>
      </c>
      <c r="C1307" s="3">
        <v>42.1778150595668</v>
      </c>
    </row>
    <row r="1308">
      <c r="A1308" s="1">
        <f>IFERROR(__xludf.DUMMYFUNCTION("""COMPUTED_VALUE"""),42251.66666666667)</f>
        <v>42251.66667</v>
      </c>
      <c r="B1308" s="2">
        <f>IFERROR(__xludf.DUMMYFUNCTION("""COMPUTED_VALUE"""),16.13)</f>
        <v>16.13</v>
      </c>
      <c r="C1308" s="3">
        <v>41.5059549914766</v>
      </c>
    </row>
    <row r="1309">
      <c r="A1309" s="1">
        <f>IFERROR(__xludf.DUMMYFUNCTION("""COMPUTED_VALUE"""),42255.66666666667)</f>
        <v>42255.66667</v>
      </c>
      <c r="B1309" s="2">
        <f>IFERROR(__xludf.DUMMYFUNCTION("""COMPUTED_VALUE"""),16.54)</f>
        <v>16.54</v>
      </c>
      <c r="C1309" s="3">
        <v>43.6975187206271</v>
      </c>
    </row>
    <row r="1310">
      <c r="A1310" s="1">
        <f>IFERROR(__xludf.DUMMYFUNCTION("""COMPUTED_VALUE"""),42256.66666666667)</f>
        <v>42256.66667</v>
      </c>
      <c r="B1310" s="2">
        <f>IFERROR(__xludf.DUMMYFUNCTION("""COMPUTED_VALUE"""),16.59)</f>
        <v>16.59</v>
      </c>
      <c r="C1310" s="3">
        <v>44.0527681197566</v>
      </c>
    </row>
    <row r="1311">
      <c r="A1311" s="1">
        <f>IFERROR(__xludf.DUMMYFUNCTION("""COMPUTED_VALUE"""),42257.66666666667)</f>
        <v>42257.66667</v>
      </c>
      <c r="B1311" s="2">
        <f>IFERROR(__xludf.DUMMYFUNCTION("""COMPUTED_VALUE"""),16.57)</f>
        <v>16.57</v>
      </c>
      <c r="C1311" s="3">
        <v>43.4674497585016</v>
      </c>
    </row>
    <row r="1312">
      <c r="A1312" s="1">
        <f>IFERROR(__xludf.DUMMYFUNCTION("""COMPUTED_VALUE"""),42258.66666666667)</f>
        <v>42258.66667</v>
      </c>
      <c r="B1312" s="2">
        <f>IFERROR(__xludf.DUMMYFUNCTION("""COMPUTED_VALUE"""),16.68)</f>
        <v>16.68</v>
      </c>
      <c r="C1312" s="3">
        <v>42.8368934552893</v>
      </c>
    </row>
    <row r="1313">
      <c r="A1313" s="1">
        <f>IFERROR(__xludf.DUMMYFUNCTION("""COMPUTED_VALUE"""),42261.66666666667)</f>
        <v>42261.66667</v>
      </c>
      <c r="B1313" s="2">
        <f>IFERROR(__xludf.DUMMYFUNCTION("""COMPUTED_VALUE"""),16.88)</f>
        <v>16.88</v>
      </c>
      <c r="C1313" s="3">
        <v>44.9142871693273</v>
      </c>
    </row>
    <row r="1314">
      <c r="A1314" s="1">
        <f>IFERROR(__xludf.DUMMYFUNCTION("""COMPUTED_VALUE"""),42262.66666666667)</f>
        <v>42262.66667</v>
      </c>
      <c r="B1314" s="2">
        <f>IFERROR(__xludf.DUMMYFUNCTION("""COMPUTED_VALUE"""),16.9)</f>
        <v>16.9</v>
      </c>
      <c r="C1314" s="3">
        <v>44.7346506926128</v>
      </c>
    </row>
    <row r="1315">
      <c r="A1315" s="1">
        <f>IFERROR(__xludf.DUMMYFUNCTION("""COMPUTED_VALUE"""),42263.66666666667)</f>
        <v>42263.66667</v>
      </c>
      <c r="B1315" s="2">
        <f>IFERROR(__xludf.DUMMYFUNCTION("""COMPUTED_VALUE"""),17.48)</f>
        <v>17.48</v>
      </c>
      <c r="C1315" s="3">
        <v>44.8924143677191</v>
      </c>
    </row>
    <row r="1316">
      <c r="A1316" s="1">
        <f>IFERROR(__xludf.DUMMYFUNCTION("""COMPUTED_VALUE"""),42264.66666666667)</f>
        <v>42264.66667</v>
      </c>
      <c r="B1316" s="2">
        <f>IFERROR(__xludf.DUMMYFUNCTION("""COMPUTED_VALUE"""),17.47)</f>
        <v>17.47</v>
      </c>
      <c r="C1316" s="3">
        <v>44.0627683686559</v>
      </c>
    </row>
    <row r="1317">
      <c r="A1317" s="1">
        <f>IFERROR(__xludf.DUMMYFUNCTION("""COMPUTED_VALUE"""),42265.66666666667)</f>
        <v>42265.66667</v>
      </c>
      <c r="B1317" s="2">
        <f>IFERROR(__xludf.DUMMYFUNCTION("""COMPUTED_VALUE"""),17.37)</f>
        <v>17.37</v>
      </c>
      <c r="C1317" s="3">
        <v>43.1457501399918</v>
      </c>
    </row>
    <row r="1318">
      <c r="A1318" s="1">
        <f>IFERROR(__xludf.DUMMYFUNCTION("""COMPUTED_VALUE"""),42268.66666666667)</f>
        <v>42268.66667</v>
      </c>
      <c r="B1318" s="2">
        <f>IFERROR(__xludf.DUMMYFUNCTION("""COMPUTED_VALUE"""),17.61)</f>
        <v>17.61</v>
      </c>
      <c r="C1318" s="3">
        <v>44.1840255100902</v>
      </c>
    </row>
    <row r="1319">
      <c r="A1319" s="1">
        <f>IFERROR(__xludf.DUMMYFUNCTION("""COMPUTED_VALUE"""),42269.66666666667)</f>
        <v>42269.66667</v>
      </c>
      <c r="B1319" s="2">
        <f>IFERROR(__xludf.DUMMYFUNCTION("""COMPUTED_VALUE"""),17.4)</f>
        <v>17.4</v>
      </c>
      <c r="C1319" s="3">
        <v>43.6298084700896</v>
      </c>
    </row>
    <row r="1320">
      <c r="A1320" s="1">
        <f>IFERROR(__xludf.DUMMYFUNCTION("""COMPUTED_VALUE"""),42270.66666666667)</f>
        <v>42270.66667</v>
      </c>
      <c r="B1320" s="2">
        <f>IFERROR(__xludf.DUMMYFUNCTION("""COMPUTED_VALUE"""),17.4)</f>
        <v>17.4</v>
      </c>
      <c r="C1320" s="3">
        <v>43.4175180077085</v>
      </c>
    </row>
    <row r="1321">
      <c r="A1321" s="1">
        <f>IFERROR(__xludf.DUMMYFUNCTION("""COMPUTED_VALUE"""),42271.66666666667)</f>
        <v>42271.66667</v>
      </c>
      <c r="B1321" s="2">
        <f>IFERROR(__xludf.DUMMYFUNCTION("""COMPUTED_VALUE"""),17.54)</f>
        <v>17.54</v>
      </c>
      <c r="C1321" s="3">
        <v>42.2345390157305</v>
      </c>
    </row>
    <row r="1322">
      <c r="A1322" s="1">
        <f>IFERROR(__xludf.DUMMYFUNCTION("""COMPUTED_VALUE"""),42272.66666666667)</f>
        <v>42272.66667</v>
      </c>
      <c r="B1322" s="2">
        <f>IFERROR(__xludf.DUMMYFUNCTION("""COMPUTED_VALUE"""),17.13)</f>
        <v>17.13</v>
      </c>
      <c r="C1322" s="3">
        <v>40.9932924698581</v>
      </c>
    </row>
    <row r="1323">
      <c r="A1323" s="1">
        <f>IFERROR(__xludf.DUMMYFUNCTION("""COMPUTED_VALUE"""),42275.66666666667)</f>
        <v>42275.66667</v>
      </c>
      <c r="B1323" s="2">
        <f>IFERROR(__xludf.DUMMYFUNCTION("""COMPUTED_VALUE"""),16.56)</f>
        <v>16.56</v>
      </c>
      <c r="C1323" s="3">
        <v>41.3523777311964</v>
      </c>
    </row>
    <row r="1324">
      <c r="A1324" s="1">
        <f>IFERROR(__xludf.DUMMYFUNCTION("""COMPUTED_VALUE"""),42276.66666666667)</f>
        <v>42276.66667</v>
      </c>
      <c r="B1324" s="2">
        <f>IFERROR(__xludf.DUMMYFUNCTION("""COMPUTED_VALUE"""),16.44)</f>
        <v>16.44</v>
      </c>
      <c r="C1324" s="3">
        <v>40.7049985047633</v>
      </c>
    </row>
    <row r="1325">
      <c r="A1325" s="1">
        <f>IFERROR(__xludf.DUMMYFUNCTION("""COMPUTED_VALUE"""),42277.66666666667)</f>
        <v>42277.66667</v>
      </c>
      <c r="B1325" s="2">
        <f>IFERROR(__xludf.DUMMYFUNCTION("""COMPUTED_VALUE"""),16.56)</f>
        <v>16.56</v>
      </c>
      <c r="C1325" s="3">
        <v>40.4805583037322</v>
      </c>
    </row>
    <row r="1326">
      <c r="A1326" s="1">
        <f>IFERROR(__xludf.DUMMYFUNCTION("""COMPUTED_VALUE"""),42278.66666666667)</f>
        <v>42278.66667</v>
      </c>
      <c r="B1326" s="2">
        <f>IFERROR(__xludf.DUMMYFUNCTION("""COMPUTED_VALUE"""),15.99)</f>
        <v>15.99</v>
      </c>
      <c r="C1326" s="3">
        <v>39.3724663762058</v>
      </c>
    </row>
    <row r="1327">
      <c r="A1327" s="1">
        <f>IFERROR(__xludf.DUMMYFUNCTION("""COMPUTED_VALUE"""),42279.66666666667)</f>
        <v>42279.66667</v>
      </c>
      <c r="B1327" s="2">
        <f>IFERROR(__xludf.DUMMYFUNCTION("""COMPUTED_VALUE"""),16.5)</f>
        <v>16.5</v>
      </c>
      <c r="C1327" s="3">
        <v>38.2970887010309</v>
      </c>
    </row>
    <row r="1328">
      <c r="A1328" s="1">
        <f>IFERROR(__xludf.DUMMYFUNCTION("""COMPUTED_VALUE"""),42282.66666666667)</f>
        <v>42282.66667</v>
      </c>
      <c r="B1328" s="2">
        <f>IFERROR(__xludf.DUMMYFUNCTION("""COMPUTED_VALUE"""),16.41)</f>
        <v>16.41</v>
      </c>
      <c r="C1328" s="3">
        <v>39.7048287118692</v>
      </c>
    </row>
    <row r="1329">
      <c r="A1329" s="1">
        <f>IFERROR(__xludf.DUMMYFUNCTION("""COMPUTED_VALUE"""),42283.66666666667)</f>
        <v>42283.66667</v>
      </c>
      <c r="B1329" s="2">
        <f>IFERROR(__xludf.DUMMYFUNCTION("""COMPUTED_VALUE"""),16.1)</f>
        <v>16.1</v>
      </c>
      <c r="C1329" s="3">
        <v>39.5805350189463</v>
      </c>
    </row>
    <row r="1330">
      <c r="A1330" s="1">
        <f>IFERROR(__xludf.DUMMYFUNCTION("""COMPUTED_VALUE"""),42284.66666666667)</f>
        <v>42284.66667</v>
      </c>
      <c r="B1330" s="2">
        <f>IFERROR(__xludf.DUMMYFUNCTION("""COMPUTED_VALUE"""),15.46)</f>
        <v>15.46</v>
      </c>
      <c r="C1330" s="3">
        <v>39.9550345158471</v>
      </c>
    </row>
    <row r="1331">
      <c r="A1331" s="1">
        <f>IFERROR(__xludf.DUMMYFUNCTION("""COMPUTED_VALUE"""),42285.66666666667)</f>
        <v>42285.66667</v>
      </c>
      <c r="B1331" s="2">
        <f>IFERROR(__xludf.DUMMYFUNCTION("""COMPUTED_VALUE"""),15.11)</f>
        <v>15.11</v>
      </c>
      <c r="C1331" s="3">
        <v>39.5119313027058</v>
      </c>
    </row>
    <row r="1332">
      <c r="A1332" s="1">
        <f>IFERROR(__xludf.DUMMYFUNCTION("""COMPUTED_VALUE"""),42286.66666666667)</f>
        <v>42286.66667</v>
      </c>
      <c r="B1332" s="2">
        <f>IFERROR(__xludf.DUMMYFUNCTION("""COMPUTED_VALUE"""),14.71)</f>
        <v>14.71</v>
      </c>
      <c r="C1332" s="3">
        <v>39.1558980981336</v>
      </c>
    </row>
    <row r="1333">
      <c r="A1333" s="1">
        <f>IFERROR(__xludf.DUMMYFUNCTION("""COMPUTED_VALUE"""),42289.66666666667)</f>
        <v>42289.66667</v>
      </c>
      <c r="B1333" s="2">
        <f>IFERROR(__xludf.DUMMYFUNCTION("""COMPUTED_VALUE"""),14.37)</f>
        <v>14.37</v>
      </c>
      <c r="C1333" s="3">
        <v>42.9087505027363</v>
      </c>
    </row>
    <row r="1334">
      <c r="A1334" s="1">
        <f>IFERROR(__xludf.DUMMYFUNCTION("""COMPUTED_VALUE"""),42290.66666666667)</f>
        <v>42290.66667</v>
      </c>
      <c r="B1334" s="2">
        <f>IFERROR(__xludf.DUMMYFUNCTION("""COMPUTED_VALUE"""),14.62)</f>
        <v>14.62</v>
      </c>
      <c r="C1334" s="3">
        <v>43.5772667370707</v>
      </c>
    </row>
    <row r="1335">
      <c r="A1335" s="1">
        <f>IFERROR(__xludf.DUMMYFUNCTION("""COMPUTED_VALUE"""),42291.66666666667)</f>
        <v>42291.66667</v>
      </c>
      <c r="B1335" s="2">
        <f>IFERROR(__xludf.DUMMYFUNCTION("""COMPUTED_VALUE"""),14.46)</f>
        <v>14.46</v>
      </c>
      <c r="C1335" s="3">
        <v>44.7234304536321</v>
      </c>
    </row>
    <row r="1336">
      <c r="A1336" s="1">
        <f>IFERROR(__xludf.DUMMYFUNCTION("""COMPUTED_VALUE"""),42292.66666666667)</f>
        <v>42292.66667</v>
      </c>
      <c r="B1336" s="2">
        <f>IFERROR(__xludf.DUMMYFUNCTION("""COMPUTED_VALUE"""),14.75)</f>
        <v>14.75</v>
      </c>
      <c r="C1336" s="3">
        <v>45.0150572368918</v>
      </c>
    </row>
    <row r="1337">
      <c r="A1337" s="1">
        <f>IFERROR(__xludf.DUMMYFUNCTION("""COMPUTED_VALUE"""),42293.66666666667)</f>
        <v>42293.66667</v>
      </c>
      <c r="B1337" s="2">
        <f>IFERROR(__xludf.DUMMYFUNCTION("""COMPUTED_VALUE"""),15.13)</f>
        <v>15.13</v>
      </c>
      <c r="C1337" s="3">
        <v>45.3417698697133</v>
      </c>
    </row>
    <row r="1338">
      <c r="A1338" s="1">
        <f>IFERROR(__xludf.DUMMYFUNCTION("""COMPUTED_VALUE"""),42296.66666666667)</f>
        <v>42296.66667</v>
      </c>
      <c r="B1338" s="2">
        <f>IFERROR(__xludf.DUMMYFUNCTION("""COMPUTED_VALUE"""),15.21)</f>
        <v>15.21</v>
      </c>
      <c r="C1338" s="3">
        <v>50.6996960578508</v>
      </c>
    </row>
    <row r="1339">
      <c r="A1339" s="1">
        <f>IFERROR(__xludf.DUMMYFUNCTION("""COMPUTED_VALUE"""),42297.66666666667)</f>
        <v>42297.66667</v>
      </c>
      <c r="B1339" s="2">
        <f>IFERROR(__xludf.DUMMYFUNCTION("""COMPUTED_VALUE"""),14.2)</f>
        <v>14.2</v>
      </c>
      <c r="C1339" s="3">
        <v>51.7205689837941</v>
      </c>
    </row>
    <row r="1340">
      <c r="A1340" s="1">
        <f>IFERROR(__xludf.DUMMYFUNCTION("""COMPUTED_VALUE"""),42298.66666666667)</f>
        <v>42298.66667</v>
      </c>
      <c r="B1340" s="2">
        <f>IFERROR(__xludf.DUMMYFUNCTION("""COMPUTED_VALUE"""),14.01)</f>
        <v>14.01</v>
      </c>
      <c r="C1340" s="3">
        <v>53.115658355667</v>
      </c>
    </row>
    <row r="1341">
      <c r="A1341" s="1">
        <f>IFERROR(__xludf.DUMMYFUNCTION("""COMPUTED_VALUE"""),42299.66666666667)</f>
        <v>42299.66667</v>
      </c>
      <c r="B1341" s="2">
        <f>IFERROR(__xludf.DUMMYFUNCTION("""COMPUTED_VALUE"""),14.11)</f>
        <v>14.11</v>
      </c>
      <c r="C1341" s="3">
        <v>53.5491676542707</v>
      </c>
    </row>
    <row r="1342">
      <c r="A1342" s="1">
        <f>IFERROR(__xludf.DUMMYFUNCTION("""COMPUTED_VALUE"""),42300.66666666667)</f>
        <v>42300.66667</v>
      </c>
      <c r="B1342" s="2">
        <f>IFERROR(__xludf.DUMMYFUNCTION("""COMPUTED_VALUE"""),13.94)</f>
        <v>13.94</v>
      </c>
      <c r="C1342" s="3">
        <v>53.9096948951315</v>
      </c>
    </row>
    <row r="1343">
      <c r="A1343" s="1">
        <f>IFERROR(__xludf.DUMMYFUNCTION("""COMPUTED_VALUE"""),42303.66666666667)</f>
        <v>42303.66667</v>
      </c>
      <c r="B1343" s="2">
        <f>IFERROR(__xludf.DUMMYFUNCTION("""COMPUTED_VALUE"""),14.35)</f>
        <v>14.35</v>
      </c>
      <c r="C1343" s="3">
        <v>58.7490697332044</v>
      </c>
    </row>
    <row r="1344">
      <c r="A1344" s="1">
        <f>IFERROR(__xludf.DUMMYFUNCTION("""COMPUTED_VALUE"""),42304.66666666667)</f>
        <v>42304.66667</v>
      </c>
      <c r="B1344" s="2">
        <f>IFERROR(__xludf.DUMMYFUNCTION("""COMPUTED_VALUE"""),14.02)</f>
        <v>14.02</v>
      </c>
      <c r="C1344" s="3">
        <v>59.4120657200132</v>
      </c>
    </row>
    <row r="1345">
      <c r="A1345" s="1">
        <f>IFERROR(__xludf.DUMMYFUNCTION("""COMPUTED_VALUE"""),42305.66666666667)</f>
        <v>42305.66667</v>
      </c>
      <c r="B1345" s="2">
        <f>IFERROR(__xludf.DUMMYFUNCTION("""COMPUTED_VALUE"""),14.2)</f>
        <v>14.2</v>
      </c>
      <c r="C1345" s="3">
        <v>60.3729920456608</v>
      </c>
    </row>
    <row r="1346">
      <c r="A1346" s="1">
        <f>IFERROR(__xludf.DUMMYFUNCTION("""COMPUTED_VALUE"""),42306.66666666667)</f>
        <v>42306.66667</v>
      </c>
      <c r="B1346" s="2">
        <f>IFERROR(__xludf.DUMMYFUNCTION("""COMPUTED_VALUE"""),14.11)</f>
        <v>14.11</v>
      </c>
      <c r="C1346" s="3">
        <v>60.3084571788912</v>
      </c>
    </row>
    <row r="1347">
      <c r="A1347" s="1">
        <f>IFERROR(__xludf.DUMMYFUNCTION("""COMPUTED_VALUE"""),42307.66666666667)</f>
        <v>42307.66667</v>
      </c>
      <c r="B1347" s="2">
        <f>IFERROR(__xludf.DUMMYFUNCTION("""COMPUTED_VALUE"""),13.8)</f>
        <v>13.8</v>
      </c>
      <c r="C1347" s="3">
        <v>60.1207641545157</v>
      </c>
    </row>
    <row r="1348">
      <c r="A1348" s="1">
        <f>IFERROR(__xludf.DUMMYFUNCTION("""COMPUTED_VALUE"""),42310.66666666667)</f>
        <v>42310.66667</v>
      </c>
      <c r="B1348" s="2">
        <f>IFERROR(__xludf.DUMMYFUNCTION("""COMPUTED_VALUE"""),14.25)</f>
        <v>14.25</v>
      </c>
      <c r="C1348" s="3">
        <v>63.1625479818061</v>
      </c>
    </row>
    <row r="1349">
      <c r="A1349" s="1">
        <f>IFERROR(__xludf.DUMMYFUNCTION("""COMPUTED_VALUE"""),42311.66666666667)</f>
        <v>42311.66667</v>
      </c>
      <c r="B1349" s="2">
        <f>IFERROR(__xludf.DUMMYFUNCTION("""COMPUTED_VALUE"""),13.89)</f>
        <v>13.89</v>
      </c>
      <c r="C1349" s="3">
        <v>63.2254684557541</v>
      </c>
    </row>
    <row r="1350">
      <c r="A1350" s="1">
        <f>IFERROR(__xludf.DUMMYFUNCTION("""COMPUTED_VALUE"""),42312.66666666667)</f>
        <v>42312.66667</v>
      </c>
      <c r="B1350" s="2">
        <f>IFERROR(__xludf.DUMMYFUNCTION("""COMPUTED_VALUE"""),15.44)</f>
        <v>15.44</v>
      </c>
      <c r="C1350" s="3">
        <v>63.609799583171</v>
      </c>
    </row>
    <row r="1351">
      <c r="A1351" s="1">
        <f>IFERROR(__xludf.DUMMYFUNCTION("""COMPUTED_VALUE"""),42313.66666666667)</f>
        <v>42313.66667</v>
      </c>
      <c r="B1351" s="2">
        <f>IFERROR(__xludf.DUMMYFUNCTION("""COMPUTED_VALUE"""),15.45)</f>
        <v>15.45</v>
      </c>
      <c r="C1351" s="3">
        <v>63.0049703968081</v>
      </c>
    </row>
    <row r="1352">
      <c r="A1352" s="1">
        <f>IFERROR(__xludf.DUMMYFUNCTION("""COMPUTED_VALUE"""),42314.66666666667)</f>
        <v>42314.66667</v>
      </c>
      <c r="B1352" s="2">
        <f>IFERROR(__xludf.DUMMYFUNCTION("""COMPUTED_VALUE"""),15.49)</f>
        <v>15.49</v>
      </c>
      <c r="C1352" s="3">
        <v>62.3245709080804</v>
      </c>
    </row>
    <row r="1353">
      <c r="A1353" s="1">
        <f>IFERROR(__xludf.DUMMYFUNCTION("""COMPUTED_VALUE"""),42317.66666666667)</f>
        <v>42317.66667</v>
      </c>
      <c r="B1353" s="2">
        <f>IFERROR(__xludf.DUMMYFUNCTION("""COMPUTED_VALUE"""),15.02)</f>
        <v>15.02</v>
      </c>
      <c r="C1353" s="3">
        <v>64.2575748842668</v>
      </c>
    </row>
    <row r="1354">
      <c r="A1354" s="1">
        <f>IFERROR(__xludf.DUMMYFUNCTION("""COMPUTED_VALUE"""),42318.66666666667)</f>
        <v>42318.66667</v>
      </c>
      <c r="B1354" s="2">
        <f>IFERROR(__xludf.DUMMYFUNCTION("""COMPUTED_VALUE"""),14.43)</f>
        <v>14.43</v>
      </c>
      <c r="C1354" s="3">
        <v>64.0908124607485</v>
      </c>
    </row>
    <row r="1355">
      <c r="A1355" s="1">
        <f>IFERROR(__xludf.DUMMYFUNCTION("""COMPUTED_VALUE"""),42319.66666666667)</f>
        <v>42319.66667</v>
      </c>
      <c r="B1355" s="2">
        <f>IFERROR(__xludf.DUMMYFUNCTION("""COMPUTED_VALUE"""),14.61)</f>
        <v>14.61</v>
      </c>
      <c r="C1355" s="3">
        <v>64.3178349832799</v>
      </c>
    </row>
    <row r="1356">
      <c r="A1356" s="1">
        <f>IFERROR(__xludf.DUMMYFUNCTION("""COMPUTED_VALUE"""),42320.66666666667)</f>
        <v>42320.66667</v>
      </c>
      <c r="B1356" s="2">
        <f>IFERROR(__xludf.DUMMYFUNCTION("""COMPUTED_VALUE"""),14.2)</f>
        <v>14.2</v>
      </c>
      <c r="C1356" s="3">
        <v>63.6258930268525</v>
      </c>
    </row>
    <row r="1357">
      <c r="A1357" s="1">
        <f>IFERROR(__xludf.DUMMYFUNCTION("""COMPUTED_VALUE"""),42321.66666666667)</f>
        <v>42321.66667</v>
      </c>
      <c r="B1357" s="2">
        <f>IFERROR(__xludf.DUMMYFUNCTION("""COMPUTED_VALUE"""),13.81)</f>
        <v>13.81</v>
      </c>
      <c r="C1357" s="3">
        <v>62.9240876895391</v>
      </c>
    </row>
    <row r="1358">
      <c r="A1358" s="1">
        <f>IFERROR(__xludf.DUMMYFUNCTION("""COMPUTED_VALUE"""),42324.66666666667)</f>
        <v>42324.66667</v>
      </c>
      <c r="B1358" s="2">
        <f>IFERROR(__xludf.DUMMYFUNCTION("""COMPUTED_VALUE"""),14.29)</f>
        <v>14.29</v>
      </c>
      <c r="C1358" s="3">
        <v>65.1116593903655</v>
      </c>
    </row>
    <row r="1359">
      <c r="A1359" s="1">
        <f>IFERROR(__xludf.DUMMYFUNCTION("""COMPUTED_VALUE"""),42325.66666666667)</f>
        <v>42325.66667</v>
      </c>
      <c r="B1359" s="2">
        <f>IFERROR(__xludf.DUMMYFUNCTION("""COMPUTED_VALUE"""),14.27)</f>
        <v>14.27</v>
      </c>
      <c r="C1359" s="3">
        <v>65.1026079804472</v>
      </c>
    </row>
    <row r="1360">
      <c r="A1360" s="1">
        <f>IFERROR(__xludf.DUMMYFUNCTION("""COMPUTED_VALUE"""),42326.66666666667)</f>
        <v>42326.66667</v>
      </c>
      <c r="B1360" s="2">
        <f>IFERROR(__xludf.DUMMYFUNCTION("""COMPUTED_VALUE"""),14.74)</f>
        <v>14.74</v>
      </c>
      <c r="C1360" s="3">
        <v>65.5041412315984</v>
      </c>
    </row>
    <row r="1361">
      <c r="A1361" s="1">
        <f>IFERROR(__xludf.DUMMYFUNCTION("""COMPUTED_VALUE"""),42327.66666666667)</f>
        <v>42327.66667</v>
      </c>
      <c r="B1361" s="2">
        <f>IFERROR(__xludf.DUMMYFUNCTION("""COMPUTED_VALUE"""),14.79)</f>
        <v>14.79</v>
      </c>
      <c r="C1361" s="3">
        <v>64.9908043385029</v>
      </c>
    </row>
    <row r="1362">
      <c r="A1362" s="1">
        <f>IFERROR(__xludf.DUMMYFUNCTION("""COMPUTED_VALUE"""),42328.66666666667)</f>
        <v>42328.66667</v>
      </c>
      <c r="B1362" s="2">
        <f>IFERROR(__xludf.DUMMYFUNCTION("""COMPUTED_VALUE"""),14.67)</f>
        <v>14.67</v>
      </c>
      <c r="C1362" s="3">
        <v>64.4589660170811</v>
      </c>
    </row>
    <row r="1363">
      <c r="A1363" s="1">
        <f>IFERROR(__xludf.DUMMYFUNCTION("""COMPUTED_VALUE"""),42331.66666666667)</f>
        <v>42331.66667</v>
      </c>
      <c r="B1363" s="2">
        <f>IFERROR(__xludf.DUMMYFUNCTION("""COMPUTED_VALUE"""),14.52)</f>
        <v>14.52</v>
      </c>
      <c r="C1363" s="3">
        <v>66.9858396209336</v>
      </c>
    </row>
    <row r="1364">
      <c r="A1364" s="1">
        <f>IFERROR(__xludf.DUMMYFUNCTION("""COMPUTED_VALUE"""),42332.66666666667)</f>
        <v>42332.66667</v>
      </c>
      <c r="B1364" s="2">
        <f>IFERROR(__xludf.DUMMYFUNCTION("""COMPUTED_VALUE"""),14.55)</f>
        <v>14.55</v>
      </c>
      <c r="C1364" s="3">
        <v>66.9990997356457</v>
      </c>
    </row>
    <row r="1365">
      <c r="A1365" s="1">
        <f>IFERROR(__xludf.DUMMYFUNCTION("""COMPUTED_VALUE"""),42333.66666666667)</f>
        <v>42333.66667</v>
      </c>
      <c r="B1365" s="2">
        <f>IFERROR(__xludf.DUMMYFUNCTION("""COMPUTED_VALUE"""),15.31)</f>
        <v>15.31</v>
      </c>
      <c r="C1365" s="3">
        <v>67.3646720811449</v>
      </c>
    </row>
    <row r="1366">
      <c r="A1366" s="1">
        <f>IFERROR(__xludf.DUMMYFUNCTION("""COMPUTED_VALUE"""),42335.66666666667)</f>
        <v>42335.66667</v>
      </c>
      <c r="B1366" s="2">
        <f>IFERROR(__xludf.DUMMYFUNCTION("""COMPUTED_VALUE"""),15.44)</f>
        <v>15.44</v>
      </c>
      <c r="C1366" s="3">
        <v>66.0564499722104</v>
      </c>
    </row>
    <row r="1367">
      <c r="A1367" s="1">
        <f>IFERROR(__xludf.DUMMYFUNCTION("""COMPUTED_VALUE"""),42338.66666666667)</f>
        <v>42338.66667</v>
      </c>
      <c r="B1367" s="2">
        <f>IFERROR(__xludf.DUMMYFUNCTION("""COMPUTED_VALUE"""),15.35)</f>
        <v>15.35</v>
      </c>
      <c r="C1367" s="3">
        <v>67.71318467878</v>
      </c>
    </row>
    <row r="1368">
      <c r="A1368" s="1">
        <f>IFERROR(__xludf.DUMMYFUNCTION("""COMPUTED_VALUE"""),42339.66666666667)</f>
        <v>42339.66667</v>
      </c>
      <c r="B1368" s="2">
        <f>IFERROR(__xludf.DUMMYFUNCTION("""COMPUTED_VALUE"""),15.81)</f>
        <v>15.81</v>
      </c>
      <c r="C1368" s="3">
        <v>67.3274177844643</v>
      </c>
    </row>
    <row r="1369">
      <c r="A1369" s="1">
        <f>IFERROR(__xludf.DUMMYFUNCTION("""COMPUTED_VALUE"""),42340.66666666667)</f>
        <v>42340.66667</v>
      </c>
      <c r="B1369" s="2">
        <f>IFERROR(__xludf.DUMMYFUNCTION("""COMPUTED_VALUE"""),15.47)</f>
        <v>15.47</v>
      </c>
      <c r="C1369" s="3">
        <v>67.2536870655922</v>
      </c>
    </row>
    <row r="1370">
      <c r="A1370" s="1">
        <f>IFERROR(__xludf.DUMMYFUNCTION("""COMPUTED_VALUE"""),42341.66666666667)</f>
        <v>42341.66667</v>
      </c>
      <c r="B1370" s="2">
        <f>IFERROR(__xludf.DUMMYFUNCTION("""COMPUTED_VALUE"""),15.51)</f>
        <v>15.51</v>
      </c>
      <c r="C1370" s="3">
        <v>66.1734171029953</v>
      </c>
    </row>
    <row r="1371">
      <c r="A1371" s="1">
        <f>IFERROR(__xludf.DUMMYFUNCTION("""COMPUTED_VALUE"""),42342.66666666667)</f>
        <v>42342.66667</v>
      </c>
      <c r="B1371" s="2">
        <f>IFERROR(__xludf.DUMMYFUNCTION("""COMPUTED_VALUE"""),15.36)</f>
        <v>15.36</v>
      </c>
      <c r="C1371" s="3">
        <v>64.9937850787475</v>
      </c>
    </row>
    <row r="1372">
      <c r="A1372" s="1">
        <f>IFERROR(__xludf.DUMMYFUNCTION("""COMPUTED_VALUE"""),42345.66666666667)</f>
        <v>42345.66667</v>
      </c>
      <c r="B1372" s="2">
        <f>IFERROR(__xludf.DUMMYFUNCTION("""COMPUTED_VALUE"""),15.41)</f>
        <v>15.41</v>
      </c>
      <c r="C1372" s="3">
        <v>65.2529191873862</v>
      </c>
    </row>
    <row r="1373">
      <c r="A1373" s="1">
        <f>IFERROR(__xludf.DUMMYFUNCTION("""COMPUTED_VALUE"""),42346.66666666667)</f>
        <v>42346.66667</v>
      </c>
      <c r="B1373" s="2">
        <f>IFERROR(__xludf.DUMMYFUNCTION("""COMPUTED_VALUE"""),15.11)</f>
        <v>15.11</v>
      </c>
      <c r="C1373" s="3">
        <v>64.4701882560396</v>
      </c>
    </row>
    <row r="1374">
      <c r="A1374" s="1">
        <f>IFERROR(__xludf.DUMMYFUNCTION("""COMPUTED_VALUE"""),42347.66666666667)</f>
        <v>42347.66667</v>
      </c>
      <c r="B1374" s="2">
        <f>IFERROR(__xludf.DUMMYFUNCTION("""COMPUTED_VALUE"""),14.97)</f>
        <v>14.97</v>
      </c>
      <c r="C1374" s="3">
        <v>64.058947650836</v>
      </c>
    </row>
    <row r="1375">
      <c r="A1375" s="1">
        <f>IFERROR(__xludf.DUMMYFUNCTION("""COMPUTED_VALUE"""),42348.66666666667)</f>
        <v>42348.66667</v>
      </c>
      <c r="B1375" s="2">
        <f>IFERROR(__xludf.DUMMYFUNCTION("""COMPUTED_VALUE"""),15.14)</f>
        <v>15.14</v>
      </c>
      <c r="C1375" s="3">
        <v>62.7142984150194</v>
      </c>
    </row>
    <row r="1376">
      <c r="A1376" s="1">
        <f>IFERROR(__xludf.DUMMYFUNCTION("""COMPUTED_VALUE"""),42349.66666666667)</f>
        <v>42349.66667</v>
      </c>
      <c r="B1376" s="2">
        <f>IFERROR(__xludf.DUMMYFUNCTION("""COMPUTED_VALUE"""),14.47)</f>
        <v>14.47</v>
      </c>
      <c r="C1376" s="3">
        <v>61.3555791044941</v>
      </c>
    </row>
    <row r="1377">
      <c r="A1377" s="1">
        <f>IFERROR(__xludf.DUMMYFUNCTION("""COMPUTED_VALUE"""),42352.66666666667)</f>
        <v>42352.66667</v>
      </c>
      <c r="B1377" s="2">
        <f>IFERROR(__xludf.DUMMYFUNCTION("""COMPUTED_VALUE"""),14.57)</f>
        <v>14.57</v>
      </c>
      <c r="C1377" s="3">
        <v>61.6798652257774</v>
      </c>
    </row>
    <row r="1378">
      <c r="A1378" s="1">
        <f>IFERROR(__xludf.DUMMYFUNCTION("""COMPUTED_VALUE"""),42353.66666666667)</f>
        <v>42353.66667</v>
      </c>
      <c r="B1378" s="2">
        <f>IFERROR(__xludf.DUMMYFUNCTION("""COMPUTED_VALUE"""),14.74)</f>
        <v>14.74</v>
      </c>
      <c r="C1378" s="3">
        <v>61.137327072523</v>
      </c>
    </row>
    <row r="1379">
      <c r="A1379" s="1">
        <f>IFERROR(__xludf.DUMMYFUNCTION("""COMPUTED_VALUE"""),42354.66666666667)</f>
        <v>42354.66667</v>
      </c>
      <c r="B1379" s="2">
        <f>IFERROR(__xludf.DUMMYFUNCTION("""COMPUTED_VALUE"""),15.63)</f>
        <v>15.63</v>
      </c>
      <c r="C1379" s="3">
        <v>61.0772750772477</v>
      </c>
    </row>
    <row r="1380">
      <c r="A1380" s="1">
        <f>IFERROR(__xludf.DUMMYFUNCTION("""COMPUTED_VALUE"""),42355.66666666667)</f>
        <v>42355.66667</v>
      </c>
      <c r="B1380" s="2">
        <f>IFERROR(__xludf.DUMMYFUNCTION("""COMPUTED_VALUE"""),15.56)</f>
        <v>15.56</v>
      </c>
      <c r="C1380" s="3">
        <v>60.1913528913478</v>
      </c>
    </row>
    <row r="1381">
      <c r="A1381" s="1">
        <f>IFERROR(__xludf.DUMMYFUNCTION("""COMPUTED_VALUE"""),42356.66666666667)</f>
        <v>42356.66667</v>
      </c>
      <c r="B1381" s="2">
        <f>IFERROR(__xludf.DUMMYFUNCTION("""COMPUTED_VALUE"""),15.36)</f>
        <v>15.36</v>
      </c>
      <c r="C1381" s="3">
        <v>59.392411659022</v>
      </c>
    </row>
    <row r="1382">
      <c r="A1382" s="1">
        <f>IFERROR(__xludf.DUMMYFUNCTION("""COMPUTED_VALUE"""),42359.66666666667)</f>
        <v>42359.66667</v>
      </c>
      <c r="B1382" s="2">
        <f>IFERROR(__xludf.DUMMYFUNCTION("""COMPUTED_VALUE"""),15.5)</f>
        <v>15.5</v>
      </c>
      <c r="C1382" s="3">
        <v>61.894673991462</v>
      </c>
    </row>
    <row r="1383">
      <c r="A1383" s="1">
        <f>IFERROR(__xludf.DUMMYFUNCTION("""COMPUTED_VALUE"""),42360.66666666667)</f>
        <v>42360.66667</v>
      </c>
      <c r="B1383" s="2">
        <f>IFERROR(__xludf.DUMMYFUNCTION("""COMPUTED_VALUE"""),15.33)</f>
        <v>15.33</v>
      </c>
      <c r="C1383" s="3">
        <v>62.1958402769399</v>
      </c>
    </row>
    <row r="1384">
      <c r="A1384" s="1">
        <f>IFERROR(__xludf.DUMMYFUNCTION("""COMPUTED_VALUE"""),42361.66666666667)</f>
        <v>42361.66667</v>
      </c>
      <c r="B1384" s="2">
        <f>IFERROR(__xludf.DUMMYFUNCTION("""COMPUTED_VALUE"""),15.31)</f>
        <v>15.31</v>
      </c>
      <c r="C1384" s="3">
        <v>63.008962652361</v>
      </c>
    </row>
    <row r="1385">
      <c r="A1385" s="1">
        <f>IFERROR(__xludf.DUMMYFUNCTION("""COMPUTED_VALUE"""),42362.66666666667)</f>
        <v>42362.66667</v>
      </c>
      <c r="B1385" s="2">
        <f>IFERROR(__xludf.DUMMYFUNCTION("""COMPUTED_VALUE"""),15.37)</f>
        <v>15.37</v>
      </c>
      <c r="C1385" s="3">
        <v>63.0058516338299</v>
      </c>
    </row>
    <row r="1386">
      <c r="A1386" s="1">
        <f>IFERROR(__xludf.DUMMYFUNCTION("""COMPUTED_VALUE"""),42366.66666666667)</f>
        <v>42366.66667</v>
      </c>
      <c r="B1386" s="2">
        <f>IFERROR(__xludf.DUMMYFUNCTION("""COMPUTED_VALUE"""),15.26)</f>
        <v>15.26</v>
      </c>
      <c r="C1386" s="3">
        <v>67.9236841857816</v>
      </c>
    </row>
    <row r="1387">
      <c r="A1387" s="1">
        <f>IFERROR(__xludf.DUMMYFUNCTION("""COMPUTED_VALUE"""),42367.66666666667)</f>
        <v>42367.66667</v>
      </c>
      <c r="B1387" s="2">
        <f>IFERROR(__xludf.DUMMYFUNCTION("""COMPUTED_VALUE"""),15.81)</f>
        <v>15.81</v>
      </c>
      <c r="C1387" s="3">
        <v>68.8494198814579</v>
      </c>
    </row>
    <row r="1388">
      <c r="A1388" s="1">
        <f>IFERROR(__xludf.DUMMYFUNCTION("""COMPUTED_VALUE"""),42368.66666666667)</f>
        <v>42368.66667</v>
      </c>
      <c r="B1388" s="2">
        <f>IFERROR(__xludf.DUMMYFUNCTION("""COMPUTED_VALUE"""),15.87)</f>
        <v>15.87</v>
      </c>
      <c r="C1388" s="3">
        <v>70.1798627645248</v>
      </c>
    </row>
    <row r="1389">
      <c r="A1389" s="1">
        <f>IFERROR(__xludf.DUMMYFUNCTION("""COMPUTED_VALUE"""),42369.66666666667)</f>
        <v>42369.66667</v>
      </c>
      <c r="B1389" s="2">
        <f>IFERROR(__xludf.DUMMYFUNCTION("""COMPUTED_VALUE"""),16.0)</f>
        <v>16</v>
      </c>
      <c r="C1389" s="3">
        <v>70.5725469165387</v>
      </c>
    </row>
    <row r="1390">
      <c r="A1390" s="1">
        <f>IFERROR(__xludf.DUMMYFUNCTION("""COMPUTED_VALUE"""),42373.66666666667)</f>
        <v>42373.66667</v>
      </c>
      <c r="B1390" s="2">
        <f>IFERROR(__xludf.DUMMYFUNCTION("""COMPUTED_VALUE"""),14.89)</f>
        <v>14.89</v>
      </c>
      <c r="C1390" s="3">
        <v>75.6734705352816</v>
      </c>
    </row>
    <row r="1391">
      <c r="A1391" s="1">
        <f>IFERROR(__xludf.DUMMYFUNCTION("""COMPUTED_VALUE"""),42374.66666666667)</f>
        <v>42374.66667</v>
      </c>
      <c r="B1391" s="2">
        <f>IFERROR(__xludf.DUMMYFUNCTION("""COMPUTED_VALUE"""),14.9)</f>
        <v>14.9</v>
      </c>
      <c r="C1391" s="3">
        <v>76.277369920228</v>
      </c>
    </row>
    <row r="1392">
      <c r="A1392" s="1">
        <f>IFERROR(__xludf.DUMMYFUNCTION("""COMPUTED_VALUE"""),42375.66666666667)</f>
        <v>42375.66667</v>
      </c>
      <c r="B1392" s="2">
        <f>IFERROR(__xludf.DUMMYFUNCTION("""COMPUTED_VALUE"""),14.6)</f>
        <v>14.6</v>
      </c>
      <c r="C1392" s="3">
        <v>77.1440056149367</v>
      </c>
    </row>
    <row r="1393">
      <c r="A1393" s="1">
        <f>IFERROR(__xludf.DUMMYFUNCTION("""COMPUTED_VALUE"""),42376.66666666667)</f>
        <v>42376.66667</v>
      </c>
      <c r="B1393" s="2">
        <f>IFERROR(__xludf.DUMMYFUNCTION("""COMPUTED_VALUE"""),14.38)</f>
        <v>14.38</v>
      </c>
      <c r="C1393" s="3">
        <v>76.9394476611027</v>
      </c>
    </row>
    <row r="1394">
      <c r="A1394" s="1">
        <f>IFERROR(__xludf.DUMMYFUNCTION("""COMPUTED_VALUE"""),42377.66666666667)</f>
        <v>42377.66667</v>
      </c>
      <c r="B1394" s="2">
        <f>IFERROR(__xludf.DUMMYFUNCTION("""COMPUTED_VALUE"""),14.07)</f>
        <v>14.07</v>
      </c>
      <c r="C1394" s="3">
        <v>76.5560580242435</v>
      </c>
    </row>
    <row r="1395">
      <c r="A1395" s="1">
        <f>IFERROR(__xludf.DUMMYFUNCTION("""COMPUTED_VALUE"""),42380.66666666667)</f>
        <v>42380.66667</v>
      </c>
      <c r="B1395" s="2">
        <f>IFERROR(__xludf.DUMMYFUNCTION("""COMPUTED_VALUE"""),13.86)</f>
        <v>13.86</v>
      </c>
      <c r="C1395" s="3">
        <v>78.592395057806</v>
      </c>
    </row>
    <row r="1396">
      <c r="A1396" s="1">
        <f>IFERROR(__xludf.DUMMYFUNCTION("""COMPUTED_VALUE"""),42381.66666666667)</f>
        <v>42381.66667</v>
      </c>
      <c r="B1396" s="2">
        <f>IFERROR(__xludf.DUMMYFUNCTION("""COMPUTED_VALUE"""),14.0)</f>
        <v>14</v>
      </c>
      <c r="C1396" s="3">
        <v>78.1594793280484</v>
      </c>
    </row>
    <row r="1397">
      <c r="A1397" s="1">
        <f>IFERROR(__xludf.DUMMYFUNCTION("""COMPUTED_VALUE"""),42382.66666666667)</f>
        <v>42382.66667</v>
      </c>
      <c r="B1397" s="2">
        <f>IFERROR(__xludf.DUMMYFUNCTION("""COMPUTED_VALUE"""),13.35)</f>
        <v>13.35</v>
      </c>
      <c r="C1397" s="3">
        <v>77.9612178777569</v>
      </c>
    </row>
    <row r="1398">
      <c r="A1398" s="1">
        <f>IFERROR(__xludf.DUMMYFUNCTION("""COMPUTED_VALUE"""),42383.66666666667)</f>
        <v>42383.66667</v>
      </c>
      <c r="B1398" s="2">
        <f>IFERROR(__xludf.DUMMYFUNCTION("""COMPUTED_VALUE"""),13.75)</f>
        <v>13.75</v>
      </c>
      <c r="C1398" s="3">
        <v>76.6860621940518</v>
      </c>
    </row>
    <row r="1399">
      <c r="A1399" s="1">
        <f>IFERROR(__xludf.DUMMYFUNCTION("""COMPUTED_VALUE"""),42384.66666666667)</f>
        <v>42384.66667</v>
      </c>
      <c r="B1399" s="2">
        <f>IFERROR(__xludf.DUMMYFUNCTION("""COMPUTED_VALUE"""),13.67)</f>
        <v>13.67</v>
      </c>
      <c r="C1399" s="3">
        <v>75.2486798756886</v>
      </c>
    </row>
    <row r="1400">
      <c r="A1400" s="1">
        <f>IFERROR(__xludf.DUMMYFUNCTION("""COMPUTED_VALUE"""),42388.66666666667)</f>
        <v>42388.66667</v>
      </c>
      <c r="B1400" s="2">
        <f>IFERROR(__xludf.DUMMYFUNCTION("""COMPUTED_VALUE"""),13.65)</f>
        <v>13.65</v>
      </c>
      <c r="C1400" s="3">
        <v>73.214012804952</v>
      </c>
    </row>
    <row r="1401">
      <c r="A1401" s="1">
        <f>IFERROR(__xludf.DUMMYFUNCTION("""COMPUTED_VALUE"""),42389.66666666667)</f>
        <v>42389.66667</v>
      </c>
      <c r="B1401" s="2">
        <f>IFERROR(__xludf.DUMMYFUNCTION("""COMPUTED_VALUE"""),13.25)</f>
        <v>13.25</v>
      </c>
      <c r="C1401" s="3">
        <v>72.3378120571398</v>
      </c>
    </row>
    <row r="1402">
      <c r="A1402" s="1">
        <f>IFERROR(__xludf.DUMMYFUNCTION("""COMPUTED_VALUE"""),42390.66666666667)</f>
        <v>42390.66667</v>
      </c>
      <c r="B1402" s="2">
        <f>IFERROR(__xludf.DUMMYFUNCTION("""COMPUTED_VALUE"""),13.33)</f>
        <v>13.33</v>
      </c>
      <c r="C1402" s="3">
        <v>70.503367096072</v>
      </c>
    </row>
    <row r="1403">
      <c r="A1403" s="1">
        <f>IFERROR(__xludf.DUMMYFUNCTION("""COMPUTED_VALUE"""),42391.66666666667)</f>
        <v>42391.66667</v>
      </c>
      <c r="B1403" s="2">
        <f>IFERROR(__xludf.DUMMYFUNCTION("""COMPUTED_VALUE"""),13.5)</f>
        <v>13.5</v>
      </c>
      <c r="C1403" s="3">
        <v>68.6329780340239</v>
      </c>
    </row>
    <row r="1404">
      <c r="A1404" s="1">
        <f>IFERROR(__xludf.DUMMYFUNCTION("""COMPUTED_VALUE"""),42394.66666666667)</f>
        <v>42394.66667</v>
      </c>
      <c r="B1404" s="2">
        <f>IFERROR(__xludf.DUMMYFUNCTION("""COMPUTED_VALUE"""),13.09)</f>
        <v>13.09</v>
      </c>
      <c r="C1404" s="3">
        <v>67.3001055732542</v>
      </c>
    </row>
    <row r="1405">
      <c r="A1405" s="1">
        <f>IFERROR(__xludf.DUMMYFUNCTION("""COMPUTED_VALUE"""),42395.66666666667)</f>
        <v>42395.66667</v>
      </c>
      <c r="B1405" s="2">
        <f>IFERROR(__xludf.DUMMYFUNCTION("""COMPUTED_VALUE"""),12.9)</f>
        <v>12.9</v>
      </c>
      <c r="C1405" s="3">
        <v>66.1606616450392</v>
      </c>
    </row>
    <row r="1406">
      <c r="A1406" s="1">
        <f>IFERROR(__xludf.DUMMYFUNCTION("""COMPUTED_VALUE"""),42396.66666666667)</f>
        <v>42396.66667</v>
      </c>
      <c r="B1406" s="2">
        <f>IFERROR(__xludf.DUMMYFUNCTION("""COMPUTED_VALUE"""),12.54)</f>
        <v>12.54</v>
      </c>
      <c r="C1406" s="3">
        <v>65.4763732161617</v>
      </c>
    </row>
    <row r="1407">
      <c r="A1407" s="1">
        <f>IFERROR(__xludf.DUMMYFUNCTION("""COMPUTED_VALUE"""),42397.66666666667)</f>
        <v>42397.66667</v>
      </c>
      <c r="B1407" s="2">
        <f>IFERROR(__xludf.DUMMYFUNCTION("""COMPUTED_VALUE"""),12.65)</f>
        <v>12.65</v>
      </c>
      <c r="C1407" s="3">
        <v>63.9342262237306</v>
      </c>
    </row>
    <row r="1408">
      <c r="A1408" s="1">
        <f>IFERROR(__xludf.DUMMYFUNCTION("""COMPUTED_VALUE"""),42398.66666666667)</f>
        <v>42398.66667</v>
      </c>
      <c r="B1408" s="2">
        <f>IFERROR(__xludf.DUMMYFUNCTION("""COMPUTED_VALUE"""),12.75)</f>
        <v>12.75</v>
      </c>
      <c r="C1408" s="3">
        <v>62.4416089404507</v>
      </c>
    </row>
    <row r="1409">
      <c r="A1409" s="1">
        <f>IFERROR(__xludf.DUMMYFUNCTION("""COMPUTED_VALUE"""),42401.66666666667)</f>
        <v>42401.66667</v>
      </c>
      <c r="B1409" s="2">
        <f>IFERROR(__xludf.DUMMYFUNCTION("""COMPUTED_VALUE"""),13.13)</f>
        <v>13.13</v>
      </c>
      <c r="C1409" s="3">
        <v>62.5766591169899</v>
      </c>
    </row>
    <row r="1410">
      <c r="A1410" s="1">
        <f>IFERROR(__xludf.DUMMYFUNCTION("""COMPUTED_VALUE"""),42402.66666666667)</f>
        <v>42402.66667</v>
      </c>
      <c r="B1410" s="2">
        <f>IFERROR(__xludf.DUMMYFUNCTION("""COMPUTED_VALUE"""),12.19)</f>
        <v>12.19</v>
      </c>
      <c r="C1410" s="3">
        <v>61.9725188308013</v>
      </c>
    </row>
    <row r="1411">
      <c r="A1411" s="1">
        <f>IFERROR(__xludf.DUMMYFUNCTION("""COMPUTED_VALUE"""),42403.66666666667)</f>
        <v>42403.66667</v>
      </c>
      <c r="B1411" s="2">
        <f>IFERROR(__xludf.DUMMYFUNCTION("""COMPUTED_VALUE"""),11.57)</f>
        <v>11.57</v>
      </c>
      <c r="C1411" s="3">
        <v>61.8126297235662</v>
      </c>
    </row>
    <row r="1412">
      <c r="A1412" s="1">
        <f>IFERROR(__xludf.DUMMYFUNCTION("""COMPUTED_VALUE"""),42404.66666666667)</f>
        <v>42404.66667</v>
      </c>
      <c r="B1412" s="2">
        <f>IFERROR(__xludf.DUMMYFUNCTION("""COMPUTED_VALUE"""),11.69)</f>
        <v>11.69</v>
      </c>
      <c r="C1412" s="3">
        <v>60.764146466715</v>
      </c>
    </row>
    <row r="1413">
      <c r="A1413" s="1">
        <f>IFERROR(__xludf.DUMMYFUNCTION("""COMPUTED_VALUE"""),42405.66666666667)</f>
        <v>42405.66667</v>
      </c>
      <c r="B1413" s="2">
        <f>IFERROR(__xludf.DUMMYFUNCTION("""COMPUTED_VALUE"""),10.84)</f>
        <v>10.84</v>
      </c>
      <c r="C1413" s="3">
        <v>59.7157426302526</v>
      </c>
    </row>
    <row r="1414">
      <c r="A1414" s="1">
        <f>IFERROR(__xludf.DUMMYFUNCTION("""COMPUTED_VALUE"""),42408.66666666667)</f>
        <v>42408.66667</v>
      </c>
      <c r="B1414" s="2">
        <f>IFERROR(__xludf.DUMMYFUNCTION("""COMPUTED_VALUE"""),9.87)</f>
        <v>9.87</v>
      </c>
      <c r="C1414" s="3">
        <v>60.7268429289774</v>
      </c>
    </row>
    <row r="1415">
      <c r="A1415" s="1">
        <f>IFERROR(__xludf.DUMMYFUNCTION("""COMPUTED_VALUE"""),42409.66666666667)</f>
        <v>42409.66667</v>
      </c>
      <c r="B1415" s="2">
        <f>IFERROR(__xludf.DUMMYFUNCTION("""COMPUTED_VALUE"""),9.88)</f>
        <v>9.88</v>
      </c>
      <c r="C1415" s="3">
        <v>60.2213137384187</v>
      </c>
    </row>
    <row r="1416">
      <c r="A1416" s="1">
        <f>IFERROR(__xludf.DUMMYFUNCTION("""COMPUTED_VALUE"""),42410.66666666667)</f>
        <v>42410.66667</v>
      </c>
      <c r="B1416" s="2">
        <f>IFERROR(__xludf.DUMMYFUNCTION("""COMPUTED_VALUE"""),9.58)</f>
        <v>9.58</v>
      </c>
      <c r="C1416" s="3">
        <v>60.0499534541393</v>
      </c>
    </row>
    <row r="1417">
      <c r="A1417" s="1">
        <f>IFERROR(__xludf.DUMMYFUNCTION("""COMPUTED_VALUE"""),42411.66666666667)</f>
        <v>42411.66667</v>
      </c>
      <c r="B1417" s="2">
        <f>IFERROR(__xludf.DUMMYFUNCTION("""COMPUTED_VALUE"""),10.03)</f>
        <v>10.03</v>
      </c>
      <c r="C1417" s="3">
        <v>58.8767091730701</v>
      </c>
    </row>
    <row r="1418">
      <c r="A1418" s="1">
        <f>IFERROR(__xludf.DUMMYFUNCTION("""COMPUTED_VALUE"""),42412.66666666667)</f>
        <v>42412.66667</v>
      </c>
      <c r="B1418" s="2">
        <f>IFERROR(__xludf.DUMMYFUNCTION("""COMPUTED_VALUE"""),10.07)</f>
        <v>10.07</v>
      </c>
      <c r="C1418" s="3">
        <v>57.5904198734137</v>
      </c>
    </row>
    <row r="1419">
      <c r="A1419" s="1">
        <f>IFERROR(__xludf.DUMMYFUNCTION("""COMPUTED_VALUE"""),42416.66666666667)</f>
        <v>42416.66667</v>
      </c>
      <c r="B1419" s="2">
        <f>IFERROR(__xludf.DUMMYFUNCTION("""COMPUTED_VALUE"""),10.34)</f>
        <v>10.34</v>
      </c>
      <c r="C1419" s="3">
        <v>56.131562067106</v>
      </c>
    </row>
    <row r="1420">
      <c r="A1420" s="1">
        <f>IFERROR(__xludf.DUMMYFUNCTION("""COMPUTED_VALUE"""),42417.66666666667)</f>
        <v>42417.66667</v>
      </c>
      <c r="B1420" s="2">
        <f>IFERROR(__xludf.DUMMYFUNCTION("""COMPUTED_VALUE"""),11.25)</f>
        <v>11.25</v>
      </c>
      <c r="C1420" s="3">
        <v>55.2716227605257</v>
      </c>
    </row>
    <row r="1421">
      <c r="A1421" s="1">
        <f>IFERROR(__xludf.DUMMYFUNCTION("""COMPUTED_VALUE"""),42418.66666666667)</f>
        <v>42418.66667</v>
      </c>
      <c r="B1421" s="2">
        <f>IFERROR(__xludf.DUMMYFUNCTION("""COMPUTED_VALUE"""),11.12)</f>
        <v>11.12</v>
      </c>
      <c r="C1421" s="3">
        <v>53.3755057978525</v>
      </c>
    </row>
    <row r="1422">
      <c r="A1422" s="1">
        <f>IFERROR(__xludf.DUMMYFUNCTION("""COMPUTED_VALUE"""),42419.66666666667)</f>
        <v>42419.66667</v>
      </c>
      <c r="B1422" s="2">
        <f>IFERROR(__xludf.DUMMYFUNCTION("""COMPUTED_VALUE"""),11.11)</f>
        <v>11.11</v>
      </c>
      <c r="C1422" s="3">
        <v>51.3371755729017</v>
      </c>
    </row>
    <row r="1423">
      <c r="A1423" s="1">
        <f>IFERROR(__xludf.DUMMYFUNCTION("""COMPUTED_VALUE"""),42422.66666666667)</f>
        <v>42422.66667</v>
      </c>
      <c r="B1423" s="2">
        <f>IFERROR(__xludf.DUMMYFUNCTION("""COMPUTED_VALUE"""),11.85)</f>
        <v>11.85</v>
      </c>
      <c r="C1423" s="3">
        <v>48.7768328782124</v>
      </c>
    </row>
    <row r="1424">
      <c r="A1424" s="1">
        <f>IFERROR(__xludf.DUMMYFUNCTION("""COMPUTED_VALUE"""),42423.66666666667)</f>
        <v>42423.66667</v>
      </c>
      <c r="B1424" s="2">
        <f>IFERROR(__xludf.DUMMYFUNCTION("""COMPUTED_VALUE"""),11.81)</f>
        <v>11.81</v>
      </c>
      <c r="C1424" s="3">
        <v>46.9803611742529</v>
      </c>
    </row>
    <row r="1425">
      <c r="A1425" s="1">
        <f>IFERROR(__xludf.DUMMYFUNCTION("""COMPUTED_VALUE"""),42424.66666666667)</f>
        <v>42424.66667</v>
      </c>
      <c r="B1425" s="2">
        <f>IFERROR(__xludf.DUMMYFUNCTION("""COMPUTED_VALUE"""),11.93)</f>
        <v>11.93</v>
      </c>
      <c r="C1425" s="3">
        <v>45.5230922078823</v>
      </c>
    </row>
    <row r="1426">
      <c r="A1426" s="1">
        <f>IFERROR(__xludf.DUMMYFUNCTION("""COMPUTED_VALUE"""),42425.66666666667)</f>
        <v>42425.66667</v>
      </c>
      <c r="B1426" s="2">
        <f>IFERROR(__xludf.DUMMYFUNCTION("""COMPUTED_VALUE"""),12.5)</f>
        <v>12.5</v>
      </c>
      <c r="C1426" s="3">
        <v>43.10342595948</v>
      </c>
    </row>
    <row r="1427">
      <c r="A1427" s="1">
        <f>IFERROR(__xludf.DUMMYFUNCTION("""COMPUTED_VALUE"""),42426.66666666667)</f>
        <v>42426.66667</v>
      </c>
      <c r="B1427" s="2">
        <f>IFERROR(__xludf.DUMMYFUNCTION("""COMPUTED_VALUE"""),12.69)</f>
        <v>12.69</v>
      </c>
      <c r="C1427" s="3">
        <v>40.6442510319384</v>
      </c>
    </row>
    <row r="1428">
      <c r="A1428" s="1">
        <f>IFERROR(__xludf.DUMMYFUNCTION("""COMPUTED_VALUE"""),42429.66666666667)</f>
        <v>42429.66667</v>
      </c>
      <c r="B1428" s="2">
        <f>IFERROR(__xludf.DUMMYFUNCTION("""COMPUTED_VALUE"""),12.8)</f>
        <v>12.8</v>
      </c>
      <c r="C1428" s="3">
        <v>37.5529717243047</v>
      </c>
    </row>
    <row r="1429">
      <c r="A1429" s="1">
        <f>IFERROR(__xludf.DUMMYFUNCTION("""COMPUTED_VALUE"""),42430.66666666667)</f>
        <v>42430.66667</v>
      </c>
      <c r="B1429" s="2">
        <f>IFERROR(__xludf.DUMMYFUNCTION("""COMPUTED_VALUE"""),12.42)</f>
        <v>12.42</v>
      </c>
      <c r="C1429" s="3">
        <v>35.8474687983975</v>
      </c>
    </row>
    <row r="1430">
      <c r="A1430" s="1">
        <f>IFERROR(__xludf.DUMMYFUNCTION("""COMPUTED_VALUE"""),42431.66666666667)</f>
        <v>42431.66667</v>
      </c>
      <c r="B1430" s="2">
        <f>IFERROR(__xludf.DUMMYFUNCTION("""COMPUTED_VALUE"""),12.56)</f>
        <v>12.56</v>
      </c>
      <c r="C1430" s="3">
        <v>34.6194219069933</v>
      </c>
    </row>
    <row r="1431">
      <c r="A1431" s="1">
        <f>IFERROR(__xludf.DUMMYFUNCTION("""COMPUTED_VALUE"""),42432.66666666667)</f>
        <v>42432.66667</v>
      </c>
      <c r="B1431" s="2">
        <f>IFERROR(__xludf.DUMMYFUNCTION("""COMPUTED_VALUE"""),13.05)</f>
        <v>13.05</v>
      </c>
      <c r="C1431" s="3">
        <v>32.5650323244638</v>
      </c>
    </row>
    <row r="1432">
      <c r="A1432" s="1">
        <f>IFERROR(__xludf.DUMMYFUNCTION("""COMPUTED_VALUE"""),42433.66666666667)</f>
        <v>42433.66667</v>
      </c>
      <c r="B1432" s="2">
        <f>IFERROR(__xludf.DUMMYFUNCTION("""COMPUTED_VALUE"""),13.4)</f>
        <v>13.4</v>
      </c>
      <c r="C1432" s="3">
        <v>30.6018973526422</v>
      </c>
    </row>
    <row r="1433">
      <c r="A1433" s="1">
        <f>IFERROR(__xludf.DUMMYFUNCTION("""COMPUTED_VALUE"""),42436.66666666667)</f>
        <v>42436.66667</v>
      </c>
      <c r="B1433" s="2">
        <f>IFERROR(__xludf.DUMMYFUNCTION("""COMPUTED_VALUE"""),13.69)</f>
        <v>13.69</v>
      </c>
      <c r="C1433" s="3">
        <v>29.6880928056401</v>
      </c>
    </row>
    <row r="1434">
      <c r="A1434" s="1">
        <f>IFERROR(__xludf.DUMMYFUNCTION("""COMPUTED_VALUE"""),42437.66666666667)</f>
        <v>42437.66667</v>
      </c>
      <c r="B1434" s="2">
        <f>IFERROR(__xludf.DUMMYFUNCTION("""COMPUTED_VALUE"""),13.51)</f>
        <v>13.51</v>
      </c>
      <c r="C1434" s="3">
        <v>28.8943694879689</v>
      </c>
    </row>
    <row r="1435">
      <c r="A1435" s="1">
        <f>IFERROR(__xludf.DUMMYFUNCTION("""COMPUTED_VALUE"""),42438.66666666667)</f>
        <v>42438.66667</v>
      </c>
      <c r="B1435" s="2">
        <f>IFERROR(__xludf.DUMMYFUNCTION("""COMPUTED_VALUE"""),13.91)</f>
        <v>13.91</v>
      </c>
      <c r="C1435" s="3">
        <v>28.6444014732775</v>
      </c>
    </row>
    <row r="1436">
      <c r="A1436" s="1">
        <f>IFERROR(__xludf.DUMMYFUNCTION("""COMPUTED_VALUE"""),42439.66666666667)</f>
        <v>42439.66667</v>
      </c>
      <c r="B1436" s="2">
        <f>IFERROR(__xludf.DUMMYFUNCTION("""COMPUTED_VALUE"""),13.68)</f>
        <v>13.68</v>
      </c>
      <c r="C1436" s="3">
        <v>27.6164190600681</v>
      </c>
    </row>
    <row r="1437">
      <c r="A1437" s="1">
        <f>IFERROR(__xludf.DUMMYFUNCTION("""COMPUTED_VALUE"""),42440.66666666667)</f>
        <v>42440.66667</v>
      </c>
      <c r="B1437" s="2">
        <f>IFERROR(__xludf.DUMMYFUNCTION("""COMPUTED_VALUE"""),13.83)</f>
        <v>13.83</v>
      </c>
      <c r="C1437" s="3">
        <v>26.7093884530848</v>
      </c>
    </row>
    <row r="1438">
      <c r="A1438" s="1">
        <f>IFERROR(__xludf.DUMMYFUNCTION("""COMPUTED_VALUE"""),42443.66666666667)</f>
        <v>42443.66667</v>
      </c>
      <c r="B1438" s="2">
        <f>IFERROR(__xludf.DUMMYFUNCTION("""COMPUTED_VALUE"""),14.34)</f>
        <v>14.34</v>
      </c>
      <c r="C1438" s="3">
        <v>28.9558828500977</v>
      </c>
    </row>
    <row r="1439">
      <c r="A1439" s="1">
        <f>IFERROR(__xludf.DUMMYFUNCTION("""COMPUTED_VALUE"""),42444.66666666667)</f>
        <v>42444.66667</v>
      </c>
      <c r="B1439" s="2">
        <f>IFERROR(__xludf.DUMMYFUNCTION("""COMPUTED_VALUE"""),14.56)</f>
        <v>14.56</v>
      </c>
      <c r="C1439" s="3">
        <v>29.1541104735028</v>
      </c>
    </row>
    <row r="1440">
      <c r="A1440" s="1">
        <f>IFERROR(__xludf.DUMMYFUNCTION("""COMPUTED_VALUE"""),42445.66666666667)</f>
        <v>42445.66667</v>
      </c>
      <c r="B1440" s="2">
        <f>IFERROR(__xludf.DUMMYFUNCTION("""COMPUTED_VALUE"""),14.8)</f>
        <v>14.8</v>
      </c>
      <c r="C1440" s="3">
        <v>29.8390475378842</v>
      </c>
    </row>
    <row r="1441">
      <c r="A1441" s="1">
        <f>IFERROR(__xludf.DUMMYFUNCTION("""COMPUTED_VALUE"""),42446.66666666667)</f>
        <v>42446.66667</v>
      </c>
      <c r="B1441" s="2">
        <f>IFERROR(__xludf.DUMMYFUNCTION("""COMPUTED_VALUE"""),15.09)</f>
        <v>15.09</v>
      </c>
      <c r="C1441" s="3">
        <v>29.675763665476</v>
      </c>
    </row>
    <row r="1442">
      <c r="A1442" s="1">
        <f>IFERROR(__xludf.DUMMYFUNCTION("""COMPUTED_VALUE"""),42447.66666666667)</f>
        <v>42447.66667</v>
      </c>
      <c r="B1442" s="2">
        <f>IFERROR(__xludf.DUMMYFUNCTION("""COMPUTED_VALUE"""),15.52)</f>
        <v>15.52</v>
      </c>
      <c r="C1442" s="3">
        <v>29.5522165737832</v>
      </c>
    </row>
    <row r="1443">
      <c r="A1443" s="1">
        <f>IFERROR(__xludf.DUMMYFUNCTION("""COMPUTED_VALUE"""),42450.66666666667)</f>
        <v>42450.66667</v>
      </c>
      <c r="B1443" s="2">
        <f>IFERROR(__xludf.DUMMYFUNCTION("""COMPUTED_VALUE"""),15.89)</f>
        <v>15.89</v>
      </c>
      <c r="C1443" s="3">
        <v>33.587806754315</v>
      </c>
    </row>
    <row r="1444">
      <c r="A1444" s="1">
        <f>IFERROR(__xludf.DUMMYFUNCTION("""COMPUTED_VALUE"""),42451.66666666667)</f>
        <v>42451.66667</v>
      </c>
      <c r="B1444" s="2">
        <f>IFERROR(__xludf.DUMMYFUNCTION("""COMPUTED_VALUE"""),15.62)</f>
        <v>15.62</v>
      </c>
      <c r="C1444" s="3">
        <v>34.1831707023831</v>
      </c>
    </row>
    <row r="1445">
      <c r="A1445" s="1">
        <f>IFERROR(__xludf.DUMMYFUNCTION("""COMPUTED_VALUE"""),42452.66666666667)</f>
        <v>42452.66667</v>
      </c>
      <c r="B1445" s="2">
        <f>IFERROR(__xludf.DUMMYFUNCTION("""COMPUTED_VALUE"""),14.84)</f>
        <v>14.84</v>
      </c>
      <c r="C1445" s="3">
        <v>35.1658074577643</v>
      </c>
    </row>
    <row r="1446">
      <c r="A1446" s="1">
        <f>IFERROR(__xludf.DUMMYFUNCTION("""COMPUTED_VALUE"""),42453.66666666667)</f>
        <v>42453.66667</v>
      </c>
      <c r="B1446" s="2">
        <f>IFERROR(__xludf.DUMMYFUNCTION("""COMPUTED_VALUE"""),15.18)</f>
        <v>15.18</v>
      </c>
      <c r="C1446" s="3">
        <v>35.2044028806787</v>
      </c>
    </row>
    <row r="1447">
      <c r="A1447" s="1">
        <f>IFERROR(__xludf.DUMMYFUNCTION("""COMPUTED_VALUE"""),42457.66666666667)</f>
        <v>42457.66667</v>
      </c>
      <c r="B1447" s="2">
        <f>IFERROR(__xludf.DUMMYFUNCTION("""COMPUTED_VALUE"""),15.35)</f>
        <v>15.35</v>
      </c>
      <c r="C1447" s="3">
        <v>39.1044323583912</v>
      </c>
    </row>
    <row r="1448">
      <c r="A1448" s="1">
        <f>IFERROR(__xludf.DUMMYFUNCTION("""COMPUTED_VALUE"""),42458.66666666667)</f>
        <v>42458.66667</v>
      </c>
      <c r="B1448" s="2">
        <f>IFERROR(__xludf.DUMMYFUNCTION("""COMPUTED_VALUE"""),15.34)</f>
        <v>15.34</v>
      </c>
      <c r="C1448" s="3">
        <v>39.5388387175586</v>
      </c>
    </row>
    <row r="1449">
      <c r="A1449" s="1">
        <f>IFERROR(__xludf.DUMMYFUNCTION("""COMPUTED_VALUE"""),42459.66666666667)</f>
        <v>42459.66667</v>
      </c>
      <c r="B1449" s="2">
        <f>IFERROR(__xludf.DUMMYFUNCTION("""COMPUTED_VALUE"""),15.13)</f>
        <v>15.13</v>
      </c>
      <c r="C1449" s="3">
        <v>40.3190276358296</v>
      </c>
    </row>
    <row r="1450">
      <c r="A1450" s="1">
        <f>IFERROR(__xludf.DUMMYFUNCTION("""COMPUTED_VALUE"""),42460.66666666667)</f>
        <v>42460.66667</v>
      </c>
      <c r="B1450" s="2">
        <f>IFERROR(__xludf.DUMMYFUNCTION("""COMPUTED_VALUE"""),15.32)</f>
        <v>15.32</v>
      </c>
      <c r="C1450" s="3">
        <v>40.1249403154983</v>
      </c>
    </row>
    <row r="1451">
      <c r="A1451" s="1">
        <f>IFERROR(__xludf.DUMMYFUNCTION("""COMPUTED_VALUE"""),42461.66666666667)</f>
        <v>42461.66667</v>
      </c>
      <c r="B1451" s="2">
        <f>IFERROR(__xludf.DUMMYFUNCTION("""COMPUTED_VALUE"""),15.84)</f>
        <v>15.84</v>
      </c>
      <c r="C1451" s="3">
        <v>39.8611126824977</v>
      </c>
    </row>
    <row r="1452">
      <c r="A1452" s="1">
        <f>IFERROR(__xludf.DUMMYFUNCTION("""COMPUTED_VALUE"""),42464.66666666667)</f>
        <v>42464.66667</v>
      </c>
      <c r="B1452" s="2">
        <f>IFERROR(__xludf.DUMMYFUNCTION("""COMPUTED_VALUE"""),16.47)</f>
        <v>16.47</v>
      </c>
      <c r="C1452" s="3">
        <v>42.9974865004812</v>
      </c>
    </row>
    <row r="1453">
      <c r="A1453" s="1">
        <f>IFERROR(__xludf.DUMMYFUNCTION("""COMPUTED_VALUE"""),42465.66666666667)</f>
        <v>42465.66667</v>
      </c>
      <c r="B1453" s="2">
        <f>IFERROR(__xludf.DUMMYFUNCTION("""COMPUTED_VALUE"""),17.03)</f>
        <v>17.03</v>
      </c>
      <c r="C1453" s="3">
        <v>43.1930972239745</v>
      </c>
    </row>
    <row r="1454">
      <c r="A1454" s="1">
        <f>IFERROR(__xludf.DUMMYFUNCTION("""COMPUTED_VALUE"""),42466.66666666667)</f>
        <v>42466.66667</v>
      </c>
      <c r="B1454" s="2">
        <f>IFERROR(__xludf.DUMMYFUNCTION("""COMPUTED_VALUE"""),17.69)</f>
        <v>17.69</v>
      </c>
      <c r="C1454" s="3">
        <v>43.753643973049</v>
      </c>
    </row>
    <row r="1455">
      <c r="A1455" s="1">
        <f>IFERROR(__xludf.DUMMYFUNCTION("""COMPUTED_VALUE"""),42467.66666666667)</f>
        <v>42467.66667</v>
      </c>
      <c r="B1455" s="2">
        <f>IFERROR(__xludf.DUMMYFUNCTION("""COMPUTED_VALUE"""),17.15)</f>
        <v>17.15</v>
      </c>
      <c r="C1455" s="3">
        <v>43.3621025388199</v>
      </c>
    </row>
    <row r="1456">
      <c r="A1456" s="1">
        <f>IFERROR(__xludf.DUMMYFUNCTION("""COMPUTED_VALUE"""),42468.66666666667)</f>
        <v>42468.66667</v>
      </c>
      <c r="B1456" s="2">
        <f>IFERROR(__xludf.DUMMYFUNCTION("""COMPUTED_VALUE"""),16.67)</f>
        <v>16.67</v>
      </c>
      <c r="C1456" s="3">
        <v>42.9242660460645</v>
      </c>
    </row>
    <row r="1457">
      <c r="A1457" s="1">
        <f>IFERROR(__xludf.DUMMYFUNCTION("""COMPUTED_VALUE"""),42471.66666666667)</f>
        <v>42471.66667</v>
      </c>
      <c r="B1457" s="2">
        <f>IFERROR(__xludf.DUMMYFUNCTION("""COMPUTED_VALUE"""),16.66)</f>
        <v>16.66</v>
      </c>
      <c r="C1457" s="3">
        <v>45.6662098430476</v>
      </c>
    </row>
    <row r="1458">
      <c r="A1458" s="1">
        <f>IFERROR(__xludf.DUMMYFUNCTION("""COMPUTED_VALUE"""),42472.66666666667)</f>
        <v>42472.66667</v>
      </c>
      <c r="B1458" s="2">
        <f>IFERROR(__xludf.DUMMYFUNCTION("""COMPUTED_VALUE"""),16.52)</f>
        <v>16.52</v>
      </c>
      <c r="C1458" s="3">
        <v>45.7608526288418</v>
      </c>
    </row>
    <row r="1459">
      <c r="A1459" s="1">
        <f>IFERROR(__xludf.DUMMYFUNCTION("""COMPUTED_VALUE"""),42473.66666666667)</f>
        <v>42473.66667</v>
      </c>
      <c r="B1459" s="2">
        <f>IFERROR(__xludf.DUMMYFUNCTION("""COMPUTED_VALUE"""),16.97)</f>
        <v>16.97</v>
      </c>
      <c r="C1459" s="3">
        <v>46.2265261157175</v>
      </c>
    </row>
    <row r="1460">
      <c r="A1460" s="1">
        <f>IFERROR(__xludf.DUMMYFUNCTION("""COMPUTED_VALUE"""),42474.66666666667)</f>
        <v>42474.66667</v>
      </c>
      <c r="B1460" s="2">
        <f>IFERROR(__xludf.DUMMYFUNCTION("""COMPUTED_VALUE"""),16.79)</f>
        <v>16.79</v>
      </c>
      <c r="C1460" s="3">
        <v>45.7393525613437</v>
      </c>
    </row>
    <row r="1461">
      <c r="A1461" s="1">
        <f>IFERROR(__xludf.DUMMYFUNCTION("""COMPUTED_VALUE"""),42475.66666666667)</f>
        <v>42475.66667</v>
      </c>
      <c r="B1461" s="2">
        <f>IFERROR(__xludf.DUMMYFUNCTION("""COMPUTED_VALUE"""),16.97)</f>
        <v>16.97</v>
      </c>
      <c r="C1461" s="3">
        <v>45.1977798786708</v>
      </c>
    </row>
    <row r="1462">
      <c r="A1462" s="1">
        <f>IFERROR(__xludf.DUMMYFUNCTION("""COMPUTED_VALUE"""),42478.66666666667)</f>
        <v>42478.66667</v>
      </c>
      <c r="B1462" s="2">
        <f>IFERROR(__xludf.DUMMYFUNCTION("""COMPUTED_VALUE"""),16.93)</f>
        <v>16.93</v>
      </c>
      <c r="C1462" s="3">
        <v>47.5058292667814</v>
      </c>
    </row>
    <row r="1463">
      <c r="A1463" s="1">
        <f>IFERROR(__xludf.DUMMYFUNCTION("""COMPUTED_VALUE"""),42479.66666666667)</f>
        <v>42479.66667</v>
      </c>
      <c r="B1463" s="2">
        <f>IFERROR(__xludf.DUMMYFUNCTION("""COMPUTED_VALUE"""),16.49)</f>
        <v>16.49</v>
      </c>
      <c r="C1463" s="3">
        <v>47.3923041908842</v>
      </c>
    </row>
    <row r="1464">
      <c r="A1464" s="1">
        <f>IFERROR(__xludf.DUMMYFUNCTION("""COMPUTED_VALUE"""),42480.66666666667)</f>
        <v>42480.66667</v>
      </c>
      <c r="B1464" s="2">
        <f>IFERROR(__xludf.DUMMYFUNCTION("""COMPUTED_VALUE"""),16.66)</f>
        <v>16.66</v>
      </c>
      <c r="C1464" s="3">
        <v>47.6088018444404</v>
      </c>
    </row>
    <row r="1465">
      <c r="A1465" s="1">
        <f>IFERROR(__xludf.DUMMYFUNCTION("""COMPUTED_VALUE"""),42481.66666666667)</f>
        <v>42481.66667</v>
      </c>
      <c r="B1465" s="2">
        <f>IFERROR(__xludf.DUMMYFUNCTION("""COMPUTED_VALUE"""),16.55)</f>
        <v>16.55</v>
      </c>
      <c r="C1465" s="3">
        <v>46.8277077369013</v>
      </c>
    </row>
    <row r="1466">
      <c r="A1466" s="1">
        <f>IFERROR(__xludf.DUMMYFUNCTION("""COMPUTED_VALUE"""),42482.66666666667)</f>
        <v>42482.66667</v>
      </c>
      <c r="B1466" s="2">
        <f>IFERROR(__xludf.DUMMYFUNCTION("""COMPUTED_VALUE"""),16.92)</f>
        <v>16.92</v>
      </c>
      <c r="C1466" s="3">
        <v>45.9452382389571</v>
      </c>
    </row>
    <row r="1467">
      <c r="A1467" s="1">
        <f>IFERROR(__xludf.DUMMYFUNCTION("""COMPUTED_VALUE"""),42485.66666666667)</f>
        <v>42485.66667</v>
      </c>
      <c r="B1467" s="2">
        <f>IFERROR(__xludf.DUMMYFUNCTION("""COMPUTED_VALUE"""),16.79)</f>
        <v>16.79</v>
      </c>
      <c r="C1467" s="3">
        <v>46.9517764116275</v>
      </c>
    </row>
    <row r="1468">
      <c r="A1468" s="1">
        <f>IFERROR(__xludf.DUMMYFUNCTION("""COMPUTED_VALUE"""),42486.66666666667)</f>
        <v>42486.66667</v>
      </c>
      <c r="B1468" s="2">
        <f>IFERROR(__xludf.DUMMYFUNCTION("""COMPUTED_VALUE"""),16.92)</f>
        <v>16.92</v>
      </c>
      <c r="C1468" s="3">
        <v>46.321332012018</v>
      </c>
    </row>
    <row r="1469">
      <c r="A1469" s="1">
        <f>IFERROR(__xludf.DUMMYFUNCTION("""COMPUTED_VALUE"""),42487.66666666667)</f>
        <v>42487.66667</v>
      </c>
      <c r="B1469" s="2">
        <f>IFERROR(__xludf.DUMMYFUNCTION("""COMPUTED_VALUE"""),16.76)</f>
        <v>16.76</v>
      </c>
      <c r="C1469" s="3">
        <v>45.9886420310996</v>
      </c>
    </row>
    <row r="1470">
      <c r="A1470" s="1">
        <f>IFERROR(__xludf.DUMMYFUNCTION("""COMPUTED_VALUE"""),42488.66666666667)</f>
        <v>42488.66667</v>
      </c>
      <c r="B1470" s="2">
        <f>IFERROR(__xludf.DUMMYFUNCTION("""COMPUTED_VALUE"""),16.51)</f>
        <v>16.51</v>
      </c>
      <c r="C1470" s="3">
        <v>44.6340499830535</v>
      </c>
    </row>
    <row r="1471">
      <c r="A1471" s="1">
        <f>IFERROR(__xludf.DUMMYFUNCTION("""COMPUTED_VALUE"""),42489.66666666667)</f>
        <v>42489.66667</v>
      </c>
      <c r="B1471" s="2">
        <f>IFERROR(__xludf.DUMMYFUNCTION("""COMPUTED_VALUE"""),16.05)</f>
        <v>16.05</v>
      </c>
      <c r="C1471" s="3">
        <v>43.1630819271188</v>
      </c>
    </row>
    <row r="1472">
      <c r="A1472" s="1">
        <f>IFERROR(__xludf.DUMMYFUNCTION("""COMPUTED_VALUE"""),42492.66666666667)</f>
        <v>42492.66667</v>
      </c>
      <c r="B1472" s="2">
        <f>IFERROR(__xludf.DUMMYFUNCTION("""COMPUTED_VALUE"""),16.12)</f>
        <v>16.12</v>
      </c>
      <c r="C1472" s="3">
        <v>42.4221797937477</v>
      </c>
    </row>
    <row r="1473">
      <c r="A1473" s="1">
        <f>IFERROR(__xludf.DUMMYFUNCTION("""COMPUTED_VALUE"""),42493.66666666667)</f>
        <v>42493.66667</v>
      </c>
      <c r="B1473" s="2">
        <f>IFERROR(__xludf.DUMMYFUNCTION("""COMPUTED_VALUE"""),15.49)</f>
        <v>15.49</v>
      </c>
      <c r="C1473" s="3">
        <v>41.2541809192903</v>
      </c>
    </row>
    <row r="1474">
      <c r="A1474" s="1">
        <f>IFERROR(__xludf.DUMMYFUNCTION("""COMPUTED_VALUE"""),42494.66666666667)</f>
        <v>42494.66667</v>
      </c>
      <c r="B1474" s="2">
        <f>IFERROR(__xludf.DUMMYFUNCTION("""COMPUTED_VALUE"""),14.84)</f>
        <v>14.84</v>
      </c>
      <c r="C1474" s="3">
        <v>40.4261374392873</v>
      </c>
    </row>
    <row r="1475">
      <c r="A1475" s="1">
        <f>IFERROR(__xludf.DUMMYFUNCTION("""COMPUTED_VALUE"""),42495.66666666667)</f>
        <v>42495.66667</v>
      </c>
      <c r="B1475" s="2">
        <f>IFERROR(__xludf.DUMMYFUNCTION("""COMPUTED_VALUE"""),14.1)</f>
        <v>14.1</v>
      </c>
      <c r="C1475" s="3">
        <v>38.6296819862399</v>
      </c>
    </row>
    <row r="1476">
      <c r="A1476" s="1">
        <f>IFERROR(__xludf.DUMMYFUNCTION("""COMPUTED_VALUE"""),42496.66666666667)</f>
        <v>42496.66667</v>
      </c>
      <c r="B1476" s="2">
        <f>IFERROR(__xludf.DUMMYFUNCTION("""COMPUTED_VALUE"""),14.33)</f>
        <v>14.33</v>
      </c>
      <c r="C1476" s="3">
        <v>36.7807836097713</v>
      </c>
    </row>
    <row r="1477">
      <c r="A1477" s="1">
        <f>IFERROR(__xludf.DUMMYFUNCTION("""COMPUTED_VALUE"""),42499.66666666667)</f>
        <v>42499.66667</v>
      </c>
      <c r="B1477" s="2">
        <f>IFERROR(__xludf.DUMMYFUNCTION("""COMPUTED_VALUE"""),13.93)</f>
        <v>13.93</v>
      </c>
      <c r="C1477" s="3">
        <v>35.3749609792454</v>
      </c>
    </row>
    <row r="1478">
      <c r="A1478" s="1">
        <f>IFERROR(__xludf.DUMMYFUNCTION("""COMPUTED_VALUE"""),42500.66666666667)</f>
        <v>42500.66667</v>
      </c>
      <c r="B1478" s="2">
        <f>IFERROR(__xludf.DUMMYFUNCTION("""COMPUTED_VALUE"""),13.91)</f>
        <v>13.91</v>
      </c>
      <c r="C1478" s="3">
        <v>34.1618190034073</v>
      </c>
    </row>
    <row r="1479">
      <c r="A1479" s="1">
        <f>IFERROR(__xludf.DUMMYFUNCTION("""COMPUTED_VALUE"""),42501.66666666667)</f>
        <v>42501.66667</v>
      </c>
      <c r="B1479" s="2">
        <f>IFERROR(__xludf.DUMMYFUNCTION("""COMPUTED_VALUE"""),13.93)</f>
        <v>13.93</v>
      </c>
      <c r="C1479" s="3">
        <v>33.3821711499975</v>
      </c>
    </row>
    <row r="1480">
      <c r="A1480" s="1">
        <f>IFERROR(__xludf.DUMMYFUNCTION("""COMPUTED_VALUE"""),42502.66666666667)</f>
        <v>42502.66667</v>
      </c>
      <c r="B1480" s="2">
        <f>IFERROR(__xludf.DUMMYFUNCTION("""COMPUTED_VALUE"""),13.82)</f>
        <v>13.82</v>
      </c>
      <c r="C1480" s="3">
        <v>31.7276630155555</v>
      </c>
    </row>
    <row r="1481">
      <c r="A1481" s="1">
        <f>IFERROR(__xludf.DUMMYFUNCTION("""COMPUTED_VALUE"""),42503.66666666667)</f>
        <v>42503.66667</v>
      </c>
      <c r="B1481" s="2">
        <f>IFERROR(__xludf.DUMMYFUNCTION("""COMPUTED_VALUE"""),13.84)</f>
        <v>13.84</v>
      </c>
      <c r="C1481" s="3">
        <v>30.1120974502286</v>
      </c>
    </row>
    <row r="1482">
      <c r="A1482" s="1">
        <f>IFERROR(__xludf.DUMMYFUNCTION("""COMPUTED_VALUE"""),42506.66666666667)</f>
        <v>42506.66667</v>
      </c>
      <c r="B1482" s="2">
        <f>IFERROR(__xludf.DUMMYFUNCTION("""COMPUTED_VALUE"""),13.89)</f>
        <v>13.89</v>
      </c>
      <c r="C1482" s="3">
        <v>29.9013282180789</v>
      </c>
    </row>
    <row r="1483">
      <c r="A1483" s="1">
        <f>IFERROR(__xludf.DUMMYFUNCTION("""COMPUTED_VALUE"""),42507.66666666667)</f>
        <v>42507.66667</v>
      </c>
      <c r="B1483" s="2">
        <f>IFERROR(__xludf.DUMMYFUNCTION("""COMPUTED_VALUE"""),13.64)</f>
        <v>13.64</v>
      </c>
      <c r="C1483" s="3">
        <v>29.2241979534386</v>
      </c>
    </row>
    <row r="1484">
      <c r="A1484" s="1">
        <f>IFERROR(__xludf.DUMMYFUNCTION("""COMPUTED_VALUE"""),42508.66666666667)</f>
        <v>42508.66667</v>
      </c>
      <c r="B1484" s="2">
        <f>IFERROR(__xludf.DUMMYFUNCTION("""COMPUTED_VALUE"""),14.08)</f>
        <v>14.08</v>
      </c>
      <c r="C1484" s="3">
        <v>29.0316332472908</v>
      </c>
    </row>
    <row r="1485">
      <c r="A1485" s="1">
        <f>IFERROR(__xludf.DUMMYFUNCTION("""COMPUTED_VALUE"""),42509.66666666667)</f>
        <v>42509.66667</v>
      </c>
      <c r="B1485" s="2">
        <f>IFERROR(__xludf.DUMMYFUNCTION("""COMPUTED_VALUE"""),14.35)</f>
        <v>14.35</v>
      </c>
      <c r="C1485" s="3">
        <v>28.0027443986623</v>
      </c>
    </row>
    <row r="1486">
      <c r="A1486" s="1">
        <f>IFERROR(__xludf.DUMMYFUNCTION("""COMPUTED_VALUE"""),42510.66666666667)</f>
        <v>42510.66667</v>
      </c>
      <c r="B1486" s="2">
        <f>IFERROR(__xludf.DUMMYFUNCTION("""COMPUTED_VALUE"""),14.69)</f>
        <v>14.69</v>
      </c>
      <c r="C1486" s="3">
        <v>27.0379955786629</v>
      </c>
    </row>
    <row r="1487">
      <c r="A1487" s="1">
        <f>IFERROR(__xludf.DUMMYFUNCTION("""COMPUTED_VALUE"""),42513.66666666667)</f>
        <v>42513.66667</v>
      </c>
      <c r="B1487" s="2">
        <f>IFERROR(__xludf.DUMMYFUNCTION("""COMPUTED_VALUE"""),14.41)</f>
        <v>14.41</v>
      </c>
      <c r="C1487" s="3">
        <v>28.7929957318324</v>
      </c>
    </row>
    <row r="1488">
      <c r="A1488" s="1">
        <f>IFERROR(__xludf.DUMMYFUNCTION("""COMPUTED_VALUE"""),42514.66666666667)</f>
        <v>42514.66667</v>
      </c>
      <c r="B1488" s="2">
        <f>IFERROR(__xludf.DUMMYFUNCTION("""COMPUTED_VALUE"""),14.53)</f>
        <v>14.53</v>
      </c>
      <c r="C1488" s="3">
        <v>28.7307041197473</v>
      </c>
    </row>
    <row r="1489">
      <c r="A1489" s="1">
        <f>IFERROR(__xludf.DUMMYFUNCTION("""COMPUTED_VALUE"""),42515.66666666667)</f>
        <v>42515.66667</v>
      </c>
      <c r="B1489" s="2">
        <f>IFERROR(__xludf.DUMMYFUNCTION("""COMPUTED_VALUE"""),14.64)</f>
        <v>14.64</v>
      </c>
      <c r="C1489" s="3">
        <v>29.1121529453543</v>
      </c>
    </row>
    <row r="1490">
      <c r="A1490" s="1">
        <f>IFERROR(__xludf.DUMMYFUNCTION("""COMPUTED_VALUE"""),42516.66666666667)</f>
        <v>42516.66667</v>
      </c>
      <c r="B1490" s="2">
        <f>IFERROR(__xludf.DUMMYFUNCTION("""COMPUTED_VALUE"""),15.01)</f>
        <v>15.01</v>
      </c>
      <c r="C1490" s="3">
        <v>28.6058714973513</v>
      </c>
    </row>
    <row r="1491">
      <c r="A1491" s="1">
        <f>IFERROR(__xludf.DUMMYFUNCTION("""COMPUTED_VALUE"""),42517.66666666667)</f>
        <v>42517.66667</v>
      </c>
      <c r="B1491" s="2">
        <f>IFERROR(__xludf.DUMMYFUNCTION("""COMPUTED_VALUE"""),14.87)</f>
        <v>14.87</v>
      </c>
      <c r="C1491" s="3">
        <v>28.103341220295</v>
      </c>
    </row>
    <row r="1492">
      <c r="A1492" s="1">
        <f>IFERROR(__xludf.DUMMYFUNCTION("""COMPUTED_VALUE"""),42521.66666666667)</f>
        <v>42521.66667</v>
      </c>
      <c r="B1492" s="2">
        <f>IFERROR(__xludf.DUMMYFUNCTION("""COMPUTED_VALUE"""),14.88)</f>
        <v>14.88</v>
      </c>
      <c r="C1492" s="3">
        <v>30.9287230001634</v>
      </c>
    </row>
    <row r="1493">
      <c r="A1493" s="1">
        <f>IFERROR(__xludf.DUMMYFUNCTION("""COMPUTED_VALUE"""),42522.66666666667)</f>
        <v>42522.66667</v>
      </c>
      <c r="B1493" s="2">
        <f>IFERROR(__xludf.DUMMYFUNCTION("""COMPUTED_VALUE"""),14.64)</f>
        <v>14.64</v>
      </c>
      <c r="C1493" s="3">
        <v>31.4046976692558</v>
      </c>
    </row>
    <row r="1494">
      <c r="A1494" s="1">
        <f>IFERROR(__xludf.DUMMYFUNCTION("""COMPUTED_VALUE"""),42523.66666666667)</f>
        <v>42523.66667</v>
      </c>
      <c r="B1494" s="2">
        <f>IFERROR(__xludf.DUMMYFUNCTION("""COMPUTED_VALUE"""),14.6)</f>
        <v>14.6</v>
      </c>
      <c r="C1494" s="3">
        <v>30.9211844522133</v>
      </c>
    </row>
    <row r="1495">
      <c r="A1495" s="1">
        <f>IFERROR(__xludf.DUMMYFUNCTION("""COMPUTED_VALUE"""),42524.66666666667)</f>
        <v>42524.66667</v>
      </c>
      <c r="B1495" s="2">
        <f>IFERROR(__xludf.DUMMYFUNCTION("""COMPUTED_VALUE"""),14.6)</f>
        <v>14.6</v>
      </c>
      <c r="C1495" s="3">
        <v>30.3750905472427</v>
      </c>
    </row>
    <row r="1496">
      <c r="A1496" s="1">
        <f>IFERROR(__xludf.DUMMYFUNCTION("""COMPUTED_VALUE"""),42527.66666666667)</f>
        <v>42527.66667</v>
      </c>
      <c r="B1496" s="2">
        <f>IFERROR(__xludf.DUMMYFUNCTION("""COMPUTED_VALUE"""),14.71)</f>
        <v>14.71</v>
      </c>
      <c r="C1496" s="3">
        <v>32.6439785363273</v>
      </c>
    </row>
    <row r="1497">
      <c r="A1497" s="1">
        <f>IFERROR(__xludf.DUMMYFUNCTION("""COMPUTED_VALUE"""),42528.66666666667)</f>
        <v>42528.66667</v>
      </c>
      <c r="B1497" s="2">
        <f>IFERROR(__xludf.DUMMYFUNCTION("""COMPUTED_VALUE"""),15.49)</f>
        <v>15.49</v>
      </c>
      <c r="C1497" s="3">
        <v>32.5287420270455</v>
      </c>
    </row>
    <row r="1498">
      <c r="A1498" s="1">
        <f>IFERROR(__xludf.DUMMYFUNCTION("""COMPUTED_VALUE"""),42529.66666666667)</f>
        <v>42529.66667</v>
      </c>
      <c r="B1498" s="2">
        <f>IFERROR(__xludf.DUMMYFUNCTION("""COMPUTED_VALUE"""),15.7)</f>
        <v>15.7</v>
      </c>
      <c r="C1498" s="3">
        <v>32.7642945238803</v>
      </c>
    </row>
    <row r="1499">
      <c r="A1499" s="1">
        <f>IFERROR(__xludf.DUMMYFUNCTION("""COMPUTED_VALUE"""),42530.66666666667)</f>
        <v>42530.66667</v>
      </c>
      <c r="B1499" s="2">
        <f>IFERROR(__xludf.DUMMYFUNCTION("""COMPUTED_VALUE"""),15.29)</f>
        <v>15.29</v>
      </c>
      <c r="C1499" s="3">
        <v>32.0344425470354</v>
      </c>
    </row>
    <row r="1500">
      <c r="A1500" s="1">
        <f>IFERROR(__xludf.DUMMYFUNCTION("""COMPUTED_VALUE"""),42531.66666666667)</f>
        <v>42531.66667</v>
      </c>
      <c r="B1500" s="2">
        <f>IFERROR(__xludf.DUMMYFUNCTION("""COMPUTED_VALUE"""),14.59)</f>
        <v>14.59</v>
      </c>
      <c r="C1500" s="3">
        <v>31.2477983767513</v>
      </c>
    </row>
    <row r="1501">
      <c r="A1501" s="1">
        <f>IFERROR(__xludf.DUMMYFUNCTION("""COMPUTED_VALUE"""),42534.66666666667)</f>
        <v>42534.66667</v>
      </c>
      <c r="B1501" s="2">
        <f>IFERROR(__xludf.DUMMYFUNCTION("""COMPUTED_VALUE"""),14.52)</f>
        <v>14.52</v>
      </c>
      <c r="C1501" s="3">
        <v>32.937515793503</v>
      </c>
    </row>
    <row r="1502">
      <c r="A1502" s="1">
        <f>IFERROR(__xludf.DUMMYFUNCTION("""COMPUTED_VALUE"""),42535.66666666667)</f>
        <v>42535.66667</v>
      </c>
      <c r="B1502" s="2">
        <f>IFERROR(__xludf.DUMMYFUNCTION("""COMPUTED_VALUE"""),14.33)</f>
        <v>14.33</v>
      </c>
      <c r="C1502" s="3">
        <v>32.7072585869672</v>
      </c>
    </row>
    <row r="1503">
      <c r="A1503" s="1">
        <f>IFERROR(__xludf.DUMMYFUNCTION("""COMPUTED_VALUE"""),42536.66666666667)</f>
        <v>42536.66667</v>
      </c>
      <c r="B1503" s="2">
        <f>IFERROR(__xludf.DUMMYFUNCTION("""COMPUTED_VALUE"""),14.51)</f>
        <v>14.51</v>
      </c>
      <c r="C1503" s="3">
        <v>32.878417913533</v>
      </c>
    </row>
    <row r="1504">
      <c r="A1504" s="1">
        <f>IFERROR(__xludf.DUMMYFUNCTION("""COMPUTED_VALUE"""),42537.66666666667)</f>
        <v>42537.66667</v>
      </c>
      <c r="B1504" s="2">
        <f>IFERROR(__xludf.DUMMYFUNCTION("""COMPUTED_VALUE"""),14.53)</f>
        <v>14.53</v>
      </c>
      <c r="C1504" s="3">
        <v>32.1391103769686</v>
      </c>
    </row>
    <row r="1505">
      <c r="A1505" s="1">
        <f>IFERROR(__xludf.DUMMYFUNCTION("""COMPUTED_VALUE"""),42538.66666666667)</f>
        <v>42538.66667</v>
      </c>
      <c r="B1505" s="2">
        <f>IFERROR(__xludf.DUMMYFUNCTION("""COMPUTED_VALUE"""),14.36)</f>
        <v>14.36</v>
      </c>
      <c r="C1505" s="3">
        <v>31.400282528231</v>
      </c>
    </row>
    <row r="1506">
      <c r="A1506" s="1">
        <f>IFERROR(__xludf.DUMMYFUNCTION("""COMPUTED_VALUE"""),42541.66666666667)</f>
        <v>42541.66667</v>
      </c>
      <c r="B1506" s="2">
        <f>IFERROR(__xludf.DUMMYFUNCTION("""COMPUTED_VALUE"""),14.65)</f>
        <v>14.65</v>
      </c>
      <c r="C1506" s="3">
        <v>33.5698106165673</v>
      </c>
    </row>
    <row r="1507">
      <c r="A1507" s="1">
        <f>IFERROR(__xludf.DUMMYFUNCTION("""COMPUTED_VALUE"""),42542.66666666667)</f>
        <v>42542.66667</v>
      </c>
      <c r="B1507" s="2">
        <f>IFERROR(__xludf.DUMMYFUNCTION("""COMPUTED_VALUE"""),14.64)</f>
        <v>14.64</v>
      </c>
      <c r="C1507" s="3">
        <v>33.5992414062363</v>
      </c>
    </row>
    <row r="1508">
      <c r="A1508" s="1">
        <f>IFERROR(__xludf.DUMMYFUNCTION("""COMPUTED_VALUE"""),42543.66666666667)</f>
        <v>42543.66667</v>
      </c>
      <c r="B1508" s="2">
        <f>IFERROR(__xludf.DUMMYFUNCTION("""COMPUTED_VALUE"""),13.11)</f>
        <v>13.11</v>
      </c>
      <c r="C1508" s="3">
        <v>34.0692186885812</v>
      </c>
    </row>
    <row r="1509">
      <c r="A1509" s="1">
        <f>IFERROR(__xludf.DUMMYFUNCTION("""COMPUTED_VALUE"""),42544.66666666667)</f>
        <v>42544.66667</v>
      </c>
      <c r="B1509" s="2">
        <f>IFERROR(__xludf.DUMMYFUNCTION("""COMPUTED_VALUE"""),13.09)</f>
        <v>13.09</v>
      </c>
      <c r="C1509" s="3">
        <v>33.6590795798258</v>
      </c>
    </row>
    <row r="1510">
      <c r="A1510" s="1">
        <f>IFERROR(__xludf.DUMMYFUNCTION("""COMPUTED_VALUE"""),42545.66666666667)</f>
        <v>42545.66667</v>
      </c>
      <c r="B1510" s="2">
        <f>IFERROR(__xludf.DUMMYFUNCTION("""COMPUTED_VALUE"""),12.88)</f>
        <v>12.88</v>
      </c>
      <c r="C1510" s="3">
        <v>33.2697969613105</v>
      </c>
    </row>
    <row r="1511">
      <c r="A1511" s="1">
        <f>IFERROR(__xludf.DUMMYFUNCTION("""COMPUTED_VALUE"""),42548.66666666667)</f>
        <v>42548.66667</v>
      </c>
      <c r="B1511" s="2">
        <f>IFERROR(__xludf.DUMMYFUNCTION("""COMPUTED_VALUE"""),13.24)</f>
        <v>13.24</v>
      </c>
      <c r="C1511" s="3">
        <v>36.4992554188815</v>
      </c>
    </row>
    <row r="1512">
      <c r="A1512" s="1">
        <f>IFERROR(__xludf.DUMMYFUNCTION("""COMPUTED_VALUE"""),42549.66666666667)</f>
        <v>42549.66667</v>
      </c>
      <c r="B1512" s="2">
        <f>IFERROR(__xludf.DUMMYFUNCTION("""COMPUTED_VALUE"""),13.45)</f>
        <v>13.45</v>
      </c>
      <c r="C1512" s="3">
        <v>36.8474582993</v>
      </c>
    </row>
    <row r="1513">
      <c r="A1513" s="1">
        <f>IFERROR(__xludf.DUMMYFUNCTION("""COMPUTED_VALUE"""),42550.66666666667)</f>
        <v>42550.66667</v>
      </c>
      <c r="B1513" s="2">
        <f>IFERROR(__xludf.DUMMYFUNCTION("""COMPUTED_VALUE"""),14.01)</f>
        <v>14.01</v>
      </c>
      <c r="C1513" s="3">
        <v>37.6003823105696</v>
      </c>
    </row>
    <row r="1514">
      <c r="A1514" s="1">
        <f>IFERROR(__xludf.DUMMYFUNCTION("""COMPUTED_VALUE"""),42551.66666666667)</f>
        <v>42551.66667</v>
      </c>
      <c r="B1514" s="2">
        <f>IFERROR(__xludf.DUMMYFUNCTION("""COMPUTED_VALUE"""),14.15)</f>
        <v>14.15</v>
      </c>
      <c r="C1514" s="3">
        <v>37.4273231052928</v>
      </c>
    </row>
    <row r="1515">
      <c r="A1515" s="1">
        <f>IFERROR(__xludf.DUMMYFUNCTION("""COMPUTED_VALUE"""),42552.66666666667)</f>
        <v>42552.66667</v>
      </c>
      <c r="B1515" s="2">
        <f>IFERROR(__xludf.DUMMYFUNCTION("""COMPUTED_VALUE"""),14.43)</f>
        <v>14.43</v>
      </c>
      <c r="C1515" s="3">
        <v>37.2204069792706</v>
      </c>
    </row>
    <row r="1516">
      <c r="A1516" s="1">
        <f>IFERROR(__xludf.DUMMYFUNCTION("""COMPUTED_VALUE"""),42556.66666666667)</f>
        <v>42556.66667</v>
      </c>
      <c r="B1516" s="2">
        <f>IFERROR(__xludf.DUMMYFUNCTION("""COMPUTED_VALUE"""),14.27)</f>
        <v>14.27</v>
      </c>
      <c r="C1516" s="3">
        <v>40.858992787434</v>
      </c>
    </row>
    <row r="1517">
      <c r="A1517" s="1">
        <f>IFERROR(__xludf.DUMMYFUNCTION("""COMPUTED_VALUE"""),42557.66666666667)</f>
        <v>42557.66667</v>
      </c>
      <c r="B1517" s="2">
        <f>IFERROR(__xludf.DUMMYFUNCTION("""COMPUTED_VALUE"""),14.3)</f>
        <v>14.3</v>
      </c>
      <c r="C1517" s="3">
        <v>41.4462700365141</v>
      </c>
    </row>
    <row r="1518">
      <c r="A1518" s="1">
        <f>IFERROR(__xludf.DUMMYFUNCTION("""COMPUTED_VALUE"""),42558.66666666667)</f>
        <v>42558.66667</v>
      </c>
      <c r="B1518" s="2">
        <f>IFERROR(__xludf.DUMMYFUNCTION("""COMPUTED_VALUE"""),14.4)</f>
        <v>14.4</v>
      </c>
      <c r="C1518" s="3">
        <v>41.0369136487216</v>
      </c>
    </row>
    <row r="1519">
      <c r="A1519" s="1">
        <f>IFERROR(__xludf.DUMMYFUNCTION("""COMPUTED_VALUE"""),42559.66666666667)</f>
        <v>42559.66667</v>
      </c>
      <c r="B1519" s="2">
        <f>IFERROR(__xludf.DUMMYFUNCTION("""COMPUTED_VALUE"""),14.45)</f>
        <v>14.45</v>
      </c>
      <c r="C1519" s="3">
        <v>40.5275140749209</v>
      </c>
    </row>
    <row r="1520">
      <c r="A1520" s="1">
        <f>IFERROR(__xludf.DUMMYFUNCTION("""COMPUTED_VALUE"""),42562.66666666667)</f>
        <v>42562.66667</v>
      </c>
      <c r="B1520" s="2">
        <f>IFERROR(__xludf.DUMMYFUNCTION("""COMPUTED_VALUE"""),14.99)</f>
        <v>14.99</v>
      </c>
      <c r="C1520" s="3">
        <v>42.6787587137251</v>
      </c>
    </row>
    <row r="1521">
      <c r="A1521" s="1">
        <f>IFERROR(__xludf.DUMMYFUNCTION("""COMPUTED_VALUE"""),42563.66666666667)</f>
        <v>42563.66667</v>
      </c>
      <c r="B1521" s="2">
        <f>IFERROR(__xludf.DUMMYFUNCTION("""COMPUTED_VALUE"""),14.98)</f>
        <v>14.98</v>
      </c>
      <c r="C1521" s="3">
        <v>42.4478932810408</v>
      </c>
    </row>
    <row r="1522">
      <c r="A1522" s="1">
        <f>IFERROR(__xludf.DUMMYFUNCTION("""COMPUTED_VALUE"""),42564.66666666667)</f>
        <v>42564.66667</v>
      </c>
      <c r="B1522" s="2">
        <f>IFERROR(__xludf.DUMMYFUNCTION("""COMPUTED_VALUE"""),14.84)</f>
        <v>14.84</v>
      </c>
      <c r="C1522" s="3">
        <v>42.5298077478303</v>
      </c>
    </row>
    <row r="1523">
      <c r="A1523" s="1">
        <f>IFERROR(__xludf.DUMMYFUNCTION("""COMPUTED_VALUE"""),42565.66666666667)</f>
        <v>42565.66667</v>
      </c>
      <c r="B1523" s="2">
        <f>IFERROR(__xludf.DUMMYFUNCTION("""COMPUTED_VALUE"""),14.77)</f>
        <v>14.77</v>
      </c>
      <c r="C1523" s="3">
        <v>41.6088228749837</v>
      </c>
    </row>
    <row r="1524">
      <c r="A1524" s="1">
        <f>IFERROR(__xludf.DUMMYFUNCTION("""COMPUTED_VALUE"""),42566.66666666667)</f>
        <v>42566.66667</v>
      </c>
      <c r="B1524" s="2">
        <f>IFERROR(__xludf.DUMMYFUNCTION("""COMPUTED_VALUE"""),14.69)</f>
        <v>14.69</v>
      </c>
      <c r="C1524" s="3">
        <v>40.5944052373737</v>
      </c>
    </row>
    <row r="1525">
      <c r="A1525" s="1">
        <f>IFERROR(__xludf.DUMMYFUNCTION("""COMPUTED_VALUE"""),42569.66666666667)</f>
        <v>42569.66667</v>
      </c>
      <c r="B1525" s="2">
        <f>IFERROR(__xludf.DUMMYFUNCTION("""COMPUTED_VALUE"""),15.08)</f>
        <v>15.08</v>
      </c>
      <c r="C1525" s="3">
        <v>41.3955150199263</v>
      </c>
    </row>
    <row r="1526">
      <c r="A1526" s="1">
        <f>IFERROR(__xludf.DUMMYFUNCTION("""COMPUTED_VALUE"""),42570.66666666667)</f>
        <v>42570.66667</v>
      </c>
      <c r="B1526" s="2">
        <f>IFERROR(__xludf.DUMMYFUNCTION("""COMPUTED_VALUE"""),15.02)</f>
        <v>15.02</v>
      </c>
      <c r="C1526" s="3">
        <v>40.8076992206963</v>
      </c>
    </row>
    <row r="1527">
      <c r="A1527" s="1">
        <f>IFERROR(__xludf.DUMMYFUNCTION("""COMPUTED_VALUE"""),42571.66666666667)</f>
        <v>42571.66667</v>
      </c>
      <c r="B1527" s="2">
        <f>IFERROR(__xludf.DUMMYFUNCTION("""COMPUTED_VALUE"""),15.22)</f>
        <v>15.22</v>
      </c>
      <c r="C1527" s="3">
        <v>40.5953254968282</v>
      </c>
    </row>
    <row r="1528">
      <c r="A1528" s="1">
        <f>IFERROR(__xludf.DUMMYFUNCTION("""COMPUTED_VALUE"""),42572.66666666667)</f>
        <v>42572.66667</v>
      </c>
      <c r="B1528" s="2">
        <f>IFERROR(__xludf.DUMMYFUNCTION("""COMPUTED_VALUE"""),14.7)</f>
        <v>14.7</v>
      </c>
      <c r="C1528" s="3">
        <v>39.4500324209785</v>
      </c>
    </row>
    <row r="1529">
      <c r="A1529" s="1">
        <f>IFERROR(__xludf.DUMMYFUNCTION("""COMPUTED_VALUE"""),42573.66666666667)</f>
        <v>42573.66667</v>
      </c>
      <c r="B1529" s="2">
        <f>IFERROR(__xludf.DUMMYFUNCTION("""COMPUTED_VALUE"""),14.82)</f>
        <v>14.82</v>
      </c>
      <c r="C1529" s="3">
        <v>38.2867307369325</v>
      </c>
    </row>
    <row r="1530">
      <c r="A1530" s="1">
        <f>IFERROR(__xludf.DUMMYFUNCTION("""COMPUTED_VALUE"""),42576.66666666667)</f>
        <v>42576.66667</v>
      </c>
      <c r="B1530" s="2">
        <f>IFERROR(__xludf.DUMMYFUNCTION("""COMPUTED_VALUE"""),15.33)</f>
        <v>15.33</v>
      </c>
      <c r="C1530" s="3">
        <v>39.1173704276751</v>
      </c>
    </row>
    <row r="1531">
      <c r="A1531" s="1">
        <f>IFERROR(__xludf.DUMMYFUNCTION("""COMPUTED_VALUE"""),42577.66666666667)</f>
        <v>42577.66667</v>
      </c>
      <c r="B1531" s="2">
        <f>IFERROR(__xludf.DUMMYFUNCTION("""COMPUTED_VALUE"""),15.3)</f>
        <v>15.3</v>
      </c>
      <c r="C1531" s="3">
        <v>38.6953962895505</v>
      </c>
    </row>
    <row r="1532">
      <c r="A1532" s="1">
        <f>IFERROR(__xludf.DUMMYFUNCTION("""COMPUTED_VALUE"""),42578.66666666667)</f>
        <v>42578.66667</v>
      </c>
      <c r="B1532" s="2">
        <f>IFERROR(__xludf.DUMMYFUNCTION("""COMPUTED_VALUE"""),15.23)</f>
        <v>15.23</v>
      </c>
      <c r="C1532" s="3">
        <v>38.7203116466805</v>
      </c>
    </row>
    <row r="1533">
      <c r="A1533" s="1">
        <f>IFERROR(__xludf.DUMMYFUNCTION("""COMPUTED_VALUE"""),42579.66666666667)</f>
        <v>42579.66667</v>
      </c>
      <c r="B1533" s="2">
        <f>IFERROR(__xludf.DUMMYFUNCTION("""COMPUTED_VALUE"""),15.37)</f>
        <v>15.37</v>
      </c>
      <c r="C1533" s="3">
        <v>37.8769494231619</v>
      </c>
    </row>
    <row r="1534">
      <c r="A1534" s="1">
        <f>IFERROR(__xludf.DUMMYFUNCTION("""COMPUTED_VALUE"""),42580.66666666667)</f>
        <v>42580.66667</v>
      </c>
      <c r="B1534" s="2">
        <f>IFERROR(__xludf.DUMMYFUNCTION("""COMPUTED_VALUE"""),15.65)</f>
        <v>15.65</v>
      </c>
      <c r="C1534" s="3">
        <v>37.0717604339507</v>
      </c>
    </row>
    <row r="1535">
      <c r="A1535" s="1">
        <f>IFERROR(__xludf.DUMMYFUNCTION("""COMPUTED_VALUE"""),42583.66666666667)</f>
        <v>42583.66667</v>
      </c>
      <c r="B1535" s="2">
        <f>IFERROR(__xludf.DUMMYFUNCTION("""COMPUTED_VALUE"""),15.33)</f>
        <v>15.33</v>
      </c>
      <c r="C1535" s="3">
        <v>39.2099684283195</v>
      </c>
    </row>
    <row r="1536">
      <c r="A1536" s="1">
        <f>IFERROR(__xludf.DUMMYFUNCTION("""COMPUTED_VALUE"""),42584.66666666667)</f>
        <v>42584.66667</v>
      </c>
      <c r="B1536" s="2">
        <f>IFERROR(__xludf.DUMMYFUNCTION("""COMPUTED_VALUE"""),15.15)</f>
        <v>15.15</v>
      </c>
      <c r="C1536" s="3">
        <v>39.2627204664518</v>
      </c>
    </row>
    <row r="1537">
      <c r="A1537" s="1">
        <f>IFERROR(__xludf.DUMMYFUNCTION("""COMPUTED_VALUE"""),42585.66666666667)</f>
        <v>42585.66667</v>
      </c>
      <c r="B1537" s="2">
        <f>IFERROR(__xludf.DUMMYFUNCTION("""COMPUTED_VALUE"""),15.05)</f>
        <v>15.05</v>
      </c>
      <c r="C1537" s="3">
        <v>39.7614194003422</v>
      </c>
    </row>
    <row r="1538">
      <c r="A1538" s="1">
        <f>IFERROR(__xludf.DUMMYFUNCTION("""COMPUTED_VALUE"""),42586.66666666667)</f>
        <v>42586.66667</v>
      </c>
      <c r="B1538" s="2">
        <f>IFERROR(__xludf.DUMMYFUNCTION("""COMPUTED_VALUE"""),15.37)</f>
        <v>15.37</v>
      </c>
      <c r="C1538" s="3">
        <v>39.3788427863106</v>
      </c>
    </row>
    <row r="1539">
      <c r="A1539" s="1">
        <f>IFERROR(__xludf.DUMMYFUNCTION("""COMPUTED_VALUE"""),42587.66666666667)</f>
        <v>42587.66667</v>
      </c>
      <c r="B1539" s="2">
        <f>IFERROR(__xludf.DUMMYFUNCTION("""COMPUTED_VALUE"""),15.34)</f>
        <v>15.34</v>
      </c>
      <c r="C1539" s="3">
        <v>39.0099819295821</v>
      </c>
    </row>
    <row r="1540">
      <c r="A1540" s="1">
        <f>IFERROR(__xludf.DUMMYFUNCTION("""COMPUTED_VALUE"""),42590.66666666667)</f>
        <v>42590.66667</v>
      </c>
      <c r="B1540" s="2">
        <f>IFERROR(__xludf.DUMMYFUNCTION("""COMPUTED_VALUE"""),15.08)</f>
        <v>15.08</v>
      </c>
      <c r="C1540" s="3">
        <v>42.2112749333513</v>
      </c>
    </row>
    <row r="1541">
      <c r="A1541" s="1">
        <f>IFERROR(__xludf.DUMMYFUNCTION("""COMPUTED_VALUE"""),42591.66666666667)</f>
        <v>42591.66667</v>
      </c>
      <c r="B1541" s="2">
        <f>IFERROR(__xludf.DUMMYFUNCTION("""COMPUTED_VALUE"""),15.27)</f>
        <v>15.27</v>
      </c>
      <c r="C1541" s="3">
        <v>42.5103580413807</v>
      </c>
    </row>
    <row r="1542">
      <c r="A1542" s="1">
        <f>IFERROR(__xludf.DUMMYFUNCTION("""COMPUTED_VALUE"""),42592.66666666667)</f>
        <v>42592.66667</v>
      </c>
      <c r="B1542" s="2">
        <f>IFERROR(__xludf.DUMMYFUNCTION("""COMPUTED_VALUE"""),15.04)</f>
        <v>15.04</v>
      </c>
      <c r="C1542" s="3">
        <v>43.1925456802216</v>
      </c>
    </row>
    <row r="1543">
      <c r="A1543" s="1">
        <f>IFERROR(__xludf.DUMMYFUNCTION("""COMPUTED_VALUE"""),42593.66666666667)</f>
        <v>42593.66667</v>
      </c>
      <c r="B1543" s="2">
        <f>IFERROR(__xludf.DUMMYFUNCTION("""COMPUTED_VALUE"""),14.99)</f>
        <v>14.99</v>
      </c>
      <c r="C1543" s="3">
        <v>42.9281226055836</v>
      </c>
    </row>
    <row r="1544">
      <c r="A1544" s="1">
        <f>IFERROR(__xludf.DUMMYFUNCTION("""COMPUTED_VALUE"""),42594.66666666667)</f>
        <v>42594.66667</v>
      </c>
      <c r="B1544" s="2">
        <f>IFERROR(__xludf.DUMMYFUNCTION("""COMPUTED_VALUE"""),15.04)</f>
        <v>15.04</v>
      </c>
      <c r="C1544" s="3">
        <v>42.6115364833609</v>
      </c>
    </row>
    <row r="1545">
      <c r="A1545" s="1">
        <f>IFERROR(__xludf.DUMMYFUNCTION("""COMPUTED_VALUE"""),42597.66666666667)</f>
        <v>42597.66667</v>
      </c>
      <c r="B1545" s="2">
        <f>IFERROR(__xludf.DUMMYFUNCTION("""COMPUTED_VALUE"""),15.04)</f>
        <v>15.04</v>
      </c>
      <c r="C1545" s="3">
        <v>45.5973174821412</v>
      </c>
    </row>
    <row r="1546">
      <c r="A1546" s="1">
        <f>IFERROR(__xludf.DUMMYFUNCTION("""COMPUTED_VALUE"""),42598.66666666667)</f>
        <v>42598.66667</v>
      </c>
      <c r="B1546" s="2">
        <f>IFERROR(__xludf.DUMMYFUNCTION("""COMPUTED_VALUE"""),14.91)</f>
        <v>14.91</v>
      </c>
      <c r="C1546" s="3">
        <v>45.7167369565509</v>
      </c>
    </row>
    <row r="1547">
      <c r="A1547" s="1">
        <f>IFERROR(__xludf.DUMMYFUNCTION("""COMPUTED_VALUE"""),42599.66666666667)</f>
        <v>42599.66667</v>
      </c>
      <c r="B1547" s="2">
        <f>IFERROR(__xludf.DUMMYFUNCTION("""COMPUTED_VALUE"""),14.88)</f>
        <v>14.88</v>
      </c>
      <c r="C1547" s="3">
        <v>46.1771620259384</v>
      </c>
    </row>
    <row r="1548">
      <c r="A1548" s="1">
        <f>IFERROR(__xludf.DUMMYFUNCTION("""COMPUTED_VALUE"""),42600.66666666667)</f>
        <v>42600.66667</v>
      </c>
      <c r="B1548" s="2">
        <f>IFERROR(__xludf.DUMMYFUNCTION("""COMPUTED_VALUE"""),14.9)</f>
        <v>14.9</v>
      </c>
      <c r="C1548" s="3">
        <v>45.6576572226683</v>
      </c>
    </row>
    <row r="1549">
      <c r="A1549" s="1">
        <f>IFERROR(__xludf.DUMMYFUNCTION("""COMPUTED_VALUE"""),42601.66666666667)</f>
        <v>42601.66667</v>
      </c>
      <c r="B1549" s="2">
        <f>IFERROR(__xludf.DUMMYFUNCTION("""COMPUTED_VALUE"""),15.0)</f>
        <v>15</v>
      </c>
      <c r="C1549" s="3">
        <v>45.0621734379512</v>
      </c>
    </row>
    <row r="1550">
      <c r="A1550" s="1">
        <f>IFERROR(__xludf.DUMMYFUNCTION("""COMPUTED_VALUE"""),42604.66666666667)</f>
        <v>42604.66667</v>
      </c>
      <c r="B1550" s="2">
        <f>IFERROR(__xludf.DUMMYFUNCTION("""COMPUTED_VALUE"""),14.86)</f>
        <v>14.86</v>
      </c>
      <c r="C1550" s="3">
        <v>47.1675123322795</v>
      </c>
    </row>
    <row r="1551">
      <c r="A1551" s="1">
        <f>IFERROR(__xludf.DUMMYFUNCTION("""COMPUTED_VALUE"""),42605.66666666667)</f>
        <v>42605.66667</v>
      </c>
      <c r="B1551" s="2">
        <f>IFERROR(__xludf.DUMMYFUNCTION("""COMPUTED_VALUE"""),14.99)</f>
        <v>14.99</v>
      </c>
      <c r="C1551" s="3">
        <v>47.0110092293043</v>
      </c>
    </row>
    <row r="1552">
      <c r="A1552" s="1">
        <f>IFERROR(__xludf.DUMMYFUNCTION("""COMPUTED_VALUE"""),42606.66666666667)</f>
        <v>42606.66667</v>
      </c>
      <c r="B1552" s="2">
        <f>IFERROR(__xludf.DUMMYFUNCTION("""COMPUTED_VALUE"""),14.84)</f>
        <v>14.84</v>
      </c>
      <c r="C1552" s="3">
        <v>47.2188127595454</v>
      </c>
    </row>
    <row r="1553">
      <c r="A1553" s="1">
        <f>IFERROR(__xludf.DUMMYFUNCTION("""COMPUTED_VALUE"""),42607.66666666667)</f>
        <v>42607.66667</v>
      </c>
      <c r="B1553" s="2">
        <f>IFERROR(__xludf.DUMMYFUNCTION("""COMPUTED_VALUE"""),14.73)</f>
        <v>14.73</v>
      </c>
      <c r="C1553" s="3">
        <v>46.4771768476279</v>
      </c>
    </row>
    <row r="1554">
      <c r="A1554" s="1">
        <f>IFERROR(__xludf.DUMMYFUNCTION("""COMPUTED_VALUE"""),42608.66666666667)</f>
        <v>42608.66667</v>
      </c>
      <c r="B1554" s="2">
        <f>IFERROR(__xludf.DUMMYFUNCTION("""COMPUTED_VALUE"""),14.67)</f>
        <v>14.67</v>
      </c>
      <c r="C1554" s="3">
        <v>45.6958924848667</v>
      </c>
    </row>
    <row r="1555">
      <c r="A1555" s="1">
        <f>IFERROR(__xludf.DUMMYFUNCTION("""COMPUTED_VALUE"""),42611.66666666667)</f>
        <v>42611.66667</v>
      </c>
      <c r="B1555" s="2">
        <f>IFERROR(__xludf.DUMMYFUNCTION("""COMPUTED_VALUE"""),14.35)</f>
        <v>14.35</v>
      </c>
      <c r="C1555" s="3">
        <v>47.4965572686042</v>
      </c>
    </row>
    <row r="1556">
      <c r="A1556" s="1">
        <f>IFERROR(__xludf.DUMMYFUNCTION("""COMPUTED_VALUE"""),42612.66666666667)</f>
        <v>42612.66667</v>
      </c>
      <c r="B1556" s="2">
        <f>IFERROR(__xludf.DUMMYFUNCTION("""COMPUTED_VALUE"""),14.09)</f>
        <v>14.09</v>
      </c>
      <c r="C1556" s="3">
        <v>47.325794556207</v>
      </c>
    </row>
    <row r="1557">
      <c r="A1557" s="1">
        <f>IFERROR(__xludf.DUMMYFUNCTION("""COMPUTED_VALUE"""),42613.66666666667)</f>
        <v>42613.66667</v>
      </c>
      <c r="B1557" s="2">
        <f>IFERROR(__xludf.DUMMYFUNCTION("""COMPUTED_VALUE"""),14.13)</f>
        <v>14.13</v>
      </c>
      <c r="C1557" s="3">
        <v>47.5601987714425</v>
      </c>
    </row>
    <row r="1558">
      <c r="A1558" s="1">
        <f>IFERROR(__xludf.DUMMYFUNCTION("""COMPUTED_VALUE"""),42614.66666666667)</f>
        <v>42614.66667</v>
      </c>
      <c r="B1558" s="2">
        <f>IFERROR(__xludf.DUMMYFUNCTION("""COMPUTED_VALUE"""),13.38)</f>
        <v>13.38</v>
      </c>
      <c r="C1558" s="3">
        <v>46.8818893711137</v>
      </c>
    </row>
    <row r="1559">
      <c r="A1559" s="1">
        <f>IFERROR(__xludf.DUMMYFUNCTION("""COMPUTED_VALUE"""),42615.66666666667)</f>
        <v>42615.66667</v>
      </c>
      <c r="B1559" s="2">
        <f>IFERROR(__xludf.DUMMYFUNCTION("""COMPUTED_VALUE"""),13.19)</f>
        <v>13.19</v>
      </c>
      <c r="C1559" s="3">
        <v>46.1950715772671</v>
      </c>
    </row>
    <row r="1560">
      <c r="A1560" s="1">
        <f>IFERROR(__xludf.DUMMYFUNCTION("""COMPUTED_VALUE"""),42619.66666666667)</f>
        <v>42619.66667</v>
      </c>
      <c r="B1560" s="2">
        <f>IFERROR(__xludf.DUMMYFUNCTION("""COMPUTED_VALUE"""),13.52)</f>
        <v>13.52</v>
      </c>
      <c r="C1560" s="3">
        <v>48.3642005668448</v>
      </c>
    </row>
    <row r="1561">
      <c r="A1561" s="1">
        <f>IFERROR(__xludf.DUMMYFUNCTION("""COMPUTED_VALUE"""),42620.66666666667)</f>
        <v>42620.66667</v>
      </c>
      <c r="B1561" s="2">
        <f>IFERROR(__xludf.DUMMYFUNCTION("""COMPUTED_VALUE"""),13.45)</f>
        <v>13.45</v>
      </c>
      <c r="C1561" s="3">
        <v>48.7305291509675</v>
      </c>
    </row>
    <row r="1562">
      <c r="A1562" s="1">
        <f>IFERROR(__xludf.DUMMYFUNCTION("""COMPUTED_VALUE"""),42621.66666666667)</f>
        <v>42621.66667</v>
      </c>
      <c r="B1562" s="2">
        <f>IFERROR(__xludf.DUMMYFUNCTION("""COMPUTED_VALUE"""),13.16)</f>
        <v>13.16</v>
      </c>
      <c r="C1562" s="3">
        <v>48.1651588453691</v>
      </c>
    </row>
    <row r="1563">
      <c r="A1563" s="1">
        <f>IFERROR(__xludf.DUMMYFUNCTION("""COMPUTED_VALUE"""),42622.66666666667)</f>
        <v>42622.66667</v>
      </c>
      <c r="B1563" s="2">
        <f>IFERROR(__xludf.DUMMYFUNCTION("""COMPUTED_VALUE"""),12.96)</f>
        <v>12.96</v>
      </c>
      <c r="C1563" s="3">
        <v>47.564015752288</v>
      </c>
    </row>
    <row r="1564">
      <c r="A1564" s="1">
        <f>IFERROR(__xludf.DUMMYFUNCTION("""COMPUTED_VALUE"""),42625.66666666667)</f>
        <v>42625.66667</v>
      </c>
      <c r="B1564" s="2">
        <f>IFERROR(__xludf.DUMMYFUNCTION("""COMPUTED_VALUE"""),13.22)</f>
        <v>13.22</v>
      </c>
      <c r="C1564" s="3">
        <v>49.7872006953863</v>
      </c>
    </row>
    <row r="1565">
      <c r="A1565" s="1">
        <f>IFERROR(__xludf.DUMMYFUNCTION("""COMPUTED_VALUE"""),42626.66666666667)</f>
        <v>42626.66667</v>
      </c>
      <c r="B1565" s="2">
        <f>IFERROR(__xludf.DUMMYFUNCTION("""COMPUTED_VALUE"""),13.07)</f>
        <v>13.07</v>
      </c>
      <c r="C1565" s="3">
        <v>49.6737873237541</v>
      </c>
    </row>
    <row r="1566">
      <c r="A1566" s="1">
        <f>IFERROR(__xludf.DUMMYFUNCTION("""COMPUTED_VALUE"""),42627.66666666667)</f>
        <v>42627.66667</v>
      </c>
      <c r="B1566" s="2">
        <f>IFERROR(__xludf.DUMMYFUNCTION("""COMPUTED_VALUE"""),13.09)</f>
        <v>13.09</v>
      </c>
      <c r="C1566" s="3">
        <v>49.9049176424258</v>
      </c>
    </row>
    <row r="1567">
      <c r="A1567" s="1">
        <f>IFERROR(__xludf.DUMMYFUNCTION("""COMPUTED_VALUE"""),42628.66666666667)</f>
        <v>42628.66667</v>
      </c>
      <c r="B1567" s="2">
        <f>IFERROR(__xludf.DUMMYFUNCTION("""COMPUTED_VALUE"""),13.36)</f>
        <v>13.36</v>
      </c>
      <c r="C1567" s="3">
        <v>49.1542872140928</v>
      </c>
    </row>
    <row r="1568">
      <c r="A1568" s="1">
        <f>IFERROR(__xludf.DUMMYFUNCTION("""COMPUTED_VALUE"""),42629.66666666667)</f>
        <v>42629.66667</v>
      </c>
      <c r="B1568" s="2">
        <f>IFERROR(__xludf.DUMMYFUNCTION("""COMPUTED_VALUE"""),13.69)</f>
        <v>13.69</v>
      </c>
      <c r="C1568" s="3">
        <v>48.3201583680012</v>
      </c>
    </row>
    <row r="1569">
      <c r="A1569" s="1">
        <f>IFERROR(__xludf.DUMMYFUNCTION("""COMPUTED_VALUE"""),42632.66666666667)</f>
        <v>42632.66667</v>
      </c>
      <c r="B1569" s="2">
        <f>IFERROR(__xludf.DUMMYFUNCTION("""COMPUTED_VALUE"""),13.76)</f>
        <v>13.76</v>
      </c>
      <c r="C1569" s="3">
        <v>49.609440488615</v>
      </c>
    </row>
    <row r="1570">
      <c r="A1570" s="1">
        <f>IFERROR(__xludf.DUMMYFUNCTION("""COMPUTED_VALUE"""),42633.66666666667)</f>
        <v>42633.66667</v>
      </c>
      <c r="B1570" s="2">
        <f>IFERROR(__xludf.DUMMYFUNCTION("""COMPUTED_VALUE"""),13.64)</f>
        <v>13.64</v>
      </c>
      <c r="C1570" s="3">
        <v>49.1320725928736</v>
      </c>
    </row>
    <row r="1571">
      <c r="A1571" s="1">
        <f>IFERROR(__xludf.DUMMYFUNCTION("""COMPUTED_VALUE"""),42634.66666666667)</f>
        <v>42634.66667</v>
      </c>
      <c r="B1571" s="2">
        <f>IFERROR(__xludf.DUMMYFUNCTION("""COMPUTED_VALUE"""),13.68)</f>
        <v>13.68</v>
      </c>
      <c r="C1571" s="3">
        <v>48.9893396825886</v>
      </c>
    </row>
    <row r="1572">
      <c r="A1572" s="1">
        <f>IFERROR(__xludf.DUMMYFUNCTION("""COMPUTED_VALUE"""),42635.66666666667)</f>
        <v>42635.66667</v>
      </c>
      <c r="B1572" s="2">
        <f>IFERROR(__xludf.DUMMYFUNCTION("""COMPUTED_VALUE"""),13.76)</f>
        <v>13.76</v>
      </c>
      <c r="C1572" s="3">
        <v>47.8663956389593</v>
      </c>
    </row>
    <row r="1573">
      <c r="A1573" s="1">
        <f>IFERROR(__xludf.DUMMYFUNCTION("""COMPUTED_VALUE"""),42636.66666666667)</f>
        <v>42636.66667</v>
      </c>
      <c r="B1573" s="2">
        <f>IFERROR(__xludf.DUMMYFUNCTION("""COMPUTED_VALUE"""),13.83)</f>
        <v>13.83</v>
      </c>
      <c r="C1573" s="3">
        <v>46.6735936552553</v>
      </c>
    </row>
    <row r="1574">
      <c r="A1574" s="1">
        <f>IFERROR(__xludf.DUMMYFUNCTION("""COMPUTED_VALUE"""),42639.66666666667)</f>
        <v>42639.66667</v>
      </c>
      <c r="B1574" s="2">
        <f>IFERROR(__xludf.DUMMYFUNCTION("""COMPUTED_VALUE"""),13.93)</f>
        <v>13.93</v>
      </c>
      <c r="C1574" s="3">
        <v>47.0915884693468</v>
      </c>
    </row>
    <row r="1575">
      <c r="A1575" s="1">
        <f>IFERROR(__xludf.DUMMYFUNCTION("""COMPUTED_VALUE"""),42640.66666666667)</f>
        <v>42640.66667</v>
      </c>
      <c r="B1575" s="2">
        <f>IFERROR(__xludf.DUMMYFUNCTION("""COMPUTED_VALUE"""),13.72)</f>
        <v>13.72</v>
      </c>
      <c r="C1575" s="3">
        <v>46.4310637640681</v>
      </c>
    </row>
    <row r="1576">
      <c r="A1576" s="1">
        <f>IFERROR(__xludf.DUMMYFUNCTION("""COMPUTED_VALUE"""),42641.66666666667)</f>
        <v>42641.66667</v>
      </c>
      <c r="B1576" s="2">
        <f>IFERROR(__xludf.DUMMYFUNCTION("""COMPUTED_VALUE"""),13.75)</f>
        <v>13.75</v>
      </c>
      <c r="C1576" s="3">
        <v>46.1760798195778</v>
      </c>
    </row>
    <row r="1577">
      <c r="A1577" s="1">
        <f>IFERROR(__xludf.DUMMYFUNCTION("""COMPUTED_VALUE"""),42642.66666666667)</f>
        <v>42642.66667</v>
      </c>
      <c r="B1577" s="2">
        <f>IFERROR(__xludf.DUMMYFUNCTION("""COMPUTED_VALUE"""),13.38)</f>
        <v>13.38</v>
      </c>
      <c r="C1577" s="3">
        <v>45.0200914666095</v>
      </c>
    </row>
    <row r="1578">
      <c r="A1578" s="1">
        <f>IFERROR(__xludf.DUMMYFUNCTION("""COMPUTED_VALUE"""),42643.66666666667)</f>
        <v>42643.66667</v>
      </c>
      <c r="B1578" s="2">
        <f>IFERROR(__xludf.DUMMYFUNCTION("""COMPUTED_VALUE"""),13.6)</f>
        <v>13.6</v>
      </c>
      <c r="C1578" s="3">
        <v>43.8799628958358</v>
      </c>
    </row>
    <row r="1579">
      <c r="A1579" s="1">
        <f>IFERROR(__xludf.DUMMYFUNCTION("""COMPUTED_VALUE"""),42646.66666666667)</f>
        <v>42646.66667</v>
      </c>
      <c r="B1579" s="2">
        <f>IFERROR(__xludf.DUMMYFUNCTION("""COMPUTED_VALUE"""),14.25)</f>
        <v>14.25</v>
      </c>
      <c r="C1579" s="3">
        <v>45.0039346488685</v>
      </c>
    </row>
    <row r="1580">
      <c r="A1580" s="1">
        <f>IFERROR(__xludf.DUMMYFUNCTION("""COMPUTED_VALUE"""),42647.66666666667)</f>
        <v>42647.66667</v>
      </c>
      <c r="B1580" s="2">
        <f>IFERROR(__xludf.DUMMYFUNCTION("""COMPUTED_VALUE"""),14.09)</f>
        <v>14.09</v>
      </c>
      <c r="C1580" s="3">
        <v>44.7611223303107</v>
      </c>
    </row>
    <row r="1581">
      <c r="A1581" s="1">
        <f>IFERROR(__xludf.DUMMYFUNCTION("""COMPUTED_VALUE"""),42648.66666666667)</f>
        <v>42648.66667</v>
      </c>
      <c r="B1581" s="2">
        <f>IFERROR(__xludf.DUMMYFUNCTION("""COMPUTED_VALUE"""),13.9)</f>
        <v>13.9</v>
      </c>
      <c r="C1581" s="3">
        <v>45.0089716787474</v>
      </c>
    </row>
    <row r="1582">
      <c r="A1582" s="1">
        <f>IFERROR(__xludf.DUMMYFUNCTION("""COMPUTED_VALUE"""),42649.66666666667)</f>
        <v>42649.66667</v>
      </c>
      <c r="B1582" s="2">
        <f>IFERROR(__xludf.DUMMYFUNCTION("""COMPUTED_VALUE"""),13.4)</f>
        <v>13.4</v>
      </c>
      <c r="C1582" s="3">
        <v>44.4337995302451</v>
      </c>
    </row>
    <row r="1583">
      <c r="A1583" s="1">
        <f>IFERROR(__xludf.DUMMYFUNCTION("""COMPUTED_VALUE"""),42650.66666666667)</f>
        <v>42650.66667</v>
      </c>
      <c r="B1583" s="2">
        <f>IFERROR(__xludf.DUMMYFUNCTION("""COMPUTED_VALUE"""),13.11)</f>
        <v>13.11</v>
      </c>
      <c r="C1583" s="3">
        <v>43.9431742634388</v>
      </c>
    </row>
    <row r="1584">
      <c r="A1584" s="1">
        <f>IFERROR(__xludf.DUMMYFUNCTION("""COMPUTED_VALUE"""),42653.66666666667)</f>
        <v>42653.66667</v>
      </c>
      <c r="B1584" s="2">
        <f>IFERROR(__xludf.DUMMYFUNCTION("""COMPUTED_VALUE"""),13.4)</f>
        <v>13.4</v>
      </c>
      <c r="C1584" s="3">
        <v>47.3072240129017</v>
      </c>
    </row>
    <row r="1585">
      <c r="A1585" s="1">
        <f>IFERROR(__xludf.DUMMYFUNCTION("""COMPUTED_VALUE"""),42654.66666666667)</f>
        <v>42654.66667</v>
      </c>
      <c r="B1585" s="2">
        <f>IFERROR(__xludf.DUMMYFUNCTION("""COMPUTED_VALUE"""),13.34)</f>
        <v>13.34</v>
      </c>
      <c r="C1585" s="3">
        <v>47.8610006164177</v>
      </c>
    </row>
    <row r="1586">
      <c r="A1586" s="1">
        <f>IFERROR(__xludf.DUMMYFUNCTION("""COMPUTED_VALUE"""),42655.66666666667)</f>
        <v>42655.66667</v>
      </c>
      <c r="B1586" s="2">
        <f>IFERROR(__xludf.DUMMYFUNCTION("""COMPUTED_VALUE"""),13.43)</f>
        <v>13.43</v>
      </c>
      <c r="C1586" s="3">
        <v>48.9044323318452</v>
      </c>
    </row>
    <row r="1587">
      <c r="A1587" s="1">
        <f>IFERROR(__xludf.DUMMYFUNCTION("""COMPUTED_VALUE"""),42656.66666666667)</f>
        <v>42656.66667</v>
      </c>
      <c r="B1587" s="2">
        <f>IFERROR(__xludf.DUMMYFUNCTION("""COMPUTED_VALUE"""),13.35)</f>
        <v>13.35</v>
      </c>
      <c r="C1587" s="3">
        <v>49.1077107893957</v>
      </c>
    </row>
    <row r="1588">
      <c r="A1588" s="1">
        <f>IFERROR(__xludf.DUMMYFUNCTION("""COMPUTED_VALUE"""),42657.66666666667)</f>
        <v>42657.66667</v>
      </c>
      <c r="B1588" s="2">
        <f>IFERROR(__xludf.DUMMYFUNCTION("""COMPUTED_VALUE"""),13.1)</f>
        <v>13.1</v>
      </c>
      <c r="C1588" s="3">
        <v>49.3624958504705</v>
      </c>
    </row>
    <row r="1589">
      <c r="A1589" s="1">
        <f>IFERROR(__xludf.DUMMYFUNCTION("""COMPUTED_VALUE"""),42660.66666666667)</f>
        <v>42660.66667</v>
      </c>
      <c r="B1589" s="2">
        <f>IFERROR(__xludf.DUMMYFUNCTION("""COMPUTED_VALUE"""),12.93)</f>
        <v>12.93</v>
      </c>
      <c r="C1589" s="3">
        <v>54.6173844954234</v>
      </c>
    </row>
    <row r="1590">
      <c r="A1590" s="1">
        <f>IFERROR(__xludf.DUMMYFUNCTION("""COMPUTED_VALUE"""),42661.66666666667)</f>
        <v>42661.66667</v>
      </c>
      <c r="B1590" s="2">
        <f>IFERROR(__xludf.DUMMYFUNCTION("""COMPUTED_VALUE"""),13.27)</f>
        <v>13.27</v>
      </c>
      <c r="C1590" s="3">
        <v>55.643935122533</v>
      </c>
    </row>
    <row r="1591">
      <c r="A1591" s="1">
        <f>IFERROR(__xludf.DUMMYFUNCTION("""COMPUTED_VALUE"""),42662.66666666667)</f>
        <v>42662.66667</v>
      </c>
      <c r="B1591" s="2">
        <f>IFERROR(__xludf.DUMMYFUNCTION("""COMPUTED_VALUE"""),13.57)</f>
        <v>13.57</v>
      </c>
      <c r="C1591" s="3">
        <v>57.06472116298</v>
      </c>
    </row>
    <row r="1592">
      <c r="A1592" s="1">
        <f>IFERROR(__xludf.DUMMYFUNCTION("""COMPUTED_VALUE"""),42663.66666666667)</f>
        <v>42663.66667</v>
      </c>
      <c r="B1592" s="2">
        <f>IFERROR(__xludf.DUMMYFUNCTION("""COMPUTED_VALUE"""),13.27)</f>
        <v>13.27</v>
      </c>
      <c r="C1592" s="3">
        <v>57.5432213272421</v>
      </c>
    </row>
    <row r="1593">
      <c r="A1593" s="1">
        <f>IFERROR(__xludf.DUMMYFUNCTION("""COMPUTED_VALUE"""),42664.66666666667)</f>
        <v>42664.66667</v>
      </c>
      <c r="B1593" s="2">
        <f>IFERROR(__xludf.DUMMYFUNCTION("""COMPUTED_VALUE"""),13.34)</f>
        <v>13.34</v>
      </c>
      <c r="C1593" s="3">
        <v>57.9668476787169</v>
      </c>
    </row>
    <row r="1594">
      <c r="A1594" s="1">
        <f>IFERROR(__xludf.DUMMYFUNCTION("""COMPUTED_VALUE"""),42667.66666666667)</f>
        <v>42667.66667</v>
      </c>
      <c r="B1594" s="2">
        <f>IFERROR(__xludf.DUMMYFUNCTION("""COMPUTED_VALUE"""),13.52)</f>
        <v>13.52</v>
      </c>
      <c r="C1594" s="3">
        <v>63.0862143799802</v>
      </c>
    </row>
    <row r="1595">
      <c r="A1595" s="1">
        <f>IFERROR(__xludf.DUMMYFUNCTION("""COMPUTED_VALUE"""),42668.66666666667)</f>
        <v>42668.66667</v>
      </c>
      <c r="B1595" s="2">
        <f>IFERROR(__xludf.DUMMYFUNCTION("""COMPUTED_VALUE"""),13.49)</f>
        <v>13.49</v>
      </c>
      <c r="C1595" s="3">
        <v>63.8651338843762</v>
      </c>
    </row>
    <row r="1596">
      <c r="A1596" s="1">
        <f>IFERROR(__xludf.DUMMYFUNCTION("""COMPUTED_VALUE"""),42669.66666666667)</f>
        <v>42669.66667</v>
      </c>
      <c r="B1596" s="2">
        <f>IFERROR(__xludf.DUMMYFUNCTION("""COMPUTED_VALUE"""),13.48)</f>
        <v>13.48</v>
      </c>
      <c r="C1596" s="3">
        <v>64.9488657422543</v>
      </c>
    </row>
    <row r="1597">
      <c r="A1597" s="1">
        <f>IFERROR(__xludf.DUMMYFUNCTION("""COMPUTED_VALUE"""),42670.66666666667)</f>
        <v>42670.66667</v>
      </c>
      <c r="B1597" s="2">
        <f>IFERROR(__xludf.DUMMYFUNCTION("""COMPUTED_VALUE"""),13.6)</f>
        <v>13.6</v>
      </c>
      <c r="C1597" s="3">
        <v>65.0111703870685</v>
      </c>
    </row>
    <row r="1598">
      <c r="A1598" s="1">
        <f>IFERROR(__xludf.DUMMYFUNCTION("""COMPUTED_VALUE"""),42671.66666666667)</f>
        <v>42671.66667</v>
      </c>
      <c r="B1598" s="2">
        <f>IFERROR(__xludf.DUMMYFUNCTION("""COMPUTED_VALUE"""),13.33)</f>
        <v>13.33</v>
      </c>
      <c r="C1598" s="3">
        <v>64.9514822980975</v>
      </c>
    </row>
    <row r="1599">
      <c r="A1599" s="1">
        <f>IFERROR(__xludf.DUMMYFUNCTION("""COMPUTED_VALUE"""),42674.66666666667)</f>
        <v>42674.66667</v>
      </c>
      <c r="B1599" s="2">
        <f>IFERROR(__xludf.DUMMYFUNCTION("""COMPUTED_VALUE"""),13.18)</f>
        <v>13.18</v>
      </c>
      <c r="C1599" s="3">
        <v>68.3569739495179</v>
      </c>
    </row>
    <row r="1600">
      <c r="A1600" s="1">
        <f>IFERROR(__xludf.DUMMYFUNCTION("""COMPUTED_VALUE"""),42675.66666666667)</f>
        <v>42675.66667</v>
      </c>
      <c r="B1600" s="2">
        <f>IFERROR(__xludf.DUMMYFUNCTION("""COMPUTED_VALUE"""),12.72)</f>
        <v>12.72</v>
      </c>
      <c r="C1600" s="3">
        <v>68.5262557474814</v>
      </c>
    </row>
    <row r="1601">
      <c r="A1601" s="1">
        <f>IFERROR(__xludf.DUMMYFUNCTION("""COMPUTED_VALUE"""),42676.66666666667)</f>
        <v>42676.66667</v>
      </c>
      <c r="B1601" s="2">
        <f>IFERROR(__xludf.DUMMYFUNCTION("""COMPUTED_VALUE"""),12.53)</f>
        <v>12.53</v>
      </c>
      <c r="C1601" s="3">
        <v>69.0061917534698</v>
      </c>
    </row>
    <row r="1602">
      <c r="A1602" s="1">
        <f>IFERROR(__xludf.DUMMYFUNCTION("""COMPUTED_VALUE"""),42677.66666666667)</f>
        <v>42677.66667</v>
      </c>
      <c r="B1602" s="2">
        <f>IFERROR(__xludf.DUMMYFUNCTION("""COMPUTED_VALUE"""),12.49)</f>
        <v>12.49</v>
      </c>
      <c r="C1602" s="3">
        <v>68.4847767575998</v>
      </c>
    </row>
    <row r="1603">
      <c r="A1603" s="1">
        <f>IFERROR(__xludf.DUMMYFUNCTION("""COMPUTED_VALUE"""),42678.66666666667)</f>
        <v>42678.66667</v>
      </c>
      <c r="B1603" s="2">
        <f>IFERROR(__xludf.DUMMYFUNCTION("""COMPUTED_VALUE"""),12.7)</f>
        <v>12.7</v>
      </c>
      <c r="C1603" s="3">
        <v>67.874595418864</v>
      </c>
    </row>
    <row r="1604">
      <c r="A1604" s="1">
        <f>IFERROR(__xludf.DUMMYFUNCTION("""COMPUTED_VALUE"""),42681.66666666667)</f>
        <v>42681.66667</v>
      </c>
      <c r="B1604" s="2">
        <f>IFERROR(__xludf.DUMMYFUNCTION("""COMPUTED_VALUE"""),12.88)</f>
        <v>12.88</v>
      </c>
      <c r="C1604" s="3">
        <v>69.93586637826</v>
      </c>
    </row>
    <row r="1605">
      <c r="A1605" s="1">
        <f>IFERROR(__xludf.DUMMYFUNCTION("""COMPUTED_VALUE"""),42682.66666666667)</f>
        <v>42682.66667</v>
      </c>
      <c r="B1605" s="2">
        <f>IFERROR(__xludf.DUMMYFUNCTION("""COMPUTED_VALUE"""),13.0)</f>
        <v>13</v>
      </c>
      <c r="C1605" s="3">
        <v>69.7856141700012</v>
      </c>
    </row>
    <row r="1606">
      <c r="A1606" s="1">
        <f>IFERROR(__xludf.DUMMYFUNCTION("""COMPUTED_VALUE"""),42683.66666666667)</f>
        <v>42683.66667</v>
      </c>
      <c r="B1606" s="2">
        <f>IFERROR(__xludf.DUMMYFUNCTION("""COMPUTED_VALUE"""),12.67)</f>
        <v>12.67</v>
      </c>
      <c r="C1606" s="3">
        <v>70.0177149040404</v>
      </c>
    </row>
    <row r="1607">
      <c r="A1607" s="1">
        <f>IFERROR(__xludf.DUMMYFUNCTION("""COMPUTED_VALUE"""),42684.66666666667)</f>
        <v>42684.66667</v>
      </c>
      <c r="B1607" s="2">
        <f>IFERROR(__xludf.DUMMYFUNCTION("""COMPUTED_VALUE"""),12.36)</f>
        <v>12.36</v>
      </c>
      <c r="C1607" s="3">
        <v>69.321008892359</v>
      </c>
    </row>
    <row r="1608">
      <c r="A1608" s="1">
        <f>IFERROR(__xludf.DUMMYFUNCTION("""COMPUTED_VALUE"""),42685.66666666667)</f>
        <v>42685.66667</v>
      </c>
      <c r="B1608" s="2">
        <f>IFERROR(__xludf.DUMMYFUNCTION("""COMPUTED_VALUE"""),12.57)</f>
        <v>12.57</v>
      </c>
      <c r="C1608" s="3">
        <v>68.6064988417656</v>
      </c>
    </row>
    <row r="1609">
      <c r="A1609" s="1">
        <f>IFERROR(__xludf.DUMMYFUNCTION("""COMPUTED_VALUE"""),42688.66666666667)</f>
        <v>42688.66667</v>
      </c>
      <c r="B1609" s="2">
        <f>IFERROR(__xludf.DUMMYFUNCTION("""COMPUTED_VALUE"""),12.1)</f>
        <v>12.1</v>
      </c>
      <c r="C1609" s="3">
        <v>70.7305974824042</v>
      </c>
    </row>
    <row r="1610">
      <c r="A1610" s="1">
        <f>IFERROR(__xludf.DUMMYFUNCTION("""COMPUTED_VALUE"""),42689.66666666667)</f>
        <v>42689.66667</v>
      </c>
      <c r="B1610" s="2">
        <f>IFERROR(__xludf.DUMMYFUNCTION("""COMPUTED_VALUE"""),12.25)</f>
        <v>12.25</v>
      </c>
      <c r="C1610" s="3">
        <v>70.7105940256441</v>
      </c>
    </row>
    <row r="1611">
      <c r="A1611" s="1">
        <f>IFERROR(__xludf.DUMMYFUNCTION("""COMPUTED_VALUE"""),42690.66666666667)</f>
        <v>42690.66667</v>
      </c>
      <c r="B1611" s="2">
        <f>IFERROR(__xludf.DUMMYFUNCTION("""COMPUTED_VALUE"""),12.26)</f>
        <v>12.26</v>
      </c>
      <c r="C1611" s="3">
        <v>71.1049353108929</v>
      </c>
    </row>
    <row r="1612">
      <c r="A1612" s="1">
        <f>IFERROR(__xludf.DUMMYFUNCTION("""COMPUTED_VALUE"""),42691.66666666667)</f>
        <v>42691.66667</v>
      </c>
      <c r="B1612" s="2">
        <f>IFERROR(__xludf.DUMMYFUNCTION("""COMPUTED_VALUE"""),12.58)</f>
        <v>12.58</v>
      </c>
      <c r="C1612" s="3">
        <v>70.5903912304635</v>
      </c>
    </row>
    <row r="1613">
      <c r="A1613" s="1">
        <f>IFERROR(__xludf.DUMMYFUNCTION("""COMPUTED_VALUE"""),42692.66666666667)</f>
        <v>42692.66667</v>
      </c>
      <c r="B1613" s="2">
        <f>IFERROR(__xludf.DUMMYFUNCTION("""COMPUTED_VALUE"""),12.33)</f>
        <v>12.33</v>
      </c>
      <c r="C1613" s="3">
        <v>70.0653332028859</v>
      </c>
    </row>
    <row r="1614">
      <c r="A1614" s="1">
        <f>IFERROR(__xludf.DUMMYFUNCTION("""COMPUTED_VALUE"""),42695.66666666667)</f>
        <v>42695.66667</v>
      </c>
      <c r="B1614" s="2">
        <f>IFERROR(__xludf.DUMMYFUNCTION("""COMPUTED_VALUE"""),12.3)</f>
        <v>12.3</v>
      </c>
      <c r="C1614" s="3">
        <v>72.6757738313461</v>
      </c>
    </row>
    <row r="1615">
      <c r="A1615" s="1">
        <f>IFERROR(__xludf.DUMMYFUNCTION("""COMPUTED_VALUE"""),42696.66666666667)</f>
        <v>42696.66667</v>
      </c>
      <c r="B1615" s="2">
        <f>IFERROR(__xludf.DUMMYFUNCTION("""COMPUTED_VALUE"""),12.74)</f>
        <v>12.74</v>
      </c>
      <c r="C1615" s="3">
        <v>72.741115582368</v>
      </c>
    </row>
    <row r="1616">
      <c r="A1616" s="1">
        <f>IFERROR(__xludf.DUMMYFUNCTION("""COMPUTED_VALUE"""),42697.66666666667)</f>
        <v>42697.66667</v>
      </c>
      <c r="B1616" s="2">
        <f>IFERROR(__xludf.DUMMYFUNCTION("""COMPUTED_VALUE"""),12.88)</f>
        <v>12.88</v>
      </c>
      <c r="C1616" s="3">
        <v>73.1713510262286</v>
      </c>
    </row>
    <row r="1617">
      <c r="A1617" s="1">
        <f>IFERROR(__xludf.DUMMYFUNCTION("""COMPUTED_VALUE"""),42699.66666666667)</f>
        <v>42699.66667</v>
      </c>
      <c r="B1617" s="2">
        <f>IFERROR(__xludf.DUMMYFUNCTION("""COMPUTED_VALUE"""),13.11)</f>
        <v>13.11</v>
      </c>
      <c r="C1617" s="3">
        <v>72.0280308971652</v>
      </c>
    </row>
    <row r="1618">
      <c r="A1618" s="1">
        <f>IFERROR(__xludf.DUMMYFUNCTION("""COMPUTED_VALUE"""),42702.66666666667)</f>
        <v>42702.66667</v>
      </c>
      <c r="B1618" s="2">
        <f>IFERROR(__xludf.DUMMYFUNCTION("""COMPUTED_VALUE"""),13.07)</f>
        <v>13.07</v>
      </c>
      <c r="C1618" s="3">
        <v>74.0010650993762</v>
      </c>
    </row>
    <row r="1619">
      <c r="A1619" s="1">
        <f>IFERROR(__xludf.DUMMYFUNCTION("""COMPUTED_VALUE"""),42703.66666666667)</f>
        <v>42703.66667</v>
      </c>
      <c r="B1619" s="2">
        <f>IFERROR(__xludf.DUMMYFUNCTION("""COMPUTED_VALUE"""),12.64)</f>
        <v>12.64</v>
      </c>
      <c r="C1619" s="3">
        <v>73.7310195456633</v>
      </c>
    </row>
    <row r="1620">
      <c r="A1620" s="1">
        <f>IFERROR(__xludf.DUMMYFUNCTION("""COMPUTED_VALUE"""),42704.66666666667)</f>
        <v>42704.66667</v>
      </c>
      <c r="B1620" s="2">
        <f>IFERROR(__xludf.DUMMYFUNCTION("""COMPUTED_VALUE"""),12.63)</f>
        <v>12.63</v>
      </c>
      <c r="C1620" s="3">
        <v>73.7738826810578</v>
      </c>
    </row>
    <row r="1621">
      <c r="A1621" s="1">
        <f>IFERROR(__xludf.DUMMYFUNCTION("""COMPUTED_VALUE"""),42705.66666666667)</f>
        <v>42705.66667</v>
      </c>
      <c r="B1621" s="2">
        <f>IFERROR(__xludf.DUMMYFUNCTION("""COMPUTED_VALUE"""),12.13)</f>
        <v>12.13</v>
      </c>
      <c r="C1621" s="3">
        <v>72.8082241410002</v>
      </c>
    </row>
    <row r="1622">
      <c r="A1622" s="1">
        <f>IFERROR(__xludf.DUMMYFUNCTION("""COMPUTED_VALUE"""),42706.66666666667)</f>
        <v>42706.66667</v>
      </c>
      <c r="B1622" s="2">
        <f>IFERROR(__xludf.DUMMYFUNCTION("""COMPUTED_VALUE"""),12.1)</f>
        <v>12.1</v>
      </c>
      <c r="C1622" s="3">
        <v>71.7382870748503</v>
      </c>
    </row>
    <row r="1623">
      <c r="A1623" s="1">
        <f>IFERROR(__xludf.DUMMYFUNCTION("""COMPUTED_VALUE"""),42709.66666666667)</f>
        <v>42709.66667</v>
      </c>
      <c r="B1623" s="2">
        <f>IFERROR(__xludf.DUMMYFUNCTION("""COMPUTED_VALUE"""),12.45)</f>
        <v>12.45</v>
      </c>
      <c r="C1623" s="3">
        <v>72.2683511219291</v>
      </c>
    </row>
    <row r="1624">
      <c r="A1624" s="1">
        <f>IFERROR(__xludf.DUMMYFUNCTION("""COMPUTED_VALUE"""),42710.66666666667)</f>
        <v>42710.66667</v>
      </c>
      <c r="B1624" s="2">
        <f>IFERROR(__xludf.DUMMYFUNCTION("""COMPUTED_VALUE"""),12.39)</f>
        <v>12.39</v>
      </c>
      <c r="C1624" s="3">
        <v>71.5478433883941</v>
      </c>
    </row>
    <row r="1625">
      <c r="A1625" s="1">
        <f>IFERROR(__xludf.DUMMYFUNCTION("""COMPUTED_VALUE"""),42711.66666666667)</f>
        <v>42711.66667</v>
      </c>
      <c r="B1625" s="2">
        <f>IFERROR(__xludf.DUMMYFUNCTION("""COMPUTED_VALUE"""),12.88)</f>
        <v>12.88</v>
      </c>
      <c r="C1625" s="3">
        <v>71.1811515228495</v>
      </c>
    </row>
    <row r="1626">
      <c r="A1626" s="1">
        <f>IFERROR(__xludf.DUMMYFUNCTION("""COMPUTED_VALUE"""),42712.66666666667)</f>
        <v>42712.66667</v>
      </c>
      <c r="B1626" s="2">
        <f>IFERROR(__xludf.DUMMYFUNCTION("""COMPUTED_VALUE"""),12.82)</f>
        <v>12.82</v>
      </c>
      <c r="C1626" s="3">
        <v>69.8617877474811</v>
      </c>
    </row>
    <row r="1627">
      <c r="A1627" s="1">
        <f>IFERROR(__xludf.DUMMYFUNCTION("""COMPUTED_VALUE"""),42713.66666666667)</f>
        <v>42713.66667</v>
      </c>
      <c r="B1627" s="2">
        <f>IFERROR(__xludf.DUMMYFUNCTION("""COMPUTED_VALUE"""),12.81)</f>
        <v>12.81</v>
      </c>
      <c r="C1627" s="3">
        <v>68.5079821423414</v>
      </c>
    </row>
    <row r="1628">
      <c r="A1628" s="1">
        <f>IFERROR(__xludf.DUMMYFUNCTION("""COMPUTED_VALUE"""),42716.66666666667)</f>
        <v>42716.66667</v>
      </c>
      <c r="B1628" s="2">
        <f>IFERROR(__xludf.DUMMYFUNCTION("""COMPUTED_VALUE"""),12.83)</f>
        <v>12.83</v>
      </c>
      <c r="C1628" s="3">
        <v>68.7217610448138</v>
      </c>
    </row>
    <row r="1629">
      <c r="A1629" s="1">
        <f>IFERROR(__xludf.DUMMYFUNCTION("""COMPUTED_VALUE"""),42717.66666666667)</f>
        <v>42717.66667</v>
      </c>
      <c r="B1629" s="2">
        <f>IFERROR(__xludf.DUMMYFUNCTION("""COMPUTED_VALUE"""),13.21)</f>
        <v>13.21</v>
      </c>
      <c r="C1629" s="3">
        <v>68.1024689848861</v>
      </c>
    </row>
    <row r="1630">
      <c r="A1630" s="1">
        <f>IFERROR(__xludf.DUMMYFUNCTION("""COMPUTED_VALUE"""),42718.66666666667)</f>
        <v>42718.66667</v>
      </c>
      <c r="B1630" s="2">
        <f>IFERROR(__xludf.DUMMYFUNCTION("""COMPUTED_VALUE"""),13.25)</f>
        <v>13.25</v>
      </c>
      <c r="C1630" s="3">
        <v>67.9480382377798</v>
      </c>
    </row>
    <row r="1631">
      <c r="A1631" s="1">
        <f>IFERROR(__xludf.DUMMYFUNCTION("""COMPUTED_VALUE"""),42719.66666666667)</f>
        <v>42719.66667</v>
      </c>
      <c r="B1631" s="2">
        <f>IFERROR(__xludf.DUMMYFUNCTION("""COMPUTED_VALUE"""),13.17)</f>
        <v>13.17</v>
      </c>
      <c r="C1631" s="3">
        <v>66.9523189432718</v>
      </c>
    </row>
    <row r="1632">
      <c r="A1632" s="1">
        <f>IFERROR(__xludf.DUMMYFUNCTION("""COMPUTED_VALUE"""),42720.66666666667)</f>
        <v>42720.66667</v>
      </c>
      <c r="B1632" s="2">
        <f>IFERROR(__xludf.DUMMYFUNCTION("""COMPUTED_VALUE"""),13.5)</f>
        <v>13.5</v>
      </c>
      <c r="C1632" s="3">
        <v>66.0308466404676</v>
      </c>
    </row>
    <row r="1633">
      <c r="A1633" s="1">
        <f>IFERROR(__xludf.DUMMYFUNCTION("""COMPUTED_VALUE"""),42723.66666666667)</f>
        <v>42723.66667</v>
      </c>
      <c r="B1633" s="2">
        <f>IFERROR(__xludf.DUMMYFUNCTION("""COMPUTED_VALUE"""),13.52)</f>
        <v>13.52</v>
      </c>
      <c r="C1633" s="3">
        <v>68.1217427016411</v>
      </c>
    </row>
    <row r="1634">
      <c r="A1634" s="1">
        <f>IFERROR(__xludf.DUMMYFUNCTION("""COMPUTED_VALUE"""),42724.66666666667)</f>
        <v>42724.66667</v>
      </c>
      <c r="B1634" s="2">
        <f>IFERROR(__xludf.DUMMYFUNCTION("""COMPUTED_VALUE"""),13.92)</f>
        <v>13.92</v>
      </c>
      <c r="C1634" s="3">
        <v>68.2834344557679</v>
      </c>
    </row>
    <row r="1635">
      <c r="A1635" s="1">
        <f>IFERROR(__xludf.DUMMYFUNCTION("""COMPUTED_VALUE"""),42725.66666666667)</f>
        <v>42725.66667</v>
      </c>
      <c r="B1635" s="2">
        <f>IFERROR(__xludf.DUMMYFUNCTION("""COMPUTED_VALUE"""),13.85)</f>
        <v>13.85</v>
      </c>
      <c r="C1635" s="3">
        <v>68.9623823102306</v>
      </c>
    </row>
    <row r="1636">
      <c r="A1636" s="1">
        <f>IFERROR(__xludf.DUMMYFUNCTION("""COMPUTED_VALUE"""),42726.66666666667)</f>
        <v>42726.66667</v>
      </c>
      <c r="B1636" s="2">
        <f>IFERROR(__xludf.DUMMYFUNCTION("""COMPUTED_VALUE"""),13.9)</f>
        <v>13.9</v>
      </c>
      <c r="C1636" s="3">
        <v>68.8342871821427</v>
      </c>
    </row>
    <row r="1637">
      <c r="A1637" s="1">
        <f>IFERROR(__xludf.DUMMYFUNCTION("""COMPUTED_VALUE"""),42727.66666666667)</f>
        <v>42727.66667</v>
      </c>
      <c r="B1637" s="2">
        <f>IFERROR(__xludf.DUMMYFUNCTION("""COMPUTED_VALUE"""),14.22)</f>
        <v>14.22</v>
      </c>
      <c r="C1637" s="3">
        <v>68.7951282145932</v>
      </c>
    </row>
    <row r="1638">
      <c r="A1638" s="1">
        <f>IFERROR(__xludf.DUMMYFUNCTION("""COMPUTED_VALUE"""),42731.66666666667)</f>
        <v>42731.66667</v>
      </c>
      <c r="B1638" s="2">
        <f>IFERROR(__xludf.DUMMYFUNCTION("""COMPUTED_VALUE"""),14.64)</f>
        <v>14.64</v>
      </c>
      <c r="C1638" s="3">
        <v>74.311712890133</v>
      </c>
    </row>
    <row r="1639">
      <c r="A1639" s="1">
        <f>IFERROR(__xludf.DUMMYFUNCTION("""COMPUTED_VALUE"""),42732.66666666667)</f>
        <v>42732.66667</v>
      </c>
      <c r="B1639" s="2">
        <f>IFERROR(__xludf.DUMMYFUNCTION("""COMPUTED_VALUE"""),14.65)</f>
        <v>14.65</v>
      </c>
      <c r="C1639" s="3">
        <v>75.6395325090061</v>
      </c>
    </row>
    <row r="1640">
      <c r="A1640" s="1">
        <f>IFERROR(__xludf.DUMMYFUNCTION("""COMPUTED_VALUE"""),42733.66666666667)</f>
        <v>42733.66667</v>
      </c>
      <c r="B1640" s="2">
        <f>IFERROR(__xludf.DUMMYFUNCTION("""COMPUTED_VALUE"""),14.31)</f>
        <v>14.31</v>
      </c>
      <c r="C1640" s="3">
        <v>76.057005645378</v>
      </c>
    </row>
    <row r="1641">
      <c r="A1641" s="1">
        <f>IFERROR(__xludf.DUMMYFUNCTION("""COMPUTED_VALUE"""),42734.66666666667)</f>
        <v>42734.66667</v>
      </c>
      <c r="B1641" s="2">
        <f>IFERROR(__xludf.DUMMYFUNCTION("""COMPUTED_VALUE"""),14.25)</f>
        <v>14.25</v>
      </c>
      <c r="C1641" s="3">
        <v>76.4452202960251</v>
      </c>
    </row>
    <row r="1642">
      <c r="A1642" s="1">
        <f>IFERROR(__xludf.DUMMYFUNCTION("""COMPUTED_VALUE"""),42738.66666666667)</f>
        <v>42738.66667</v>
      </c>
      <c r="B1642" s="2">
        <f>IFERROR(__xludf.DUMMYFUNCTION("""COMPUTED_VALUE"""),14.47)</f>
        <v>14.47</v>
      </c>
      <c r="C1642" s="3">
        <v>82.2893647577853</v>
      </c>
    </row>
    <row r="1643">
      <c r="A1643" s="1">
        <f>IFERROR(__xludf.DUMMYFUNCTION("""COMPUTED_VALUE"""),42739.66666666667)</f>
        <v>42739.66667</v>
      </c>
      <c r="B1643" s="2">
        <f>IFERROR(__xludf.DUMMYFUNCTION("""COMPUTED_VALUE"""),15.13)</f>
        <v>15.13</v>
      </c>
      <c r="C1643" s="3">
        <v>83.3317816466603</v>
      </c>
    </row>
    <row r="1644">
      <c r="A1644" s="1">
        <f>IFERROR(__xludf.DUMMYFUNCTION("""COMPUTED_VALUE"""),42740.66666666667)</f>
        <v>42740.66667</v>
      </c>
      <c r="B1644" s="2">
        <f>IFERROR(__xludf.DUMMYFUNCTION("""COMPUTED_VALUE"""),15.12)</f>
        <v>15.12</v>
      </c>
      <c r="C1644" s="3">
        <v>83.320269307252</v>
      </c>
    </row>
    <row r="1645">
      <c r="A1645" s="1">
        <f>IFERROR(__xludf.DUMMYFUNCTION("""COMPUTED_VALUE"""),42741.66666666667)</f>
        <v>42741.66667</v>
      </c>
      <c r="B1645" s="2">
        <f>IFERROR(__xludf.DUMMYFUNCTION("""COMPUTED_VALUE"""),15.27)</f>
        <v>15.27</v>
      </c>
      <c r="C1645" s="3">
        <v>83.1436222976068</v>
      </c>
    </row>
    <row r="1646">
      <c r="A1646" s="1">
        <f>IFERROR(__xludf.DUMMYFUNCTION("""COMPUTED_VALUE"""),42744.66666666667)</f>
        <v>42744.66667</v>
      </c>
      <c r="B1646" s="2">
        <f>IFERROR(__xludf.DUMMYFUNCTION("""COMPUTED_VALUE"""),15.42)</f>
        <v>15.42</v>
      </c>
      <c r="C1646" s="3">
        <v>85.8425949208165</v>
      </c>
    </row>
    <row r="1647">
      <c r="A1647" s="1">
        <f>IFERROR(__xludf.DUMMYFUNCTION("""COMPUTED_VALUE"""),42745.66666666667)</f>
        <v>42745.66667</v>
      </c>
      <c r="B1647" s="2">
        <f>IFERROR(__xludf.DUMMYFUNCTION("""COMPUTED_VALUE"""),15.32)</f>
        <v>15.32</v>
      </c>
      <c r="C1647" s="3">
        <v>85.6307919122744</v>
      </c>
    </row>
    <row r="1648">
      <c r="A1648" s="1">
        <f>IFERROR(__xludf.DUMMYFUNCTION("""COMPUTED_VALUE"""),42746.66666666667)</f>
        <v>42746.66667</v>
      </c>
      <c r="B1648" s="2">
        <f>IFERROR(__xludf.DUMMYFUNCTION("""COMPUTED_VALUE"""),15.32)</f>
        <v>15.32</v>
      </c>
      <c r="C1648" s="3">
        <v>85.6468650756092</v>
      </c>
    </row>
    <row r="1649">
      <c r="A1649" s="1">
        <f>IFERROR(__xludf.DUMMYFUNCTION("""COMPUTED_VALUE"""),42747.66666666667)</f>
        <v>42747.66667</v>
      </c>
      <c r="B1649" s="2">
        <f>IFERROR(__xludf.DUMMYFUNCTION("""COMPUTED_VALUE"""),15.31)</f>
        <v>15.31</v>
      </c>
      <c r="C1649" s="3">
        <v>84.5753876143698</v>
      </c>
    </row>
    <row r="1650">
      <c r="A1650" s="1">
        <f>IFERROR(__xludf.DUMMYFUNCTION("""COMPUTED_VALUE"""),42748.66666666667)</f>
        <v>42748.66667</v>
      </c>
      <c r="B1650" s="2">
        <f>IFERROR(__xludf.DUMMYFUNCTION("""COMPUTED_VALUE"""),15.85)</f>
        <v>15.85</v>
      </c>
      <c r="C1650" s="3">
        <v>83.32746400095</v>
      </c>
    </row>
    <row r="1651">
      <c r="A1651" s="1">
        <f>IFERROR(__xludf.DUMMYFUNCTION("""COMPUTED_VALUE"""),42752.66666666667)</f>
        <v>42752.66667</v>
      </c>
      <c r="B1651" s="2">
        <f>IFERROR(__xludf.DUMMYFUNCTION("""COMPUTED_VALUE"""),15.71)</f>
        <v>15.71</v>
      </c>
      <c r="C1651" s="3">
        <v>81.8530066397775</v>
      </c>
    </row>
    <row r="1652">
      <c r="A1652" s="1">
        <f>IFERROR(__xludf.DUMMYFUNCTION("""COMPUTED_VALUE"""),42753.66666666667)</f>
        <v>42753.66667</v>
      </c>
      <c r="B1652" s="2">
        <f>IFERROR(__xludf.DUMMYFUNCTION("""COMPUTED_VALUE"""),15.89)</f>
        <v>15.89</v>
      </c>
      <c r="C1652" s="3">
        <v>81.0584851701403</v>
      </c>
    </row>
    <row r="1653">
      <c r="A1653" s="1">
        <f>IFERROR(__xludf.DUMMYFUNCTION("""COMPUTED_VALUE"""),42754.66666666667)</f>
        <v>42754.66667</v>
      </c>
      <c r="B1653" s="2">
        <f>IFERROR(__xludf.DUMMYFUNCTION("""COMPUTED_VALUE"""),16.25)</f>
        <v>16.25</v>
      </c>
      <c r="C1653" s="3">
        <v>79.2809843347997</v>
      </c>
    </row>
    <row r="1654">
      <c r="A1654" s="1">
        <f>IFERROR(__xludf.DUMMYFUNCTION("""COMPUTED_VALUE"""),42755.66666666667)</f>
        <v>42755.66667</v>
      </c>
      <c r="B1654" s="2">
        <f>IFERROR(__xludf.DUMMYFUNCTION("""COMPUTED_VALUE"""),16.32)</f>
        <v>16.32</v>
      </c>
      <c r="C1654" s="3">
        <v>77.4432627560166</v>
      </c>
    </row>
    <row r="1655">
      <c r="A1655" s="1">
        <f>IFERROR(__xludf.DUMMYFUNCTION("""COMPUTED_VALUE"""),42758.66666666667)</f>
        <v>42758.66667</v>
      </c>
      <c r="B1655" s="2">
        <f>IFERROR(__xludf.DUMMYFUNCTION("""COMPUTED_VALUE"""),16.59)</f>
        <v>16.59</v>
      </c>
      <c r="C1655" s="3">
        <v>76.0767614967833</v>
      </c>
    </row>
    <row r="1656">
      <c r="A1656" s="1">
        <f>IFERROR(__xludf.DUMMYFUNCTION("""COMPUTED_VALUE"""),42759.66666666667)</f>
        <v>42759.66667</v>
      </c>
      <c r="B1656" s="2">
        <f>IFERROR(__xludf.DUMMYFUNCTION("""COMPUTED_VALUE"""),16.97)</f>
        <v>16.97</v>
      </c>
      <c r="C1656" s="3">
        <v>74.8897366590411</v>
      </c>
    </row>
    <row r="1657">
      <c r="A1657" s="1">
        <f>IFERROR(__xludf.DUMMYFUNCTION("""COMPUTED_VALUE"""),42760.66666666667)</f>
        <v>42760.66667</v>
      </c>
      <c r="B1657" s="2">
        <f>IFERROR(__xludf.DUMMYFUNCTION("""COMPUTED_VALUE"""),16.96)</f>
        <v>16.96</v>
      </c>
      <c r="C1657" s="3">
        <v>74.1446197105969</v>
      </c>
    </row>
    <row r="1658">
      <c r="A1658" s="1">
        <f>IFERROR(__xludf.DUMMYFUNCTION("""COMPUTED_VALUE"""),42761.66666666667)</f>
        <v>42761.66667</v>
      </c>
      <c r="B1658" s="2">
        <f>IFERROR(__xludf.DUMMYFUNCTION("""COMPUTED_VALUE"""),16.83)</f>
        <v>16.83</v>
      </c>
      <c r="C1658" s="3">
        <v>72.5318970065649</v>
      </c>
    </row>
    <row r="1659">
      <c r="A1659" s="1">
        <f>IFERROR(__xludf.DUMMYFUNCTION("""COMPUTED_VALUE"""),42762.66666666667)</f>
        <v>42762.66667</v>
      </c>
      <c r="B1659" s="2">
        <f>IFERROR(__xludf.DUMMYFUNCTION("""COMPUTED_VALUE"""),16.86)</f>
        <v>16.86</v>
      </c>
      <c r="C1659" s="3">
        <v>70.9626815716902</v>
      </c>
    </row>
    <row r="1660">
      <c r="A1660" s="1">
        <f>IFERROR(__xludf.DUMMYFUNCTION("""COMPUTED_VALUE"""),42765.66666666667)</f>
        <v>42765.66667</v>
      </c>
      <c r="B1660" s="2">
        <f>IFERROR(__xludf.DUMMYFUNCTION("""COMPUTED_VALUE"""),16.71)</f>
        <v>16.71</v>
      </c>
      <c r="C1660" s="3">
        <v>70.8702050326107</v>
      </c>
    </row>
    <row r="1661">
      <c r="A1661" s="1">
        <f>IFERROR(__xludf.DUMMYFUNCTION("""COMPUTED_VALUE"""),42766.66666666667)</f>
        <v>42766.66667</v>
      </c>
      <c r="B1661" s="2">
        <f>IFERROR(__xludf.DUMMYFUNCTION("""COMPUTED_VALUE"""),16.8)</f>
        <v>16.8</v>
      </c>
      <c r="C1661" s="3">
        <v>70.2034164239832</v>
      </c>
    </row>
    <row r="1662">
      <c r="A1662" s="1">
        <f>IFERROR(__xludf.DUMMYFUNCTION("""COMPUTED_VALUE"""),42767.66666666667)</f>
        <v>42767.66667</v>
      </c>
      <c r="B1662" s="2">
        <f>IFERROR(__xludf.DUMMYFUNCTION("""COMPUTED_VALUE"""),16.62)</f>
        <v>16.62</v>
      </c>
      <c r="C1662" s="3">
        <v>69.9931517100535</v>
      </c>
    </row>
    <row r="1663">
      <c r="A1663" s="1">
        <f>IFERROR(__xludf.DUMMYFUNCTION("""COMPUTED_VALUE"""),42768.66666666667)</f>
        <v>42768.66667</v>
      </c>
      <c r="B1663" s="2">
        <f>IFERROR(__xludf.DUMMYFUNCTION("""COMPUTED_VALUE"""),16.77)</f>
        <v>16.77</v>
      </c>
      <c r="C1663" s="3">
        <v>68.9094453231879</v>
      </c>
    </row>
    <row r="1664">
      <c r="A1664" s="1">
        <f>IFERROR(__xludf.DUMMYFUNCTION("""COMPUTED_VALUE"""),42769.66666666667)</f>
        <v>42769.66667</v>
      </c>
      <c r="B1664" s="2">
        <f>IFERROR(__xludf.DUMMYFUNCTION("""COMPUTED_VALUE"""),16.76)</f>
        <v>16.76</v>
      </c>
      <c r="C1664" s="3">
        <v>67.843384772438</v>
      </c>
    </row>
    <row r="1665">
      <c r="A1665" s="1">
        <f>IFERROR(__xludf.DUMMYFUNCTION("""COMPUTED_VALUE"""),42772.66666666667)</f>
        <v>42772.66667</v>
      </c>
      <c r="B1665" s="2">
        <f>IFERROR(__xludf.DUMMYFUNCTION("""COMPUTED_VALUE"""),17.18)</f>
        <v>17.18</v>
      </c>
      <c r="C1665" s="3">
        <v>68.9227886562023</v>
      </c>
    </row>
    <row r="1666">
      <c r="A1666" s="1">
        <f>IFERROR(__xludf.DUMMYFUNCTION("""COMPUTED_VALUE"""),42773.66666666667)</f>
        <v>42773.66667</v>
      </c>
      <c r="B1666" s="2">
        <f>IFERROR(__xludf.DUMMYFUNCTION("""COMPUTED_VALUE"""),17.17)</f>
        <v>17.17</v>
      </c>
      <c r="C1666" s="3">
        <v>68.4827081664186</v>
      </c>
    </row>
    <row r="1667">
      <c r="A1667" s="1">
        <f>IFERROR(__xludf.DUMMYFUNCTION("""COMPUTED_VALUE"""),42774.66666666667)</f>
        <v>42774.66667</v>
      </c>
      <c r="B1667" s="2">
        <f>IFERROR(__xludf.DUMMYFUNCTION("""COMPUTED_VALUE"""),17.47)</f>
        <v>17.47</v>
      </c>
      <c r="C1667" s="3">
        <v>68.3976853543472</v>
      </c>
    </row>
    <row r="1668">
      <c r="A1668" s="1">
        <f>IFERROR(__xludf.DUMMYFUNCTION("""COMPUTED_VALUE"""),42775.66666666667)</f>
        <v>42775.66667</v>
      </c>
      <c r="B1668" s="2">
        <f>IFERROR(__xludf.DUMMYFUNCTION("""COMPUTED_VALUE"""),17.95)</f>
        <v>17.95</v>
      </c>
      <c r="C1668" s="3">
        <v>67.3304596865172</v>
      </c>
    </row>
    <row r="1669">
      <c r="A1669" s="1">
        <f>IFERROR(__xludf.DUMMYFUNCTION("""COMPUTED_VALUE"""),42776.66666666667)</f>
        <v>42776.66667</v>
      </c>
      <c r="B1669" s="2">
        <f>IFERROR(__xludf.DUMMYFUNCTION("""COMPUTED_VALUE"""),17.95)</f>
        <v>17.95</v>
      </c>
      <c r="C1669" s="3">
        <v>66.1680773928589</v>
      </c>
    </row>
    <row r="1670">
      <c r="A1670" s="1">
        <f>IFERROR(__xludf.DUMMYFUNCTION("""COMPUTED_VALUE"""),42779.66666666667)</f>
        <v>42779.66667</v>
      </c>
      <c r="B1670" s="2">
        <f>IFERROR(__xludf.DUMMYFUNCTION("""COMPUTED_VALUE"""),18.71)</f>
        <v>18.71</v>
      </c>
      <c r="C1670" s="3">
        <v>66.2916942239608</v>
      </c>
    </row>
    <row r="1671">
      <c r="A1671" s="1">
        <f>IFERROR(__xludf.DUMMYFUNCTION("""COMPUTED_VALUE"""),42780.66666666667)</f>
        <v>42780.66667</v>
      </c>
      <c r="B1671" s="2">
        <f>IFERROR(__xludf.DUMMYFUNCTION("""COMPUTED_VALUE"""),18.73)</f>
        <v>18.73</v>
      </c>
      <c r="C1671" s="3">
        <v>65.330553419897</v>
      </c>
    </row>
    <row r="1672">
      <c r="A1672" s="1">
        <f>IFERROR(__xludf.DUMMYFUNCTION("""COMPUTED_VALUE"""),42781.66666666667)</f>
        <v>42781.66667</v>
      </c>
      <c r="B1672" s="2">
        <f>IFERROR(__xludf.DUMMYFUNCTION("""COMPUTED_VALUE"""),18.65)</f>
        <v>18.65</v>
      </c>
      <c r="C1672" s="3">
        <v>64.6408032403222</v>
      </c>
    </row>
    <row r="1673">
      <c r="A1673" s="1">
        <f>IFERROR(__xludf.DUMMYFUNCTION("""COMPUTED_VALUE"""),42782.66666666667)</f>
        <v>42782.66667</v>
      </c>
      <c r="B1673" s="2">
        <f>IFERROR(__xludf.DUMMYFUNCTION("""COMPUTED_VALUE"""),17.93)</f>
        <v>17.93</v>
      </c>
      <c r="C1673" s="3">
        <v>62.8997395438376</v>
      </c>
    </row>
    <row r="1674">
      <c r="A1674" s="1">
        <f>IFERROR(__xludf.DUMMYFUNCTION("""COMPUTED_VALUE"""),42783.66666666667)</f>
        <v>42783.66667</v>
      </c>
      <c r="B1674" s="2">
        <f>IFERROR(__xludf.DUMMYFUNCTION("""COMPUTED_VALUE"""),18.15)</f>
        <v>18.15</v>
      </c>
      <c r="C1674" s="3">
        <v>61.0111211806167</v>
      </c>
    </row>
    <row r="1675">
      <c r="A1675" s="1">
        <f>IFERROR(__xludf.DUMMYFUNCTION("""COMPUTED_VALUE"""),42787.66666666667)</f>
        <v>42787.66667</v>
      </c>
      <c r="B1675" s="2">
        <f>IFERROR(__xludf.DUMMYFUNCTION("""COMPUTED_VALUE"""),18.49)</f>
        <v>18.49</v>
      </c>
      <c r="C1675" s="3">
        <v>57.1279618476679</v>
      </c>
    </row>
    <row r="1676">
      <c r="A1676" s="1">
        <f>IFERROR(__xludf.DUMMYFUNCTION("""COMPUTED_VALUE"""),42788.66666666667)</f>
        <v>42788.66667</v>
      </c>
      <c r="B1676" s="2">
        <f>IFERROR(__xludf.DUMMYFUNCTION("""COMPUTED_VALUE"""),18.23)</f>
        <v>18.23</v>
      </c>
      <c r="C1676" s="3">
        <v>55.7424408543217</v>
      </c>
    </row>
    <row r="1677">
      <c r="A1677" s="1">
        <f>IFERROR(__xludf.DUMMYFUNCTION("""COMPUTED_VALUE"""),42789.66666666667)</f>
        <v>42789.66667</v>
      </c>
      <c r="B1677" s="2">
        <f>IFERROR(__xludf.DUMMYFUNCTION("""COMPUTED_VALUE"""),17.07)</f>
        <v>17.07</v>
      </c>
      <c r="C1677" s="3">
        <v>53.3711810276997</v>
      </c>
    </row>
    <row r="1678">
      <c r="A1678" s="1">
        <f>IFERROR(__xludf.DUMMYFUNCTION("""COMPUTED_VALUE"""),42790.66666666667)</f>
        <v>42790.66667</v>
      </c>
      <c r="B1678" s="2">
        <f>IFERROR(__xludf.DUMMYFUNCTION("""COMPUTED_VALUE"""),17.13)</f>
        <v>17.13</v>
      </c>
      <c r="C1678" s="3">
        <v>50.9356404902542</v>
      </c>
    </row>
    <row r="1679">
      <c r="A1679" s="1">
        <f>IFERROR(__xludf.DUMMYFUNCTION("""COMPUTED_VALUE"""),42793.66666666667)</f>
        <v>42793.66667</v>
      </c>
      <c r="B1679" s="2">
        <f>IFERROR(__xludf.DUMMYFUNCTION("""COMPUTED_VALUE"""),16.42)</f>
        <v>16.42</v>
      </c>
      <c r="C1679" s="3">
        <v>47.7611508270364</v>
      </c>
    </row>
    <row r="1680">
      <c r="A1680" s="1">
        <f>IFERROR(__xludf.DUMMYFUNCTION("""COMPUTED_VALUE"""),42794.66666666667)</f>
        <v>42794.66667</v>
      </c>
      <c r="B1680" s="2">
        <f>IFERROR(__xludf.DUMMYFUNCTION("""COMPUTED_VALUE"""),16.67)</f>
        <v>16.67</v>
      </c>
      <c r="C1680" s="3">
        <v>45.977696945851</v>
      </c>
    </row>
    <row r="1681">
      <c r="A1681" s="1">
        <f>IFERROR(__xludf.DUMMYFUNCTION("""COMPUTED_VALUE"""),42795.66666666667)</f>
        <v>42795.66667</v>
      </c>
      <c r="B1681" s="2">
        <f>IFERROR(__xludf.DUMMYFUNCTION("""COMPUTED_VALUE"""),16.67)</f>
        <v>16.67</v>
      </c>
      <c r="C1681" s="3">
        <v>44.6486099253253</v>
      </c>
    </row>
    <row r="1682">
      <c r="A1682" s="1">
        <f>IFERROR(__xludf.DUMMYFUNCTION("""COMPUTED_VALUE"""),42796.66666666667)</f>
        <v>42796.66667</v>
      </c>
      <c r="B1682" s="2">
        <f>IFERROR(__xludf.DUMMYFUNCTION("""COMPUTED_VALUE"""),16.7)</f>
        <v>16.7</v>
      </c>
      <c r="C1682" s="3">
        <v>42.4720915824724</v>
      </c>
    </row>
    <row r="1683">
      <c r="A1683" s="1">
        <f>IFERROR(__xludf.DUMMYFUNCTION("""COMPUTED_VALUE"""),42797.66666666667)</f>
        <v>42797.66667</v>
      </c>
      <c r="B1683" s="2">
        <f>IFERROR(__xludf.DUMMYFUNCTION("""COMPUTED_VALUE"""),16.77)</f>
        <v>16.77</v>
      </c>
      <c r="C1683" s="3">
        <v>40.3681916116862</v>
      </c>
    </row>
    <row r="1684">
      <c r="A1684" s="1">
        <f>IFERROR(__xludf.DUMMYFUNCTION("""COMPUTED_VALUE"""),42800.66666666667)</f>
        <v>42800.66667</v>
      </c>
      <c r="B1684" s="2">
        <f>IFERROR(__xludf.DUMMYFUNCTION("""COMPUTED_VALUE"""),16.75)</f>
        <v>16.75</v>
      </c>
      <c r="C1684" s="3">
        <v>38.9500711323508</v>
      </c>
    </row>
    <row r="1685">
      <c r="A1685" s="1">
        <f>IFERROR(__xludf.DUMMYFUNCTION("""COMPUTED_VALUE"""),42801.66666666667)</f>
        <v>42801.66667</v>
      </c>
      <c r="B1685" s="2">
        <f>IFERROR(__xludf.DUMMYFUNCTION("""COMPUTED_VALUE"""),16.57)</f>
        <v>16.57</v>
      </c>
      <c r="C1685" s="3">
        <v>37.9720183693353</v>
      </c>
    </row>
    <row r="1686">
      <c r="A1686" s="1">
        <f>IFERROR(__xludf.DUMMYFUNCTION("""COMPUTED_VALUE"""),42802.66666666667)</f>
        <v>42802.66667</v>
      </c>
      <c r="B1686" s="2">
        <f>IFERROR(__xludf.DUMMYFUNCTION("""COMPUTED_VALUE"""),16.46)</f>
        <v>16.46</v>
      </c>
      <c r="C1686" s="3">
        <v>37.5354506776101</v>
      </c>
    </row>
    <row r="1687">
      <c r="A1687" s="1">
        <f>IFERROR(__xludf.DUMMYFUNCTION("""COMPUTED_VALUE"""),42803.66666666667)</f>
        <v>42803.66667</v>
      </c>
      <c r="B1687" s="2">
        <f>IFERROR(__xludf.DUMMYFUNCTION("""COMPUTED_VALUE"""),16.33)</f>
        <v>16.33</v>
      </c>
      <c r="C1687" s="3">
        <v>36.3220849098204</v>
      </c>
    </row>
    <row r="1688">
      <c r="A1688" s="1">
        <f>IFERROR(__xludf.DUMMYFUNCTION("""COMPUTED_VALUE"""),42804.66666666667)</f>
        <v>42804.66667</v>
      </c>
      <c r="B1688" s="2">
        <f>IFERROR(__xludf.DUMMYFUNCTION("""COMPUTED_VALUE"""),16.25)</f>
        <v>16.25</v>
      </c>
      <c r="C1688" s="3">
        <v>35.234239094625</v>
      </c>
    </row>
    <row r="1689">
      <c r="A1689" s="1">
        <f>IFERROR(__xludf.DUMMYFUNCTION("""COMPUTED_VALUE"""),42807.66666666667)</f>
        <v>42807.66667</v>
      </c>
      <c r="B1689" s="2">
        <f>IFERROR(__xludf.DUMMYFUNCTION("""COMPUTED_VALUE"""),16.41)</f>
        <v>16.41</v>
      </c>
      <c r="C1689" s="3">
        <v>36.9955548785738</v>
      </c>
    </row>
    <row r="1690">
      <c r="A1690" s="1">
        <f>IFERROR(__xludf.DUMMYFUNCTION("""COMPUTED_VALUE"""),42808.66666666667)</f>
        <v>42808.66667</v>
      </c>
      <c r="B1690" s="2">
        <f>IFERROR(__xludf.DUMMYFUNCTION("""COMPUTED_VALUE"""),17.2)</f>
        <v>17.2</v>
      </c>
      <c r="C1690" s="3">
        <v>37.0594145335153</v>
      </c>
    </row>
    <row r="1691">
      <c r="A1691" s="1">
        <f>IFERROR(__xludf.DUMMYFUNCTION("""COMPUTED_VALUE"""),42809.66666666667)</f>
        <v>42809.66667</v>
      </c>
      <c r="B1691" s="2">
        <f>IFERROR(__xludf.DUMMYFUNCTION("""COMPUTED_VALUE"""),17.05)</f>
        <v>17.05</v>
      </c>
      <c r="C1691" s="3">
        <v>37.6267753802354</v>
      </c>
    </row>
    <row r="1692">
      <c r="A1692" s="1">
        <f>IFERROR(__xludf.DUMMYFUNCTION("""COMPUTED_VALUE"""),42810.66666666667)</f>
        <v>42810.66667</v>
      </c>
      <c r="B1692" s="2">
        <f>IFERROR(__xludf.DUMMYFUNCTION("""COMPUTED_VALUE"""),17.47)</f>
        <v>17.47</v>
      </c>
      <c r="C1692" s="3">
        <v>37.3638886255861</v>
      </c>
    </row>
    <row r="1693">
      <c r="A1693" s="1">
        <f>IFERROR(__xludf.DUMMYFUNCTION("""COMPUTED_VALUE"""),42811.66666666667)</f>
        <v>42811.66667</v>
      </c>
      <c r="B1693" s="2">
        <f>IFERROR(__xludf.DUMMYFUNCTION("""COMPUTED_VALUE"""),17.43)</f>
        <v>17.43</v>
      </c>
      <c r="C1693" s="3">
        <v>37.1594130844872</v>
      </c>
    </row>
    <row r="1694">
      <c r="A1694" s="1">
        <f>IFERROR(__xludf.DUMMYFUNCTION("""COMPUTED_VALUE"""),42814.66666666667)</f>
        <v>42814.66667</v>
      </c>
      <c r="B1694" s="2">
        <f>IFERROR(__xludf.DUMMYFUNCTION("""COMPUTED_VALUE"""),17.46)</f>
        <v>17.46</v>
      </c>
      <c r="C1694" s="3">
        <v>41.0642048996897</v>
      </c>
    </row>
    <row r="1695">
      <c r="A1695" s="1">
        <f>IFERROR(__xludf.DUMMYFUNCTION("""COMPUTED_VALUE"""),42815.66666666667)</f>
        <v>42815.66667</v>
      </c>
      <c r="B1695" s="2">
        <f>IFERROR(__xludf.DUMMYFUNCTION("""COMPUTED_VALUE"""),16.71)</f>
        <v>16.71</v>
      </c>
      <c r="C1695" s="3">
        <v>41.6510896167813</v>
      </c>
    </row>
    <row r="1696">
      <c r="A1696" s="1">
        <f>IFERROR(__xludf.DUMMYFUNCTION("""COMPUTED_VALUE"""),42816.66666666667)</f>
        <v>42816.66667</v>
      </c>
      <c r="B1696" s="2">
        <f>IFERROR(__xludf.DUMMYFUNCTION("""COMPUTED_VALUE"""),17.0)</f>
        <v>17</v>
      </c>
      <c r="C1696" s="3">
        <v>42.6407474532833</v>
      </c>
    </row>
    <row r="1697">
      <c r="A1697" s="1">
        <f>IFERROR(__xludf.DUMMYFUNCTION("""COMPUTED_VALUE"""),42817.66666666667)</f>
        <v>42817.66667</v>
      </c>
      <c r="B1697" s="2">
        <f>IFERROR(__xludf.DUMMYFUNCTION("""COMPUTED_VALUE"""),16.99)</f>
        <v>16.99</v>
      </c>
      <c r="C1697" s="3">
        <v>42.7001664212765</v>
      </c>
    </row>
    <row r="1698">
      <c r="A1698" s="1">
        <f>IFERROR(__xludf.DUMMYFUNCTION("""COMPUTED_VALUE"""),42818.66666666667)</f>
        <v>42818.66667</v>
      </c>
      <c r="B1698" s="2">
        <f>IFERROR(__xludf.DUMMYFUNCTION("""COMPUTED_VALUE"""),17.54)</f>
        <v>17.54</v>
      </c>
      <c r="C1698" s="3">
        <v>42.7210690461664</v>
      </c>
    </row>
    <row r="1699">
      <c r="A1699" s="1">
        <f>IFERROR(__xludf.DUMMYFUNCTION("""COMPUTED_VALUE"""),42821.66666666667)</f>
        <v>42821.66667</v>
      </c>
      <c r="B1699" s="2">
        <f>IFERROR(__xludf.DUMMYFUNCTION("""COMPUTED_VALUE"""),18.01)</f>
        <v>18.01</v>
      </c>
      <c r="C1699" s="3">
        <v>46.7813578327716</v>
      </c>
    </row>
    <row r="1700">
      <c r="A1700" s="1">
        <f>IFERROR(__xludf.DUMMYFUNCTION("""COMPUTED_VALUE"""),42822.66666666667)</f>
        <v>42822.66667</v>
      </c>
      <c r="B1700" s="2">
        <f>IFERROR(__xludf.DUMMYFUNCTION("""COMPUTED_VALUE"""),18.5)</f>
        <v>18.5</v>
      </c>
      <c r="C1700" s="3">
        <v>47.2749292458804</v>
      </c>
    </row>
    <row r="1701">
      <c r="A1701" s="1">
        <f>IFERROR(__xludf.DUMMYFUNCTION("""COMPUTED_VALUE"""),42823.66666666667)</f>
        <v>42823.66667</v>
      </c>
      <c r="B1701" s="2">
        <f>IFERROR(__xludf.DUMMYFUNCTION("""COMPUTED_VALUE"""),18.49)</f>
        <v>18.49</v>
      </c>
      <c r="C1701" s="3">
        <v>48.115768183288</v>
      </c>
    </row>
    <row r="1702">
      <c r="A1702" s="1">
        <f>IFERROR(__xludf.DUMMYFUNCTION("""COMPUTED_VALUE"""),42824.66666666667)</f>
        <v>42824.66667</v>
      </c>
      <c r="B1702" s="2">
        <f>IFERROR(__xludf.DUMMYFUNCTION("""COMPUTED_VALUE"""),18.53)</f>
        <v>18.53</v>
      </c>
      <c r="C1702" s="3">
        <v>47.9820505574966</v>
      </c>
    </row>
    <row r="1703">
      <c r="A1703" s="1">
        <f>IFERROR(__xludf.DUMMYFUNCTION("""COMPUTED_VALUE"""),42825.66666666667)</f>
        <v>42825.66667</v>
      </c>
      <c r="B1703" s="2">
        <f>IFERROR(__xludf.DUMMYFUNCTION("""COMPUTED_VALUE"""),18.55)</f>
        <v>18.55</v>
      </c>
      <c r="C1703" s="3">
        <v>47.7767875571882</v>
      </c>
    </row>
    <row r="1704">
      <c r="A1704" s="1">
        <f>IFERROR(__xludf.DUMMYFUNCTION("""COMPUTED_VALUE"""),42828.66666666667)</f>
        <v>42828.66667</v>
      </c>
      <c r="B1704" s="2">
        <f>IFERROR(__xludf.DUMMYFUNCTION("""COMPUTED_VALUE"""),19.9)</f>
        <v>19.9</v>
      </c>
      <c r="C1704" s="3">
        <v>51.0671853633915</v>
      </c>
    </row>
    <row r="1705">
      <c r="A1705" s="1">
        <f>IFERROR(__xludf.DUMMYFUNCTION("""COMPUTED_VALUE"""),42829.66666666667)</f>
        <v>42829.66667</v>
      </c>
      <c r="B1705" s="2">
        <f>IFERROR(__xludf.DUMMYFUNCTION("""COMPUTED_VALUE"""),20.25)</f>
        <v>20.25</v>
      </c>
      <c r="C1705" s="3">
        <v>51.3049334914374</v>
      </c>
    </row>
    <row r="1706">
      <c r="A1706" s="1">
        <f>IFERROR(__xludf.DUMMYFUNCTION("""COMPUTED_VALUE"""),42830.66666666667)</f>
        <v>42830.66667</v>
      </c>
      <c r="B1706" s="2">
        <f>IFERROR(__xludf.DUMMYFUNCTION("""COMPUTED_VALUE"""),19.67)</f>
        <v>19.67</v>
      </c>
      <c r="C1706" s="3">
        <v>51.9028684709551</v>
      </c>
    </row>
    <row r="1707">
      <c r="A1707" s="1">
        <f>IFERROR(__xludf.DUMMYFUNCTION("""COMPUTED_VALUE"""),42831.66666666667)</f>
        <v>42831.66667</v>
      </c>
      <c r="B1707" s="2">
        <f>IFERROR(__xludf.DUMMYFUNCTION("""COMPUTED_VALUE"""),19.91)</f>
        <v>19.91</v>
      </c>
      <c r="C1707" s="3">
        <v>51.5443666487897</v>
      </c>
    </row>
    <row r="1708">
      <c r="A1708" s="1">
        <f>IFERROR(__xludf.DUMMYFUNCTION("""COMPUTED_VALUE"""),42832.66666666667)</f>
        <v>42832.66667</v>
      </c>
      <c r="B1708" s="2">
        <f>IFERROR(__xludf.DUMMYFUNCTION("""COMPUTED_VALUE"""),20.17)</f>
        <v>20.17</v>
      </c>
      <c r="C1708" s="3">
        <v>51.135915220215</v>
      </c>
    </row>
    <row r="1709">
      <c r="A1709" s="1">
        <f>IFERROR(__xludf.DUMMYFUNCTION("""COMPUTED_VALUE"""),42835.66666666667)</f>
        <v>42835.66667</v>
      </c>
      <c r="B1709" s="2">
        <f>IFERROR(__xludf.DUMMYFUNCTION("""COMPUTED_VALUE"""),20.83)</f>
        <v>20.83</v>
      </c>
      <c r="C1709" s="3">
        <v>53.9545995302817</v>
      </c>
    </row>
    <row r="1710">
      <c r="A1710" s="1">
        <f>IFERROR(__xludf.DUMMYFUNCTION("""COMPUTED_VALUE"""),42836.66666666667)</f>
        <v>42836.66667</v>
      </c>
      <c r="B1710" s="2">
        <f>IFERROR(__xludf.DUMMYFUNCTION("""COMPUTED_VALUE"""),20.58)</f>
        <v>20.58</v>
      </c>
      <c r="C1710" s="3">
        <v>54.0753636711447</v>
      </c>
    </row>
    <row r="1711">
      <c r="A1711" s="1">
        <f>IFERROR(__xludf.DUMMYFUNCTION("""COMPUTED_VALUE"""),42837.66666666667)</f>
        <v>42837.66667</v>
      </c>
      <c r="B1711" s="2">
        <f>IFERROR(__xludf.DUMMYFUNCTION("""COMPUTED_VALUE"""),19.79)</f>
        <v>19.79</v>
      </c>
      <c r="C1711" s="3">
        <v>54.5698231404758</v>
      </c>
    </row>
    <row r="1712">
      <c r="A1712" s="1">
        <f>IFERROR(__xludf.DUMMYFUNCTION("""COMPUTED_VALUE"""),42838.66666666667)</f>
        <v>42838.66667</v>
      </c>
      <c r="B1712" s="2">
        <f>IFERROR(__xludf.DUMMYFUNCTION("""COMPUTED_VALUE"""),20.27)</f>
        <v>20.27</v>
      </c>
      <c r="C1712" s="3">
        <v>54.1155408376702</v>
      </c>
    </row>
    <row r="1713">
      <c r="A1713" s="1">
        <f>IFERROR(__xludf.DUMMYFUNCTION("""COMPUTED_VALUE"""),42842.66666666667)</f>
        <v>42842.66667</v>
      </c>
      <c r="B1713" s="2">
        <f>IFERROR(__xludf.DUMMYFUNCTION("""COMPUTED_VALUE"""),20.1)</f>
        <v>20.1</v>
      </c>
      <c r="C1713" s="3">
        <v>56.0793275414873</v>
      </c>
    </row>
    <row r="1714">
      <c r="A1714" s="1">
        <f>IFERROR(__xludf.DUMMYFUNCTION("""COMPUTED_VALUE"""),42843.66666666667)</f>
        <v>42843.66667</v>
      </c>
      <c r="B1714" s="2">
        <f>IFERROR(__xludf.DUMMYFUNCTION("""COMPUTED_VALUE"""),20.02)</f>
        <v>20.02</v>
      </c>
      <c r="C1714" s="3">
        <v>56.035964131204</v>
      </c>
    </row>
    <row r="1715">
      <c r="A1715" s="1">
        <f>IFERROR(__xludf.DUMMYFUNCTION("""COMPUTED_VALUE"""),42844.66666666667)</f>
        <v>42844.66667</v>
      </c>
      <c r="B1715" s="2">
        <f>IFERROR(__xludf.DUMMYFUNCTION("""COMPUTED_VALUE"""),20.37)</f>
        <v>20.37</v>
      </c>
      <c r="C1715" s="3">
        <v>56.3317659210552</v>
      </c>
    </row>
    <row r="1716">
      <c r="A1716" s="1">
        <f>IFERROR(__xludf.DUMMYFUNCTION("""COMPUTED_VALUE"""),42845.66666666667)</f>
        <v>42845.66667</v>
      </c>
      <c r="B1716" s="2">
        <f>IFERROR(__xludf.DUMMYFUNCTION("""COMPUTED_VALUE"""),20.17)</f>
        <v>20.17</v>
      </c>
      <c r="C1716" s="3">
        <v>55.6389648468894</v>
      </c>
    </row>
    <row r="1717">
      <c r="A1717" s="1">
        <f>IFERROR(__xludf.DUMMYFUNCTION("""COMPUTED_VALUE"""),42846.66666666667)</f>
        <v>42846.66667</v>
      </c>
      <c r="B1717" s="2">
        <f>IFERROR(__xludf.DUMMYFUNCTION("""COMPUTED_VALUE"""),20.37)</f>
        <v>20.37</v>
      </c>
      <c r="C1717" s="3">
        <v>54.8532824257991</v>
      </c>
    </row>
    <row r="1718">
      <c r="A1718" s="1">
        <f>IFERROR(__xludf.DUMMYFUNCTION("""COMPUTED_VALUE"""),42849.66666666667)</f>
        <v>42849.66667</v>
      </c>
      <c r="B1718" s="2">
        <f>IFERROR(__xludf.DUMMYFUNCTION("""COMPUTED_VALUE"""),20.54)</f>
        <v>20.54</v>
      </c>
      <c r="C1718" s="3">
        <v>56.1912156052524</v>
      </c>
    </row>
    <row r="1719">
      <c r="A1719" s="1">
        <f>IFERROR(__xludf.DUMMYFUNCTION("""COMPUTED_VALUE"""),42850.66666666667)</f>
        <v>42850.66667</v>
      </c>
      <c r="B1719" s="2">
        <f>IFERROR(__xludf.DUMMYFUNCTION("""COMPUTED_VALUE"""),20.92)</f>
        <v>20.92</v>
      </c>
      <c r="C1719" s="3">
        <v>55.6800925406774</v>
      </c>
    </row>
    <row r="1720">
      <c r="A1720" s="1">
        <f>IFERROR(__xludf.DUMMYFUNCTION("""COMPUTED_VALUE"""),42851.66666666667)</f>
        <v>42851.66667</v>
      </c>
      <c r="B1720" s="2">
        <f>IFERROR(__xludf.DUMMYFUNCTION("""COMPUTED_VALUE"""),20.68)</f>
        <v>20.68</v>
      </c>
      <c r="C1720" s="3">
        <v>55.4681080466372</v>
      </c>
    </row>
    <row r="1721">
      <c r="A1721" s="1">
        <f>IFERROR(__xludf.DUMMYFUNCTION("""COMPUTED_VALUE"""),42852.66666666667)</f>
        <v>42852.66667</v>
      </c>
      <c r="B1721" s="2">
        <f>IFERROR(__xludf.DUMMYFUNCTION("""COMPUTED_VALUE"""),20.58)</f>
        <v>20.58</v>
      </c>
      <c r="C1721" s="3">
        <v>54.2334977755685</v>
      </c>
    </row>
    <row r="1722">
      <c r="A1722" s="1">
        <f>IFERROR(__xludf.DUMMYFUNCTION("""COMPUTED_VALUE"""),42853.66666666667)</f>
        <v>42853.66667</v>
      </c>
      <c r="B1722" s="2">
        <f>IFERROR(__xludf.DUMMYFUNCTION("""COMPUTED_VALUE"""),20.94)</f>
        <v>20.94</v>
      </c>
      <c r="C1722" s="3">
        <v>52.8795712472201</v>
      </c>
    </row>
    <row r="1723">
      <c r="A1723" s="1">
        <f>IFERROR(__xludf.DUMMYFUNCTION("""COMPUTED_VALUE"""),42856.66666666667)</f>
        <v>42856.66667</v>
      </c>
      <c r="B1723" s="2">
        <f>IFERROR(__xludf.DUMMYFUNCTION("""COMPUTED_VALUE"""),21.52)</f>
        <v>21.52</v>
      </c>
      <c r="C1723" s="3">
        <v>52.4496957819333</v>
      </c>
    </row>
    <row r="1724">
      <c r="A1724" s="1">
        <f>IFERROR(__xludf.DUMMYFUNCTION("""COMPUTED_VALUE"""),42857.66666666667)</f>
        <v>42857.66667</v>
      </c>
      <c r="B1724" s="2">
        <f>IFERROR(__xludf.DUMMYFUNCTION("""COMPUTED_VALUE"""),21.26)</f>
        <v>21.26</v>
      </c>
      <c r="C1724" s="3">
        <v>51.3648832987029</v>
      </c>
    </row>
    <row r="1725">
      <c r="A1725" s="1">
        <f>IFERROR(__xludf.DUMMYFUNCTION("""COMPUTED_VALUE"""),42858.66666666667)</f>
        <v>42858.66667</v>
      </c>
      <c r="B1725" s="2">
        <f>IFERROR(__xludf.DUMMYFUNCTION("""COMPUTED_VALUE"""),20.73)</f>
        <v>20.73</v>
      </c>
      <c r="C1725" s="3">
        <v>50.6066251559969</v>
      </c>
    </row>
    <row r="1726">
      <c r="A1726" s="1">
        <f>IFERROR(__xludf.DUMMYFUNCTION("""COMPUTED_VALUE"""),42859.66666666667)</f>
        <v>42859.66667</v>
      </c>
      <c r="B1726" s="2">
        <f>IFERROR(__xludf.DUMMYFUNCTION("""COMPUTED_VALUE"""),19.7)</f>
        <v>19.7</v>
      </c>
      <c r="C1726" s="3">
        <v>48.8650270537662</v>
      </c>
    </row>
    <row r="1727">
      <c r="A1727" s="1">
        <f>IFERROR(__xludf.DUMMYFUNCTION("""COMPUTED_VALUE"""),42860.66666666667)</f>
        <v>42860.66667</v>
      </c>
      <c r="B1727" s="2">
        <f>IFERROR(__xludf.DUMMYFUNCTION("""COMPUTED_VALUE"""),20.56)</f>
        <v>20.56</v>
      </c>
      <c r="C1727" s="3">
        <v>47.0548468875517</v>
      </c>
    </row>
    <row r="1728">
      <c r="A1728" s="1">
        <f>IFERROR(__xludf.DUMMYFUNCTION("""COMPUTED_VALUE"""),42863.66666666667)</f>
        <v>42863.66667</v>
      </c>
      <c r="B1728" s="2">
        <f>IFERROR(__xludf.DUMMYFUNCTION("""COMPUTED_VALUE"""),20.48)</f>
        <v>20.48</v>
      </c>
      <c r="C1728" s="3">
        <v>45.6617357937003</v>
      </c>
    </row>
    <row r="1729">
      <c r="A1729" s="1">
        <f>IFERROR(__xludf.DUMMYFUNCTION("""COMPUTED_VALUE"""),42864.66666666667)</f>
        <v>42864.66667</v>
      </c>
      <c r="B1729" s="2">
        <f>IFERROR(__xludf.DUMMYFUNCTION("""COMPUTED_VALUE"""),21.42)</f>
        <v>21.42</v>
      </c>
      <c r="C1729" s="3">
        <v>44.4181396861305</v>
      </c>
    </row>
    <row r="1730">
      <c r="A1730" s="1">
        <f>IFERROR(__xludf.DUMMYFUNCTION("""COMPUTED_VALUE"""),42865.66666666667)</f>
        <v>42865.66667</v>
      </c>
      <c r="B1730" s="2">
        <f>IFERROR(__xludf.DUMMYFUNCTION("""COMPUTED_VALUE"""),21.68)</f>
        <v>21.68</v>
      </c>
      <c r="C1730" s="3">
        <v>43.5916090875697</v>
      </c>
    </row>
    <row r="1731">
      <c r="A1731" s="1">
        <f>IFERROR(__xludf.DUMMYFUNCTION("""COMPUTED_VALUE"""),42866.66666666667)</f>
        <v>42866.66667</v>
      </c>
      <c r="B1731" s="2">
        <f>IFERROR(__xludf.DUMMYFUNCTION("""COMPUTED_VALUE"""),21.54)</f>
        <v>21.54</v>
      </c>
      <c r="C1731" s="3">
        <v>41.8749357943743</v>
      </c>
    </row>
    <row r="1732">
      <c r="A1732" s="1">
        <f>IFERROR(__xludf.DUMMYFUNCTION("""COMPUTED_VALUE"""),42867.66666666667)</f>
        <v>42867.66667</v>
      </c>
      <c r="B1732" s="2">
        <f>IFERROR(__xludf.DUMMYFUNCTION("""COMPUTED_VALUE"""),21.65)</f>
        <v>21.65</v>
      </c>
      <c r="C1732" s="3">
        <v>40.1834330374565</v>
      </c>
    </row>
    <row r="1733">
      <c r="A1733" s="1">
        <f>IFERROR(__xludf.DUMMYFUNCTION("""COMPUTED_VALUE"""),42870.66666666667)</f>
        <v>42870.66667</v>
      </c>
      <c r="B1733" s="2">
        <f>IFERROR(__xludf.DUMMYFUNCTION("""COMPUTED_VALUE"""),21.06)</f>
        <v>21.06</v>
      </c>
      <c r="C1733" s="3">
        <v>39.6819215331526</v>
      </c>
    </row>
    <row r="1734">
      <c r="A1734" s="1">
        <f>IFERROR(__xludf.DUMMYFUNCTION("""COMPUTED_VALUE"""),42871.66666666667)</f>
        <v>42871.66667</v>
      </c>
      <c r="B1734" s="2">
        <f>IFERROR(__xludf.DUMMYFUNCTION("""COMPUTED_VALUE"""),21.13)</f>
        <v>21.13</v>
      </c>
      <c r="C1734" s="3">
        <v>38.8946302599331</v>
      </c>
    </row>
    <row r="1735">
      <c r="A1735" s="1">
        <f>IFERROR(__xludf.DUMMYFUNCTION("""COMPUTED_VALUE"""),42872.66666666667)</f>
        <v>42872.66667</v>
      </c>
      <c r="B1735" s="2">
        <f>IFERROR(__xludf.DUMMYFUNCTION("""COMPUTED_VALUE"""),20.41)</f>
        <v>20.41</v>
      </c>
      <c r="C1735" s="3">
        <v>38.5895111577637</v>
      </c>
    </row>
    <row r="1736">
      <c r="A1736" s="1">
        <f>IFERROR(__xludf.DUMMYFUNCTION("""COMPUTED_VALUE"""),42873.66666666667)</f>
        <v>42873.66667</v>
      </c>
      <c r="B1736" s="2">
        <f>IFERROR(__xludf.DUMMYFUNCTION("""COMPUTED_VALUE"""),20.87)</f>
        <v>20.87</v>
      </c>
      <c r="C1736" s="3">
        <v>37.4482894155445</v>
      </c>
    </row>
    <row r="1737">
      <c r="A1737" s="1">
        <f>IFERROR(__xludf.DUMMYFUNCTION("""COMPUTED_VALUE"""),42874.66666666667)</f>
        <v>42874.66667</v>
      </c>
      <c r="B1737" s="2">
        <f>IFERROR(__xludf.DUMMYFUNCTION("""COMPUTED_VALUE"""),20.72)</f>
        <v>20.72</v>
      </c>
      <c r="C1737" s="3">
        <v>36.3739969770779</v>
      </c>
    </row>
    <row r="1738">
      <c r="A1738" s="1">
        <f>IFERROR(__xludf.DUMMYFUNCTION("""COMPUTED_VALUE"""),42877.66666666667)</f>
        <v>42877.66667</v>
      </c>
      <c r="B1738" s="2">
        <f>IFERROR(__xludf.DUMMYFUNCTION("""COMPUTED_VALUE"""),20.69)</f>
        <v>20.69</v>
      </c>
      <c r="C1738" s="3">
        <v>37.8406436839134</v>
      </c>
    </row>
    <row r="1739">
      <c r="A1739" s="1">
        <f>IFERROR(__xludf.DUMMYFUNCTION("""COMPUTED_VALUE"""),42878.66666666667)</f>
        <v>42878.66667</v>
      </c>
      <c r="B1739" s="2">
        <f>IFERROR(__xludf.DUMMYFUNCTION("""COMPUTED_VALUE"""),20.26)</f>
        <v>20.26</v>
      </c>
      <c r="C1739" s="3">
        <v>37.7023604043065</v>
      </c>
    </row>
    <row r="1740">
      <c r="A1740" s="1">
        <f>IFERROR(__xludf.DUMMYFUNCTION("""COMPUTED_VALUE"""),42879.66666666667)</f>
        <v>42879.66667</v>
      </c>
      <c r="B1740" s="2">
        <f>IFERROR(__xludf.DUMMYFUNCTION("""COMPUTED_VALUE"""),20.68)</f>
        <v>20.68</v>
      </c>
      <c r="C1740" s="3">
        <v>38.0204714894512</v>
      </c>
    </row>
    <row r="1741">
      <c r="A1741" s="1">
        <f>IFERROR(__xludf.DUMMYFUNCTION("""COMPUTED_VALUE"""),42880.66666666667)</f>
        <v>42880.66667</v>
      </c>
      <c r="B1741" s="2">
        <f>IFERROR(__xludf.DUMMYFUNCTION("""COMPUTED_VALUE"""),21.12)</f>
        <v>21.12</v>
      </c>
      <c r="C1741" s="3">
        <v>37.4645181906095</v>
      </c>
    </row>
    <row r="1742">
      <c r="A1742" s="1">
        <f>IFERROR(__xludf.DUMMYFUNCTION("""COMPUTED_VALUE"""),42881.66666666667)</f>
        <v>42881.66667</v>
      </c>
      <c r="B1742" s="2">
        <f>IFERROR(__xludf.DUMMYFUNCTION("""COMPUTED_VALUE"""),21.68)</f>
        <v>21.68</v>
      </c>
      <c r="C1742" s="3">
        <v>36.9265935803081</v>
      </c>
    </row>
    <row r="1743">
      <c r="A1743" s="1">
        <f>IFERROR(__xludf.DUMMYFUNCTION("""COMPUTED_VALUE"""),42885.66666666667)</f>
        <v>42885.66667</v>
      </c>
      <c r="B1743" s="2">
        <f>IFERROR(__xludf.DUMMYFUNCTION("""COMPUTED_VALUE"""),22.34)</f>
        <v>22.34</v>
      </c>
      <c r="C1743" s="3">
        <v>39.7510401737907</v>
      </c>
    </row>
    <row r="1744">
      <c r="A1744" s="1">
        <f>IFERROR(__xludf.DUMMYFUNCTION("""COMPUTED_VALUE"""),42886.66666666667)</f>
        <v>42886.66667</v>
      </c>
      <c r="B1744" s="2">
        <f>IFERROR(__xludf.DUMMYFUNCTION("""COMPUTED_VALUE"""),22.73)</f>
        <v>22.73</v>
      </c>
      <c r="C1744" s="3">
        <v>40.2579782476196</v>
      </c>
    </row>
    <row r="1745">
      <c r="A1745" s="1">
        <f>IFERROR(__xludf.DUMMYFUNCTION("""COMPUTED_VALUE"""),42887.66666666667)</f>
        <v>42887.66667</v>
      </c>
      <c r="B1745" s="2">
        <f>IFERROR(__xludf.DUMMYFUNCTION("""COMPUTED_VALUE"""),22.69)</f>
        <v>22.69</v>
      </c>
      <c r="C1745" s="3">
        <v>39.8151095590707</v>
      </c>
    </row>
    <row r="1746">
      <c r="A1746" s="1">
        <f>IFERROR(__xludf.DUMMYFUNCTION("""COMPUTED_VALUE"""),42888.66666666667)</f>
        <v>42888.66667</v>
      </c>
      <c r="B1746" s="2">
        <f>IFERROR(__xludf.DUMMYFUNCTION("""COMPUTED_VALUE"""),22.66)</f>
        <v>22.66</v>
      </c>
      <c r="C1746" s="3">
        <v>39.3174583802275</v>
      </c>
    </row>
    <row r="1747">
      <c r="A1747" s="1">
        <f>IFERROR(__xludf.DUMMYFUNCTION("""COMPUTED_VALUE"""),42891.66666666667)</f>
        <v>42891.66667</v>
      </c>
      <c r="B1747" s="2">
        <f>IFERROR(__xludf.DUMMYFUNCTION("""COMPUTED_VALUE"""),23.15)</f>
        <v>23.15</v>
      </c>
      <c r="C1747" s="3">
        <v>41.7572229267272</v>
      </c>
    </row>
    <row r="1748">
      <c r="A1748" s="1">
        <f>IFERROR(__xludf.DUMMYFUNCTION("""COMPUTED_VALUE"""),42892.66666666667)</f>
        <v>42892.66667</v>
      </c>
      <c r="B1748" s="2">
        <f>IFERROR(__xludf.DUMMYFUNCTION("""COMPUTED_VALUE"""),23.52)</f>
        <v>23.52</v>
      </c>
      <c r="C1748" s="3">
        <v>41.7000450432089</v>
      </c>
    </row>
    <row r="1749">
      <c r="A1749" s="1">
        <f>IFERROR(__xludf.DUMMYFUNCTION("""COMPUTED_VALUE"""),42893.66666666667)</f>
        <v>42893.66667</v>
      </c>
      <c r="B1749" s="2">
        <f>IFERROR(__xludf.DUMMYFUNCTION("""COMPUTED_VALUE"""),23.98)</f>
        <v>23.98</v>
      </c>
      <c r="C1749" s="3">
        <v>41.9905707568526</v>
      </c>
    </row>
    <row r="1750">
      <c r="A1750" s="1">
        <f>IFERROR(__xludf.DUMMYFUNCTION("""COMPUTED_VALUE"""),42894.66666666667)</f>
        <v>42894.66667</v>
      </c>
      <c r="B1750" s="2">
        <f>IFERROR(__xludf.DUMMYFUNCTION("""COMPUTED_VALUE"""),24.67)</f>
        <v>24.67</v>
      </c>
      <c r="C1750" s="3">
        <v>41.3106105261519</v>
      </c>
    </row>
    <row r="1751">
      <c r="A1751" s="1">
        <f>IFERROR(__xludf.DUMMYFUNCTION("""COMPUTED_VALUE"""),42895.66666666667)</f>
        <v>42895.66667</v>
      </c>
      <c r="B1751" s="2">
        <f>IFERROR(__xludf.DUMMYFUNCTION("""COMPUTED_VALUE"""),23.82)</f>
        <v>23.82</v>
      </c>
      <c r="C1751" s="3">
        <v>40.5669913013212</v>
      </c>
    </row>
    <row r="1752">
      <c r="A1752" s="1">
        <f>IFERROR(__xludf.DUMMYFUNCTION("""COMPUTED_VALUE"""),42898.66666666667)</f>
        <v>42898.66667</v>
      </c>
      <c r="B1752" s="2">
        <f>IFERROR(__xludf.DUMMYFUNCTION("""COMPUTED_VALUE"""),23.93)</f>
        <v>23.93</v>
      </c>
      <c r="C1752" s="3">
        <v>42.3309694700119</v>
      </c>
    </row>
    <row r="1753">
      <c r="A1753" s="1">
        <f>IFERROR(__xludf.DUMMYFUNCTION("""COMPUTED_VALUE"""),42899.66666666667)</f>
        <v>42899.66667</v>
      </c>
      <c r="B1753" s="2">
        <f>IFERROR(__xludf.DUMMYFUNCTION("""COMPUTED_VALUE"""),25.06)</f>
        <v>25.06</v>
      </c>
      <c r="C1753" s="3">
        <v>42.1043457062146</v>
      </c>
    </row>
    <row r="1754">
      <c r="A1754" s="1">
        <f>IFERROR(__xludf.DUMMYFUNCTION("""COMPUTED_VALUE"""),42900.66666666667)</f>
        <v>42900.66667</v>
      </c>
      <c r="B1754" s="2">
        <f>IFERROR(__xludf.DUMMYFUNCTION("""COMPUTED_VALUE"""),25.38)</f>
        <v>25.38</v>
      </c>
      <c r="C1754" s="3">
        <v>42.2680874774471</v>
      </c>
    </row>
    <row r="1755">
      <c r="A1755" s="1">
        <f>IFERROR(__xludf.DUMMYFUNCTION("""COMPUTED_VALUE"""),42901.66666666667)</f>
        <v>42901.66667</v>
      </c>
      <c r="B1755" s="2">
        <f>IFERROR(__xludf.DUMMYFUNCTION("""COMPUTED_VALUE"""),25.02)</f>
        <v>25.02</v>
      </c>
      <c r="C1755" s="3">
        <v>41.5105983027316</v>
      </c>
    </row>
    <row r="1756">
      <c r="A1756" s="1">
        <f>IFERROR(__xludf.DUMMYFUNCTION("""COMPUTED_VALUE"""),42902.66666666667)</f>
        <v>42902.66667</v>
      </c>
      <c r="B1756" s="2">
        <f>IFERROR(__xludf.DUMMYFUNCTION("""COMPUTED_VALUE"""),24.76)</f>
        <v>24.76</v>
      </c>
      <c r="C1756" s="3">
        <v>40.7434914705713</v>
      </c>
    </row>
    <row r="1757">
      <c r="A1757" s="1">
        <f>IFERROR(__xludf.DUMMYFUNCTION("""COMPUTED_VALUE"""),42905.66666666667)</f>
        <v>42905.66667</v>
      </c>
      <c r="B1757" s="2">
        <f>IFERROR(__xludf.DUMMYFUNCTION("""COMPUTED_VALUE"""),24.65)</f>
        <v>24.65</v>
      </c>
      <c r="C1757" s="3">
        <v>42.7794433281971</v>
      </c>
    </row>
    <row r="1758">
      <c r="A1758" s="1">
        <f>IFERROR(__xludf.DUMMYFUNCTION("""COMPUTED_VALUE"""),42906.66666666667)</f>
        <v>42906.66667</v>
      </c>
      <c r="B1758" s="2">
        <f>IFERROR(__xludf.DUMMYFUNCTION("""COMPUTED_VALUE"""),24.82)</f>
        <v>24.82</v>
      </c>
      <c r="C1758" s="3">
        <v>42.753506332397</v>
      </c>
    </row>
    <row r="1759">
      <c r="A1759" s="1">
        <f>IFERROR(__xludf.DUMMYFUNCTION("""COMPUTED_VALUE"""),42907.66666666667)</f>
        <v>42907.66667</v>
      </c>
      <c r="B1759" s="2">
        <f>IFERROR(__xludf.DUMMYFUNCTION("""COMPUTED_VALUE"""),25.09)</f>
        <v>25.09</v>
      </c>
      <c r="C1759" s="3">
        <v>43.1659483504777</v>
      </c>
    </row>
    <row r="1760">
      <c r="A1760" s="1">
        <f>IFERROR(__xludf.DUMMYFUNCTION("""COMPUTED_VALUE"""),42908.66666666667)</f>
        <v>42908.66667</v>
      </c>
      <c r="B1760" s="2">
        <f>IFERROR(__xludf.DUMMYFUNCTION("""COMPUTED_VALUE"""),25.51)</f>
        <v>25.51</v>
      </c>
      <c r="C1760" s="3">
        <v>42.6982647564157</v>
      </c>
    </row>
    <row r="1761">
      <c r="A1761" s="1">
        <f>IFERROR(__xludf.DUMMYFUNCTION("""COMPUTED_VALUE"""),42909.66666666667)</f>
        <v>42909.66667</v>
      </c>
      <c r="B1761" s="2">
        <f>IFERROR(__xludf.DUMMYFUNCTION("""COMPUTED_VALUE"""),25.56)</f>
        <v>25.56</v>
      </c>
      <c r="C1761" s="3">
        <v>42.2536321576782</v>
      </c>
    </row>
    <row r="1762">
      <c r="A1762" s="1">
        <f>IFERROR(__xludf.DUMMYFUNCTION("""COMPUTED_VALUE"""),42912.66666666667)</f>
        <v>42912.66667</v>
      </c>
      <c r="B1762" s="2">
        <f>IFERROR(__xludf.DUMMYFUNCTION("""COMPUTED_VALUE"""),25.17)</f>
        <v>25.17</v>
      </c>
      <c r="C1762" s="3">
        <v>45.3514963896153</v>
      </c>
    </row>
    <row r="1763">
      <c r="A1763" s="1">
        <f>IFERROR(__xludf.DUMMYFUNCTION("""COMPUTED_VALUE"""),42913.66666666667)</f>
        <v>42913.66667</v>
      </c>
      <c r="B1763" s="2">
        <f>IFERROR(__xludf.DUMMYFUNCTION("""COMPUTED_VALUE"""),24.16)</f>
        <v>24.16</v>
      </c>
      <c r="C1763" s="3">
        <v>45.6737055046268</v>
      </c>
    </row>
    <row r="1764">
      <c r="A1764" s="1">
        <f>IFERROR(__xludf.DUMMYFUNCTION("""COMPUTED_VALUE"""),42914.66666666667)</f>
        <v>42914.66667</v>
      </c>
      <c r="B1764" s="2">
        <f>IFERROR(__xludf.DUMMYFUNCTION("""COMPUTED_VALUE"""),24.75)</f>
        <v>24.75</v>
      </c>
      <c r="C1764" s="3">
        <v>46.4121981461785</v>
      </c>
    </row>
    <row r="1765">
      <c r="A1765" s="1">
        <f>IFERROR(__xludf.DUMMYFUNCTION("""COMPUTED_VALUE"""),42915.66666666667)</f>
        <v>42915.66667</v>
      </c>
      <c r="B1765" s="2">
        <f>IFERROR(__xludf.DUMMYFUNCTION("""COMPUTED_VALUE"""),24.05)</f>
        <v>24.05</v>
      </c>
      <c r="C1765" s="3">
        <v>46.2373984706742</v>
      </c>
    </row>
    <row r="1766">
      <c r="A1766" s="1">
        <f>IFERROR(__xludf.DUMMYFUNCTION("""COMPUTED_VALUE"""),42916.66666666667)</f>
        <v>42916.66667</v>
      </c>
      <c r="B1766" s="2">
        <f>IFERROR(__xludf.DUMMYFUNCTION("""COMPUTED_VALUE"""),24.11)</f>
        <v>24.11</v>
      </c>
      <c r="C1766" s="3">
        <v>46.0421943210604</v>
      </c>
    </row>
    <row r="1767">
      <c r="A1767" s="1">
        <f>IFERROR(__xludf.DUMMYFUNCTION("""COMPUTED_VALUE"""),42919.66666666667)</f>
        <v>42919.66667</v>
      </c>
      <c r="B1767" s="2">
        <f>IFERROR(__xludf.DUMMYFUNCTION("""COMPUTED_VALUE"""),23.51)</f>
        <v>23.51</v>
      </c>
      <c r="C1767" s="3">
        <v>49.5430226023657</v>
      </c>
    </row>
    <row r="1768">
      <c r="A1768" s="1">
        <f>IFERROR(__xludf.DUMMYFUNCTION("""COMPUTED_VALUE"""),42921.66666666667)</f>
        <v>42921.66667</v>
      </c>
      <c r="B1768" s="2">
        <f>IFERROR(__xludf.DUMMYFUNCTION("""COMPUTED_VALUE"""),21.81)</f>
        <v>21.81</v>
      </c>
      <c r="C1768" s="3">
        <v>50.528496899387</v>
      </c>
    </row>
    <row r="1769">
      <c r="A1769" s="1">
        <f>IFERROR(__xludf.DUMMYFUNCTION("""COMPUTED_VALUE"""),42922.66666666667)</f>
        <v>42922.66667</v>
      </c>
      <c r="B1769" s="2">
        <f>IFERROR(__xludf.DUMMYFUNCTION("""COMPUTED_VALUE"""),20.59)</f>
        <v>20.59</v>
      </c>
      <c r="C1769" s="3">
        <v>50.2061610833842</v>
      </c>
    </row>
    <row r="1770">
      <c r="A1770" s="1">
        <f>IFERROR(__xludf.DUMMYFUNCTION("""COMPUTED_VALUE"""),42923.66666666667)</f>
        <v>42923.66667</v>
      </c>
      <c r="B1770" s="2">
        <f>IFERROR(__xludf.DUMMYFUNCTION("""COMPUTED_VALUE"""),20.88)</f>
        <v>20.88</v>
      </c>
      <c r="C1770" s="3">
        <v>49.7919689104301</v>
      </c>
    </row>
    <row r="1771">
      <c r="A1771" s="1">
        <f>IFERROR(__xludf.DUMMYFUNCTION("""COMPUTED_VALUE"""),42926.66666666667)</f>
        <v>42926.66667</v>
      </c>
      <c r="B1771" s="2">
        <f>IFERROR(__xludf.DUMMYFUNCTION("""COMPUTED_VALUE"""),21.07)</f>
        <v>21.07</v>
      </c>
      <c r="C1771" s="3">
        <v>52.2565492169846</v>
      </c>
    </row>
    <row r="1772">
      <c r="A1772" s="1">
        <f>IFERROR(__xludf.DUMMYFUNCTION("""COMPUTED_VALUE"""),42927.66666666667)</f>
        <v>42927.66667</v>
      </c>
      <c r="B1772" s="2">
        <f>IFERROR(__xludf.DUMMYFUNCTION("""COMPUTED_VALUE"""),21.81)</f>
        <v>21.81</v>
      </c>
      <c r="C1772" s="3">
        <v>52.1315328157275</v>
      </c>
    </row>
    <row r="1773">
      <c r="A1773" s="1">
        <f>IFERROR(__xludf.DUMMYFUNCTION("""COMPUTED_VALUE"""),42928.66666666667)</f>
        <v>42928.66667</v>
      </c>
      <c r="B1773" s="2">
        <f>IFERROR(__xludf.DUMMYFUNCTION("""COMPUTED_VALUE"""),21.97)</f>
        <v>21.97</v>
      </c>
      <c r="C1773" s="3">
        <v>52.3159648804164</v>
      </c>
    </row>
    <row r="1774">
      <c r="A1774" s="1">
        <f>IFERROR(__xludf.DUMMYFUNCTION("""COMPUTED_VALUE"""),42929.66666666667)</f>
        <v>42929.66667</v>
      </c>
      <c r="B1774" s="2">
        <f>IFERROR(__xludf.DUMMYFUNCTION("""COMPUTED_VALUE"""),21.56)</f>
        <v>21.56</v>
      </c>
      <c r="C1774" s="3">
        <v>51.4918203624605</v>
      </c>
    </row>
    <row r="1775">
      <c r="A1775" s="1">
        <f>IFERROR(__xludf.DUMMYFUNCTION("""COMPUTED_VALUE"""),42930.66666666667)</f>
        <v>42930.66667</v>
      </c>
      <c r="B1775" s="2">
        <f>IFERROR(__xludf.DUMMYFUNCTION("""COMPUTED_VALUE"""),21.85)</f>
        <v>21.85</v>
      </c>
      <c r="C1775" s="3">
        <v>50.5663635185387</v>
      </c>
    </row>
    <row r="1776">
      <c r="A1776" s="1">
        <f>IFERROR(__xludf.DUMMYFUNCTION("""COMPUTED_VALUE"""),42933.66666666667)</f>
        <v>42933.66667</v>
      </c>
      <c r="B1776" s="2">
        <f>IFERROR(__xludf.DUMMYFUNCTION("""COMPUTED_VALUE"""),21.3)</f>
        <v>21.3</v>
      </c>
      <c r="C1776" s="3">
        <v>51.5684731642629</v>
      </c>
    </row>
    <row r="1777">
      <c r="A1777" s="1">
        <f>IFERROR(__xludf.DUMMYFUNCTION("""COMPUTED_VALUE"""),42934.66666666667)</f>
        <v>42934.66667</v>
      </c>
      <c r="B1777" s="2">
        <f>IFERROR(__xludf.DUMMYFUNCTION("""COMPUTED_VALUE"""),21.88)</f>
        <v>21.88</v>
      </c>
      <c r="C1777" s="3">
        <v>51.020991368067</v>
      </c>
    </row>
    <row r="1778">
      <c r="A1778" s="1">
        <f>IFERROR(__xludf.DUMMYFUNCTION("""COMPUTED_VALUE"""),42935.66666666667)</f>
        <v>42935.66667</v>
      </c>
      <c r="B1778" s="2">
        <f>IFERROR(__xludf.DUMMYFUNCTION("""COMPUTED_VALUE"""),21.68)</f>
        <v>21.68</v>
      </c>
      <c r="C1778" s="3">
        <v>50.8341519071753</v>
      </c>
    </row>
    <row r="1779">
      <c r="A1779" s="1">
        <f>IFERROR(__xludf.DUMMYFUNCTION("""COMPUTED_VALUE"""),42936.66666666667)</f>
        <v>42936.66667</v>
      </c>
      <c r="B1779" s="2">
        <f>IFERROR(__xludf.DUMMYFUNCTION("""COMPUTED_VALUE"""),21.99)</f>
        <v>21.99</v>
      </c>
      <c r="C1779" s="3">
        <v>49.6992984800189</v>
      </c>
    </row>
    <row r="1780">
      <c r="A1780" s="1">
        <f>IFERROR(__xludf.DUMMYFUNCTION("""COMPUTED_VALUE"""),42937.66666666667)</f>
        <v>42937.66667</v>
      </c>
      <c r="B1780" s="2">
        <f>IFERROR(__xludf.DUMMYFUNCTION("""COMPUTED_VALUE"""),21.89)</f>
        <v>21.89</v>
      </c>
      <c r="C1780" s="3">
        <v>48.5314518846493</v>
      </c>
    </row>
    <row r="1781">
      <c r="A1781" s="1">
        <f>IFERROR(__xludf.DUMMYFUNCTION("""COMPUTED_VALUE"""),42940.66666666667)</f>
        <v>42940.66667</v>
      </c>
      <c r="B1781" s="2">
        <f>IFERROR(__xludf.DUMMYFUNCTION("""COMPUTED_VALUE"""),22.83)</f>
        <v>22.83</v>
      </c>
      <c r="C1781" s="3">
        <v>49.2655385493861</v>
      </c>
    </row>
    <row r="1782">
      <c r="A1782" s="1">
        <f>IFERROR(__xludf.DUMMYFUNCTION("""COMPUTED_VALUE"""),42941.66666666667)</f>
        <v>42941.66667</v>
      </c>
      <c r="B1782" s="2">
        <f>IFERROR(__xludf.DUMMYFUNCTION("""COMPUTED_VALUE"""),22.64)</f>
        <v>22.64</v>
      </c>
      <c r="C1782" s="3">
        <v>48.7878666586743</v>
      </c>
    </row>
    <row r="1783">
      <c r="A1783" s="1">
        <f>IFERROR(__xludf.DUMMYFUNCTION("""COMPUTED_VALUE"""),42942.66666666667)</f>
        <v>42942.66667</v>
      </c>
      <c r="B1783" s="2">
        <f>IFERROR(__xludf.DUMMYFUNCTION("""COMPUTED_VALUE"""),22.92)</f>
        <v>22.92</v>
      </c>
      <c r="C1783" s="3">
        <v>48.7481577465347</v>
      </c>
    </row>
    <row r="1784">
      <c r="A1784" s="1">
        <f>IFERROR(__xludf.DUMMYFUNCTION("""COMPUTED_VALUE"""),42943.66666666667)</f>
        <v>42943.66667</v>
      </c>
      <c r="B1784" s="2">
        <f>IFERROR(__xludf.DUMMYFUNCTION("""COMPUTED_VALUE"""),22.3)</f>
        <v>22.3</v>
      </c>
      <c r="C1784" s="3">
        <v>47.8333000599621</v>
      </c>
    </row>
    <row r="1785">
      <c r="A1785" s="1">
        <f>IFERROR(__xludf.DUMMYFUNCTION("""COMPUTED_VALUE"""),42944.66666666667)</f>
        <v>42944.66667</v>
      </c>
      <c r="B1785" s="2">
        <f>IFERROR(__xludf.DUMMYFUNCTION("""COMPUTED_VALUE"""),22.34)</f>
        <v>22.34</v>
      </c>
      <c r="C1785" s="3">
        <v>46.9519563413557</v>
      </c>
    </row>
    <row r="1786">
      <c r="A1786" s="1">
        <f>IFERROR(__xludf.DUMMYFUNCTION("""COMPUTED_VALUE"""),42947.66666666667)</f>
        <v>42947.66667</v>
      </c>
      <c r="B1786" s="2">
        <f>IFERROR(__xludf.DUMMYFUNCTION("""COMPUTED_VALUE"""),21.56)</f>
        <v>21.56</v>
      </c>
      <c r="C1786" s="3">
        <v>48.8568467118971</v>
      </c>
    </row>
    <row r="1787">
      <c r="A1787" s="1">
        <f>IFERROR(__xludf.DUMMYFUNCTION("""COMPUTED_VALUE"""),42948.66666666667)</f>
        <v>42948.66667</v>
      </c>
      <c r="B1787" s="2">
        <f>IFERROR(__xludf.DUMMYFUNCTION("""COMPUTED_VALUE"""),21.3)</f>
        <v>21.3</v>
      </c>
      <c r="C1787" s="3">
        <v>48.8377715800818</v>
      </c>
    </row>
    <row r="1788">
      <c r="A1788" s="1">
        <f>IFERROR(__xludf.DUMMYFUNCTION("""COMPUTED_VALUE"""),42949.66666666667)</f>
        <v>42949.66667</v>
      </c>
      <c r="B1788" s="2">
        <f>IFERROR(__xludf.DUMMYFUNCTION("""COMPUTED_VALUE"""),21.73)</f>
        <v>21.73</v>
      </c>
      <c r="C1788" s="3">
        <v>49.2711032882744</v>
      </c>
    </row>
    <row r="1789">
      <c r="A1789" s="1">
        <f>IFERROR(__xludf.DUMMYFUNCTION("""COMPUTED_VALUE"""),42950.66666666667)</f>
        <v>42950.66667</v>
      </c>
      <c r="B1789" s="2">
        <f>IFERROR(__xludf.DUMMYFUNCTION("""COMPUTED_VALUE"""),23.14)</f>
        <v>23.14</v>
      </c>
      <c r="C1789" s="3">
        <v>48.8314109208998</v>
      </c>
    </row>
    <row r="1790">
      <c r="A1790" s="1">
        <f>IFERROR(__xludf.DUMMYFUNCTION("""COMPUTED_VALUE"""),42951.66666666667)</f>
        <v>42951.66667</v>
      </c>
      <c r="B1790" s="2">
        <f>IFERROR(__xludf.DUMMYFUNCTION("""COMPUTED_VALUE"""),23.79)</f>
        <v>23.79</v>
      </c>
      <c r="C1790" s="3">
        <v>48.4152055748087</v>
      </c>
    </row>
    <row r="1791">
      <c r="A1791" s="1">
        <f>IFERROR(__xludf.DUMMYFUNCTION("""COMPUTED_VALUE"""),42954.66666666667)</f>
        <v>42954.66667</v>
      </c>
      <c r="B1791" s="2">
        <f>IFERROR(__xludf.DUMMYFUNCTION("""COMPUTED_VALUE"""),23.68)</f>
        <v>23.68</v>
      </c>
      <c r="C1791" s="3">
        <v>51.5434452581766</v>
      </c>
    </row>
    <row r="1792">
      <c r="A1792" s="1">
        <f>IFERROR(__xludf.DUMMYFUNCTION("""COMPUTED_VALUE"""),42955.66666666667)</f>
        <v>42955.66667</v>
      </c>
      <c r="B1792" s="2">
        <f>IFERROR(__xludf.DUMMYFUNCTION("""COMPUTED_VALUE"""),24.35)</f>
        <v>24.35</v>
      </c>
      <c r="C1792" s="3">
        <v>51.8428451902352</v>
      </c>
    </row>
    <row r="1793">
      <c r="A1793" s="1">
        <f>IFERROR(__xludf.DUMMYFUNCTION("""COMPUTED_VALUE"""),42956.66666666667)</f>
        <v>42956.66667</v>
      </c>
      <c r="B1793" s="2">
        <f>IFERROR(__xludf.DUMMYFUNCTION("""COMPUTED_VALUE"""),24.24)</f>
        <v>24.24</v>
      </c>
      <c r="C1793" s="3">
        <v>52.5376033929971</v>
      </c>
    </row>
    <row r="1794">
      <c r="A1794" s="1">
        <f>IFERROR(__xludf.DUMMYFUNCTION("""COMPUTED_VALUE"""),42957.66666666667)</f>
        <v>42957.66667</v>
      </c>
      <c r="B1794" s="2">
        <f>IFERROR(__xludf.DUMMYFUNCTION("""COMPUTED_VALUE"""),23.69)</f>
        <v>23.69</v>
      </c>
      <c r="C1794" s="3">
        <v>52.2974197885611</v>
      </c>
    </row>
    <row r="1795">
      <c r="A1795" s="1">
        <f>IFERROR(__xludf.DUMMYFUNCTION("""COMPUTED_VALUE"""),42958.66666666667)</f>
        <v>42958.66667</v>
      </c>
      <c r="B1795" s="2">
        <f>IFERROR(__xludf.DUMMYFUNCTION("""COMPUTED_VALUE"""),23.86)</f>
        <v>23.86</v>
      </c>
      <c r="C1795" s="3">
        <v>52.0158289636319</v>
      </c>
    </row>
    <row r="1796">
      <c r="A1796" s="1">
        <f>IFERROR(__xludf.DUMMYFUNCTION("""COMPUTED_VALUE"""),42961.66666666667)</f>
        <v>42961.66667</v>
      </c>
      <c r="B1796" s="2">
        <f>IFERROR(__xludf.DUMMYFUNCTION("""COMPUTED_VALUE"""),24.25)</f>
        <v>24.25</v>
      </c>
      <c r="C1796" s="3">
        <v>55.1578606639584</v>
      </c>
    </row>
    <row r="1797">
      <c r="A1797" s="1">
        <f>IFERROR(__xludf.DUMMYFUNCTION("""COMPUTED_VALUE"""),42962.66666666667)</f>
        <v>42962.66667</v>
      </c>
      <c r="B1797" s="2">
        <f>IFERROR(__xludf.DUMMYFUNCTION("""COMPUTED_VALUE"""),24.16)</f>
        <v>24.16</v>
      </c>
      <c r="C1797" s="3">
        <v>55.3409838713904</v>
      </c>
    </row>
    <row r="1798">
      <c r="A1798" s="1">
        <f>IFERROR(__xludf.DUMMYFUNCTION("""COMPUTED_VALUE"""),42963.66666666667)</f>
        <v>42963.66667</v>
      </c>
      <c r="B1798" s="2">
        <f>IFERROR(__xludf.DUMMYFUNCTION("""COMPUTED_VALUE"""),24.19)</f>
        <v>24.19</v>
      </c>
      <c r="C1798" s="3">
        <v>55.8678614210809</v>
      </c>
    </row>
    <row r="1799">
      <c r="A1799" s="1">
        <f>IFERROR(__xludf.DUMMYFUNCTION("""COMPUTED_VALUE"""),42964.66666666667)</f>
        <v>42964.66667</v>
      </c>
      <c r="B1799" s="2">
        <f>IFERROR(__xludf.DUMMYFUNCTION("""COMPUTED_VALUE"""),23.46)</f>
        <v>23.46</v>
      </c>
      <c r="C1799" s="3">
        <v>55.3980087933231</v>
      </c>
    </row>
    <row r="1800">
      <c r="A1800" s="1">
        <f>IFERROR(__xludf.DUMMYFUNCTION("""COMPUTED_VALUE"""),42965.66666666667)</f>
        <v>42965.66667</v>
      </c>
      <c r="B1800" s="2">
        <f>IFERROR(__xludf.DUMMYFUNCTION("""COMPUTED_VALUE"""),23.16)</f>
        <v>23.16</v>
      </c>
      <c r="C1800" s="3">
        <v>54.8511549428872</v>
      </c>
    </row>
    <row r="1801">
      <c r="A1801" s="1">
        <f>IFERROR(__xludf.DUMMYFUNCTION("""COMPUTED_VALUE"""),42968.66666666667)</f>
        <v>42968.66667</v>
      </c>
      <c r="B1801" s="2">
        <f>IFERROR(__xludf.DUMMYFUNCTION("""COMPUTED_VALUE"""),22.52)</f>
        <v>22.52</v>
      </c>
      <c r="C1801" s="3">
        <v>57.0794538346537</v>
      </c>
    </row>
    <row r="1802">
      <c r="A1802" s="1">
        <f>IFERROR(__xludf.DUMMYFUNCTION("""COMPUTED_VALUE"""),42969.66666666667)</f>
        <v>42969.66667</v>
      </c>
      <c r="B1802" s="2">
        <f>IFERROR(__xludf.DUMMYFUNCTION("""COMPUTED_VALUE"""),22.76)</f>
        <v>22.76</v>
      </c>
      <c r="C1802" s="3">
        <v>56.9516821858584</v>
      </c>
    </row>
    <row r="1803">
      <c r="A1803" s="1">
        <f>IFERROR(__xludf.DUMMYFUNCTION("""COMPUTED_VALUE"""),42970.66666666667)</f>
        <v>42970.66667</v>
      </c>
      <c r="B1803" s="2">
        <f>IFERROR(__xludf.DUMMYFUNCTION("""COMPUTED_VALUE"""),23.52)</f>
        <v>23.52</v>
      </c>
      <c r="C1803" s="3">
        <v>57.1804293587158</v>
      </c>
    </row>
    <row r="1804">
      <c r="A1804" s="1">
        <f>IFERROR(__xludf.DUMMYFUNCTION("""COMPUTED_VALUE"""),42971.66666666667)</f>
        <v>42971.66667</v>
      </c>
      <c r="B1804" s="2">
        <f>IFERROR(__xludf.DUMMYFUNCTION("""COMPUTED_VALUE"""),23.53)</f>
        <v>23.53</v>
      </c>
      <c r="C1804" s="3">
        <v>56.4514078552922</v>
      </c>
    </row>
    <row r="1805">
      <c r="A1805" s="1">
        <f>IFERROR(__xludf.DUMMYFUNCTION("""COMPUTED_VALUE"""),42972.66666666667)</f>
        <v>42972.66667</v>
      </c>
      <c r="B1805" s="2">
        <f>IFERROR(__xludf.DUMMYFUNCTION("""COMPUTED_VALUE"""),23.2)</f>
        <v>23.2</v>
      </c>
      <c r="C1805" s="3">
        <v>55.6741966221941</v>
      </c>
    </row>
    <row r="1806">
      <c r="A1806" s="1">
        <f>IFERROR(__xludf.DUMMYFUNCTION("""COMPUTED_VALUE"""),42975.66666666667)</f>
        <v>42975.66667</v>
      </c>
      <c r="B1806" s="2">
        <f>IFERROR(__xludf.DUMMYFUNCTION("""COMPUTED_VALUE"""),23.04)</f>
        <v>23.04</v>
      </c>
      <c r="C1806" s="3">
        <v>57.4386676348702</v>
      </c>
    </row>
    <row r="1807">
      <c r="A1807" s="1">
        <f>IFERROR(__xludf.DUMMYFUNCTION("""COMPUTED_VALUE"""),42976.66666666667)</f>
        <v>42976.66667</v>
      </c>
      <c r="B1807" s="2">
        <f>IFERROR(__xludf.DUMMYFUNCTION("""COMPUTED_VALUE"""),23.16)</f>
        <v>23.16</v>
      </c>
      <c r="C1807" s="3">
        <v>57.2422018765077</v>
      </c>
    </row>
    <row r="1808">
      <c r="A1808" s="1">
        <f>IFERROR(__xludf.DUMMYFUNCTION("""COMPUTED_VALUE"""),42977.66666666667)</f>
        <v>42977.66667</v>
      </c>
      <c r="B1808" s="2">
        <f>IFERROR(__xludf.DUMMYFUNCTION("""COMPUTED_VALUE"""),23.55)</f>
        <v>23.55</v>
      </c>
      <c r="C1808" s="3">
        <v>57.4460137902866</v>
      </c>
    </row>
    <row r="1809">
      <c r="A1809" s="1">
        <f>IFERROR(__xludf.DUMMYFUNCTION("""COMPUTED_VALUE"""),42978.66666666667)</f>
        <v>42978.66667</v>
      </c>
      <c r="B1809" s="2">
        <f>IFERROR(__xludf.DUMMYFUNCTION("""COMPUTED_VALUE"""),23.73)</f>
        <v>23.73</v>
      </c>
      <c r="C1809" s="3">
        <v>56.7337050424534</v>
      </c>
    </row>
    <row r="1810">
      <c r="A1810" s="1">
        <f>IFERROR(__xludf.DUMMYFUNCTION("""COMPUTED_VALUE"""),42979.66666666667)</f>
        <v>42979.66667</v>
      </c>
      <c r="B1810" s="2">
        <f>IFERROR(__xludf.DUMMYFUNCTION("""COMPUTED_VALUE"""),23.69)</f>
        <v>23.69</v>
      </c>
      <c r="C1810" s="3">
        <v>56.0111089414644</v>
      </c>
    </row>
    <row r="1811">
      <c r="A1811" s="1">
        <f>IFERROR(__xludf.DUMMYFUNCTION("""COMPUTED_VALUE"""),42983.66666666667)</f>
        <v>42983.66667</v>
      </c>
      <c r="B1811" s="2">
        <f>IFERROR(__xludf.DUMMYFUNCTION("""COMPUTED_VALUE"""),23.31)</f>
        <v>23.31</v>
      </c>
      <c r="C1811" s="3">
        <v>58.0536884599826</v>
      </c>
    </row>
    <row r="1812">
      <c r="A1812" s="1">
        <f>IFERROR(__xludf.DUMMYFUNCTION("""COMPUTED_VALUE"""),42984.66666666667)</f>
        <v>42984.66667</v>
      </c>
      <c r="B1812" s="2">
        <f>IFERROR(__xludf.DUMMYFUNCTION("""COMPUTED_VALUE"""),22.97)</f>
        <v>22.97</v>
      </c>
      <c r="C1812" s="3">
        <v>58.4006923961786</v>
      </c>
    </row>
    <row r="1813">
      <c r="A1813" s="1">
        <f>IFERROR(__xludf.DUMMYFUNCTION("""COMPUTED_VALUE"""),42985.66666666667)</f>
        <v>42985.66667</v>
      </c>
      <c r="B1813" s="2">
        <f>IFERROR(__xludf.DUMMYFUNCTION("""COMPUTED_VALUE"""),23.37)</f>
        <v>23.37</v>
      </c>
      <c r="C1813" s="3">
        <v>57.8236881017022</v>
      </c>
    </row>
    <row r="1814">
      <c r="A1814" s="1">
        <f>IFERROR(__xludf.DUMMYFUNCTION("""COMPUTED_VALUE"""),42986.66666666667)</f>
        <v>42986.66667</v>
      </c>
      <c r="B1814" s="2">
        <f>IFERROR(__xludf.DUMMYFUNCTION("""COMPUTED_VALUE"""),22.89)</f>
        <v>22.89</v>
      </c>
      <c r="C1814" s="3">
        <v>57.2195808808838</v>
      </c>
    </row>
    <row r="1815">
      <c r="A1815" s="1">
        <f>IFERROR(__xludf.DUMMYFUNCTION("""COMPUTED_VALUE"""),42989.66666666667)</f>
        <v>42989.66667</v>
      </c>
      <c r="B1815" s="2">
        <f>IFERROR(__xludf.DUMMYFUNCTION("""COMPUTED_VALUE"""),24.25)</f>
        <v>24.25</v>
      </c>
      <c r="C1815" s="3">
        <v>59.4909738285846</v>
      </c>
    </row>
    <row r="1816">
      <c r="A1816" s="1">
        <f>IFERROR(__xludf.DUMMYFUNCTION("""COMPUTED_VALUE"""),42990.66666666667)</f>
        <v>42990.66667</v>
      </c>
      <c r="B1816" s="2">
        <f>IFERROR(__xludf.DUMMYFUNCTION("""COMPUTED_VALUE"""),24.18)</f>
        <v>24.18</v>
      </c>
      <c r="C1816" s="3">
        <v>59.4126138912574</v>
      </c>
    </row>
    <row r="1817">
      <c r="A1817" s="1">
        <f>IFERROR(__xludf.DUMMYFUNCTION("""COMPUTED_VALUE"""),42991.66666666667)</f>
        <v>42991.66667</v>
      </c>
      <c r="B1817" s="2">
        <f>IFERROR(__xludf.DUMMYFUNCTION("""COMPUTED_VALUE"""),24.42)</f>
        <v>24.42</v>
      </c>
      <c r="C1817" s="3">
        <v>59.6873581870524</v>
      </c>
    </row>
    <row r="1818">
      <c r="A1818" s="1">
        <f>IFERROR(__xludf.DUMMYFUNCTION("""COMPUTED_VALUE"""),42992.66666666667)</f>
        <v>42992.66667</v>
      </c>
      <c r="B1818" s="2">
        <f>IFERROR(__xludf.DUMMYFUNCTION("""COMPUTED_VALUE"""),25.18)</f>
        <v>25.18</v>
      </c>
      <c r="C1818" s="3">
        <v>58.9878104252971</v>
      </c>
    </row>
    <row r="1819">
      <c r="A1819" s="1">
        <f>IFERROR(__xludf.DUMMYFUNCTION("""COMPUTED_VALUE"""),42993.66666666667)</f>
        <v>42993.66667</v>
      </c>
      <c r="B1819" s="2">
        <f>IFERROR(__xludf.DUMMYFUNCTION("""COMPUTED_VALUE"""),25.32)</f>
        <v>25.32</v>
      </c>
      <c r="C1819" s="3">
        <v>58.2108147781163</v>
      </c>
    </row>
    <row r="1820">
      <c r="A1820" s="1">
        <f>IFERROR(__xludf.DUMMYFUNCTION("""COMPUTED_VALUE"""),42996.66666666667)</f>
        <v>42996.66667</v>
      </c>
      <c r="B1820" s="2">
        <f>IFERROR(__xludf.DUMMYFUNCTION("""COMPUTED_VALUE"""),25.67)</f>
        <v>25.67</v>
      </c>
      <c r="C1820" s="3">
        <v>59.6895342222594</v>
      </c>
    </row>
    <row r="1821">
      <c r="A1821" s="1">
        <f>IFERROR(__xludf.DUMMYFUNCTION("""COMPUTED_VALUE"""),42997.66666666667)</f>
        <v>42997.66667</v>
      </c>
      <c r="B1821" s="2">
        <f>IFERROR(__xludf.DUMMYFUNCTION("""COMPUTED_VALUE"""),25.01)</f>
        <v>25.01</v>
      </c>
      <c r="C1821" s="3">
        <v>59.2742303266777</v>
      </c>
    </row>
    <row r="1822">
      <c r="A1822" s="1">
        <f>IFERROR(__xludf.DUMMYFUNCTION("""COMPUTED_VALUE"""),42998.66666666667)</f>
        <v>42998.66667</v>
      </c>
      <c r="B1822" s="2">
        <f>IFERROR(__xludf.DUMMYFUNCTION("""COMPUTED_VALUE"""),24.93)</f>
        <v>24.93</v>
      </c>
      <c r="C1822" s="3">
        <v>59.1891819875392</v>
      </c>
    </row>
    <row r="1823">
      <c r="A1823" s="1">
        <f>IFERROR(__xludf.DUMMYFUNCTION("""COMPUTED_VALUE"""),42999.66666666667)</f>
        <v>42999.66667</v>
      </c>
      <c r="B1823" s="2">
        <f>IFERROR(__xludf.DUMMYFUNCTION("""COMPUTED_VALUE"""),24.43)</f>
        <v>24.43</v>
      </c>
      <c r="C1823" s="3">
        <v>58.1172060742071</v>
      </c>
    </row>
    <row r="1824">
      <c r="A1824" s="1">
        <f>IFERROR(__xludf.DUMMYFUNCTION("""COMPUTED_VALUE"""),43000.66666666667)</f>
        <v>43000.66667</v>
      </c>
      <c r="B1824" s="2">
        <f>IFERROR(__xludf.DUMMYFUNCTION("""COMPUTED_VALUE"""),23.41)</f>
        <v>23.41</v>
      </c>
      <c r="C1824" s="3">
        <v>56.9663947413977</v>
      </c>
    </row>
    <row r="1825">
      <c r="A1825" s="1">
        <f>IFERROR(__xludf.DUMMYFUNCTION("""COMPUTED_VALUE"""),43003.66666666667)</f>
        <v>43003.66667</v>
      </c>
      <c r="B1825" s="2">
        <f>IFERROR(__xludf.DUMMYFUNCTION("""COMPUTED_VALUE"""),23.0)</f>
        <v>23</v>
      </c>
      <c r="C1825" s="3">
        <v>57.4364754008074</v>
      </c>
    </row>
    <row r="1826">
      <c r="A1826" s="1">
        <f>IFERROR(__xludf.DUMMYFUNCTION("""COMPUTED_VALUE"""),43004.66666666667)</f>
        <v>43004.66667</v>
      </c>
      <c r="B1826" s="2">
        <f>IFERROR(__xludf.DUMMYFUNCTION("""COMPUTED_VALUE"""),23.02)</f>
        <v>23.02</v>
      </c>
      <c r="C1826" s="3">
        <v>56.7633180575023</v>
      </c>
    </row>
    <row r="1827">
      <c r="A1827" s="1">
        <f>IFERROR(__xludf.DUMMYFUNCTION("""COMPUTED_VALUE"""),43005.66666666667)</f>
        <v>43005.66667</v>
      </c>
      <c r="B1827" s="2">
        <f>IFERROR(__xludf.DUMMYFUNCTION("""COMPUTED_VALUE"""),22.73)</f>
        <v>22.73</v>
      </c>
      <c r="C1827" s="3">
        <v>56.4788666934834</v>
      </c>
    </row>
    <row r="1828">
      <c r="A1828" s="1">
        <f>IFERROR(__xludf.DUMMYFUNCTION("""COMPUTED_VALUE"""),43006.66666666667)</f>
        <v>43006.66667</v>
      </c>
      <c r="B1828" s="2">
        <f>IFERROR(__xludf.DUMMYFUNCTION("""COMPUTED_VALUE"""),22.64)</f>
        <v>22.64</v>
      </c>
      <c r="C1828" s="3">
        <v>55.2760711049724</v>
      </c>
    </row>
    <row r="1829">
      <c r="A1829" s="1">
        <f>IFERROR(__xludf.DUMMYFUNCTION("""COMPUTED_VALUE"""),43007.66666666667)</f>
        <v>43007.66667</v>
      </c>
      <c r="B1829" s="2">
        <f>IFERROR(__xludf.DUMMYFUNCTION("""COMPUTED_VALUE"""),22.74)</f>
        <v>22.74</v>
      </c>
      <c r="C1829" s="3">
        <v>54.0717289967659</v>
      </c>
    </row>
    <row r="1830">
      <c r="A1830" s="1">
        <f>IFERROR(__xludf.DUMMYFUNCTION("""COMPUTED_VALUE"""),43010.66666666667)</f>
        <v>43010.66667</v>
      </c>
      <c r="B1830" s="2">
        <f>IFERROR(__xludf.DUMMYFUNCTION("""COMPUTED_VALUE"""),22.77)</f>
        <v>22.77</v>
      </c>
      <c r="C1830" s="3">
        <v>54.9047141410512</v>
      </c>
    </row>
    <row r="1831">
      <c r="A1831" s="1">
        <f>IFERROR(__xludf.DUMMYFUNCTION("""COMPUTED_VALUE"""),43011.66666666667)</f>
        <v>43011.66667</v>
      </c>
      <c r="B1831" s="2">
        <f>IFERROR(__xludf.DUMMYFUNCTION("""COMPUTED_VALUE"""),23.21)</f>
        <v>23.21</v>
      </c>
      <c r="C1831" s="3">
        <v>54.5363469606939</v>
      </c>
    </row>
    <row r="1832">
      <c r="A1832" s="1">
        <f>IFERROR(__xludf.DUMMYFUNCTION("""COMPUTED_VALUE"""),43012.66666666667)</f>
        <v>43012.66667</v>
      </c>
      <c r="B1832" s="2">
        <f>IFERROR(__xludf.DUMMYFUNCTION("""COMPUTED_VALUE"""),23.67)</f>
        <v>23.67</v>
      </c>
      <c r="C1832" s="3">
        <v>54.647480068267</v>
      </c>
    </row>
    <row r="1833">
      <c r="A1833" s="1">
        <f>IFERROR(__xludf.DUMMYFUNCTION("""COMPUTED_VALUE"""),43013.66666666667)</f>
        <v>43013.66667</v>
      </c>
      <c r="B1833" s="2">
        <f>IFERROR(__xludf.DUMMYFUNCTION("""COMPUTED_VALUE"""),23.69)</f>
        <v>23.69</v>
      </c>
      <c r="C1833" s="3">
        <v>53.9268187525207</v>
      </c>
    </row>
    <row r="1834">
      <c r="A1834" s="1">
        <f>IFERROR(__xludf.DUMMYFUNCTION("""COMPUTED_VALUE"""),43014.66666666667)</f>
        <v>43014.66667</v>
      </c>
      <c r="B1834" s="2">
        <f>IFERROR(__xludf.DUMMYFUNCTION("""COMPUTED_VALUE"""),23.79)</f>
        <v>23.79</v>
      </c>
      <c r="C1834" s="3">
        <v>53.2845874023737</v>
      </c>
    </row>
    <row r="1835">
      <c r="A1835" s="1">
        <f>IFERROR(__xludf.DUMMYFUNCTION("""COMPUTED_VALUE"""),43017.66666666667)</f>
        <v>43017.66667</v>
      </c>
      <c r="B1835" s="2">
        <f>IFERROR(__xludf.DUMMYFUNCTION("""COMPUTED_VALUE"""),22.86)</f>
        <v>22.86</v>
      </c>
      <c r="C1835" s="3">
        <v>56.186244582013</v>
      </c>
    </row>
    <row r="1836">
      <c r="A1836" s="1">
        <f>IFERROR(__xludf.DUMMYFUNCTION("""COMPUTED_VALUE"""),43018.66666666667)</f>
        <v>43018.66667</v>
      </c>
      <c r="B1836" s="2">
        <f>IFERROR(__xludf.DUMMYFUNCTION("""COMPUTED_VALUE"""),23.71)</f>
        <v>23.71</v>
      </c>
      <c r="C1836" s="3">
        <v>56.5934000028312</v>
      </c>
    </row>
    <row r="1837">
      <c r="A1837" s="1">
        <f>IFERROR(__xludf.DUMMYFUNCTION("""COMPUTED_VALUE"""),43019.66666666667)</f>
        <v>43019.66667</v>
      </c>
      <c r="B1837" s="2">
        <f>IFERROR(__xludf.DUMMYFUNCTION("""COMPUTED_VALUE"""),23.64)</f>
        <v>23.64</v>
      </c>
      <c r="C1837" s="3">
        <v>57.4988689363254</v>
      </c>
    </row>
    <row r="1838">
      <c r="A1838" s="1">
        <f>IFERROR(__xludf.DUMMYFUNCTION("""COMPUTED_VALUE"""),43020.66666666667)</f>
        <v>43020.66667</v>
      </c>
      <c r="B1838" s="2">
        <f>IFERROR(__xludf.DUMMYFUNCTION("""COMPUTED_VALUE"""),23.71)</f>
        <v>23.71</v>
      </c>
      <c r="C1838" s="3">
        <v>57.5755525359468</v>
      </c>
    </row>
    <row r="1839">
      <c r="A1839" s="1">
        <f>IFERROR(__xludf.DUMMYFUNCTION("""COMPUTED_VALUE"""),43021.66666666667)</f>
        <v>43021.66667</v>
      </c>
      <c r="B1839" s="2">
        <f>IFERROR(__xludf.DUMMYFUNCTION("""COMPUTED_VALUE"""),23.7)</f>
        <v>23.7</v>
      </c>
      <c r="C1839" s="3">
        <v>57.7175618424393</v>
      </c>
    </row>
    <row r="1840">
      <c r="A1840" s="1">
        <f>IFERROR(__xludf.DUMMYFUNCTION("""COMPUTED_VALUE"""),43024.66666666667)</f>
        <v>43024.66667</v>
      </c>
      <c r="B1840" s="2">
        <f>IFERROR(__xludf.DUMMYFUNCTION("""COMPUTED_VALUE"""),23.37)</f>
        <v>23.37</v>
      </c>
      <c r="C1840" s="3">
        <v>62.7363609010166</v>
      </c>
    </row>
    <row r="1841">
      <c r="A1841" s="1">
        <f>IFERROR(__xludf.DUMMYFUNCTION("""COMPUTED_VALUE"""),43025.66666666667)</f>
        <v>43025.66667</v>
      </c>
      <c r="B1841" s="2">
        <f>IFERROR(__xludf.DUMMYFUNCTION("""COMPUTED_VALUE"""),23.72)</f>
        <v>23.72</v>
      </c>
      <c r="C1841" s="3">
        <v>63.7226576018651</v>
      </c>
    </row>
    <row r="1842">
      <c r="A1842" s="1">
        <f>IFERROR(__xludf.DUMMYFUNCTION("""COMPUTED_VALUE"""),43026.66666666667)</f>
        <v>43026.66667</v>
      </c>
      <c r="B1842" s="2">
        <f>IFERROR(__xludf.DUMMYFUNCTION("""COMPUTED_VALUE"""),23.98)</f>
        <v>23.98</v>
      </c>
      <c r="C1842" s="3">
        <v>65.1234334287755</v>
      </c>
    </row>
    <row r="1843">
      <c r="A1843" s="1">
        <f>IFERROR(__xludf.DUMMYFUNCTION("""COMPUTED_VALUE"""),43027.66666666667)</f>
        <v>43027.66667</v>
      </c>
      <c r="B1843" s="2">
        <f>IFERROR(__xludf.DUMMYFUNCTION("""COMPUTED_VALUE"""),23.45)</f>
        <v>23.45</v>
      </c>
      <c r="C1843" s="3">
        <v>65.6020485723249</v>
      </c>
    </row>
    <row r="1844">
      <c r="A1844" s="1">
        <f>IFERROR(__xludf.DUMMYFUNCTION("""COMPUTED_VALUE"""),43028.66666666667)</f>
        <v>43028.66667</v>
      </c>
      <c r="B1844" s="2">
        <f>IFERROR(__xludf.DUMMYFUNCTION("""COMPUTED_VALUE"""),23.01)</f>
        <v>23.01</v>
      </c>
      <c r="C1844" s="3">
        <v>66.0453096267226</v>
      </c>
    </row>
    <row r="1845">
      <c r="A1845" s="1">
        <f>IFERROR(__xludf.DUMMYFUNCTION("""COMPUTED_VALUE"""),43031.66666666667)</f>
        <v>43031.66667</v>
      </c>
      <c r="B1845" s="2">
        <f>IFERROR(__xludf.DUMMYFUNCTION("""COMPUTED_VALUE"""),22.47)</f>
        <v>22.47</v>
      </c>
      <c r="C1845" s="3">
        <v>71.3278288105989</v>
      </c>
    </row>
    <row r="1846">
      <c r="A1846" s="1">
        <f>IFERROR(__xludf.DUMMYFUNCTION("""COMPUTED_VALUE"""),43032.66666666667)</f>
        <v>43032.66667</v>
      </c>
      <c r="B1846" s="2">
        <f>IFERROR(__xludf.DUMMYFUNCTION("""COMPUTED_VALUE"""),22.49)</f>
        <v>22.49</v>
      </c>
      <c r="C1846" s="3">
        <v>72.1896005814589</v>
      </c>
    </row>
    <row r="1847">
      <c r="A1847" s="1">
        <f>IFERROR(__xludf.DUMMYFUNCTION("""COMPUTED_VALUE"""),43033.66666666667)</f>
        <v>43033.66667</v>
      </c>
      <c r="B1847" s="2">
        <f>IFERROR(__xludf.DUMMYFUNCTION("""COMPUTED_VALUE"""),21.72)</f>
        <v>21.72</v>
      </c>
      <c r="C1847" s="3">
        <v>73.366474329777</v>
      </c>
    </row>
    <row r="1848">
      <c r="A1848" s="1">
        <f>IFERROR(__xludf.DUMMYFUNCTION("""COMPUTED_VALUE"""),43034.66666666667)</f>
        <v>43034.66667</v>
      </c>
      <c r="B1848" s="2">
        <f>IFERROR(__xludf.DUMMYFUNCTION("""COMPUTED_VALUE"""),21.74)</f>
        <v>21.74</v>
      </c>
      <c r="C1848" s="3">
        <v>73.5295021205756</v>
      </c>
    </row>
    <row r="1849">
      <c r="A1849" s="1">
        <f>IFERROR(__xludf.DUMMYFUNCTION("""COMPUTED_VALUE"""),43035.66666666667)</f>
        <v>43035.66667</v>
      </c>
      <c r="B1849" s="2">
        <f>IFERROR(__xludf.DUMMYFUNCTION("""COMPUTED_VALUE"""),21.39)</f>
        <v>21.39</v>
      </c>
      <c r="C1849" s="3">
        <v>73.5752882860215</v>
      </c>
    </row>
    <row r="1850">
      <c r="A1850" s="1">
        <f>IFERROR(__xludf.DUMMYFUNCTION("""COMPUTED_VALUE"""),43038.66666666667)</f>
        <v>43038.66667</v>
      </c>
      <c r="B1850" s="2">
        <f>IFERROR(__xludf.DUMMYFUNCTION("""COMPUTED_VALUE"""),21.34)</f>
        <v>21.34</v>
      </c>
      <c r="C1850" s="3">
        <v>77.29728200081</v>
      </c>
    </row>
    <row r="1851">
      <c r="A1851" s="1">
        <f>IFERROR(__xludf.DUMMYFUNCTION("""COMPUTED_VALUE"""),43039.66666666667)</f>
        <v>43039.66667</v>
      </c>
      <c r="B1851" s="2">
        <f>IFERROR(__xludf.DUMMYFUNCTION("""COMPUTED_VALUE"""),22.1)</f>
        <v>22.1</v>
      </c>
      <c r="C1851" s="3">
        <v>77.5631351248912</v>
      </c>
    </row>
    <row r="1852">
      <c r="A1852" s="1">
        <f>IFERROR(__xludf.DUMMYFUNCTION("""COMPUTED_VALUE"""),43040.66666666667)</f>
        <v>43040.66667</v>
      </c>
      <c r="B1852" s="2">
        <f>IFERROR(__xludf.DUMMYFUNCTION("""COMPUTED_VALUE"""),21.41)</f>
        <v>21.41</v>
      </c>
      <c r="C1852" s="3">
        <v>78.1312242745232</v>
      </c>
    </row>
    <row r="1853">
      <c r="A1853" s="1">
        <f>IFERROR(__xludf.DUMMYFUNCTION("""COMPUTED_VALUE"""),43041.66666666667)</f>
        <v>43041.66667</v>
      </c>
      <c r="B1853" s="2">
        <f>IFERROR(__xludf.DUMMYFUNCTION("""COMPUTED_VALUE"""),19.95)</f>
        <v>19.95</v>
      </c>
      <c r="C1853" s="3">
        <v>77.6876274762646</v>
      </c>
    </row>
    <row r="1854">
      <c r="A1854" s="1">
        <f>IFERROR(__xludf.DUMMYFUNCTION("""COMPUTED_VALUE"""),43042.66666666667)</f>
        <v>43042.66667</v>
      </c>
      <c r="B1854" s="2">
        <f>IFERROR(__xludf.DUMMYFUNCTION("""COMPUTED_VALUE"""),20.41)</f>
        <v>20.41</v>
      </c>
      <c r="C1854" s="3">
        <v>77.1433932329815</v>
      </c>
    </row>
    <row r="1855">
      <c r="A1855" s="1">
        <f>IFERROR(__xludf.DUMMYFUNCTION("""COMPUTED_VALUE"""),43045.66666666667)</f>
        <v>43045.66667</v>
      </c>
      <c r="B1855" s="2">
        <f>IFERROR(__xludf.DUMMYFUNCTION("""COMPUTED_VALUE"""),20.19)</f>
        <v>20.19</v>
      </c>
      <c r="C1855" s="3">
        <v>79.3223801721014</v>
      </c>
    </row>
    <row r="1856">
      <c r="A1856" s="1">
        <f>IFERROR(__xludf.DUMMYFUNCTION("""COMPUTED_VALUE"""),43046.66666666667)</f>
        <v>43046.66667</v>
      </c>
      <c r="B1856" s="2">
        <f>IFERROR(__xludf.DUMMYFUNCTION("""COMPUTED_VALUE"""),20.4)</f>
        <v>20.4</v>
      </c>
      <c r="C1856" s="3">
        <v>79.1839742108599</v>
      </c>
    </row>
    <row r="1857">
      <c r="A1857" s="1">
        <f>IFERROR(__xludf.DUMMYFUNCTION("""COMPUTED_VALUE"""),43047.66666666667)</f>
        <v>43047.66667</v>
      </c>
      <c r="B1857" s="2">
        <f>IFERROR(__xludf.DUMMYFUNCTION("""COMPUTED_VALUE"""),20.29)</f>
        <v>20.29</v>
      </c>
      <c r="C1857" s="3">
        <v>79.4150233307405</v>
      </c>
    </row>
    <row r="1858">
      <c r="A1858" s="1">
        <f>IFERROR(__xludf.DUMMYFUNCTION("""COMPUTED_VALUE"""),43048.66666666667)</f>
        <v>43048.66667</v>
      </c>
      <c r="B1858" s="2">
        <f>IFERROR(__xludf.DUMMYFUNCTION("""COMPUTED_VALUE"""),20.2)</f>
        <v>20.2</v>
      </c>
      <c r="C1858" s="3">
        <v>78.705491679017</v>
      </c>
    </row>
    <row r="1859">
      <c r="A1859" s="1">
        <f>IFERROR(__xludf.DUMMYFUNCTION("""COMPUTED_VALUE"""),43049.66666666667)</f>
        <v>43049.66667</v>
      </c>
      <c r="B1859" s="2">
        <f>IFERROR(__xludf.DUMMYFUNCTION("""COMPUTED_VALUE"""),20.2)</f>
        <v>20.2</v>
      </c>
      <c r="C1859" s="3">
        <v>77.9678847225048</v>
      </c>
    </row>
    <row r="1860">
      <c r="A1860" s="1">
        <f>IFERROR(__xludf.DUMMYFUNCTION("""COMPUTED_VALUE"""),43052.66666666667)</f>
        <v>43052.66667</v>
      </c>
      <c r="B1860" s="2">
        <f>IFERROR(__xludf.DUMMYFUNCTION("""COMPUTED_VALUE"""),21.03)</f>
        <v>21.03</v>
      </c>
      <c r="C1860" s="3">
        <v>79.980608974888</v>
      </c>
    </row>
    <row r="1861">
      <c r="A1861" s="1">
        <f>IFERROR(__xludf.DUMMYFUNCTION("""COMPUTED_VALUE"""),43053.66666666667)</f>
        <v>43053.66667</v>
      </c>
      <c r="B1861" s="2">
        <f>IFERROR(__xludf.DUMMYFUNCTION("""COMPUTED_VALUE"""),20.58)</f>
        <v>20.58</v>
      </c>
      <c r="C1861" s="3">
        <v>79.9063293691988</v>
      </c>
    </row>
    <row r="1862">
      <c r="A1862" s="1">
        <f>IFERROR(__xludf.DUMMYFUNCTION("""COMPUTED_VALUE"""),43054.66666666667)</f>
        <v>43054.66667</v>
      </c>
      <c r="B1862" s="2">
        <f>IFERROR(__xludf.DUMMYFUNCTION("""COMPUTED_VALUE"""),20.75)</f>
        <v>20.75</v>
      </c>
      <c r="C1862" s="3">
        <v>80.2471776710267</v>
      </c>
    </row>
    <row r="1863">
      <c r="A1863" s="1">
        <f>IFERROR(__xludf.DUMMYFUNCTION("""COMPUTED_VALUE"""),43055.66666666667)</f>
        <v>43055.66667</v>
      </c>
      <c r="B1863" s="2">
        <f>IFERROR(__xludf.DUMMYFUNCTION("""COMPUTED_VALUE"""),20.83)</f>
        <v>20.83</v>
      </c>
      <c r="C1863" s="3">
        <v>79.6823186172563</v>
      </c>
    </row>
    <row r="1864">
      <c r="A1864" s="1">
        <f>IFERROR(__xludf.DUMMYFUNCTION("""COMPUTED_VALUE"""),43056.66666666667)</f>
        <v>43056.66667</v>
      </c>
      <c r="B1864" s="2">
        <f>IFERROR(__xludf.DUMMYFUNCTION("""COMPUTED_VALUE"""),21.0)</f>
        <v>21</v>
      </c>
      <c r="C1864" s="3">
        <v>79.1123921594483</v>
      </c>
    </row>
    <row r="1865">
      <c r="A1865" s="1">
        <f>IFERROR(__xludf.DUMMYFUNCTION("""COMPUTED_VALUE"""),43059.66666666667)</f>
        <v>43059.66667</v>
      </c>
      <c r="B1865" s="2">
        <f>IFERROR(__xludf.DUMMYFUNCTION("""COMPUTED_VALUE"""),20.58)</f>
        <v>20.58</v>
      </c>
      <c r="C1865" s="3">
        <v>81.6401196046077</v>
      </c>
    </row>
    <row r="1866">
      <c r="A1866" s="1">
        <f>IFERROR(__xludf.DUMMYFUNCTION("""COMPUTED_VALUE"""),43060.66666666667)</f>
        <v>43060.66667</v>
      </c>
      <c r="B1866" s="2">
        <f>IFERROR(__xludf.DUMMYFUNCTION("""COMPUTED_VALUE"""),21.19)</f>
        <v>21.19</v>
      </c>
      <c r="C1866" s="3">
        <v>81.6999754435065</v>
      </c>
    </row>
    <row r="1867">
      <c r="A1867" s="1">
        <f>IFERROR(__xludf.DUMMYFUNCTION("""COMPUTED_VALUE"""),43061.66666666667)</f>
        <v>43061.66667</v>
      </c>
      <c r="B1867" s="2">
        <f>IFERROR(__xludf.DUMMYFUNCTION("""COMPUTED_VALUE"""),20.84)</f>
        <v>20.84</v>
      </c>
      <c r="C1867" s="3">
        <v>82.137169292359</v>
      </c>
    </row>
    <row r="1868">
      <c r="A1868" s="1">
        <f>IFERROR(__xludf.DUMMYFUNCTION("""COMPUTED_VALUE"""),43063.54166666667)</f>
        <v>43063.54167</v>
      </c>
      <c r="B1868" s="2">
        <f>IFERROR(__xludf.DUMMYFUNCTION("""COMPUTED_VALUE"""),21.04)</f>
        <v>21.04</v>
      </c>
      <c r="C1868" s="3">
        <v>81.0452999679158</v>
      </c>
    </row>
    <row r="1869">
      <c r="A1869" s="1">
        <f>IFERROR(__xludf.DUMMYFUNCTION("""COMPUTED_VALUE"""),43066.66666666667)</f>
        <v>43066.66667</v>
      </c>
      <c r="B1869" s="2">
        <f>IFERROR(__xludf.DUMMYFUNCTION("""COMPUTED_VALUE"""),21.12)</f>
        <v>21.12</v>
      </c>
      <c r="C1869" s="3">
        <v>83.1777700082694</v>
      </c>
    </row>
    <row r="1870">
      <c r="A1870" s="1">
        <f>IFERROR(__xludf.DUMMYFUNCTION("""COMPUTED_VALUE"""),43067.66666666667)</f>
        <v>43067.66667</v>
      </c>
      <c r="B1870" s="2">
        <f>IFERROR(__xludf.DUMMYFUNCTION("""COMPUTED_VALUE"""),21.17)</f>
        <v>21.17</v>
      </c>
      <c r="C1870" s="3">
        <v>82.9766302484753</v>
      </c>
    </row>
    <row r="1871">
      <c r="A1871" s="1">
        <f>IFERROR(__xludf.DUMMYFUNCTION("""COMPUTED_VALUE"""),43068.66666666667)</f>
        <v>43068.66667</v>
      </c>
      <c r="B1871" s="2">
        <f>IFERROR(__xludf.DUMMYFUNCTION("""COMPUTED_VALUE"""),20.5)</f>
        <v>20.5</v>
      </c>
      <c r="C1871" s="3">
        <v>83.0926005555403</v>
      </c>
    </row>
    <row r="1872">
      <c r="A1872" s="1">
        <f>IFERROR(__xludf.DUMMYFUNCTION("""COMPUTED_VALUE"""),43069.66666666667)</f>
        <v>43069.66667</v>
      </c>
      <c r="B1872" s="2">
        <f>IFERROR(__xludf.DUMMYFUNCTION("""COMPUTED_VALUE"""),20.59)</f>
        <v>20.59</v>
      </c>
      <c r="C1872" s="3">
        <v>82.2016130207649</v>
      </c>
    </row>
    <row r="1873">
      <c r="A1873" s="1">
        <f>IFERROR(__xludf.DUMMYFUNCTION("""COMPUTED_VALUE"""),43070.66666666667)</f>
        <v>43070.66667</v>
      </c>
      <c r="B1873" s="2">
        <f>IFERROR(__xludf.DUMMYFUNCTION("""COMPUTED_VALUE"""),20.44)</f>
        <v>20.44</v>
      </c>
      <c r="C1873" s="3">
        <v>81.205089078001</v>
      </c>
    </row>
    <row r="1874">
      <c r="A1874" s="1">
        <f>IFERROR(__xludf.DUMMYFUNCTION("""COMPUTED_VALUE"""),43073.66666666667)</f>
        <v>43073.66667</v>
      </c>
      <c r="B1874" s="2">
        <f>IFERROR(__xludf.DUMMYFUNCTION("""COMPUTED_VALUE"""),20.35)</f>
        <v>20.35</v>
      </c>
      <c r="C1874" s="3">
        <v>81.9186467102257</v>
      </c>
    </row>
    <row r="1875">
      <c r="A1875" s="1">
        <f>IFERROR(__xludf.DUMMYFUNCTION("""COMPUTED_VALUE"""),43074.66666666667)</f>
        <v>43074.66667</v>
      </c>
      <c r="B1875" s="2">
        <f>IFERROR(__xludf.DUMMYFUNCTION("""COMPUTED_VALUE"""),20.25)</f>
        <v>20.25</v>
      </c>
      <c r="C1875" s="3">
        <v>81.2376177081087</v>
      </c>
    </row>
    <row r="1876">
      <c r="A1876" s="1">
        <f>IFERROR(__xludf.DUMMYFUNCTION("""COMPUTED_VALUE"""),43075.66666666667)</f>
        <v>43075.66667</v>
      </c>
      <c r="B1876" s="2">
        <f>IFERROR(__xludf.DUMMYFUNCTION("""COMPUTED_VALUE"""),20.88)</f>
        <v>20.88</v>
      </c>
      <c r="C1876" s="3">
        <v>80.8953011549304</v>
      </c>
    </row>
    <row r="1877">
      <c r="A1877" s="1">
        <f>IFERROR(__xludf.DUMMYFUNCTION("""COMPUTED_VALUE"""),43076.66666666667)</f>
        <v>43076.66667</v>
      </c>
      <c r="B1877" s="2">
        <f>IFERROR(__xludf.DUMMYFUNCTION("""COMPUTED_VALUE"""),20.75)</f>
        <v>20.75</v>
      </c>
      <c r="C1877" s="3">
        <v>79.5831038728335</v>
      </c>
    </row>
    <row r="1878">
      <c r="A1878" s="1">
        <f>IFERROR(__xludf.DUMMYFUNCTION("""COMPUTED_VALUE"""),43077.66666666667)</f>
        <v>43077.66667</v>
      </c>
      <c r="B1878" s="2">
        <f>IFERROR(__xludf.DUMMYFUNCTION("""COMPUTED_VALUE"""),21.01)</f>
        <v>21.01</v>
      </c>
      <c r="C1878" s="3">
        <v>78.2175557408669</v>
      </c>
    </row>
    <row r="1879">
      <c r="A1879" s="1">
        <f>IFERROR(__xludf.DUMMYFUNCTION("""COMPUTED_VALUE"""),43080.66666666667)</f>
        <v>43080.66667</v>
      </c>
      <c r="B1879" s="2">
        <f>IFERROR(__xludf.DUMMYFUNCTION("""COMPUTED_VALUE"""),21.93)</f>
        <v>21.93</v>
      </c>
      <c r="C1879" s="3">
        <v>78.2729344330282</v>
      </c>
    </row>
    <row r="1880">
      <c r="A1880" s="1">
        <f>IFERROR(__xludf.DUMMYFUNCTION("""COMPUTED_VALUE"""),43081.66666666667)</f>
        <v>43081.66667</v>
      </c>
      <c r="B1880" s="2">
        <f>IFERROR(__xludf.DUMMYFUNCTION("""COMPUTED_VALUE"""),22.74)</f>
        <v>22.74</v>
      </c>
      <c r="C1880" s="3">
        <v>77.5592512080468</v>
      </c>
    </row>
    <row r="1881">
      <c r="A1881" s="1">
        <f>IFERROR(__xludf.DUMMYFUNCTION("""COMPUTED_VALUE"""),43082.66666666667)</f>
        <v>43082.66667</v>
      </c>
      <c r="B1881" s="2">
        <f>IFERROR(__xludf.DUMMYFUNCTION("""COMPUTED_VALUE"""),22.6)</f>
        <v>22.6</v>
      </c>
      <c r="C1881" s="3">
        <v>77.2907894031345</v>
      </c>
    </row>
    <row r="1882">
      <c r="A1882" s="1">
        <f>IFERROR(__xludf.DUMMYFUNCTION("""COMPUTED_VALUE"""),43083.66666666667)</f>
        <v>43083.66667</v>
      </c>
      <c r="B1882" s="2">
        <f>IFERROR(__xludf.DUMMYFUNCTION("""COMPUTED_VALUE"""),22.53)</f>
        <v>22.53</v>
      </c>
      <c r="C1882" s="3">
        <v>76.1629431589245</v>
      </c>
    </row>
    <row r="1883">
      <c r="A1883" s="1">
        <f>IFERROR(__xludf.DUMMYFUNCTION("""COMPUTED_VALUE"""),43084.66666666667)</f>
        <v>43084.66667</v>
      </c>
      <c r="B1883" s="2">
        <f>IFERROR(__xludf.DUMMYFUNCTION("""COMPUTED_VALUE"""),22.9)</f>
        <v>22.9</v>
      </c>
      <c r="C1883" s="3">
        <v>75.0933270138609</v>
      </c>
    </row>
    <row r="1884">
      <c r="A1884" s="1">
        <f>IFERROR(__xludf.DUMMYFUNCTION("""COMPUTED_VALUE"""),43087.66666666667)</f>
        <v>43087.66667</v>
      </c>
      <c r="B1884" s="2">
        <f>IFERROR(__xludf.DUMMYFUNCTION("""COMPUTED_VALUE"""),22.59)</f>
        <v>22.59</v>
      </c>
      <c r="C1884" s="3">
        <v>76.6714850114899</v>
      </c>
    </row>
    <row r="1885">
      <c r="A1885" s="1">
        <f>IFERROR(__xludf.DUMMYFUNCTION("""COMPUTED_VALUE"""),43088.66666666667)</f>
        <v>43088.66667</v>
      </c>
      <c r="B1885" s="2">
        <f>IFERROR(__xludf.DUMMYFUNCTION("""COMPUTED_VALUE"""),22.07)</f>
        <v>22.07</v>
      </c>
      <c r="C1885" s="3">
        <v>76.6506282002067</v>
      </c>
    </row>
    <row r="1886">
      <c r="A1886" s="1">
        <f>IFERROR(__xludf.DUMMYFUNCTION("""COMPUTED_VALUE"""),43089.66666666667)</f>
        <v>43089.66667</v>
      </c>
      <c r="B1886" s="2">
        <f>IFERROR(__xludf.DUMMYFUNCTION("""COMPUTED_VALUE"""),21.93)</f>
        <v>21.93</v>
      </c>
      <c r="C1886" s="3">
        <v>77.1474236820654</v>
      </c>
    </row>
    <row r="1887">
      <c r="A1887" s="1">
        <f>IFERROR(__xludf.DUMMYFUNCTION("""COMPUTED_VALUE"""),43090.66666666667)</f>
        <v>43090.66667</v>
      </c>
      <c r="B1887" s="2">
        <f>IFERROR(__xludf.DUMMYFUNCTION("""COMPUTED_VALUE"""),22.11)</f>
        <v>22.11</v>
      </c>
      <c r="C1887" s="3">
        <v>76.8414936986306</v>
      </c>
    </row>
    <row r="1888">
      <c r="A1888" s="1">
        <f>IFERROR(__xludf.DUMMYFUNCTION("""COMPUTED_VALUE"""),43091.66666666667)</f>
        <v>43091.66667</v>
      </c>
      <c r="B1888" s="2">
        <f>IFERROR(__xludf.DUMMYFUNCTION("""COMPUTED_VALUE"""),21.68)</f>
        <v>21.68</v>
      </c>
      <c r="C1888" s="3">
        <v>76.6327268401198</v>
      </c>
    </row>
    <row r="1889">
      <c r="A1889" s="1">
        <f>IFERROR(__xludf.DUMMYFUNCTION("""COMPUTED_VALUE"""),43095.66666666667)</f>
        <v>43095.66667</v>
      </c>
      <c r="B1889" s="2">
        <f>IFERROR(__xludf.DUMMYFUNCTION("""COMPUTED_VALUE"""),21.15)</f>
        <v>21.15</v>
      </c>
      <c r="C1889" s="3">
        <v>81.625242025958</v>
      </c>
    </row>
    <row r="1890">
      <c r="A1890" s="1">
        <f>IFERROR(__xludf.DUMMYFUNCTION("""COMPUTED_VALUE"""),43096.66666666667)</f>
        <v>43096.66667</v>
      </c>
      <c r="B1890" s="2">
        <f>IFERROR(__xludf.DUMMYFUNCTION("""COMPUTED_VALUE"""),20.78)</f>
        <v>20.78</v>
      </c>
      <c r="C1890" s="3">
        <v>82.8758015034524</v>
      </c>
    </row>
    <row r="1891">
      <c r="A1891" s="1">
        <f>IFERROR(__xludf.DUMMYFUNCTION("""COMPUTED_VALUE"""),43097.66666666667)</f>
        <v>43097.66667</v>
      </c>
      <c r="B1891" s="2">
        <f>IFERROR(__xludf.DUMMYFUNCTION("""COMPUTED_VALUE"""),21.02)</f>
        <v>21.02</v>
      </c>
      <c r="C1891" s="3">
        <v>83.2419756338612</v>
      </c>
    </row>
    <row r="1892">
      <c r="A1892" s="1">
        <f>IFERROR(__xludf.DUMMYFUNCTION("""COMPUTED_VALUE"""),43098.66666666667)</f>
        <v>43098.66667</v>
      </c>
      <c r="B1892" s="2">
        <f>IFERROR(__xludf.DUMMYFUNCTION("""COMPUTED_VALUE"""),20.76)</f>
        <v>20.76</v>
      </c>
      <c r="C1892" s="3">
        <v>83.6060920856528</v>
      </c>
    </row>
    <row r="1893">
      <c r="A1893" s="1">
        <f>IFERROR(__xludf.DUMMYFUNCTION("""COMPUTED_VALUE"""),43102.66666666667)</f>
        <v>43102.66667</v>
      </c>
      <c r="B1893" s="2">
        <f>IFERROR(__xludf.DUMMYFUNCTION("""COMPUTED_VALUE"""),21.37)</f>
        <v>21.37</v>
      </c>
      <c r="C1893" s="3">
        <v>89.6118402209567</v>
      </c>
    </row>
    <row r="1894">
      <c r="A1894" s="1">
        <f>IFERROR(__xludf.DUMMYFUNCTION("""COMPUTED_VALUE"""),43103.66666666667)</f>
        <v>43103.66667</v>
      </c>
      <c r="B1894" s="2">
        <f>IFERROR(__xludf.DUMMYFUNCTION("""COMPUTED_VALUE"""),21.15)</f>
        <v>21.15</v>
      </c>
      <c r="C1894" s="3">
        <v>90.7580510178999</v>
      </c>
    </row>
    <row r="1895">
      <c r="A1895" s="1">
        <f>IFERROR(__xludf.DUMMYFUNCTION("""COMPUTED_VALUE"""),43104.66666666667)</f>
        <v>43104.66667</v>
      </c>
      <c r="B1895" s="2">
        <f>IFERROR(__xludf.DUMMYFUNCTION("""COMPUTED_VALUE"""),20.97)</f>
        <v>20.97</v>
      </c>
      <c r="C1895" s="3">
        <v>90.8714771785526</v>
      </c>
    </row>
    <row r="1896">
      <c r="A1896" s="1">
        <f>IFERROR(__xludf.DUMMYFUNCTION("""COMPUTED_VALUE"""),43105.66666666667)</f>
        <v>43105.66667</v>
      </c>
      <c r="B1896" s="2">
        <f>IFERROR(__xludf.DUMMYFUNCTION("""COMPUTED_VALUE"""),21.11)</f>
        <v>21.11</v>
      </c>
      <c r="C1896" s="3">
        <v>90.8378650133604</v>
      </c>
    </row>
    <row r="1897">
      <c r="A1897" s="1">
        <f>IFERROR(__xludf.DUMMYFUNCTION("""COMPUTED_VALUE"""),43108.66666666667)</f>
        <v>43108.66667</v>
      </c>
      <c r="B1897" s="2">
        <f>IFERROR(__xludf.DUMMYFUNCTION("""COMPUTED_VALUE"""),22.43)</f>
        <v>22.43</v>
      </c>
      <c r="C1897" s="3">
        <v>94.0381878091867</v>
      </c>
    </row>
    <row r="1898">
      <c r="A1898" s="1">
        <f>IFERROR(__xludf.DUMMYFUNCTION("""COMPUTED_VALUE"""),43109.66666666667)</f>
        <v>43109.66667</v>
      </c>
      <c r="B1898" s="2">
        <f>IFERROR(__xludf.DUMMYFUNCTION("""COMPUTED_VALUE"""),22.25)</f>
        <v>22.25</v>
      </c>
      <c r="C1898" s="3">
        <v>94.0041838921017</v>
      </c>
    </row>
    <row r="1899">
      <c r="A1899" s="1">
        <f>IFERROR(__xludf.DUMMYFUNCTION("""COMPUTED_VALUE"""),43110.66666666667)</f>
        <v>43110.66667</v>
      </c>
      <c r="B1899" s="2">
        <f>IFERROR(__xludf.DUMMYFUNCTION("""COMPUTED_VALUE"""),22.32)</f>
        <v>22.32</v>
      </c>
      <c r="C1899" s="3">
        <v>94.1964160474009</v>
      </c>
    </row>
    <row r="1900">
      <c r="A1900" s="1">
        <f>IFERROR(__xludf.DUMMYFUNCTION("""COMPUTED_VALUE"""),43111.66666666667)</f>
        <v>43111.66667</v>
      </c>
      <c r="B1900" s="2">
        <f>IFERROR(__xludf.DUMMYFUNCTION("""COMPUTED_VALUE"""),22.53)</f>
        <v>22.53</v>
      </c>
      <c r="C1900" s="3">
        <v>93.2953267069334</v>
      </c>
    </row>
    <row r="1901">
      <c r="A1901" s="1">
        <f>IFERROR(__xludf.DUMMYFUNCTION("""COMPUTED_VALUE"""),43112.66666666667)</f>
        <v>43112.66667</v>
      </c>
      <c r="B1901" s="2">
        <f>IFERROR(__xludf.DUMMYFUNCTION("""COMPUTED_VALUE"""),22.41)</f>
        <v>22.41</v>
      </c>
      <c r="C1901" s="3">
        <v>92.2080786317856</v>
      </c>
    </row>
    <row r="1902">
      <c r="A1902" s="1">
        <f>IFERROR(__xludf.DUMMYFUNCTION("""COMPUTED_VALUE"""),43116.66666666667)</f>
        <v>43116.66667</v>
      </c>
      <c r="B1902" s="2">
        <f>IFERROR(__xludf.DUMMYFUNCTION("""COMPUTED_VALUE"""),22.67)</f>
        <v>22.67</v>
      </c>
      <c r="C1902" s="3">
        <v>91.2124400368821</v>
      </c>
    </row>
    <row r="1903">
      <c r="A1903" s="1">
        <f>IFERROR(__xludf.DUMMYFUNCTION("""COMPUTED_VALUE"""),43117.66666666667)</f>
        <v>43117.66667</v>
      </c>
      <c r="B1903" s="2">
        <f>IFERROR(__xludf.DUMMYFUNCTION("""COMPUTED_VALUE"""),23.14)</f>
        <v>23.14</v>
      </c>
      <c r="C1903" s="3">
        <v>90.4841382531235</v>
      </c>
    </row>
    <row r="1904">
      <c r="A1904" s="1">
        <f>IFERROR(__xludf.DUMMYFUNCTION("""COMPUTED_VALUE"""),43118.66666666667)</f>
        <v>43118.66667</v>
      </c>
      <c r="B1904" s="2">
        <f>IFERROR(__xludf.DUMMYFUNCTION("""COMPUTED_VALUE"""),22.97)</f>
        <v>22.97</v>
      </c>
      <c r="C1904" s="3">
        <v>88.7484799128043</v>
      </c>
    </row>
    <row r="1905">
      <c r="A1905" s="1">
        <f>IFERROR(__xludf.DUMMYFUNCTION("""COMPUTED_VALUE"""),43119.66666666667)</f>
        <v>43119.66667</v>
      </c>
      <c r="B1905" s="2">
        <f>IFERROR(__xludf.DUMMYFUNCTION("""COMPUTED_VALUE"""),23.33)</f>
        <v>23.33</v>
      </c>
      <c r="C1905" s="3">
        <v>86.9278541824684</v>
      </c>
    </row>
    <row r="1906">
      <c r="A1906" s="1">
        <f>IFERROR(__xludf.DUMMYFUNCTION("""COMPUTED_VALUE"""),43122.66666666667)</f>
        <v>43122.66667</v>
      </c>
      <c r="B1906" s="2">
        <f>IFERROR(__xludf.DUMMYFUNCTION("""COMPUTED_VALUE"""),23.44)</f>
        <v>23.44</v>
      </c>
      <c r="C1906" s="3">
        <v>85.470322554277</v>
      </c>
    </row>
    <row r="1907">
      <c r="A1907" s="1">
        <f>IFERROR(__xludf.DUMMYFUNCTION("""COMPUTED_VALUE"""),43123.66666666667)</f>
        <v>43123.66667</v>
      </c>
      <c r="B1907" s="2">
        <f>IFERROR(__xludf.DUMMYFUNCTION("""COMPUTED_VALUE"""),23.52)</f>
        <v>23.52</v>
      </c>
      <c r="C1907" s="3">
        <v>84.2106831533497</v>
      </c>
    </row>
    <row r="1908">
      <c r="A1908" s="1">
        <f>IFERROR(__xludf.DUMMYFUNCTION("""COMPUTED_VALUE"""),43124.66666666667)</f>
        <v>43124.66667</v>
      </c>
      <c r="B1908" s="2">
        <f>IFERROR(__xludf.DUMMYFUNCTION("""COMPUTED_VALUE"""),23.06)</f>
        <v>23.06</v>
      </c>
      <c r="C1908" s="3">
        <v>83.3757935665155</v>
      </c>
    </row>
    <row r="1909">
      <c r="A1909" s="1">
        <f>IFERROR(__xludf.DUMMYFUNCTION("""COMPUTED_VALUE"""),43125.66666666667)</f>
        <v>43125.66667</v>
      </c>
      <c r="B1909" s="2">
        <f>IFERROR(__xludf.DUMMYFUNCTION("""COMPUTED_VALUE"""),22.51)</f>
        <v>22.51</v>
      </c>
      <c r="C1909" s="3">
        <v>81.6592222933388</v>
      </c>
    </row>
    <row r="1910">
      <c r="A1910" s="1">
        <f>IFERROR(__xludf.DUMMYFUNCTION("""COMPUTED_VALUE"""),43126.66666666667)</f>
        <v>43126.66667</v>
      </c>
      <c r="B1910" s="2">
        <f>IFERROR(__xludf.DUMMYFUNCTION("""COMPUTED_VALUE"""),22.86)</f>
        <v>22.86</v>
      </c>
      <c r="C1910" s="3">
        <v>79.9755109865623</v>
      </c>
    </row>
    <row r="1911">
      <c r="A1911" s="1">
        <f>IFERROR(__xludf.DUMMYFUNCTION("""COMPUTED_VALUE"""),43129.66666666667)</f>
        <v>43129.66667</v>
      </c>
      <c r="B1911" s="2">
        <f>IFERROR(__xludf.DUMMYFUNCTION("""COMPUTED_VALUE"""),23.3)</f>
        <v>23.3</v>
      </c>
      <c r="C1911" s="3">
        <v>79.5130709585411</v>
      </c>
    </row>
    <row r="1912">
      <c r="A1912" s="1">
        <f>IFERROR(__xludf.DUMMYFUNCTION("""COMPUTED_VALUE"""),43130.66666666667)</f>
        <v>43130.66667</v>
      </c>
      <c r="B1912" s="2">
        <f>IFERROR(__xludf.DUMMYFUNCTION("""COMPUTED_VALUE"""),23.05)</f>
        <v>23.05</v>
      </c>
      <c r="C1912" s="3">
        <v>78.7269091068827</v>
      </c>
    </row>
    <row r="1913">
      <c r="A1913" s="1">
        <f>IFERROR(__xludf.DUMMYFUNCTION("""COMPUTED_VALUE"""),43131.66666666667)</f>
        <v>43131.66667</v>
      </c>
      <c r="B1913" s="2">
        <f>IFERROR(__xludf.DUMMYFUNCTION("""COMPUTED_VALUE"""),23.62)</f>
        <v>23.62</v>
      </c>
      <c r="C1913" s="3">
        <v>78.405410324352</v>
      </c>
    </row>
    <row r="1914">
      <c r="A1914" s="1">
        <f>IFERROR(__xludf.DUMMYFUNCTION("""COMPUTED_VALUE"""),43132.66666666667)</f>
        <v>43132.66667</v>
      </c>
      <c r="B1914" s="2">
        <f>IFERROR(__xludf.DUMMYFUNCTION("""COMPUTED_VALUE"""),23.28)</f>
        <v>23.28</v>
      </c>
      <c r="C1914" s="3">
        <v>77.2219588434371</v>
      </c>
    </row>
    <row r="1915">
      <c r="A1915" s="1">
        <f>IFERROR(__xludf.DUMMYFUNCTION("""COMPUTED_VALUE"""),43133.66666666667)</f>
        <v>43133.66667</v>
      </c>
      <c r="B1915" s="2">
        <f>IFERROR(__xludf.DUMMYFUNCTION("""COMPUTED_VALUE"""),22.92)</f>
        <v>22.92</v>
      </c>
      <c r="C1915" s="3">
        <v>76.0706265334498</v>
      </c>
    </row>
    <row r="1916">
      <c r="A1916" s="1">
        <f>IFERROR(__xludf.DUMMYFUNCTION("""COMPUTED_VALUE"""),43136.66666666667)</f>
        <v>43136.66667</v>
      </c>
      <c r="B1916" s="2">
        <f>IFERROR(__xludf.DUMMYFUNCTION("""COMPUTED_VALUE"""),22.21)</f>
        <v>22.21</v>
      </c>
      <c r="C1916" s="3">
        <v>77.0037888802963</v>
      </c>
    </row>
    <row r="1917">
      <c r="A1917" s="1">
        <f>IFERROR(__xludf.DUMMYFUNCTION("""COMPUTED_VALUE"""),43137.66666666667)</f>
        <v>43137.66667</v>
      </c>
      <c r="B1917" s="2">
        <f>IFERROR(__xludf.DUMMYFUNCTION("""COMPUTED_VALUE"""),22.26)</f>
        <v>22.26</v>
      </c>
      <c r="C1917" s="3">
        <v>76.5562777076821</v>
      </c>
    </row>
    <row r="1918">
      <c r="A1918" s="1">
        <f>IFERROR(__xludf.DUMMYFUNCTION("""COMPUTED_VALUE"""),43138.66666666667)</f>
        <v>43138.66667</v>
      </c>
      <c r="B1918" s="2">
        <f>IFERROR(__xludf.DUMMYFUNCTION("""COMPUTED_VALUE"""),23.0)</f>
        <v>23</v>
      </c>
      <c r="C1918" s="3">
        <v>76.4853499497262</v>
      </c>
    </row>
    <row r="1919">
      <c r="A1919" s="1">
        <f>IFERROR(__xludf.DUMMYFUNCTION("""COMPUTED_VALUE"""),43139.66666666667)</f>
        <v>43139.66667</v>
      </c>
      <c r="B1919" s="2">
        <f>IFERROR(__xludf.DUMMYFUNCTION("""COMPUTED_VALUE"""),21.02)</f>
        <v>21.02</v>
      </c>
      <c r="C1919" s="3">
        <v>75.4533142784426</v>
      </c>
    </row>
    <row r="1920">
      <c r="A1920" s="1">
        <f>IFERROR(__xludf.DUMMYFUNCTION("""COMPUTED_VALUE"""),43140.66666666667)</f>
        <v>43140.66667</v>
      </c>
      <c r="B1920" s="2">
        <f>IFERROR(__xludf.DUMMYFUNCTION("""COMPUTED_VALUE"""),20.69)</f>
        <v>20.69</v>
      </c>
      <c r="C1920" s="3">
        <v>74.3461614799623</v>
      </c>
    </row>
    <row r="1921">
      <c r="A1921" s="1">
        <f>IFERROR(__xludf.DUMMYFUNCTION("""COMPUTED_VALUE"""),43143.66666666667)</f>
        <v>43143.66667</v>
      </c>
      <c r="B1921" s="2">
        <f>IFERROR(__xludf.DUMMYFUNCTION("""COMPUTED_VALUE"""),21.05)</f>
        <v>21.05</v>
      </c>
      <c r="C1921" s="3">
        <v>74.7365119053671</v>
      </c>
    </row>
    <row r="1922">
      <c r="A1922" s="1">
        <f>IFERROR(__xludf.DUMMYFUNCTION("""COMPUTED_VALUE"""),43144.66666666667)</f>
        <v>43144.66667</v>
      </c>
      <c r="B1922" s="2">
        <f>IFERROR(__xludf.DUMMYFUNCTION("""COMPUTED_VALUE"""),21.58)</f>
        <v>21.58</v>
      </c>
      <c r="C1922" s="3">
        <v>73.8890740072434</v>
      </c>
    </row>
    <row r="1923">
      <c r="A1923" s="1">
        <f>IFERROR(__xludf.DUMMYFUNCTION("""COMPUTED_VALUE"""),43145.66666666667)</f>
        <v>43145.66667</v>
      </c>
      <c r="B1923" s="2">
        <f>IFERROR(__xludf.DUMMYFUNCTION("""COMPUTED_VALUE"""),21.49)</f>
        <v>21.49</v>
      </c>
      <c r="C1923" s="3">
        <v>73.3199858435192</v>
      </c>
    </row>
    <row r="1924">
      <c r="A1924" s="1">
        <f>IFERROR(__xludf.DUMMYFUNCTION("""COMPUTED_VALUE"""),43146.66666666667)</f>
        <v>43146.66667</v>
      </c>
      <c r="B1924" s="2">
        <f>IFERROR(__xludf.DUMMYFUNCTION("""COMPUTED_VALUE"""),22.27)</f>
        <v>22.27</v>
      </c>
      <c r="C1924" s="3">
        <v>71.7028683134899</v>
      </c>
    </row>
    <row r="1925">
      <c r="A1925" s="1">
        <f>IFERROR(__xludf.DUMMYFUNCTION("""COMPUTED_VALUE"""),43147.66666666667)</f>
        <v>43147.66667</v>
      </c>
      <c r="B1925" s="2">
        <f>IFERROR(__xludf.DUMMYFUNCTION("""COMPUTED_VALUE"""),22.37)</f>
        <v>22.37</v>
      </c>
      <c r="C1925" s="3">
        <v>69.9376652347245</v>
      </c>
    </row>
    <row r="1926">
      <c r="A1926" s="1">
        <f>IFERROR(__xludf.DUMMYFUNCTION("""COMPUTED_VALUE"""),43151.66666666667)</f>
        <v>43151.66667</v>
      </c>
      <c r="B1926" s="2">
        <f>IFERROR(__xludf.DUMMYFUNCTION("""COMPUTED_VALUE"""),22.32)</f>
        <v>22.32</v>
      </c>
      <c r="C1926" s="3">
        <v>66.4673472497179</v>
      </c>
    </row>
    <row r="1927">
      <c r="A1927" s="1">
        <f>IFERROR(__xludf.DUMMYFUNCTION("""COMPUTED_VALUE"""),43152.66666666667)</f>
        <v>43152.66667</v>
      </c>
      <c r="B1927" s="2">
        <f>IFERROR(__xludf.DUMMYFUNCTION("""COMPUTED_VALUE"""),22.22)</f>
        <v>22.22</v>
      </c>
      <c r="C1927" s="3">
        <v>65.1475327361553</v>
      </c>
    </row>
    <row r="1928">
      <c r="A1928" s="1">
        <f>IFERROR(__xludf.DUMMYFUNCTION("""COMPUTED_VALUE"""),43153.66666666667)</f>
        <v>43153.66667</v>
      </c>
      <c r="B1928" s="2">
        <f>IFERROR(__xludf.DUMMYFUNCTION("""COMPUTED_VALUE"""),23.08)</f>
        <v>23.08</v>
      </c>
      <c r="C1928" s="3">
        <v>62.8211938499266</v>
      </c>
    </row>
    <row r="1929">
      <c r="A1929" s="1">
        <f>IFERROR(__xludf.DUMMYFUNCTION("""COMPUTED_VALUE"""),43154.66666666667)</f>
        <v>43154.66667</v>
      </c>
      <c r="B1929" s="2">
        <f>IFERROR(__xludf.DUMMYFUNCTION("""COMPUTED_VALUE"""),23.47)</f>
        <v>23.47</v>
      </c>
      <c r="C1929" s="3">
        <v>60.4076778515117</v>
      </c>
    </row>
    <row r="1930">
      <c r="A1930" s="1">
        <f>IFERROR(__xludf.DUMMYFUNCTION("""COMPUTED_VALUE"""),43157.66666666667)</f>
        <v>43157.66667</v>
      </c>
      <c r="B1930" s="2">
        <f>IFERROR(__xludf.DUMMYFUNCTION("""COMPUTED_VALUE"""),23.83)</f>
        <v>23.83</v>
      </c>
      <c r="C1930" s="3">
        <v>57.149067355934</v>
      </c>
    </row>
    <row r="1931">
      <c r="A1931" s="1">
        <f>IFERROR(__xludf.DUMMYFUNCTION("""COMPUTED_VALUE"""),43158.66666666667)</f>
        <v>43158.66667</v>
      </c>
      <c r="B1931" s="2">
        <f>IFERROR(__xludf.DUMMYFUNCTION("""COMPUTED_VALUE"""),23.4)</f>
        <v>23.4</v>
      </c>
      <c r="C1931" s="3">
        <v>55.2861829836259</v>
      </c>
    </row>
    <row r="1932">
      <c r="A1932" s="1">
        <f>IFERROR(__xludf.DUMMYFUNCTION("""COMPUTED_VALUE"""),43159.66666666667)</f>
        <v>43159.66667</v>
      </c>
      <c r="B1932" s="2">
        <f>IFERROR(__xludf.DUMMYFUNCTION("""COMPUTED_VALUE"""),22.87)</f>
        <v>22.87</v>
      </c>
      <c r="C1932" s="3">
        <v>53.8527977293279</v>
      </c>
    </row>
    <row r="1933">
      <c r="A1933" s="1">
        <f>IFERROR(__xludf.DUMMYFUNCTION("""COMPUTED_VALUE"""),43160.66666666667)</f>
        <v>43160.66667</v>
      </c>
      <c r="B1933" s="2">
        <f>IFERROR(__xludf.DUMMYFUNCTION("""COMPUTED_VALUE"""),22.06)</f>
        <v>22.06</v>
      </c>
      <c r="C1933" s="3">
        <v>51.5484694762883</v>
      </c>
    </row>
    <row r="1934">
      <c r="A1934" s="1">
        <f>IFERROR(__xludf.DUMMYFUNCTION("""COMPUTED_VALUE"""),43161.66666666667)</f>
        <v>43161.66667</v>
      </c>
      <c r="B1934" s="2">
        <f>IFERROR(__xludf.DUMMYFUNCTION("""COMPUTED_VALUE"""),22.34)</f>
        <v>22.34</v>
      </c>
      <c r="C1934" s="3">
        <v>49.2951260095982</v>
      </c>
    </row>
    <row r="1935">
      <c r="A1935" s="1">
        <f>IFERROR(__xludf.DUMMYFUNCTION("""COMPUTED_VALUE"""),43164.66666666667)</f>
        <v>43164.66667</v>
      </c>
      <c r="B1935" s="2">
        <f>IFERROR(__xludf.DUMMYFUNCTION("""COMPUTED_VALUE"""),22.22)</f>
        <v>22.22</v>
      </c>
      <c r="C1935" s="3">
        <v>47.3242585466175</v>
      </c>
    </row>
    <row r="1936">
      <c r="A1936" s="1">
        <f>IFERROR(__xludf.DUMMYFUNCTION("""COMPUTED_VALUE"""),43165.66666666667)</f>
        <v>43165.66667</v>
      </c>
      <c r="B1936" s="2">
        <f>IFERROR(__xludf.DUMMYFUNCTION("""COMPUTED_VALUE"""),21.88)</f>
        <v>21.88</v>
      </c>
      <c r="C1936" s="3">
        <v>46.137308634656</v>
      </c>
    </row>
    <row r="1937">
      <c r="A1937" s="1">
        <f>IFERROR(__xludf.DUMMYFUNCTION("""COMPUTED_VALUE"""),43166.66666666667)</f>
        <v>43166.66667</v>
      </c>
      <c r="B1937" s="2">
        <f>IFERROR(__xludf.DUMMYFUNCTION("""COMPUTED_VALUE"""),22.15)</f>
        <v>22.15</v>
      </c>
      <c r="C1937" s="3">
        <v>45.4851579122083</v>
      </c>
    </row>
    <row r="1938">
      <c r="A1938" s="1">
        <f>IFERROR(__xludf.DUMMYFUNCTION("""COMPUTED_VALUE"""),43167.66666666667)</f>
        <v>43167.66667</v>
      </c>
      <c r="B1938" s="2">
        <f>IFERROR(__xludf.DUMMYFUNCTION("""COMPUTED_VALUE"""),21.94)</f>
        <v>21.94</v>
      </c>
      <c r="C1938" s="3">
        <v>44.0530562279374</v>
      </c>
    </row>
    <row r="1939">
      <c r="A1939" s="1">
        <f>IFERROR(__xludf.DUMMYFUNCTION("""COMPUTED_VALUE"""),43168.66666666667)</f>
        <v>43168.66667</v>
      </c>
      <c r="B1939" s="2">
        <f>IFERROR(__xludf.DUMMYFUNCTION("""COMPUTED_VALUE"""),21.81)</f>
        <v>21.81</v>
      </c>
      <c r="C1939" s="3">
        <v>42.746828514559</v>
      </c>
    </row>
    <row r="1940">
      <c r="A1940" s="1">
        <f>IFERROR(__xludf.DUMMYFUNCTION("""COMPUTED_VALUE"""),43171.66666666667)</f>
        <v>43171.66667</v>
      </c>
      <c r="B1940" s="2">
        <f>IFERROR(__xludf.DUMMYFUNCTION("""COMPUTED_VALUE"""),23.03)</f>
        <v>23.03</v>
      </c>
      <c r="C1940" s="3">
        <v>43.8880012621038</v>
      </c>
    </row>
    <row r="1941">
      <c r="A1941" s="1">
        <f>IFERROR(__xludf.DUMMYFUNCTION("""COMPUTED_VALUE"""),43172.66666666667)</f>
        <v>43172.66667</v>
      </c>
      <c r="B1941" s="2">
        <f>IFERROR(__xludf.DUMMYFUNCTION("""COMPUTED_VALUE"""),22.79)</f>
        <v>22.79</v>
      </c>
      <c r="C1941" s="3">
        <v>43.7665028834348</v>
      </c>
    </row>
    <row r="1942">
      <c r="A1942" s="1">
        <f>IFERROR(__xludf.DUMMYFUNCTION("""COMPUTED_VALUE"""),43173.66666666667)</f>
        <v>43173.66667</v>
      </c>
      <c r="B1942" s="2">
        <f>IFERROR(__xludf.DUMMYFUNCTION("""COMPUTED_VALUE"""),21.78)</f>
        <v>21.78</v>
      </c>
      <c r="C1942" s="3">
        <v>44.1631642827301</v>
      </c>
    </row>
    <row r="1943">
      <c r="A1943" s="1">
        <f>IFERROR(__xludf.DUMMYFUNCTION("""COMPUTED_VALUE"""),43174.66666666667)</f>
        <v>43174.66667</v>
      </c>
      <c r="B1943" s="2">
        <f>IFERROR(__xludf.DUMMYFUNCTION("""COMPUTED_VALUE"""),21.71)</f>
        <v>21.71</v>
      </c>
      <c r="C1943" s="3">
        <v>43.7460004495671</v>
      </c>
    </row>
    <row r="1944">
      <c r="A1944" s="1">
        <f>IFERROR(__xludf.DUMMYFUNCTION("""COMPUTED_VALUE"""),43175.66666666667)</f>
        <v>43175.66667</v>
      </c>
      <c r="B1944" s="2">
        <f>IFERROR(__xludf.DUMMYFUNCTION("""COMPUTED_VALUE"""),21.42)</f>
        <v>21.42</v>
      </c>
      <c r="C1944" s="3">
        <v>43.4049705883827</v>
      </c>
    </row>
    <row r="1945">
      <c r="A1945" s="1">
        <f>IFERROR(__xludf.DUMMYFUNCTION("""COMPUTED_VALUE"""),43178.66666666667)</f>
        <v>43178.66667</v>
      </c>
      <c r="B1945" s="2">
        <f>IFERROR(__xludf.DUMMYFUNCTION("""COMPUTED_VALUE"""),20.9)</f>
        <v>20.9</v>
      </c>
      <c r="C1945" s="3">
        <v>47.0122626333507</v>
      </c>
    </row>
    <row r="1946">
      <c r="A1946" s="1">
        <f>IFERROR(__xludf.DUMMYFUNCTION("""COMPUTED_VALUE"""),43179.66666666667)</f>
        <v>43179.66667</v>
      </c>
      <c r="B1946" s="2">
        <f>IFERROR(__xludf.DUMMYFUNCTION("""COMPUTED_VALUE"""),20.7)</f>
        <v>20.7</v>
      </c>
      <c r="C1946" s="3">
        <v>47.5369714663668</v>
      </c>
    </row>
    <row r="1947">
      <c r="A1947" s="1">
        <f>IFERROR(__xludf.DUMMYFUNCTION("""COMPUTED_VALUE"""),43180.66666666667)</f>
        <v>43180.66667</v>
      </c>
      <c r="B1947" s="2">
        <f>IFERROR(__xludf.DUMMYFUNCTION("""COMPUTED_VALUE"""),21.1)</f>
        <v>21.1</v>
      </c>
      <c r="C1947" s="3">
        <v>48.4816682123608</v>
      </c>
    </row>
    <row r="1948">
      <c r="A1948" s="1">
        <f>IFERROR(__xludf.DUMMYFUNCTION("""COMPUTED_VALUE"""),43181.66666666667)</f>
        <v>43181.66667</v>
      </c>
      <c r="B1948" s="2">
        <f>IFERROR(__xludf.DUMMYFUNCTION("""COMPUTED_VALUE"""),20.61)</f>
        <v>20.61</v>
      </c>
      <c r="C1948" s="3">
        <v>48.5120087658128</v>
      </c>
    </row>
    <row r="1949">
      <c r="A1949" s="1">
        <f>IFERROR(__xludf.DUMMYFUNCTION("""COMPUTED_VALUE"""),43182.66666666667)</f>
        <v>43182.66667</v>
      </c>
      <c r="B1949" s="2">
        <f>IFERROR(__xludf.DUMMYFUNCTION("""COMPUTED_VALUE"""),20.1)</f>
        <v>20.1</v>
      </c>
      <c r="C1949" s="3">
        <v>48.5180831300349</v>
      </c>
    </row>
    <row r="1950">
      <c r="A1950" s="1">
        <f>IFERROR(__xludf.DUMMYFUNCTION("""COMPUTED_VALUE"""),43185.66666666667)</f>
        <v>43185.66667</v>
      </c>
      <c r="B1950" s="2">
        <f>IFERROR(__xludf.DUMMYFUNCTION("""COMPUTED_VALUE"""),20.28)</f>
        <v>20.28</v>
      </c>
      <c r="C1950" s="3">
        <v>52.5999344147823</v>
      </c>
    </row>
    <row r="1951">
      <c r="A1951" s="1">
        <f>IFERROR(__xludf.DUMMYFUNCTION("""COMPUTED_VALUE"""),43186.66666666667)</f>
        <v>43186.66667</v>
      </c>
      <c r="B1951" s="2">
        <f>IFERROR(__xludf.DUMMYFUNCTION("""COMPUTED_VALUE"""),18.61)</f>
        <v>18.61</v>
      </c>
      <c r="C1951" s="3">
        <v>53.1156757229457</v>
      </c>
    </row>
    <row r="1952">
      <c r="A1952" s="1">
        <f>IFERROR(__xludf.DUMMYFUNCTION("""COMPUTED_VALUE"""),43187.66666666667)</f>
        <v>43187.66667</v>
      </c>
      <c r="B1952" s="2">
        <f>IFERROR(__xludf.DUMMYFUNCTION("""COMPUTED_VALUE"""),17.19)</f>
        <v>17.19</v>
      </c>
      <c r="C1952" s="3">
        <v>53.9826356718539</v>
      </c>
    </row>
    <row r="1953">
      <c r="A1953" s="1">
        <f>IFERROR(__xludf.DUMMYFUNCTION("""COMPUTED_VALUE"""),43188.66666666667)</f>
        <v>43188.66667</v>
      </c>
      <c r="B1953" s="2">
        <f>IFERROR(__xludf.DUMMYFUNCTION("""COMPUTED_VALUE"""),17.74)</f>
        <v>17.74</v>
      </c>
      <c r="C1953" s="3">
        <v>53.8769971247151</v>
      </c>
    </row>
    <row r="1954">
      <c r="A1954" s="1">
        <f>IFERROR(__xludf.DUMMYFUNCTION("""COMPUTED_VALUE"""),43192.66666666667)</f>
        <v>43192.66667</v>
      </c>
      <c r="B1954" s="2">
        <f>IFERROR(__xludf.DUMMYFUNCTION("""COMPUTED_VALUE"""),16.83)</f>
        <v>16.83</v>
      </c>
      <c r="C1954" s="3">
        <v>57.0613570192037</v>
      </c>
    </row>
    <row r="1955">
      <c r="A1955" s="1">
        <f>IFERROR(__xludf.DUMMYFUNCTION("""COMPUTED_VALUE"""),43193.66666666667)</f>
        <v>43193.66667</v>
      </c>
      <c r="B1955" s="2">
        <f>IFERROR(__xludf.DUMMYFUNCTION("""COMPUTED_VALUE"""),17.84)</f>
        <v>17.84</v>
      </c>
      <c r="C1955" s="3">
        <v>57.3148790886507</v>
      </c>
    </row>
    <row r="1956">
      <c r="A1956" s="1">
        <f>IFERROR(__xludf.DUMMYFUNCTION("""COMPUTED_VALUE"""),43194.66666666667)</f>
        <v>43194.66667</v>
      </c>
      <c r="B1956" s="2">
        <f>IFERROR(__xludf.DUMMYFUNCTION("""COMPUTED_VALUE"""),19.13)</f>
        <v>19.13</v>
      </c>
      <c r="C1956" s="3">
        <v>57.9237907379323</v>
      </c>
    </row>
    <row r="1957">
      <c r="A1957" s="1">
        <f>IFERROR(__xludf.DUMMYFUNCTION("""COMPUTED_VALUE"""),43195.66666666667)</f>
        <v>43195.66667</v>
      </c>
      <c r="B1957" s="2">
        <f>IFERROR(__xludf.DUMMYFUNCTION("""COMPUTED_VALUE"""),20.38)</f>
        <v>20.38</v>
      </c>
      <c r="C1957" s="3">
        <v>57.5714655124131</v>
      </c>
    </row>
    <row r="1958">
      <c r="A1958" s="1">
        <f>IFERROR(__xludf.DUMMYFUNCTION("""COMPUTED_VALUE"""),43196.66666666667)</f>
        <v>43196.66667</v>
      </c>
      <c r="B1958" s="2">
        <f>IFERROR(__xludf.DUMMYFUNCTION("""COMPUTED_VALUE"""),19.95)</f>
        <v>19.95</v>
      </c>
      <c r="C1958" s="3">
        <v>57.1647131794141</v>
      </c>
    </row>
    <row r="1959">
      <c r="A1959" s="1">
        <f>IFERROR(__xludf.DUMMYFUNCTION("""COMPUTED_VALUE"""),43199.66666666667)</f>
        <v>43199.66667</v>
      </c>
      <c r="B1959" s="2">
        <f>IFERROR(__xludf.DUMMYFUNCTION("""COMPUTED_VALUE"""),19.31)</f>
        <v>19.31</v>
      </c>
      <c r="C1959" s="3">
        <v>59.9691581358456</v>
      </c>
    </row>
    <row r="1960">
      <c r="A1960" s="1">
        <f>IFERROR(__xludf.DUMMYFUNCTION("""COMPUTED_VALUE"""),43200.66666666667)</f>
        <v>43200.66667</v>
      </c>
      <c r="B1960" s="2">
        <f>IFERROR(__xludf.DUMMYFUNCTION("""COMPUTED_VALUE"""),20.31)</f>
        <v>20.31</v>
      </c>
      <c r="C1960" s="3">
        <v>60.0823928328093</v>
      </c>
    </row>
    <row r="1961">
      <c r="A1961" s="1">
        <f>IFERROR(__xludf.DUMMYFUNCTION("""COMPUTED_VALUE"""),43201.66666666667)</f>
        <v>43201.66667</v>
      </c>
      <c r="B1961" s="2">
        <f>IFERROR(__xludf.DUMMYFUNCTION("""COMPUTED_VALUE"""),20.06)</f>
        <v>20.06</v>
      </c>
      <c r="C1961" s="3">
        <v>60.5701630398216</v>
      </c>
    </row>
    <row r="1962">
      <c r="A1962" s="1">
        <f>IFERROR(__xludf.DUMMYFUNCTION("""COMPUTED_VALUE"""),43202.66666666667)</f>
        <v>43202.66667</v>
      </c>
      <c r="B1962" s="2">
        <f>IFERROR(__xludf.DUMMYFUNCTION("""COMPUTED_VALUE"""),19.61)</f>
        <v>19.61</v>
      </c>
      <c r="C1962" s="3">
        <v>60.1114900670623</v>
      </c>
    </row>
    <row r="1963">
      <c r="A1963" s="1">
        <f>IFERROR(__xludf.DUMMYFUNCTION("""COMPUTED_VALUE"""),43203.66666666667)</f>
        <v>43203.66667</v>
      </c>
      <c r="B1963" s="2">
        <f>IFERROR(__xludf.DUMMYFUNCTION("""COMPUTED_VALUE"""),20.02)</f>
        <v>20.02</v>
      </c>
      <c r="C1963" s="3">
        <v>59.6076309343647</v>
      </c>
    </row>
    <row r="1964">
      <c r="A1964" s="1">
        <f>IFERROR(__xludf.DUMMYFUNCTION("""COMPUTED_VALUE"""),43206.66666666667)</f>
        <v>43206.66667</v>
      </c>
      <c r="B1964" s="2">
        <f>IFERROR(__xludf.DUMMYFUNCTION("""COMPUTED_VALUE"""),19.41)</f>
        <v>19.41</v>
      </c>
      <c r="C1964" s="3">
        <v>62.1083614954685</v>
      </c>
    </row>
    <row r="1965">
      <c r="A1965" s="1">
        <f>IFERROR(__xludf.DUMMYFUNCTION("""COMPUTED_VALUE"""),43207.66666666667)</f>
        <v>43207.66667</v>
      </c>
      <c r="B1965" s="2">
        <f>IFERROR(__xludf.DUMMYFUNCTION("""COMPUTED_VALUE"""),19.18)</f>
        <v>19.18</v>
      </c>
      <c r="C1965" s="3">
        <v>62.0916472839076</v>
      </c>
    </row>
    <row r="1966">
      <c r="A1966" s="1">
        <f>IFERROR(__xludf.DUMMYFUNCTION("""COMPUTED_VALUE"""),43208.66666666667)</f>
        <v>43208.66667</v>
      </c>
      <c r="B1966" s="2">
        <f>IFERROR(__xludf.DUMMYFUNCTION("""COMPUTED_VALUE"""),19.56)</f>
        <v>19.56</v>
      </c>
      <c r="C1966" s="3">
        <v>62.4229669492931</v>
      </c>
    </row>
    <row r="1967">
      <c r="A1967" s="1">
        <f>IFERROR(__xludf.DUMMYFUNCTION("""COMPUTED_VALUE"""),43209.66666666667)</f>
        <v>43209.66667</v>
      </c>
      <c r="B1967" s="2">
        <f>IFERROR(__xludf.DUMMYFUNCTION("""COMPUTED_VALUE"""),20.01)</f>
        <v>20.01</v>
      </c>
      <c r="C1967" s="3">
        <v>61.7748120510083</v>
      </c>
    </row>
    <row r="1968">
      <c r="A1968" s="1">
        <f>IFERROR(__xludf.DUMMYFUNCTION("""COMPUTED_VALUE"""),43210.66666666667)</f>
        <v>43210.66667</v>
      </c>
      <c r="B1968" s="2">
        <f>IFERROR(__xludf.DUMMYFUNCTION("""COMPUTED_VALUE"""),19.35)</f>
        <v>19.35</v>
      </c>
      <c r="C1968" s="3">
        <v>61.0428349484114</v>
      </c>
    </row>
    <row r="1969">
      <c r="A1969" s="1">
        <f>IFERROR(__xludf.DUMMYFUNCTION("""COMPUTED_VALUE"""),43213.66666666667)</f>
        <v>43213.66667</v>
      </c>
      <c r="B1969" s="2">
        <f>IFERROR(__xludf.DUMMYFUNCTION("""COMPUTED_VALUE"""),18.89)</f>
        <v>18.89</v>
      </c>
      <c r="C1969" s="3">
        <v>62.5904554166058</v>
      </c>
    </row>
    <row r="1970">
      <c r="A1970" s="1">
        <f>IFERROR(__xludf.DUMMYFUNCTION("""COMPUTED_VALUE"""),43214.66666666667)</f>
        <v>43214.66667</v>
      </c>
      <c r="B1970" s="2">
        <f>IFERROR(__xludf.DUMMYFUNCTION("""COMPUTED_VALUE"""),18.9)</f>
        <v>18.9</v>
      </c>
      <c r="C1970" s="3">
        <v>62.1618456626068</v>
      </c>
    </row>
    <row r="1971">
      <c r="A1971" s="1">
        <f>IFERROR(__xludf.DUMMYFUNCTION("""COMPUTED_VALUE"""),43215.66666666667)</f>
        <v>43215.66667</v>
      </c>
      <c r="B1971" s="2">
        <f>IFERROR(__xludf.DUMMYFUNCTION("""COMPUTED_VALUE"""),18.71)</f>
        <v>18.71</v>
      </c>
      <c r="C1971" s="3">
        <v>62.0361519942864</v>
      </c>
    </row>
    <row r="1972">
      <c r="A1972" s="1">
        <f>IFERROR(__xludf.DUMMYFUNCTION("""COMPUTED_VALUE"""),43216.66666666667)</f>
        <v>43216.66667</v>
      </c>
      <c r="B1972" s="2">
        <f>IFERROR(__xludf.DUMMYFUNCTION("""COMPUTED_VALUE"""),19.03)</f>
        <v>19.03</v>
      </c>
      <c r="C1972" s="3">
        <v>60.8897196989478</v>
      </c>
    </row>
    <row r="1973">
      <c r="A1973" s="1">
        <f>IFERROR(__xludf.DUMMYFUNCTION("""COMPUTED_VALUE"""),43217.66666666667)</f>
        <v>43217.66667</v>
      </c>
      <c r="B1973" s="2">
        <f>IFERROR(__xludf.DUMMYFUNCTION("""COMPUTED_VALUE"""),19.61)</f>
        <v>19.61</v>
      </c>
      <c r="C1973" s="3">
        <v>59.6237869683579</v>
      </c>
    </row>
    <row r="1974">
      <c r="A1974" s="1">
        <f>IFERROR(__xludf.DUMMYFUNCTION("""COMPUTED_VALUE"""),43220.66666666667)</f>
        <v>43220.66667</v>
      </c>
      <c r="B1974" s="2">
        <f>IFERROR(__xludf.DUMMYFUNCTION("""COMPUTED_VALUE"""),19.59)</f>
        <v>19.59</v>
      </c>
      <c r="C1974" s="3">
        <v>59.4345929373328</v>
      </c>
    </row>
    <row r="1975">
      <c r="A1975" s="1">
        <f>IFERROR(__xludf.DUMMYFUNCTION("""COMPUTED_VALUE"""),43221.66666666667)</f>
        <v>43221.66667</v>
      </c>
      <c r="B1975" s="2">
        <f>IFERROR(__xludf.DUMMYFUNCTION("""COMPUTED_VALUE"""),19.99)</f>
        <v>19.99</v>
      </c>
      <c r="C1975" s="3">
        <v>58.4147954679579</v>
      </c>
    </row>
    <row r="1976">
      <c r="A1976" s="1">
        <f>IFERROR(__xludf.DUMMYFUNCTION("""COMPUTED_VALUE"""),43222.66666666667)</f>
        <v>43222.66667</v>
      </c>
      <c r="B1976" s="2">
        <f>IFERROR(__xludf.DUMMYFUNCTION("""COMPUTED_VALUE"""),20.08)</f>
        <v>20.08</v>
      </c>
      <c r="C1976" s="3">
        <v>57.7104293912539</v>
      </c>
    </row>
    <row r="1977">
      <c r="A1977" s="1">
        <f>IFERROR(__xludf.DUMMYFUNCTION("""COMPUTED_VALUE"""),43223.66666666667)</f>
        <v>43223.66667</v>
      </c>
      <c r="B1977" s="2">
        <f>IFERROR(__xludf.DUMMYFUNCTION("""COMPUTED_VALUE"""),18.96)</f>
        <v>18.96</v>
      </c>
      <c r="C1977" s="3">
        <v>56.0097478579937</v>
      </c>
    </row>
    <row r="1978">
      <c r="A1978" s="1">
        <f>IFERROR(__xludf.DUMMYFUNCTION("""COMPUTED_VALUE"""),43224.66666666667)</f>
        <v>43224.66667</v>
      </c>
      <c r="B1978" s="2">
        <f>IFERROR(__xludf.DUMMYFUNCTION("""COMPUTED_VALUE"""),19.61)</f>
        <v>19.61</v>
      </c>
      <c r="C1978" s="3">
        <v>54.2259101614165</v>
      </c>
    </row>
    <row r="1979">
      <c r="A1979" s="1">
        <f>IFERROR(__xludf.DUMMYFUNCTION("""COMPUTED_VALUE"""),43227.66666666667)</f>
        <v>43227.66667</v>
      </c>
      <c r="B1979" s="2">
        <f>IFERROR(__xludf.DUMMYFUNCTION("""COMPUTED_VALUE"""),20.18)</f>
        <v>20.18</v>
      </c>
      <c r="C1979" s="3">
        <v>52.8132052212421</v>
      </c>
    </row>
    <row r="1980">
      <c r="A1980" s="1">
        <f>IFERROR(__xludf.DUMMYFUNCTION("""COMPUTED_VALUE"""),43228.66666666667)</f>
        <v>43228.66667</v>
      </c>
      <c r="B1980" s="2">
        <f>IFERROR(__xludf.DUMMYFUNCTION("""COMPUTED_VALUE"""),20.13)</f>
        <v>20.13</v>
      </c>
      <c r="C1980" s="3">
        <v>51.5283307156667</v>
      </c>
    </row>
    <row r="1981">
      <c r="A1981" s="1">
        <f>IFERROR(__xludf.DUMMYFUNCTION("""COMPUTED_VALUE"""),43229.66666666667)</f>
        <v>43229.66667</v>
      </c>
      <c r="B1981" s="2">
        <f>IFERROR(__xludf.DUMMYFUNCTION("""COMPUTED_VALUE"""),20.46)</f>
        <v>20.46</v>
      </c>
      <c r="C1981" s="3">
        <v>50.6432132676626</v>
      </c>
    </row>
    <row r="1982">
      <c r="A1982" s="1">
        <f>IFERROR(__xludf.DUMMYFUNCTION("""COMPUTED_VALUE"""),43230.66666666667)</f>
        <v>43230.66667</v>
      </c>
      <c r="B1982" s="2">
        <f>IFERROR(__xludf.DUMMYFUNCTION("""COMPUTED_VALUE"""),20.33)</f>
        <v>20.33</v>
      </c>
      <c r="C1982" s="3">
        <v>48.851298329891</v>
      </c>
    </row>
    <row r="1983">
      <c r="A1983" s="1">
        <f>IFERROR(__xludf.DUMMYFUNCTION("""COMPUTED_VALUE"""),43231.66666666667)</f>
        <v>43231.66667</v>
      </c>
      <c r="B1983" s="2">
        <f>IFERROR(__xludf.DUMMYFUNCTION("""COMPUTED_VALUE"""),20.07)</f>
        <v>20.07</v>
      </c>
      <c r="C1983" s="3">
        <v>47.0689495613972</v>
      </c>
    </row>
    <row r="1984">
      <c r="A1984" s="1">
        <f>IFERROR(__xludf.DUMMYFUNCTION("""COMPUTED_VALUE"""),43234.66666666667)</f>
        <v>43234.66667</v>
      </c>
      <c r="B1984" s="2">
        <f>IFERROR(__xludf.DUMMYFUNCTION("""COMPUTED_VALUE"""),19.46)</f>
        <v>19.46</v>
      </c>
      <c r="C1984" s="3">
        <v>46.2171363559564</v>
      </c>
    </row>
    <row r="1985">
      <c r="A1985" s="1">
        <f>IFERROR(__xludf.DUMMYFUNCTION("""COMPUTED_VALUE"""),43235.66666666667)</f>
        <v>43235.66667</v>
      </c>
      <c r="B1985" s="2">
        <f>IFERROR(__xludf.DUMMYFUNCTION("""COMPUTED_VALUE"""),18.95)</f>
        <v>18.95</v>
      </c>
      <c r="C1985" s="3">
        <v>45.2939370387021</v>
      </c>
    </row>
    <row r="1986">
      <c r="A1986" s="1">
        <f>IFERROR(__xludf.DUMMYFUNCTION("""COMPUTED_VALUE"""),43236.66666666667)</f>
        <v>43236.66667</v>
      </c>
      <c r="B1986" s="2">
        <f>IFERROR(__xludf.DUMMYFUNCTION("""COMPUTED_VALUE"""),19.1)</f>
        <v>19.1</v>
      </c>
      <c r="C1986" s="3">
        <v>44.8472891380074</v>
      </c>
    </row>
    <row r="1987">
      <c r="A1987" s="1">
        <f>IFERROR(__xludf.DUMMYFUNCTION("""COMPUTED_VALUE"""),43237.66666666667)</f>
        <v>43237.66667</v>
      </c>
      <c r="B1987" s="2">
        <f>IFERROR(__xludf.DUMMYFUNCTION("""COMPUTED_VALUE"""),18.97)</f>
        <v>18.97</v>
      </c>
      <c r="C1987" s="3">
        <v>43.5614923984087</v>
      </c>
    </row>
    <row r="1988">
      <c r="A1988" s="1">
        <f>IFERROR(__xludf.DUMMYFUNCTION("""COMPUTED_VALUE"""),43238.66666666667)</f>
        <v>43238.66667</v>
      </c>
      <c r="B1988" s="2">
        <f>IFERROR(__xludf.DUMMYFUNCTION("""COMPUTED_VALUE"""),18.97)</f>
        <v>18.97</v>
      </c>
      <c r="C1988" s="3">
        <v>42.3084981453776</v>
      </c>
    </row>
    <row r="1989">
      <c r="A1989" s="1">
        <f>IFERROR(__xludf.DUMMYFUNCTION("""COMPUTED_VALUE"""),43241.66666666667)</f>
        <v>43241.66667</v>
      </c>
      <c r="B1989" s="2">
        <f>IFERROR(__xludf.DUMMYFUNCTION("""COMPUTED_VALUE"""),18.97)</f>
        <v>18.97</v>
      </c>
      <c r="C1989" s="3">
        <v>43.2617539528897</v>
      </c>
    </row>
    <row r="1990">
      <c r="A1990" s="1">
        <f>IFERROR(__xludf.DUMMYFUNCTION("""COMPUTED_VALUE"""),43242.66666666667)</f>
        <v>43242.66667</v>
      </c>
      <c r="B1990" s="2">
        <f>IFERROR(__xludf.DUMMYFUNCTION("""COMPUTED_VALUE"""),18.33)</f>
        <v>18.33</v>
      </c>
      <c r="C1990" s="3">
        <v>42.9675850544121</v>
      </c>
    </row>
    <row r="1991">
      <c r="A1991" s="1">
        <f>IFERROR(__xludf.DUMMYFUNCTION("""COMPUTED_VALUE"""),43243.66666666667)</f>
        <v>43243.66667</v>
      </c>
      <c r="B1991" s="2">
        <f>IFERROR(__xludf.DUMMYFUNCTION("""COMPUTED_VALUE"""),18.6)</f>
        <v>18.6</v>
      </c>
      <c r="C1991" s="3">
        <v>43.1406741252419</v>
      </c>
    </row>
    <row r="1992">
      <c r="A1992" s="1">
        <f>IFERROR(__xludf.DUMMYFUNCTION("""COMPUTED_VALUE"""),43244.66666666667)</f>
        <v>43244.66667</v>
      </c>
      <c r="B1992" s="2">
        <f>IFERROR(__xludf.DUMMYFUNCTION("""COMPUTED_VALUE"""),18.52)</f>
        <v>18.52</v>
      </c>
      <c r="C1992" s="3">
        <v>42.4520397593743</v>
      </c>
    </row>
    <row r="1993">
      <c r="A1993" s="1">
        <f>IFERROR(__xludf.DUMMYFUNCTION("""COMPUTED_VALUE"""),43245.66666666667)</f>
        <v>43245.66667</v>
      </c>
      <c r="B1993" s="2">
        <f>IFERROR(__xludf.DUMMYFUNCTION("""COMPUTED_VALUE"""),18.59)</f>
        <v>18.59</v>
      </c>
      <c r="C1993" s="3">
        <v>41.7948837706425</v>
      </c>
    </row>
    <row r="1994">
      <c r="A1994" s="1">
        <f>IFERROR(__xludf.DUMMYFUNCTION("""COMPUTED_VALUE"""),43249.66666666667)</f>
        <v>43249.66667</v>
      </c>
      <c r="B1994" s="2">
        <f>IFERROR(__xludf.DUMMYFUNCTION("""COMPUTED_VALUE"""),18.92)</f>
        <v>18.92</v>
      </c>
      <c r="C1994" s="3">
        <v>44.2850000755602</v>
      </c>
    </row>
    <row r="1995">
      <c r="A1995" s="1">
        <f>IFERROR(__xludf.DUMMYFUNCTION("""COMPUTED_VALUE"""),43250.66666666667)</f>
        <v>43250.66667</v>
      </c>
      <c r="B1995" s="2">
        <f>IFERROR(__xludf.DUMMYFUNCTION("""COMPUTED_VALUE"""),19.45)</f>
        <v>19.45</v>
      </c>
      <c r="C1995" s="3">
        <v>44.7424634829734</v>
      </c>
    </row>
    <row r="1996">
      <c r="A1996" s="1">
        <f>IFERROR(__xludf.DUMMYFUNCTION("""COMPUTED_VALUE"""),43251.66666666667)</f>
        <v>43251.66667</v>
      </c>
      <c r="B1996" s="2">
        <f>IFERROR(__xludf.DUMMYFUNCTION("""COMPUTED_VALUE"""),18.98)</f>
        <v>18.98</v>
      </c>
      <c r="C1996" s="3">
        <v>44.2618016266929</v>
      </c>
    </row>
    <row r="1997">
      <c r="A1997" s="1">
        <f>IFERROR(__xludf.DUMMYFUNCTION("""COMPUTED_VALUE"""),43252.66666666667)</f>
        <v>43252.66667</v>
      </c>
      <c r="B1997" s="2">
        <f>IFERROR(__xludf.DUMMYFUNCTION("""COMPUTED_VALUE"""),19.45)</f>
        <v>19.45</v>
      </c>
      <c r="C1997" s="3">
        <v>43.7364727811993</v>
      </c>
    </row>
    <row r="1998">
      <c r="A1998" s="1">
        <f>IFERROR(__xludf.DUMMYFUNCTION("""COMPUTED_VALUE"""),43255.66666666667)</f>
        <v>43255.66667</v>
      </c>
      <c r="B1998" s="2">
        <f>IFERROR(__xludf.DUMMYFUNCTION("""COMPUTED_VALUE"""),19.78)</f>
        <v>19.78</v>
      </c>
      <c r="C1998" s="3">
        <v>46.1346827861011</v>
      </c>
    </row>
    <row r="1999">
      <c r="A1999" s="1">
        <f>IFERROR(__xludf.DUMMYFUNCTION("""COMPUTED_VALUE"""),43256.66666666667)</f>
        <v>43256.66667</v>
      </c>
      <c r="B1999" s="2">
        <f>IFERROR(__xludf.DUMMYFUNCTION("""COMPUTED_VALUE"""),19.41)</f>
        <v>19.41</v>
      </c>
      <c r="C1999" s="3">
        <v>46.07032142468</v>
      </c>
    </row>
    <row r="2000">
      <c r="A2000" s="1">
        <f>IFERROR(__xludf.DUMMYFUNCTION("""COMPUTED_VALUE"""),43257.66666666667)</f>
        <v>43257.66667</v>
      </c>
      <c r="B2000" s="2">
        <f>IFERROR(__xludf.DUMMYFUNCTION("""COMPUTED_VALUE"""),21.3)</f>
        <v>21.3</v>
      </c>
      <c r="C2000" s="3">
        <v>46.3532764784781</v>
      </c>
    </row>
    <row r="2001">
      <c r="A2001" s="1">
        <f>IFERROR(__xludf.DUMMYFUNCTION("""COMPUTED_VALUE"""),43258.66666666667)</f>
        <v>43258.66667</v>
      </c>
      <c r="B2001" s="2">
        <f>IFERROR(__xludf.DUMMYFUNCTION("""COMPUTED_VALUE"""),21.07)</f>
        <v>21.07</v>
      </c>
      <c r="C2001" s="3">
        <v>45.6631851112466</v>
      </c>
    </row>
    <row r="2002">
      <c r="A2002" s="1">
        <f>IFERROR(__xludf.DUMMYFUNCTION("""COMPUTED_VALUE"""),43259.66666666667)</f>
        <v>43259.66667</v>
      </c>
      <c r="B2002" s="2">
        <f>IFERROR(__xludf.DUMMYFUNCTION("""COMPUTED_VALUE"""),21.18)</f>
        <v>21.18</v>
      </c>
      <c r="C2002" s="3">
        <v>44.9048348151644</v>
      </c>
    </row>
    <row r="2003">
      <c r="A2003" s="1">
        <f>IFERROR(__xludf.DUMMYFUNCTION("""COMPUTED_VALUE"""),43262.66666666667)</f>
        <v>43262.66667</v>
      </c>
      <c r="B2003" s="2">
        <f>IFERROR(__xludf.DUMMYFUNCTION("""COMPUTED_VALUE"""),22.14)</f>
        <v>22.14</v>
      </c>
      <c r="C2003" s="3">
        <v>46.5798949615769</v>
      </c>
    </row>
    <row r="2004">
      <c r="A2004" s="1">
        <f>IFERROR(__xludf.DUMMYFUNCTION("""COMPUTED_VALUE"""),43263.66666666667)</f>
        <v>43263.66667</v>
      </c>
      <c r="B2004" s="2">
        <f>IFERROR(__xludf.DUMMYFUNCTION("""COMPUTED_VALUE"""),22.85)</f>
        <v>22.85</v>
      </c>
      <c r="C2004" s="3">
        <v>46.3044589499533</v>
      </c>
    </row>
    <row r="2005">
      <c r="A2005" s="1">
        <f>IFERROR(__xludf.DUMMYFUNCTION("""COMPUTED_VALUE"""),43264.66666666667)</f>
        <v>43264.66667</v>
      </c>
      <c r="B2005" s="2">
        <f>IFERROR(__xludf.DUMMYFUNCTION("""COMPUTED_VALUE"""),22.99)</f>
        <v>22.99</v>
      </c>
      <c r="C2005" s="3">
        <v>46.4085263792731</v>
      </c>
    </row>
    <row r="2006">
      <c r="A2006" s="1">
        <f>IFERROR(__xludf.DUMMYFUNCTION("""COMPUTED_VALUE"""),43265.66666666667)</f>
        <v>43265.66667</v>
      </c>
      <c r="B2006" s="2">
        <f>IFERROR(__xludf.DUMMYFUNCTION("""COMPUTED_VALUE"""),23.85)</f>
        <v>23.85</v>
      </c>
      <c r="C2006" s="3">
        <v>45.580300863314</v>
      </c>
    </row>
    <row r="2007">
      <c r="A2007" s="1">
        <f>IFERROR(__xludf.DUMMYFUNCTION("""COMPUTED_VALUE"""),43266.66666666667)</f>
        <v>43266.66667</v>
      </c>
      <c r="B2007" s="2">
        <f>IFERROR(__xludf.DUMMYFUNCTION("""COMPUTED_VALUE"""),23.88)</f>
        <v>23.88</v>
      </c>
      <c r="C2007" s="3">
        <v>44.7315856949136</v>
      </c>
    </row>
    <row r="2008">
      <c r="A2008" s="1">
        <f>IFERROR(__xludf.DUMMYFUNCTION("""COMPUTED_VALUE"""),43269.66666666667)</f>
        <v>43269.66667</v>
      </c>
      <c r="B2008" s="2">
        <f>IFERROR(__xludf.DUMMYFUNCTION("""COMPUTED_VALUE"""),24.72)</f>
        <v>24.72</v>
      </c>
      <c r="C2008" s="3">
        <v>46.4650094050726</v>
      </c>
    </row>
    <row r="2009">
      <c r="A2009" s="1">
        <f>IFERROR(__xludf.DUMMYFUNCTION("""COMPUTED_VALUE"""),43270.66666666667)</f>
        <v>43270.66667</v>
      </c>
      <c r="B2009" s="2">
        <f>IFERROR(__xludf.DUMMYFUNCTION("""COMPUTED_VALUE"""),23.5)</f>
        <v>23.5</v>
      </c>
      <c r="C2009" s="3">
        <v>46.3232019616815</v>
      </c>
    </row>
    <row r="2010">
      <c r="A2010" s="1">
        <f>IFERROR(__xludf.DUMMYFUNCTION("""COMPUTED_VALUE"""),43271.66666666667)</f>
        <v>43271.66667</v>
      </c>
      <c r="B2010" s="2">
        <f>IFERROR(__xludf.DUMMYFUNCTION("""COMPUTED_VALUE"""),24.15)</f>
        <v>24.15</v>
      </c>
      <c r="C2010" s="3">
        <v>46.6150737768962</v>
      </c>
    </row>
    <row r="2011">
      <c r="A2011" s="1">
        <f>IFERROR(__xludf.DUMMYFUNCTION("""COMPUTED_VALUE"""),43272.66666666667)</f>
        <v>43272.66667</v>
      </c>
      <c r="B2011" s="2">
        <f>IFERROR(__xludf.DUMMYFUNCTION("""COMPUTED_VALUE"""),23.17)</f>
        <v>23.17</v>
      </c>
      <c r="C2011" s="3">
        <v>46.0241279427909</v>
      </c>
    </row>
    <row r="2012">
      <c r="A2012" s="1">
        <f>IFERROR(__xludf.DUMMYFUNCTION("""COMPUTED_VALUE"""),43273.66666666667)</f>
        <v>43273.66667</v>
      </c>
      <c r="B2012" s="2">
        <f>IFERROR(__xludf.DUMMYFUNCTION("""COMPUTED_VALUE"""),22.24)</f>
        <v>22.24</v>
      </c>
      <c r="C2012" s="3">
        <v>45.4556774012456</v>
      </c>
    </row>
    <row r="2013">
      <c r="A2013" s="1">
        <f>IFERROR(__xludf.DUMMYFUNCTION("""COMPUTED_VALUE"""),43276.66666666667)</f>
        <v>43276.66667</v>
      </c>
      <c r="B2013" s="2">
        <f>IFERROR(__xludf.DUMMYFUNCTION("""COMPUTED_VALUE"""),22.2)</f>
        <v>22.2</v>
      </c>
      <c r="C2013" s="3">
        <v>48.200643856504</v>
      </c>
    </row>
    <row r="2014">
      <c r="A2014" s="1">
        <f>IFERROR(__xludf.DUMMYFUNCTION("""COMPUTED_VALUE"""),43277.66666666667)</f>
        <v>43277.66667</v>
      </c>
      <c r="B2014" s="2">
        <f>IFERROR(__xludf.DUMMYFUNCTION("""COMPUTED_VALUE"""),22.8)</f>
        <v>22.8</v>
      </c>
      <c r="C2014" s="3">
        <v>48.418402799367</v>
      </c>
    </row>
    <row r="2015">
      <c r="A2015" s="1">
        <f>IFERROR(__xludf.DUMMYFUNCTION("""COMPUTED_VALUE"""),43278.66666666667)</f>
        <v>43278.66667</v>
      </c>
      <c r="B2015" s="2">
        <f>IFERROR(__xludf.DUMMYFUNCTION("""COMPUTED_VALUE"""),22.97)</f>
        <v>22.97</v>
      </c>
      <c r="C2015" s="3">
        <v>49.0621557897124</v>
      </c>
    </row>
    <row r="2016">
      <c r="A2016" s="1">
        <f>IFERROR(__xludf.DUMMYFUNCTION("""COMPUTED_VALUE"""),43279.66666666667)</f>
        <v>43279.66667</v>
      </c>
      <c r="B2016" s="2">
        <f>IFERROR(__xludf.DUMMYFUNCTION("""COMPUTED_VALUE"""),23.33)</f>
        <v>23.33</v>
      </c>
      <c r="C2016" s="3">
        <v>48.8038454625042</v>
      </c>
    </row>
    <row r="2017">
      <c r="A2017" s="1">
        <f>IFERROR(__xludf.DUMMYFUNCTION("""COMPUTED_VALUE"""),43280.66666666667)</f>
        <v>43280.66667</v>
      </c>
      <c r="B2017" s="2">
        <f>IFERROR(__xludf.DUMMYFUNCTION("""COMPUTED_VALUE"""),22.86)</f>
        <v>22.86</v>
      </c>
      <c r="C2017" s="3">
        <v>48.5375713944532</v>
      </c>
    </row>
    <row r="2018">
      <c r="A2018" s="1">
        <f>IFERROR(__xludf.DUMMYFUNCTION("""COMPUTED_VALUE"""),43283.66666666667)</f>
        <v>43283.66667</v>
      </c>
      <c r="B2018" s="2">
        <f>IFERROR(__xludf.DUMMYFUNCTION("""COMPUTED_VALUE"""),22.34)</f>
        <v>22.34</v>
      </c>
      <c r="C2018" s="3">
        <v>51.906595055644</v>
      </c>
    </row>
    <row r="2019">
      <c r="A2019" s="1">
        <f>IFERROR(__xludf.DUMMYFUNCTION("""COMPUTED_VALUE"""),43284.54166666667)</f>
        <v>43284.54167</v>
      </c>
      <c r="B2019" s="2">
        <f>IFERROR(__xludf.DUMMYFUNCTION("""COMPUTED_VALUE"""),20.72)</f>
        <v>20.72</v>
      </c>
      <c r="C2019" s="3">
        <v>52.2112778702772</v>
      </c>
    </row>
    <row r="2020">
      <c r="A2020" s="1">
        <f>IFERROR(__xludf.DUMMYFUNCTION("""COMPUTED_VALUE"""),43286.66666666667)</f>
        <v>43286.66667</v>
      </c>
      <c r="B2020" s="2">
        <f>IFERROR(__xludf.DUMMYFUNCTION("""COMPUTED_VALUE"""),20.61)</f>
        <v>20.61</v>
      </c>
      <c r="C2020" s="3">
        <v>52.5578876731543</v>
      </c>
    </row>
    <row r="2021">
      <c r="A2021" s="1">
        <f>IFERROR(__xludf.DUMMYFUNCTION("""COMPUTED_VALUE"""),43287.66666666667)</f>
        <v>43287.66667</v>
      </c>
      <c r="B2021" s="2">
        <f>IFERROR(__xludf.DUMMYFUNCTION("""COMPUTED_VALUE"""),20.59)</f>
        <v>20.59</v>
      </c>
      <c r="C2021" s="3">
        <v>52.1623194726203</v>
      </c>
    </row>
    <row r="2022">
      <c r="A2022" s="1">
        <f>IFERROR(__xludf.DUMMYFUNCTION("""COMPUTED_VALUE"""),43290.66666666667)</f>
        <v>43290.66667</v>
      </c>
      <c r="B2022" s="2">
        <f>IFERROR(__xludf.DUMMYFUNCTION("""COMPUTED_VALUE"""),21.23)</f>
        <v>21.23</v>
      </c>
      <c r="C2022" s="3">
        <v>54.7265653322804</v>
      </c>
    </row>
    <row r="2023">
      <c r="A2023" s="1">
        <f>IFERROR(__xludf.DUMMYFUNCTION("""COMPUTED_VALUE"""),43291.66666666667)</f>
        <v>43291.66667</v>
      </c>
      <c r="B2023" s="2">
        <f>IFERROR(__xludf.DUMMYFUNCTION("""COMPUTED_VALUE"""),21.5)</f>
        <v>21.5</v>
      </c>
      <c r="C2023" s="3">
        <v>54.642095445183</v>
      </c>
    </row>
    <row r="2024">
      <c r="A2024" s="1">
        <f>IFERROR(__xludf.DUMMYFUNCTION("""COMPUTED_VALUE"""),43292.66666666667)</f>
        <v>43292.66667</v>
      </c>
      <c r="B2024" s="2">
        <f>IFERROR(__xludf.DUMMYFUNCTION("""COMPUTED_VALUE"""),21.26)</f>
        <v>21.26</v>
      </c>
      <c r="C2024" s="3">
        <v>54.8667750544376</v>
      </c>
    </row>
    <row r="2025">
      <c r="A2025" s="1">
        <f>IFERROR(__xludf.DUMMYFUNCTION("""COMPUTED_VALUE"""),43293.66666666667)</f>
        <v>43293.66667</v>
      </c>
      <c r="B2025" s="2">
        <f>IFERROR(__xludf.DUMMYFUNCTION("""COMPUTED_VALUE"""),21.11)</f>
        <v>21.11</v>
      </c>
      <c r="C2025" s="3">
        <v>54.0801477888694</v>
      </c>
    </row>
    <row r="2026">
      <c r="A2026" s="1">
        <f>IFERROR(__xludf.DUMMYFUNCTION("""COMPUTED_VALUE"""),43294.66666666667)</f>
        <v>43294.66667</v>
      </c>
      <c r="B2026" s="2">
        <f>IFERROR(__xludf.DUMMYFUNCTION("""COMPUTED_VALUE"""),21.26)</f>
        <v>21.26</v>
      </c>
      <c r="C2026" s="3">
        <v>53.1871064963363</v>
      </c>
    </row>
    <row r="2027">
      <c r="A2027" s="1">
        <f>IFERROR(__xludf.DUMMYFUNCTION("""COMPUTED_VALUE"""),43297.66666666667)</f>
        <v>43297.66667</v>
      </c>
      <c r="B2027" s="2">
        <f>IFERROR(__xludf.DUMMYFUNCTION("""COMPUTED_VALUE"""),20.67)</f>
        <v>20.67</v>
      </c>
      <c r="C2027" s="3">
        <v>54.234422020424</v>
      </c>
    </row>
    <row r="2028">
      <c r="A2028" s="1">
        <f>IFERROR(__xludf.DUMMYFUNCTION("""COMPUTED_VALUE"""),43298.66666666667)</f>
        <v>43298.66667</v>
      </c>
      <c r="B2028" s="2">
        <f>IFERROR(__xludf.DUMMYFUNCTION("""COMPUTED_VALUE"""),21.51)</f>
        <v>21.51</v>
      </c>
      <c r="C2028" s="3">
        <v>53.6786969130088</v>
      </c>
    </row>
    <row r="2029">
      <c r="A2029" s="1">
        <f>IFERROR(__xludf.DUMMYFUNCTION("""COMPUTED_VALUE"""),43299.66666666667)</f>
        <v>43299.66667</v>
      </c>
      <c r="B2029" s="2">
        <f>IFERROR(__xludf.DUMMYFUNCTION("""COMPUTED_VALUE"""),21.59)</f>
        <v>21.59</v>
      </c>
      <c r="C2029" s="3">
        <v>53.4697410473177</v>
      </c>
    </row>
    <row r="2030">
      <c r="A2030" s="1">
        <f>IFERROR(__xludf.DUMMYFUNCTION("""COMPUTED_VALUE"""),43300.66666666667)</f>
        <v>43300.66667</v>
      </c>
      <c r="B2030" s="2">
        <f>IFERROR(__xludf.DUMMYFUNCTION("""COMPUTED_VALUE"""),21.35)</f>
        <v>21.35</v>
      </c>
      <c r="C2030" s="3">
        <v>52.2981079311469</v>
      </c>
    </row>
    <row r="2031">
      <c r="A2031" s="1">
        <f>IFERROR(__xludf.DUMMYFUNCTION("""COMPUTED_VALUE"""),43301.66666666667)</f>
        <v>43301.66667</v>
      </c>
      <c r="B2031" s="2">
        <f>IFERROR(__xludf.DUMMYFUNCTION("""COMPUTED_VALUE"""),20.91)</f>
        <v>20.91</v>
      </c>
      <c r="C2031" s="3">
        <v>51.0784228516531</v>
      </c>
    </row>
    <row r="2032">
      <c r="A2032" s="1">
        <f>IFERROR(__xludf.DUMMYFUNCTION("""COMPUTED_VALUE"""),43304.66666666667)</f>
        <v>43304.66667</v>
      </c>
      <c r="B2032" s="2">
        <f>IFERROR(__xludf.DUMMYFUNCTION("""COMPUTED_VALUE"""),20.21)</f>
        <v>20.21</v>
      </c>
      <c r="C2032" s="3">
        <v>51.5687272857201</v>
      </c>
    </row>
    <row r="2033">
      <c r="A2033" s="1">
        <f>IFERROR(__xludf.DUMMYFUNCTION("""COMPUTED_VALUE"""),43305.66666666667)</f>
        <v>43305.66667</v>
      </c>
      <c r="B2033" s="2">
        <f>IFERROR(__xludf.DUMMYFUNCTION("""COMPUTED_VALUE"""),19.83)</f>
        <v>19.83</v>
      </c>
      <c r="C2033" s="3">
        <v>50.9830130790391</v>
      </c>
    </row>
    <row r="2034">
      <c r="A2034" s="1">
        <f>IFERROR(__xludf.DUMMYFUNCTION("""COMPUTED_VALUE"""),43306.66666666667)</f>
        <v>43306.66667</v>
      </c>
      <c r="B2034" s="2">
        <f>IFERROR(__xludf.DUMMYFUNCTION("""COMPUTED_VALUE"""),20.58)</f>
        <v>20.58</v>
      </c>
      <c r="C2034" s="3">
        <v>50.824077725523</v>
      </c>
    </row>
    <row r="2035">
      <c r="A2035" s="1">
        <f>IFERROR(__xludf.DUMMYFUNCTION("""COMPUTED_VALUE"""),43307.66666666667)</f>
        <v>43307.66667</v>
      </c>
      <c r="B2035" s="2">
        <f>IFERROR(__xludf.DUMMYFUNCTION("""COMPUTED_VALUE"""),20.44)</f>
        <v>20.44</v>
      </c>
      <c r="C2035" s="3">
        <v>49.7805849030821</v>
      </c>
    </row>
    <row r="2036">
      <c r="A2036" s="1">
        <f>IFERROR(__xludf.DUMMYFUNCTION("""COMPUTED_VALUE"""),43308.66666666667)</f>
        <v>43308.66667</v>
      </c>
      <c r="B2036" s="2">
        <f>IFERROR(__xludf.DUMMYFUNCTION("""COMPUTED_VALUE"""),19.81)</f>
        <v>19.81</v>
      </c>
      <c r="C2036" s="3">
        <v>48.7632039020357</v>
      </c>
    </row>
    <row r="2037">
      <c r="A2037" s="1">
        <f>IFERROR(__xludf.DUMMYFUNCTION("""COMPUTED_VALUE"""),43311.66666666667)</f>
        <v>43311.66667</v>
      </c>
      <c r="B2037" s="2">
        <f>IFERROR(__xludf.DUMMYFUNCTION("""COMPUTED_VALUE"""),19.34)</f>
        <v>19.34</v>
      </c>
      <c r="C2037" s="3">
        <v>50.2378330199618</v>
      </c>
    </row>
    <row r="2038">
      <c r="A2038" s="1">
        <f>IFERROR(__xludf.DUMMYFUNCTION("""COMPUTED_VALUE"""),43312.66666666667)</f>
        <v>43312.66667</v>
      </c>
      <c r="B2038" s="2">
        <f>IFERROR(__xludf.DUMMYFUNCTION("""COMPUTED_VALUE"""),19.88)</f>
        <v>19.88</v>
      </c>
      <c r="C2038" s="3">
        <v>50.0756526577208</v>
      </c>
    </row>
    <row r="2039">
      <c r="A2039" s="1">
        <f>IFERROR(__xludf.DUMMYFUNCTION("""COMPUTED_VALUE"""),43313.66666666667)</f>
        <v>43313.66667</v>
      </c>
      <c r="B2039" s="2">
        <f>IFERROR(__xludf.DUMMYFUNCTION("""COMPUTED_VALUE"""),20.06)</f>
        <v>20.06</v>
      </c>
      <c r="C2039" s="3">
        <v>50.3697921777085</v>
      </c>
    </row>
    <row r="2040">
      <c r="A2040" s="1">
        <f>IFERROR(__xludf.DUMMYFUNCTION("""COMPUTED_VALUE"""),43314.66666666667)</f>
        <v>43314.66667</v>
      </c>
      <c r="B2040" s="2">
        <f>IFERROR(__xludf.DUMMYFUNCTION("""COMPUTED_VALUE"""),23.3)</f>
        <v>23.3</v>
      </c>
      <c r="C2040" s="3">
        <v>49.7968827426811</v>
      </c>
    </row>
    <row r="2041">
      <c r="A2041" s="1">
        <f>IFERROR(__xludf.DUMMYFUNCTION("""COMPUTED_VALUE"""),43315.66666666667)</f>
        <v>43315.66667</v>
      </c>
      <c r="B2041" s="2">
        <f>IFERROR(__xludf.DUMMYFUNCTION("""COMPUTED_VALUE"""),23.21)</f>
        <v>23.21</v>
      </c>
      <c r="C2041" s="3">
        <v>49.2552876359263</v>
      </c>
    </row>
    <row r="2042">
      <c r="A2042" s="1">
        <f>IFERROR(__xludf.DUMMYFUNCTION("""COMPUTED_VALUE"""),43318.66666666667)</f>
        <v>43318.66667</v>
      </c>
      <c r="B2042" s="2">
        <f>IFERROR(__xludf.DUMMYFUNCTION("""COMPUTED_VALUE"""),22.8)</f>
        <v>22.8</v>
      </c>
      <c r="C2042" s="3">
        <v>52.0686946694841</v>
      </c>
    </row>
    <row r="2043">
      <c r="A2043" s="1">
        <f>IFERROR(__xludf.DUMMYFUNCTION("""COMPUTED_VALUE"""),43319.66666666667)</f>
        <v>43319.66667</v>
      </c>
      <c r="B2043" s="2">
        <f>IFERROR(__xludf.DUMMYFUNCTION("""COMPUTED_VALUE"""),25.3)</f>
        <v>25.3</v>
      </c>
      <c r="C2043" s="3">
        <v>52.2867536982448</v>
      </c>
    </row>
    <row r="2044">
      <c r="A2044" s="1">
        <f>IFERROR(__xludf.DUMMYFUNCTION("""COMPUTED_VALUE"""),43320.66666666667)</f>
        <v>43320.66667</v>
      </c>
      <c r="B2044" s="2">
        <f>IFERROR(__xludf.DUMMYFUNCTION("""COMPUTED_VALUE"""),24.69)</f>
        <v>24.69</v>
      </c>
      <c r="C2044" s="3">
        <v>52.9126575848622</v>
      </c>
    </row>
    <row r="2045">
      <c r="A2045" s="1">
        <f>IFERROR(__xludf.DUMMYFUNCTION("""COMPUTED_VALUE"""),43321.66666666667)</f>
        <v>43321.66667</v>
      </c>
      <c r="B2045" s="2">
        <f>IFERROR(__xludf.DUMMYFUNCTION("""COMPUTED_VALUE"""),23.5)</f>
        <v>23.5</v>
      </c>
      <c r="C2045" s="3">
        <v>52.6159652024509</v>
      </c>
    </row>
    <row r="2046">
      <c r="A2046" s="1">
        <f>IFERROR(__xludf.DUMMYFUNCTION("""COMPUTED_VALUE"""),43322.66666666667)</f>
        <v>43322.66667</v>
      </c>
      <c r="B2046" s="2">
        <f>IFERROR(__xludf.DUMMYFUNCTION("""COMPUTED_VALUE"""),23.7)</f>
        <v>23.7</v>
      </c>
      <c r="C2046" s="3">
        <v>52.2897126269019</v>
      </c>
    </row>
    <row r="2047">
      <c r="A2047" s="1">
        <f>IFERROR(__xludf.DUMMYFUNCTION("""COMPUTED_VALUE"""),43325.66666666667)</f>
        <v>43325.66667</v>
      </c>
      <c r="B2047" s="2">
        <f>IFERROR(__xludf.DUMMYFUNCTION("""COMPUTED_VALUE"""),23.76)</f>
        <v>23.76</v>
      </c>
      <c r="C2047" s="3">
        <v>55.3590274092423</v>
      </c>
    </row>
    <row r="2048">
      <c r="A2048" s="1">
        <f>IFERROR(__xludf.DUMMYFUNCTION("""COMPUTED_VALUE"""),43326.66666666667)</f>
        <v>43326.66667</v>
      </c>
      <c r="B2048" s="2">
        <f>IFERROR(__xludf.DUMMYFUNCTION("""COMPUTED_VALUE"""),23.18)</f>
        <v>23.18</v>
      </c>
      <c r="C2048" s="3">
        <v>55.5337193536358</v>
      </c>
    </row>
    <row r="2049">
      <c r="A2049" s="1">
        <f>IFERROR(__xludf.DUMMYFUNCTION("""COMPUTED_VALUE"""),43327.66666666667)</f>
        <v>43327.66667</v>
      </c>
      <c r="B2049" s="2">
        <f>IFERROR(__xludf.DUMMYFUNCTION("""COMPUTED_VALUE"""),22.58)</f>
        <v>22.58</v>
      </c>
      <c r="C2049" s="3">
        <v>56.0572594800779</v>
      </c>
    </row>
    <row r="2050">
      <c r="A2050" s="1">
        <f>IFERROR(__xludf.DUMMYFUNCTION("""COMPUTED_VALUE"""),43328.66666666667)</f>
        <v>43328.66667</v>
      </c>
      <c r="B2050" s="2">
        <f>IFERROR(__xludf.DUMMYFUNCTION("""COMPUTED_VALUE"""),22.36)</f>
        <v>22.36</v>
      </c>
      <c r="C2050" s="3">
        <v>55.6049368712529</v>
      </c>
    </row>
    <row r="2051">
      <c r="A2051" s="1">
        <f>IFERROR(__xludf.DUMMYFUNCTION("""COMPUTED_VALUE"""),43329.66666666667)</f>
        <v>43329.66667</v>
      </c>
      <c r="B2051" s="2">
        <f>IFERROR(__xludf.DUMMYFUNCTION("""COMPUTED_VALUE"""),20.37)</f>
        <v>20.37</v>
      </c>
      <c r="C2051" s="3">
        <v>55.0769308996154</v>
      </c>
    </row>
    <row r="2052">
      <c r="A2052" s="1">
        <f>IFERROR(__xludf.DUMMYFUNCTION("""COMPUTED_VALUE"""),43332.66666666667)</f>
        <v>43332.66667</v>
      </c>
      <c r="B2052" s="2">
        <f>IFERROR(__xludf.DUMMYFUNCTION("""COMPUTED_VALUE"""),20.56)</f>
        <v>20.56</v>
      </c>
      <c r="C2052" s="3">
        <v>57.3513605082149</v>
      </c>
    </row>
    <row r="2053">
      <c r="A2053" s="1">
        <f>IFERROR(__xludf.DUMMYFUNCTION("""COMPUTED_VALUE"""),43333.66666666667)</f>
        <v>43333.66667</v>
      </c>
      <c r="B2053" s="2">
        <f>IFERROR(__xludf.DUMMYFUNCTION("""COMPUTED_VALUE"""),21.46)</f>
        <v>21.46</v>
      </c>
      <c r="C2053" s="3">
        <v>57.2300464379802</v>
      </c>
    </row>
    <row r="2054">
      <c r="A2054" s="1">
        <f>IFERROR(__xludf.DUMMYFUNCTION("""COMPUTED_VALUE"""),43334.66666666667)</f>
        <v>43334.66667</v>
      </c>
      <c r="B2054" s="2">
        <f>IFERROR(__xludf.DUMMYFUNCTION("""COMPUTED_VALUE"""),21.44)</f>
        <v>21.44</v>
      </c>
      <c r="C2054" s="3">
        <v>57.4585790288015</v>
      </c>
    </row>
    <row r="2055">
      <c r="A2055" s="1">
        <f>IFERROR(__xludf.DUMMYFUNCTION("""COMPUTED_VALUE"""),43335.66666666667)</f>
        <v>43335.66667</v>
      </c>
      <c r="B2055" s="2">
        <f>IFERROR(__xludf.DUMMYFUNCTION("""COMPUTED_VALUE"""),21.34)</f>
        <v>21.34</v>
      </c>
      <c r="C2055" s="3">
        <v>56.7217403944308</v>
      </c>
    </row>
    <row r="2056">
      <c r="A2056" s="1">
        <f>IFERROR(__xludf.DUMMYFUNCTION("""COMPUTED_VALUE"""),43336.66666666667)</f>
        <v>43336.66667</v>
      </c>
      <c r="B2056" s="2">
        <f>IFERROR(__xludf.DUMMYFUNCTION("""COMPUTED_VALUE"""),21.52)</f>
        <v>21.52</v>
      </c>
      <c r="C2056" s="3">
        <v>55.9284876860487</v>
      </c>
    </row>
    <row r="2057">
      <c r="A2057" s="1">
        <f>IFERROR(__xludf.DUMMYFUNCTION("""COMPUTED_VALUE"""),43339.66666666667)</f>
        <v>43339.66667</v>
      </c>
      <c r="B2057" s="2">
        <f>IFERROR(__xludf.DUMMYFUNCTION("""COMPUTED_VALUE"""),21.28)</f>
        <v>21.28</v>
      </c>
      <c r="C2057" s="3">
        <v>57.594200399803</v>
      </c>
    </row>
    <row r="2058">
      <c r="A2058" s="1">
        <f>IFERROR(__xludf.DUMMYFUNCTION("""COMPUTED_VALUE"""),43340.66666666667)</f>
        <v>43340.66667</v>
      </c>
      <c r="B2058" s="2">
        <f>IFERROR(__xludf.DUMMYFUNCTION("""COMPUTED_VALUE"""),20.79)</f>
        <v>20.79</v>
      </c>
      <c r="C2058" s="3">
        <v>57.34914966707</v>
      </c>
    </row>
    <row r="2059">
      <c r="A2059" s="1">
        <f>IFERROR(__xludf.DUMMYFUNCTION("""COMPUTED_VALUE"""),43341.66666666667)</f>
        <v>43341.66667</v>
      </c>
      <c r="B2059" s="2">
        <f>IFERROR(__xludf.DUMMYFUNCTION("""COMPUTED_VALUE"""),20.33)</f>
        <v>20.33</v>
      </c>
      <c r="C2059" s="3">
        <v>57.4979191560519</v>
      </c>
    </row>
    <row r="2060">
      <c r="A2060" s="1">
        <f>IFERROR(__xludf.DUMMYFUNCTION("""COMPUTED_VALUE"""),43342.66666666667)</f>
        <v>43342.66667</v>
      </c>
      <c r="B2060" s="2">
        <f>IFERROR(__xludf.DUMMYFUNCTION("""COMPUTED_VALUE"""),20.21)</f>
        <v>20.21</v>
      </c>
      <c r="C2060" s="3">
        <v>56.7253372662273</v>
      </c>
    </row>
    <row r="2061">
      <c r="A2061" s="1">
        <f>IFERROR(__xludf.DUMMYFUNCTION("""COMPUTED_VALUE"""),43343.66666666667)</f>
        <v>43343.66667</v>
      </c>
      <c r="B2061" s="2">
        <f>IFERROR(__xludf.DUMMYFUNCTION("""COMPUTED_VALUE"""),20.11)</f>
        <v>20.11</v>
      </c>
      <c r="C2061" s="3">
        <v>55.9386745936023</v>
      </c>
    </row>
    <row r="2062">
      <c r="A2062" s="1">
        <f>IFERROR(__xludf.DUMMYFUNCTION("""COMPUTED_VALUE"""),43347.66666666667)</f>
        <v>43347.66667</v>
      </c>
      <c r="B2062" s="2">
        <f>IFERROR(__xludf.DUMMYFUNCTION("""COMPUTED_VALUE"""),19.26)</f>
        <v>19.26</v>
      </c>
      <c r="C2062" s="3">
        <v>57.7201700520531</v>
      </c>
    </row>
    <row r="2063">
      <c r="A2063" s="1">
        <f>IFERROR(__xludf.DUMMYFUNCTION("""COMPUTED_VALUE"""),43348.66666666667)</f>
        <v>43348.66667</v>
      </c>
      <c r="B2063" s="2">
        <f>IFERROR(__xludf.DUMMYFUNCTION("""COMPUTED_VALUE"""),18.72)</f>
        <v>18.72</v>
      </c>
      <c r="C2063" s="3">
        <v>58.0092351530542</v>
      </c>
    </row>
    <row r="2064">
      <c r="A2064" s="1">
        <f>IFERROR(__xludf.DUMMYFUNCTION("""COMPUTED_VALUE"""),43349.66666666667)</f>
        <v>43349.66667</v>
      </c>
      <c r="B2064" s="2">
        <f>IFERROR(__xludf.DUMMYFUNCTION("""COMPUTED_VALUE"""),18.73)</f>
        <v>18.73</v>
      </c>
      <c r="C2064" s="3">
        <v>57.3803970658697</v>
      </c>
    </row>
    <row r="2065">
      <c r="A2065" s="1">
        <f>IFERROR(__xludf.DUMMYFUNCTION("""COMPUTED_VALUE"""),43350.66666666667)</f>
        <v>43350.66667</v>
      </c>
      <c r="B2065" s="2">
        <f>IFERROR(__xludf.DUMMYFUNCTION("""COMPUTED_VALUE"""),17.55)</f>
        <v>17.55</v>
      </c>
      <c r="C2065" s="3">
        <v>56.7318593284272</v>
      </c>
    </row>
    <row r="2066">
      <c r="A2066" s="1">
        <f>IFERROR(__xludf.DUMMYFUNCTION("""COMPUTED_VALUE"""),43353.66666666667)</f>
        <v>43353.66667</v>
      </c>
      <c r="B2066" s="2">
        <f>IFERROR(__xludf.DUMMYFUNCTION("""COMPUTED_VALUE"""),19.03)</f>
        <v>19.03</v>
      </c>
      <c r="C2066" s="3">
        <v>58.9233695619658</v>
      </c>
    </row>
    <row r="2067">
      <c r="A2067" s="1">
        <f>IFERROR(__xludf.DUMMYFUNCTION("""COMPUTED_VALUE"""),43354.66666666667)</f>
        <v>43354.66667</v>
      </c>
      <c r="B2067" s="2">
        <f>IFERROR(__xludf.DUMMYFUNCTION("""COMPUTED_VALUE"""),18.63)</f>
        <v>18.63</v>
      </c>
      <c r="C2067" s="3">
        <v>58.8375917634008</v>
      </c>
    </row>
    <row r="2068">
      <c r="A2068" s="1">
        <f>IFERROR(__xludf.DUMMYFUNCTION("""COMPUTED_VALUE"""),43355.66666666667)</f>
        <v>43355.66667</v>
      </c>
      <c r="B2068" s="2">
        <f>IFERROR(__xludf.DUMMYFUNCTION("""COMPUTED_VALUE"""),19.37)</f>
        <v>19.37</v>
      </c>
      <c r="C2068" s="3">
        <v>59.1143483950089</v>
      </c>
    </row>
    <row r="2069">
      <c r="A2069" s="1">
        <f>IFERROR(__xludf.DUMMYFUNCTION("""COMPUTED_VALUE"""),43356.66666666667)</f>
        <v>43356.66667</v>
      </c>
      <c r="B2069" s="2">
        <f>IFERROR(__xludf.DUMMYFUNCTION("""COMPUTED_VALUE"""),19.3)</f>
        <v>19.3</v>
      </c>
      <c r="C2069" s="3">
        <v>58.4255923665188</v>
      </c>
    </row>
    <row r="2070">
      <c r="A2070" s="1">
        <f>IFERROR(__xludf.DUMMYFUNCTION("""COMPUTED_VALUE"""),43357.66666666667)</f>
        <v>43357.66667</v>
      </c>
      <c r="B2070" s="2">
        <f>IFERROR(__xludf.DUMMYFUNCTION("""COMPUTED_VALUE"""),19.68)</f>
        <v>19.68</v>
      </c>
      <c r="C2070" s="3">
        <v>57.6671618459311</v>
      </c>
    </row>
    <row r="2071">
      <c r="A2071" s="1">
        <f>IFERROR(__xludf.DUMMYFUNCTION("""COMPUTED_VALUE"""),43360.66666666667)</f>
        <v>43360.66667</v>
      </c>
      <c r="B2071" s="2">
        <f>IFERROR(__xludf.DUMMYFUNCTION("""COMPUTED_VALUE"""),19.66)</f>
        <v>19.66</v>
      </c>
      <c r="C2071" s="3">
        <v>59.2333613107822</v>
      </c>
    </row>
    <row r="2072">
      <c r="A2072" s="1">
        <f>IFERROR(__xludf.DUMMYFUNCTION("""COMPUTED_VALUE"""),43361.66666666667)</f>
        <v>43361.66667</v>
      </c>
      <c r="B2072" s="2">
        <f>IFERROR(__xludf.DUMMYFUNCTION("""COMPUTED_VALUE"""),19.0)</f>
        <v>19</v>
      </c>
      <c r="C2072" s="3">
        <v>58.8515371758164</v>
      </c>
    </row>
    <row r="2073">
      <c r="A2073" s="1">
        <f>IFERROR(__xludf.DUMMYFUNCTION("""COMPUTED_VALUE"""),43362.66666666667)</f>
        <v>43362.66667</v>
      </c>
      <c r="B2073" s="2">
        <f>IFERROR(__xludf.DUMMYFUNCTION("""COMPUTED_VALUE"""),19.93)</f>
        <v>19.93</v>
      </c>
      <c r="C2073" s="3">
        <v>58.7985092991753</v>
      </c>
    </row>
    <row r="2074">
      <c r="A2074" s="1">
        <f>IFERROR(__xludf.DUMMYFUNCTION("""COMPUTED_VALUE"""),43363.66666666667)</f>
        <v>43363.66667</v>
      </c>
      <c r="B2074" s="2">
        <f>IFERROR(__xludf.DUMMYFUNCTION("""COMPUTED_VALUE"""),19.89)</f>
        <v>19.89</v>
      </c>
      <c r="C2074" s="3">
        <v>57.7547622180457</v>
      </c>
    </row>
    <row r="2075">
      <c r="A2075" s="1">
        <f>IFERROR(__xludf.DUMMYFUNCTION("""COMPUTED_VALUE"""),43364.66666666667)</f>
        <v>43364.66667</v>
      </c>
      <c r="B2075" s="2">
        <f>IFERROR(__xludf.DUMMYFUNCTION("""COMPUTED_VALUE"""),19.94)</f>
        <v>19.94</v>
      </c>
      <c r="C2075" s="3">
        <v>56.626043180266</v>
      </c>
    </row>
    <row r="2076">
      <c r="A2076" s="1">
        <f>IFERROR(__xludf.DUMMYFUNCTION("""COMPUTED_VALUE"""),43367.66666666667)</f>
        <v>43367.66667</v>
      </c>
      <c r="B2076" s="2">
        <f>IFERROR(__xludf.DUMMYFUNCTION("""COMPUTED_VALUE"""),19.98)</f>
        <v>19.98</v>
      </c>
      <c r="C2076" s="3">
        <v>57.1034266026645</v>
      </c>
    </row>
    <row r="2077">
      <c r="A2077" s="1">
        <f>IFERROR(__xludf.DUMMYFUNCTION("""COMPUTED_VALUE"""),43368.66666666667)</f>
        <v>43368.66667</v>
      </c>
      <c r="B2077" s="2">
        <f>IFERROR(__xludf.DUMMYFUNCTION("""COMPUTED_VALUE"""),20.07)</f>
        <v>20.07</v>
      </c>
      <c r="C2077" s="3">
        <v>56.4065721121497</v>
      </c>
    </row>
    <row r="2078">
      <c r="A2078" s="1">
        <f>IFERROR(__xludf.DUMMYFUNCTION("""COMPUTED_VALUE"""),43369.66666666667)</f>
        <v>43369.66667</v>
      </c>
      <c r="B2078" s="2">
        <f>IFERROR(__xludf.DUMMYFUNCTION("""COMPUTED_VALUE"""),20.64)</f>
        <v>20.64</v>
      </c>
      <c r="C2078" s="3">
        <v>56.0827976184444</v>
      </c>
    </row>
    <row r="2079">
      <c r="A2079" s="1">
        <f>IFERROR(__xludf.DUMMYFUNCTION("""COMPUTED_VALUE"""),43370.66666666667)</f>
        <v>43370.66667</v>
      </c>
      <c r="B2079" s="2">
        <f>IFERROR(__xludf.DUMMYFUNCTION("""COMPUTED_VALUE"""),20.5)</f>
        <v>20.5</v>
      </c>
      <c r="C2079" s="3">
        <v>54.8240362275151</v>
      </c>
    </row>
    <row r="2080">
      <c r="A2080" s="1">
        <f>IFERROR(__xludf.DUMMYFUNCTION("""COMPUTED_VALUE"""),43371.66666666667)</f>
        <v>43371.66667</v>
      </c>
      <c r="B2080" s="2">
        <f>IFERROR(__xludf.DUMMYFUNCTION("""COMPUTED_VALUE"""),17.65)</f>
        <v>17.65</v>
      </c>
      <c r="C2080" s="3">
        <v>53.5464744187998</v>
      </c>
    </row>
    <row r="2081">
      <c r="A2081" s="1">
        <f>IFERROR(__xludf.DUMMYFUNCTION("""COMPUTED_VALUE"""),43374.66666666667)</f>
        <v>43374.66667</v>
      </c>
      <c r="B2081" s="2">
        <f>IFERROR(__xludf.DUMMYFUNCTION("""COMPUTED_VALUE"""),20.71)</f>
        <v>20.71</v>
      </c>
      <c r="C2081" s="3">
        <v>54.0567487048587</v>
      </c>
    </row>
    <row r="2082">
      <c r="A2082" s="1">
        <f>IFERROR(__xludf.DUMMYFUNCTION("""COMPUTED_VALUE"""),43375.66666666667)</f>
        <v>43375.66667</v>
      </c>
      <c r="B2082" s="2">
        <f>IFERROR(__xludf.DUMMYFUNCTION("""COMPUTED_VALUE"""),20.07)</f>
        <v>20.07</v>
      </c>
      <c r="C2082" s="3">
        <v>53.532772857459</v>
      </c>
    </row>
    <row r="2083">
      <c r="A2083" s="1">
        <f>IFERROR(__xludf.DUMMYFUNCTION("""COMPUTED_VALUE"""),43376.66666666667)</f>
        <v>43376.66667</v>
      </c>
      <c r="B2083" s="2">
        <f>IFERROR(__xludf.DUMMYFUNCTION("""COMPUTED_VALUE"""),19.65)</f>
        <v>19.65</v>
      </c>
      <c r="C2083" s="3">
        <v>53.4746150268061</v>
      </c>
    </row>
    <row r="2084">
      <c r="A2084" s="1">
        <f>IFERROR(__xludf.DUMMYFUNCTION("""COMPUTED_VALUE"""),43377.66666666667)</f>
        <v>43377.66667</v>
      </c>
      <c r="B2084" s="2">
        <f>IFERROR(__xludf.DUMMYFUNCTION("""COMPUTED_VALUE"""),18.79)</f>
        <v>18.79</v>
      </c>
      <c r="C2084" s="3">
        <v>52.5729531628861</v>
      </c>
    </row>
    <row r="2085">
      <c r="A2085" s="1">
        <f>IFERROR(__xludf.DUMMYFUNCTION("""COMPUTED_VALUE"""),43378.66666666667)</f>
        <v>43378.66667</v>
      </c>
      <c r="B2085" s="2">
        <f>IFERROR(__xludf.DUMMYFUNCTION("""COMPUTED_VALUE"""),17.46)</f>
        <v>17.46</v>
      </c>
      <c r="C2085" s="3">
        <v>51.7403236972215</v>
      </c>
    </row>
    <row r="2086">
      <c r="A2086" s="1">
        <f>IFERROR(__xludf.DUMMYFUNCTION("""COMPUTED_VALUE"""),43381.66666666667)</f>
        <v>43381.66667</v>
      </c>
      <c r="B2086" s="2">
        <f>IFERROR(__xludf.DUMMYFUNCTION("""COMPUTED_VALUE"""),16.7)</f>
        <v>16.7</v>
      </c>
      <c r="C2086" s="3">
        <v>54.0413707559995</v>
      </c>
    </row>
    <row r="2087">
      <c r="A2087" s="1">
        <f>IFERROR(__xludf.DUMMYFUNCTION("""COMPUTED_VALUE"""),43382.66666666667)</f>
        <v>43382.66667</v>
      </c>
      <c r="B2087" s="2">
        <f>IFERROR(__xludf.DUMMYFUNCTION("""COMPUTED_VALUE"""),17.52)</f>
        <v>17.52</v>
      </c>
      <c r="C2087" s="3">
        <v>54.2483058418222</v>
      </c>
    </row>
    <row r="2088">
      <c r="A2088" s="1">
        <f>IFERROR(__xludf.DUMMYFUNCTION("""COMPUTED_VALUE"""),43383.66666666667)</f>
        <v>43383.66667</v>
      </c>
      <c r="B2088" s="2">
        <f>IFERROR(__xludf.DUMMYFUNCTION("""COMPUTED_VALUE"""),17.13)</f>
        <v>17.13</v>
      </c>
      <c r="C2088" s="3">
        <v>54.9585732762466</v>
      </c>
    </row>
    <row r="2089">
      <c r="A2089" s="1">
        <f>IFERROR(__xludf.DUMMYFUNCTION("""COMPUTED_VALUE"""),43384.66666666667)</f>
        <v>43384.66667</v>
      </c>
      <c r="B2089" s="2">
        <f>IFERROR(__xludf.DUMMYFUNCTION("""COMPUTED_VALUE"""),16.82)</f>
        <v>16.82</v>
      </c>
      <c r="C2089" s="3">
        <v>54.848004384701</v>
      </c>
    </row>
    <row r="2090">
      <c r="A2090" s="1">
        <f>IFERROR(__xludf.DUMMYFUNCTION("""COMPUTED_VALUE"""),43385.66666666667)</f>
        <v>43385.66667</v>
      </c>
      <c r="B2090" s="2">
        <f>IFERROR(__xludf.DUMMYFUNCTION("""COMPUTED_VALUE"""),17.25)</f>
        <v>17.25</v>
      </c>
      <c r="C2090" s="3">
        <v>54.8134732386256</v>
      </c>
    </row>
    <row r="2091">
      <c r="A2091" s="1">
        <f>IFERROR(__xludf.DUMMYFUNCTION("""COMPUTED_VALUE"""),43388.66666666667)</f>
        <v>43388.66667</v>
      </c>
      <c r="B2091" s="2">
        <f>IFERROR(__xludf.DUMMYFUNCTION("""COMPUTED_VALUE"""),17.31)</f>
        <v>17.31</v>
      </c>
      <c r="C2091" s="3">
        <v>59.3905448991352</v>
      </c>
    </row>
    <row r="2092">
      <c r="A2092" s="1">
        <f>IFERROR(__xludf.DUMMYFUNCTION("""COMPUTED_VALUE"""),43389.66666666667)</f>
        <v>43389.66667</v>
      </c>
      <c r="B2092" s="2">
        <f>IFERROR(__xludf.DUMMYFUNCTION("""COMPUTED_VALUE"""),18.44)</f>
        <v>18.44</v>
      </c>
      <c r="C2092" s="3">
        <v>60.2650031304355</v>
      </c>
    </row>
    <row r="2093">
      <c r="A2093" s="1">
        <f>IFERROR(__xludf.DUMMYFUNCTION("""COMPUTED_VALUE"""),43390.66666666667)</f>
        <v>43390.66667</v>
      </c>
      <c r="B2093" s="2">
        <f>IFERROR(__xludf.DUMMYFUNCTION("""COMPUTED_VALUE"""),18.12)</f>
        <v>18.12</v>
      </c>
      <c r="C2093" s="3">
        <v>61.5736408059508</v>
      </c>
    </row>
    <row r="2094">
      <c r="A2094" s="1">
        <f>IFERROR(__xludf.DUMMYFUNCTION("""COMPUTED_VALUE"""),43391.66666666667)</f>
        <v>43391.66667</v>
      </c>
      <c r="B2094" s="2">
        <f>IFERROR(__xludf.DUMMYFUNCTION("""COMPUTED_VALUE"""),17.59)</f>
        <v>17.59</v>
      </c>
      <c r="C2094" s="3">
        <v>61.9803141300398</v>
      </c>
    </row>
    <row r="2095">
      <c r="A2095" s="1">
        <f>IFERROR(__xludf.DUMMYFUNCTION("""COMPUTED_VALUE"""),43392.66666666667)</f>
        <v>43392.66667</v>
      </c>
      <c r="B2095" s="2">
        <f>IFERROR(__xludf.DUMMYFUNCTION("""COMPUTED_VALUE"""),17.33)</f>
        <v>17.33</v>
      </c>
      <c r="C2095" s="3">
        <v>62.3718342820163</v>
      </c>
    </row>
    <row r="2096">
      <c r="A2096" s="1">
        <f>IFERROR(__xludf.DUMMYFUNCTION("""COMPUTED_VALUE"""),43395.66666666667)</f>
        <v>43395.66667</v>
      </c>
      <c r="B2096" s="2">
        <f>IFERROR(__xludf.DUMMYFUNCTION("""COMPUTED_VALUE"""),17.4)</f>
        <v>17.4</v>
      </c>
      <c r="C2096" s="3">
        <v>67.6131453425251</v>
      </c>
    </row>
    <row r="2097">
      <c r="A2097" s="1">
        <f>IFERROR(__xludf.DUMMYFUNCTION("""COMPUTED_VALUE"""),43396.66666666667)</f>
        <v>43396.66667</v>
      </c>
      <c r="B2097" s="2">
        <f>IFERROR(__xludf.DUMMYFUNCTION("""COMPUTED_VALUE"""),19.61)</f>
        <v>19.61</v>
      </c>
      <c r="C2097" s="3">
        <v>68.4945469492152</v>
      </c>
    </row>
    <row r="2098">
      <c r="A2098" s="1">
        <f>IFERROR(__xludf.DUMMYFUNCTION("""COMPUTED_VALUE"""),43397.66666666667)</f>
        <v>43397.66667</v>
      </c>
      <c r="B2098" s="2">
        <f>IFERROR(__xludf.DUMMYFUNCTION("""COMPUTED_VALUE"""),19.23)</f>
        <v>19.23</v>
      </c>
      <c r="C2098" s="3">
        <v>69.7044365632888</v>
      </c>
    </row>
    <row r="2099">
      <c r="A2099" s="1">
        <f>IFERROR(__xludf.DUMMYFUNCTION("""COMPUTED_VALUE"""),43398.66666666667)</f>
        <v>43398.66667</v>
      </c>
      <c r="B2099" s="2">
        <f>IFERROR(__xludf.DUMMYFUNCTION("""COMPUTED_VALUE"""),20.99)</f>
        <v>20.99</v>
      </c>
      <c r="C2099" s="3">
        <v>69.9114187060118</v>
      </c>
    </row>
    <row r="2100">
      <c r="A2100" s="1">
        <f>IFERROR(__xludf.DUMMYFUNCTION("""COMPUTED_VALUE"""),43399.66666666667)</f>
        <v>43399.66667</v>
      </c>
      <c r="B2100" s="2">
        <f>IFERROR(__xludf.DUMMYFUNCTION("""COMPUTED_VALUE"""),22.06)</f>
        <v>22.06</v>
      </c>
      <c r="C2100" s="3">
        <v>70.0094320930737</v>
      </c>
    </row>
    <row r="2101">
      <c r="A2101" s="1">
        <f>IFERROR(__xludf.DUMMYFUNCTION("""COMPUTED_VALUE"""),43402.66666666667)</f>
        <v>43402.66667</v>
      </c>
      <c r="B2101" s="2">
        <f>IFERROR(__xludf.DUMMYFUNCTION("""COMPUTED_VALUE"""),22.32)</f>
        <v>22.32</v>
      </c>
      <c r="C2101" s="3">
        <v>73.909447769268</v>
      </c>
    </row>
    <row r="2102">
      <c r="A2102" s="1">
        <f>IFERROR(__xludf.DUMMYFUNCTION("""COMPUTED_VALUE"""),43403.66666666667)</f>
        <v>43403.66667</v>
      </c>
      <c r="B2102" s="2">
        <f>IFERROR(__xludf.DUMMYFUNCTION("""COMPUTED_VALUE"""),21.99)</f>
        <v>21.99</v>
      </c>
      <c r="C2102" s="3">
        <v>74.2323417574584</v>
      </c>
    </row>
    <row r="2103">
      <c r="A2103" s="1">
        <f>IFERROR(__xludf.DUMMYFUNCTION("""COMPUTED_VALUE"""),43404.66666666667)</f>
        <v>43404.66667</v>
      </c>
      <c r="B2103" s="2">
        <f>IFERROR(__xludf.DUMMYFUNCTION("""COMPUTED_VALUE"""),22.49)</f>
        <v>22.49</v>
      </c>
      <c r="C2103" s="3">
        <v>74.8519049162446</v>
      </c>
    </row>
    <row r="2104">
      <c r="A2104" s="1">
        <f>IFERROR(__xludf.DUMMYFUNCTION("""COMPUTED_VALUE"""),43405.66666666667)</f>
        <v>43405.66667</v>
      </c>
      <c r="B2104" s="2">
        <f>IFERROR(__xludf.DUMMYFUNCTION("""COMPUTED_VALUE"""),22.95)</f>
        <v>22.95</v>
      </c>
      <c r="C2104" s="3">
        <v>74.4518967720011</v>
      </c>
    </row>
    <row r="2105">
      <c r="A2105" s="1">
        <f>IFERROR(__xludf.DUMMYFUNCTION("""COMPUTED_VALUE"""),43406.66666666667)</f>
        <v>43406.66667</v>
      </c>
      <c r="B2105" s="2">
        <f>IFERROR(__xludf.DUMMYFUNCTION("""COMPUTED_VALUE"""),23.09)</f>
        <v>23.09</v>
      </c>
      <c r="C2105" s="3">
        <v>73.9413615808475</v>
      </c>
    </row>
    <row r="2106">
      <c r="A2106" s="1">
        <f>IFERROR(__xludf.DUMMYFUNCTION("""COMPUTED_VALUE"""),43409.66666666667)</f>
        <v>43409.66667</v>
      </c>
      <c r="B2106" s="2">
        <f>IFERROR(__xludf.DUMMYFUNCTION("""COMPUTED_VALUE"""),22.76)</f>
        <v>22.76</v>
      </c>
      <c r="C2106" s="3">
        <v>76.147842795102</v>
      </c>
    </row>
    <row r="2107">
      <c r="A2107" s="1">
        <f>IFERROR(__xludf.DUMMYFUNCTION("""COMPUTED_VALUE"""),43410.66666666667)</f>
        <v>43410.66667</v>
      </c>
      <c r="B2107" s="2">
        <f>IFERROR(__xludf.DUMMYFUNCTION("""COMPUTED_VALUE"""),22.74)</f>
        <v>22.74</v>
      </c>
      <c r="C2107" s="3">
        <v>75.9914811178025</v>
      </c>
    </row>
    <row r="2108">
      <c r="A2108" s="1">
        <f>IFERROR(__xludf.DUMMYFUNCTION("""COMPUTED_VALUE"""),43411.66666666667)</f>
        <v>43411.66667</v>
      </c>
      <c r="B2108" s="2">
        <f>IFERROR(__xludf.DUMMYFUNCTION("""COMPUTED_VALUE"""),23.21)</f>
        <v>23.21</v>
      </c>
      <c r="C2108" s="3">
        <v>76.190865543778</v>
      </c>
    </row>
    <row r="2109">
      <c r="A2109" s="1">
        <f>IFERROR(__xludf.DUMMYFUNCTION("""COMPUTED_VALUE"""),43412.66666666667)</f>
        <v>43412.66667</v>
      </c>
      <c r="B2109" s="2">
        <f>IFERROR(__xludf.DUMMYFUNCTION("""COMPUTED_VALUE"""),23.43)</f>
        <v>23.43</v>
      </c>
      <c r="C2109" s="3">
        <v>75.4365546299976</v>
      </c>
    </row>
    <row r="2110">
      <c r="A2110" s="1">
        <f>IFERROR(__xludf.DUMMYFUNCTION("""COMPUTED_VALUE"""),43413.66666666667)</f>
        <v>43413.66667</v>
      </c>
      <c r="B2110" s="2">
        <f>IFERROR(__xludf.DUMMYFUNCTION("""COMPUTED_VALUE"""),23.37)</f>
        <v>23.37</v>
      </c>
      <c r="C2110" s="3">
        <v>74.6420761031582</v>
      </c>
    </row>
    <row r="2111">
      <c r="A2111" s="1">
        <f>IFERROR(__xludf.DUMMYFUNCTION("""COMPUTED_VALUE"""),43416.66666666667)</f>
        <v>43416.66667</v>
      </c>
      <c r="B2111" s="2">
        <f>IFERROR(__xludf.DUMMYFUNCTION("""COMPUTED_VALUE"""),22.09)</f>
        <v>22.09</v>
      </c>
      <c r="C2111" s="3">
        <v>76.4274002369168</v>
      </c>
    </row>
    <row r="2112">
      <c r="A2112" s="1">
        <f>IFERROR(__xludf.DUMMYFUNCTION("""COMPUTED_VALUE"""),43417.66666666667)</f>
        <v>43417.66667</v>
      </c>
      <c r="B2112" s="2">
        <f>IFERROR(__xludf.DUMMYFUNCTION("""COMPUTED_VALUE"""),22.58)</f>
        <v>22.58</v>
      </c>
      <c r="C2112" s="3">
        <v>76.2651028296126</v>
      </c>
    </row>
    <row r="2113">
      <c r="A2113" s="1">
        <f>IFERROR(__xludf.DUMMYFUNCTION("""COMPUTED_VALUE"""),43418.66666666667)</f>
        <v>43418.66667</v>
      </c>
      <c r="B2113" s="2">
        <f>IFERROR(__xludf.DUMMYFUNCTION("""COMPUTED_VALUE"""),22.93)</f>
        <v>22.93</v>
      </c>
      <c r="C2113" s="3">
        <v>76.5156685228975</v>
      </c>
    </row>
    <row r="2114">
      <c r="A2114" s="1">
        <f>IFERROR(__xludf.DUMMYFUNCTION("""COMPUTED_VALUE"""),43419.66666666667)</f>
        <v>43419.66667</v>
      </c>
      <c r="B2114" s="2">
        <f>IFERROR(__xludf.DUMMYFUNCTION("""COMPUTED_VALUE"""),23.23)</f>
        <v>23.23</v>
      </c>
      <c r="C2114" s="3">
        <v>75.860701002129</v>
      </c>
    </row>
    <row r="2115">
      <c r="A2115" s="1">
        <f>IFERROR(__xludf.DUMMYFUNCTION("""COMPUTED_VALUE"""),43420.66666666667)</f>
        <v>43420.66667</v>
      </c>
      <c r="B2115" s="2">
        <f>IFERROR(__xludf.DUMMYFUNCTION("""COMPUTED_VALUE"""),23.62)</f>
        <v>23.62</v>
      </c>
      <c r="C2115" s="3">
        <v>75.2032541046129</v>
      </c>
    </row>
    <row r="2116">
      <c r="A2116" s="1">
        <f>IFERROR(__xludf.DUMMYFUNCTION("""COMPUTED_VALUE"""),43423.66666666667)</f>
        <v>43423.66667</v>
      </c>
      <c r="B2116" s="2">
        <f>IFERROR(__xludf.DUMMYFUNCTION("""COMPUTED_VALUE"""),23.56)</f>
        <v>23.56</v>
      </c>
      <c r="C2116" s="3">
        <v>77.5060272694354</v>
      </c>
    </row>
    <row r="2117">
      <c r="A2117" s="1">
        <f>IFERROR(__xludf.DUMMYFUNCTION("""COMPUTED_VALUE"""),43424.66666666667)</f>
        <v>43424.66667</v>
      </c>
      <c r="B2117" s="2">
        <f>IFERROR(__xludf.DUMMYFUNCTION("""COMPUTED_VALUE"""),23.17)</f>
        <v>23.17</v>
      </c>
      <c r="C2117" s="3">
        <v>77.5095858877454</v>
      </c>
    </row>
    <row r="2118">
      <c r="A2118" s="1">
        <f>IFERROR(__xludf.DUMMYFUNCTION("""COMPUTED_VALUE"""),43425.66666666667)</f>
        <v>43425.66667</v>
      </c>
      <c r="B2118" s="2">
        <f>IFERROR(__xludf.DUMMYFUNCTION("""COMPUTED_VALUE"""),22.55)</f>
        <v>22.55</v>
      </c>
      <c r="C2118" s="3">
        <v>77.9020715707386</v>
      </c>
    </row>
    <row r="2119">
      <c r="A2119" s="1">
        <f>IFERROR(__xludf.DUMMYFUNCTION("""COMPUTED_VALUE"""),43427.54166666667)</f>
        <v>43427.54167</v>
      </c>
      <c r="B2119" s="2">
        <f>IFERROR(__xludf.DUMMYFUNCTION("""COMPUTED_VALUE"""),21.72)</f>
        <v>21.72</v>
      </c>
      <c r="C2119" s="3">
        <v>76.7580596758665</v>
      </c>
    </row>
    <row r="2120">
      <c r="A2120" s="1">
        <f>IFERROR(__xludf.DUMMYFUNCTION("""COMPUTED_VALUE"""),43430.66666666667)</f>
        <v>43430.66667</v>
      </c>
      <c r="B2120" s="2">
        <f>IFERROR(__xludf.DUMMYFUNCTION("""COMPUTED_VALUE"""),23.07)</f>
        <v>23.07</v>
      </c>
      <c r="C2120" s="3">
        <v>78.902702309477</v>
      </c>
    </row>
    <row r="2121">
      <c r="A2121" s="1">
        <f>IFERROR(__xludf.DUMMYFUNCTION("""COMPUTED_VALUE"""),43431.66666666667)</f>
        <v>43431.66667</v>
      </c>
      <c r="B2121" s="2">
        <f>IFERROR(__xludf.DUMMYFUNCTION("""COMPUTED_VALUE"""),22.93)</f>
        <v>22.93</v>
      </c>
      <c r="C2121" s="3">
        <v>78.7257191747845</v>
      </c>
    </row>
    <row r="2122">
      <c r="A2122" s="1">
        <f>IFERROR(__xludf.DUMMYFUNCTION("""COMPUTED_VALUE"""),43432.66666666667)</f>
        <v>43432.66667</v>
      </c>
      <c r="B2122" s="2">
        <f>IFERROR(__xludf.DUMMYFUNCTION("""COMPUTED_VALUE"""),23.19)</f>
        <v>23.19</v>
      </c>
      <c r="C2122" s="3">
        <v>78.8729697996747</v>
      </c>
    </row>
    <row r="2123">
      <c r="A2123" s="1">
        <f>IFERROR(__xludf.DUMMYFUNCTION("""COMPUTED_VALUE"""),43433.66666666667)</f>
        <v>43433.66667</v>
      </c>
      <c r="B2123" s="2">
        <f>IFERROR(__xludf.DUMMYFUNCTION("""COMPUTED_VALUE"""),22.74)</f>
        <v>22.74</v>
      </c>
      <c r="C2123" s="3">
        <v>78.0180854256194</v>
      </c>
    </row>
    <row r="2124">
      <c r="A2124" s="1">
        <f>IFERROR(__xludf.DUMMYFUNCTION("""COMPUTED_VALUE"""),43434.66666666667)</f>
        <v>43434.66667</v>
      </c>
      <c r="B2124" s="2">
        <f>IFERROR(__xludf.DUMMYFUNCTION("""COMPUTED_VALUE"""),23.37)</f>
        <v>23.37</v>
      </c>
      <c r="C2124" s="3">
        <v>77.0599082522668</v>
      </c>
    </row>
    <row r="2125">
      <c r="A2125" s="1">
        <f>IFERROR(__xludf.DUMMYFUNCTION("""COMPUTED_VALUE"""),43437.66666666667)</f>
        <v>43437.66667</v>
      </c>
      <c r="B2125" s="2">
        <f>IFERROR(__xludf.DUMMYFUNCTION("""COMPUTED_VALUE"""),23.9)</f>
        <v>23.9</v>
      </c>
      <c r="C2125" s="3">
        <v>77.8736116551367</v>
      </c>
    </row>
    <row r="2126">
      <c r="A2126" s="1">
        <f>IFERROR(__xludf.DUMMYFUNCTION("""COMPUTED_VALUE"""),43438.66666666667)</f>
        <v>43438.66667</v>
      </c>
      <c r="B2126" s="2">
        <f>IFERROR(__xludf.DUMMYFUNCTION("""COMPUTED_VALUE"""),23.98)</f>
        <v>23.98</v>
      </c>
      <c r="C2126" s="3">
        <v>77.2112879975773</v>
      </c>
    </row>
    <row r="2127">
      <c r="A2127" s="1">
        <f>IFERROR(__xludf.DUMMYFUNCTION("""COMPUTED_VALUE"""),43440.66666666667)</f>
        <v>43440.66667</v>
      </c>
      <c r="B2127" s="2">
        <f>IFERROR(__xludf.DUMMYFUNCTION("""COMPUTED_VALUE"""),24.2)</f>
        <v>24.2</v>
      </c>
      <c r="C2127" s="3">
        <v>75.5556378962301</v>
      </c>
    </row>
    <row r="2128">
      <c r="A2128" s="1">
        <f>IFERROR(__xludf.DUMMYFUNCTION("""COMPUTED_VALUE"""),43441.66666666667)</f>
        <v>43441.66667</v>
      </c>
      <c r="B2128" s="2">
        <f>IFERROR(__xludf.DUMMYFUNCTION("""COMPUTED_VALUE"""),23.86)</f>
        <v>23.86</v>
      </c>
      <c r="C2128" s="3">
        <v>74.1655428256987</v>
      </c>
    </row>
    <row r="2129">
      <c r="A2129" s="1">
        <f>IFERROR(__xludf.DUMMYFUNCTION("""COMPUTED_VALUE"""),43444.66666666667)</f>
        <v>43444.66667</v>
      </c>
      <c r="B2129" s="2">
        <f>IFERROR(__xludf.DUMMYFUNCTION("""COMPUTED_VALUE"""),24.34)</f>
        <v>24.34</v>
      </c>
      <c r="C2129" s="3">
        <v>74.0312116477174</v>
      </c>
    </row>
    <row r="2130">
      <c r="A2130" s="1">
        <f>IFERROR(__xludf.DUMMYFUNCTION("""COMPUTED_VALUE"""),43445.66666666667)</f>
        <v>43445.66667</v>
      </c>
      <c r="B2130" s="2">
        <f>IFERROR(__xludf.DUMMYFUNCTION("""COMPUTED_VALUE"""),24.45)</f>
        <v>24.45</v>
      </c>
      <c r="C2130" s="3">
        <v>73.2128068435383</v>
      </c>
    </row>
    <row r="2131">
      <c r="A2131" s="1">
        <f>IFERROR(__xludf.DUMMYFUNCTION("""COMPUTED_VALUE"""),43446.66666666667)</f>
        <v>43446.66667</v>
      </c>
      <c r="B2131" s="2">
        <f>IFERROR(__xludf.DUMMYFUNCTION("""COMPUTED_VALUE"""),24.44)</f>
        <v>24.44</v>
      </c>
      <c r="C2131" s="3">
        <v>72.8188474794378</v>
      </c>
    </row>
    <row r="2132">
      <c r="A2132" s="1">
        <f>IFERROR(__xludf.DUMMYFUNCTION("""COMPUTED_VALUE"""),43447.66666666667)</f>
        <v>43447.66667</v>
      </c>
      <c r="B2132" s="2">
        <f>IFERROR(__xludf.DUMMYFUNCTION("""COMPUTED_VALUE"""),25.12)</f>
        <v>25.12</v>
      </c>
      <c r="C2132" s="3">
        <v>71.5455650440619</v>
      </c>
    </row>
    <row r="2133">
      <c r="A2133" s="1">
        <f>IFERROR(__xludf.DUMMYFUNCTION("""COMPUTED_VALUE"""),43448.66666666667)</f>
        <v>43448.66667</v>
      </c>
      <c r="B2133" s="2">
        <f>IFERROR(__xludf.DUMMYFUNCTION("""COMPUTED_VALUE"""),24.38)</f>
        <v>24.38</v>
      </c>
      <c r="C2133" s="3">
        <v>70.3119792827314</v>
      </c>
    </row>
    <row r="2134">
      <c r="A2134" s="1">
        <f>IFERROR(__xludf.DUMMYFUNCTION("""COMPUTED_VALUE"""),43451.66666666667)</f>
        <v>43451.66667</v>
      </c>
      <c r="B2134" s="2">
        <f>IFERROR(__xludf.DUMMYFUNCTION("""COMPUTED_VALUE"""),23.23)</f>
        <v>23.23</v>
      </c>
      <c r="C2134" s="3">
        <v>71.3089784226179</v>
      </c>
    </row>
    <row r="2135">
      <c r="A2135" s="1">
        <f>IFERROR(__xludf.DUMMYFUNCTION("""COMPUTED_VALUE"""),43452.66666666667)</f>
        <v>43452.66667</v>
      </c>
      <c r="B2135" s="2">
        <f>IFERROR(__xludf.DUMMYFUNCTION("""COMPUTED_VALUE"""),22.47)</f>
        <v>22.47</v>
      </c>
      <c r="C2135" s="3">
        <v>71.0742538995844</v>
      </c>
    </row>
    <row r="2136">
      <c r="A2136" s="1">
        <f>IFERROR(__xludf.DUMMYFUNCTION("""COMPUTED_VALUE"""),43453.66666666667)</f>
        <v>43453.66667</v>
      </c>
      <c r="B2136" s="2">
        <f>IFERROR(__xludf.DUMMYFUNCTION("""COMPUTED_VALUE"""),22.2)</f>
        <v>22.2</v>
      </c>
      <c r="C2136" s="3">
        <v>71.3528141391363</v>
      </c>
    </row>
    <row r="2137">
      <c r="A2137" s="1">
        <f>IFERROR(__xludf.DUMMYFUNCTION("""COMPUTED_VALUE"""),43454.66666666667)</f>
        <v>43454.66667</v>
      </c>
      <c r="B2137" s="2">
        <f>IFERROR(__xludf.DUMMYFUNCTION("""COMPUTED_VALUE"""),21.03)</f>
        <v>21.03</v>
      </c>
      <c r="C2137" s="3">
        <v>70.8280749022743</v>
      </c>
    </row>
    <row r="2138">
      <c r="A2138" s="1">
        <f>IFERROR(__xludf.DUMMYFUNCTION("""COMPUTED_VALUE"""),43455.66666666667)</f>
        <v>43455.66667</v>
      </c>
      <c r="B2138" s="2">
        <f>IFERROR(__xludf.DUMMYFUNCTION("""COMPUTED_VALUE"""),21.32)</f>
        <v>21.32</v>
      </c>
      <c r="C2138" s="3">
        <v>70.4038330771949</v>
      </c>
    </row>
    <row r="2139">
      <c r="A2139" s="1">
        <f>IFERROR(__xludf.DUMMYFUNCTION("""COMPUTED_VALUE"""),43458.54166666667)</f>
        <v>43458.54167</v>
      </c>
      <c r="B2139" s="2">
        <f>IFERROR(__xludf.DUMMYFUNCTION("""COMPUTED_VALUE"""),19.69)</f>
        <v>19.69</v>
      </c>
      <c r="C2139" s="3">
        <v>74.0132012889345</v>
      </c>
    </row>
    <row r="2140">
      <c r="A2140" s="1">
        <f>IFERROR(__xludf.DUMMYFUNCTION("""COMPUTED_VALUE"""),43460.66666666667)</f>
        <v>43460.66667</v>
      </c>
      <c r="B2140" s="2">
        <f>IFERROR(__xludf.DUMMYFUNCTION("""COMPUTED_VALUE"""),21.74)</f>
        <v>21.74</v>
      </c>
      <c r="C2140" s="3">
        <v>75.7515997572766</v>
      </c>
    </row>
    <row r="2141">
      <c r="A2141" s="1">
        <f>IFERROR(__xludf.DUMMYFUNCTION("""COMPUTED_VALUE"""),43461.66666666667)</f>
        <v>43461.66667</v>
      </c>
      <c r="B2141" s="2">
        <f>IFERROR(__xludf.DUMMYFUNCTION("""COMPUTED_VALUE"""),21.08)</f>
        <v>21.08</v>
      </c>
      <c r="C2141" s="3">
        <v>75.9980965153624</v>
      </c>
    </row>
    <row r="2142">
      <c r="A2142" s="1">
        <f>IFERROR(__xludf.DUMMYFUNCTION("""COMPUTED_VALUE"""),43462.66666666667)</f>
        <v>43462.66667</v>
      </c>
      <c r="B2142" s="2">
        <f>IFERROR(__xludf.DUMMYFUNCTION("""COMPUTED_VALUE"""),22.26)</f>
        <v>22.26</v>
      </c>
      <c r="C2142" s="3">
        <v>76.2680912611748</v>
      </c>
    </row>
    <row r="2143">
      <c r="A2143" s="1">
        <f>IFERROR(__xludf.DUMMYFUNCTION("""COMPUTED_VALUE"""),43465.66666666667)</f>
        <v>43465.66667</v>
      </c>
      <c r="B2143" s="2">
        <f>IFERROR(__xludf.DUMMYFUNCTION("""COMPUTED_VALUE"""),22.19)</f>
        <v>22.19</v>
      </c>
      <c r="C2143" s="3">
        <v>81.3283581350368</v>
      </c>
    </row>
    <row r="2144">
      <c r="A2144" s="1">
        <f>IFERROR(__xludf.DUMMYFUNCTION("""COMPUTED_VALUE"""),43467.66666666667)</f>
        <v>43467.66667</v>
      </c>
      <c r="B2144" s="2">
        <f>IFERROR(__xludf.DUMMYFUNCTION("""COMPUTED_VALUE"""),20.67)</f>
        <v>20.67</v>
      </c>
      <c r="C2144" s="3">
        <v>83.3793635904281</v>
      </c>
    </row>
    <row r="2145">
      <c r="A2145" s="1">
        <f>IFERROR(__xludf.DUMMYFUNCTION("""COMPUTED_VALUE"""),43468.66666666667)</f>
        <v>43468.66667</v>
      </c>
      <c r="B2145" s="2">
        <f>IFERROR(__xludf.DUMMYFUNCTION("""COMPUTED_VALUE"""),20.02)</f>
        <v>20.02</v>
      </c>
      <c r="C2145" s="3">
        <v>83.5627814819799</v>
      </c>
    </row>
    <row r="2146">
      <c r="A2146" s="1">
        <f>IFERROR(__xludf.DUMMYFUNCTION("""COMPUTED_VALUE"""),43469.66666666667)</f>
        <v>43469.66667</v>
      </c>
      <c r="B2146" s="2">
        <f>IFERROR(__xludf.DUMMYFUNCTION("""COMPUTED_VALUE"""),21.18)</f>
        <v>21.18</v>
      </c>
      <c r="C2146" s="3">
        <v>83.6209917991476</v>
      </c>
    </row>
    <row r="2147">
      <c r="A2147" s="1">
        <f>IFERROR(__xludf.DUMMYFUNCTION("""COMPUTED_VALUE"""),43472.66666666667)</f>
        <v>43472.66667</v>
      </c>
      <c r="B2147" s="2">
        <f>IFERROR(__xludf.DUMMYFUNCTION("""COMPUTED_VALUE"""),22.33)</f>
        <v>22.33</v>
      </c>
      <c r="C2147" s="3">
        <v>87.196328117749</v>
      </c>
    </row>
    <row r="2148">
      <c r="A2148" s="1">
        <f>IFERROR(__xludf.DUMMYFUNCTION("""COMPUTED_VALUE"""),43473.66666666667)</f>
        <v>43473.66667</v>
      </c>
      <c r="B2148" s="2">
        <f>IFERROR(__xludf.DUMMYFUNCTION("""COMPUTED_VALUE"""),22.36)</f>
        <v>22.36</v>
      </c>
      <c r="C2148" s="3">
        <v>87.3081524420693</v>
      </c>
    </row>
    <row r="2149">
      <c r="A2149" s="1">
        <f>IFERROR(__xludf.DUMMYFUNCTION("""COMPUTED_VALUE"""),43474.66666666667)</f>
        <v>43474.66667</v>
      </c>
      <c r="B2149" s="2">
        <f>IFERROR(__xludf.DUMMYFUNCTION("""COMPUTED_VALUE"""),22.57)</f>
        <v>22.57</v>
      </c>
      <c r="C2149" s="3">
        <v>87.6498390497198</v>
      </c>
    </row>
    <row r="2150">
      <c r="A2150" s="1">
        <f>IFERROR(__xludf.DUMMYFUNCTION("""COMPUTED_VALUE"""),43475.66666666667)</f>
        <v>43475.66667</v>
      </c>
      <c r="B2150" s="2">
        <f>IFERROR(__xludf.DUMMYFUNCTION("""COMPUTED_VALUE"""),23.0)</f>
        <v>23</v>
      </c>
      <c r="C2150" s="3">
        <v>86.8976138450203</v>
      </c>
    </row>
    <row r="2151">
      <c r="A2151" s="1">
        <f>IFERROR(__xludf.DUMMYFUNCTION("""COMPUTED_VALUE"""),43476.66666666667)</f>
        <v>43476.66667</v>
      </c>
      <c r="B2151" s="2">
        <f>IFERROR(__xludf.DUMMYFUNCTION("""COMPUTED_VALUE"""),23.15)</f>
        <v>23.15</v>
      </c>
      <c r="C2151" s="3">
        <v>85.9544781119656</v>
      </c>
    </row>
    <row r="2152">
      <c r="A2152" s="1">
        <f>IFERROR(__xludf.DUMMYFUNCTION("""COMPUTED_VALUE"""),43479.66666666667)</f>
        <v>43479.66667</v>
      </c>
      <c r="B2152" s="2">
        <f>IFERROR(__xludf.DUMMYFUNCTION("""COMPUTED_VALUE"""),22.29)</f>
        <v>22.29</v>
      </c>
      <c r="C2152" s="3">
        <v>86.3469487516624</v>
      </c>
    </row>
    <row r="2153">
      <c r="A2153" s="1">
        <f>IFERROR(__xludf.DUMMYFUNCTION("""COMPUTED_VALUE"""),43480.66666666667)</f>
        <v>43480.66667</v>
      </c>
      <c r="B2153" s="2">
        <f>IFERROR(__xludf.DUMMYFUNCTION("""COMPUTED_VALUE"""),22.96)</f>
        <v>22.96</v>
      </c>
      <c r="C2153" s="3">
        <v>85.4123530383344</v>
      </c>
    </row>
    <row r="2154">
      <c r="A2154" s="1">
        <f>IFERROR(__xludf.DUMMYFUNCTION("""COMPUTED_VALUE"""),43481.66666666667)</f>
        <v>43481.66667</v>
      </c>
      <c r="B2154" s="2">
        <f>IFERROR(__xludf.DUMMYFUNCTION("""COMPUTED_VALUE"""),23.07)</f>
        <v>23.07</v>
      </c>
      <c r="C2154" s="3">
        <v>84.7511246264093</v>
      </c>
    </row>
    <row r="2155">
      <c r="A2155" s="1">
        <f>IFERROR(__xludf.DUMMYFUNCTION("""COMPUTED_VALUE"""),43482.66666666667)</f>
        <v>43482.66667</v>
      </c>
      <c r="B2155" s="2">
        <f>IFERROR(__xludf.DUMMYFUNCTION("""COMPUTED_VALUE"""),23.15)</f>
        <v>23.15</v>
      </c>
      <c r="C2155" s="3">
        <v>83.0595478170095</v>
      </c>
    </row>
    <row r="2156">
      <c r="A2156" s="1">
        <f>IFERROR(__xludf.DUMMYFUNCTION("""COMPUTED_VALUE"""),43483.66666666667)</f>
        <v>43483.66667</v>
      </c>
      <c r="B2156" s="2">
        <f>IFERROR(__xludf.DUMMYFUNCTION("""COMPUTED_VALUE"""),20.15)</f>
        <v>20.15</v>
      </c>
      <c r="C2156" s="3">
        <v>81.2588222526465</v>
      </c>
    </row>
    <row r="2157">
      <c r="A2157" s="1">
        <f>IFERROR(__xludf.DUMMYFUNCTION("""COMPUTED_VALUE"""),43487.66666666667)</f>
        <v>43487.66667</v>
      </c>
      <c r="B2157" s="2">
        <f>IFERROR(__xludf.DUMMYFUNCTION("""COMPUTED_VALUE"""),19.93)</f>
        <v>19.93</v>
      </c>
      <c r="C2157" s="3">
        <v>78.3786232801058</v>
      </c>
    </row>
    <row r="2158">
      <c r="A2158" s="1">
        <f>IFERROR(__xludf.DUMMYFUNCTION("""COMPUTED_VALUE"""),43488.66666666667)</f>
        <v>43488.66667</v>
      </c>
      <c r="B2158" s="2">
        <f>IFERROR(__xludf.DUMMYFUNCTION("""COMPUTED_VALUE"""),19.17)</f>
        <v>19.17</v>
      </c>
      <c r="C2158" s="3">
        <v>77.44774391717</v>
      </c>
    </row>
    <row r="2159">
      <c r="A2159" s="1">
        <f>IFERROR(__xludf.DUMMYFUNCTION("""COMPUTED_VALUE"""),43489.66666666667)</f>
        <v>43489.66667</v>
      </c>
      <c r="B2159" s="2">
        <f>IFERROR(__xludf.DUMMYFUNCTION("""COMPUTED_VALUE"""),19.43)</f>
        <v>19.43</v>
      </c>
      <c r="C2159" s="3">
        <v>75.617318910524</v>
      </c>
    </row>
    <row r="2160">
      <c r="A2160" s="1">
        <f>IFERROR(__xludf.DUMMYFUNCTION("""COMPUTED_VALUE"""),43490.66666666667)</f>
        <v>43490.66667</v>
      </c>
      <c r="B2160" s="2">
        <f>IFERROR(__xludf.DUMMYFUNCTION("""COMPUTED_VALUE"""),19.8)</f>
        <v>19.8</v>
      </c>
      <c r="C2160" s="3">
        <v>73.804871318665</v>
      </c>
    </row>
    <row r="2161">
      <c r="A2161" s="1">
        <f>IFERROR(__xludf.DUMMYFUNCTION("""COMPUTED_VALUE"""),43493.66666666667)</f>
        <v>43493.66667</v>
      </c>
      <c r="B2161" s="2">
        <f>IFERROR(__xludf.DUMMYFUNCTION("""COMPUTED_VALUE"""),19.76)</f>
        <v>19.76</v>
      </c>
      <c r="C2161" s="3">
        <v>72.9017058082793</v>
      </c>
    </row>
    <row r="2162">
      <c r="A2162" s="1">
        <f>IFERROR(__xludf.DUMMYFUNCTION("""COMPUTED_VALUE"""),43494.66666666667)</f>
        <v>43494.66667</v>
      </c>
      <c r="B2162" s="2">
        <f>IFERROR(__xludf.DUMMYFUNCTION("""COMPUTED_VALUE"""),19.83)</f>
        <v>19.83</v>
      </c>
      <c r="C2162" s="3">
        <v>71.9630170413301</v>
      </c>
    </row>
    <row r="2163">
      <c r="A2163" s="1">
        <f>IFERROR(__xludf.DUMMYFUNCTION("""COMPUTED_VALUE"""),43495.66666666667)</f>
        <v>43495.66667</v>
      </c>
      <c r="B2163" s="2">
        <f>IFERROR(__xludf.DUMMYFUNCTION("""COMPUTED_VALUE"""),20.58)</f>
        <v>20.58</v>
      </c>
      <c r="C2163" s="3">
        <v>71.4925705941434</v>
      </c>
    </row>
    <row r="2164">
      <c r="A2164" s="1">
        <f>IFERROR(__xludf.DUMMYFUNCTION("""COMPUTED_VALUE"""),43496.66666666667)</f>
        <v>43496.66667</v>
      </c>
      <c r="B2164" s="2">
        <f>IFERROR(__xludf.DUMMYFUNCTION("""COMPUTED_VALUE"""),20.47)</f>
        <v>20.47</v>
      </c>
      <c r="C2164" s="3">
        <v>70.1674266825705</v>
      </c>
    </row>
    <row r="2165">
      <c r="A2165" s="1">
        <f>IFERROR(__xludf.DUMMYFUNCTION("""COMPUTED_VALUE"""),43497.66666666667)</f>
        <v>43497.66667</v>
      </c>
      <c r="B2165" s="2">
        <f>IFERROR(__xludf.DUMMYFUNCTION("""COMPUTED_VALUE"""),20.81)</f>
        <v>20.81</v>
      </c>
      <c r="C2165" s="3">
        <v>68.8850842844599</v>
      </c>
    </row>
    <row r="2166">
      <c r="A2166" s="1">
        <f>IFERROR(__xludf.DUMMYFUNCTION("""COMPUTED_VALUE"""),43500.66666666667)</f>
        <v>43500.66667</v>
      </c>
      <c r="B2166" s="2">
        <f>IFERROR(__xludf.DUMMYFUNCTION("""COMPUTED_VALUE"""),20.86)</f>
        <v>20.86</v>
      </c>
      <c r="C2166" s="3">
        <v>69.5179367095385</v>
      </c>
    </row>
    <row r="2167">
      <c r="A2167" s="1">
        <f>IFERROR(__xludf.DUMMYFUNCTION("""COMPUTED_VALUE"""),43501.66666666667)</f>
        <v>43501.66667</v>
      </c>
      <c r="B2167" s="2">
        <f>IFERROR(__xludf.DUMMYFUNCTION("""COMPUTED_VALUE"""),21.42)</f>
        <v>21.42</v>
      </c>
      <c r="C2167" s="3">
        <v>69.0083552992671</v>
      </c>
    </row>
    <row r="2168">
      <c r="A2168" s="1">
        <f>IFERROR(__xludf.DUMMYFUNCTION("""COMPUTED_VALUE"""),43502.66666666667)</f>
        <v>43502.66667</v>
      </c>
      <c r="B2168" s="2">
        <f>IFERROR(__xludf.DUMMYFUNCTION("""COMPUTED_VALUE"""),21.15)</f>
        <v>21.15</v>
      </c>
      <c r="C2168" s="3">
        <v>68.8965255573827</v>
      </c>
    </row>
    <row r="2169">
      <c r="A2169" s="1">
        <f>IFERROR(__xludf.DUMMYFUNCTION("""COMPUTED_VALUE"""),43503.66666666667)</f>
        <v>43503.66667</v>
      </c>
      <c r="B2169" s="2">
        <f>IFERROR(__xludf.DUMMYFUNCTION("""COMPUTED_VALUE"""),20.5)</f>
        <v>20.5</v>
      </c>
      <c r="C2169" s="3">
        <v>67.8451218768858</v>
      </c>
    </row>
    <row r="2170">
      <c r="A2170" s="1">
        <f>IFERROR(__xludf.DUMMYFUNCTION("""COMPUTED_VALUE"""),43504.66666666667)</f>
        <v>43504.66667</v>
      </c>
      <c r="B2170" s="2">
        <f>IFERROR(__xludf.DUMMYFUNCTION("""COMPUTED_VALUE"""),20.39)</f>
        <v>20.39</v>
      </c>
      <c r="C2170" s="3">
        <v>66.7398630588975</v>
      </c>
    </row>
    <row r="2171">
      <c r="A2171" s="1">
        <f>IFERROR(__xludf.DUMMYFUNCTION("""COMPUTED_VALUE"""),43507.66666666667)</f>
        <v>43507.66667</v>
      </c>
      <c r="B2171" s="2">
        <f>IFERROR(__xludf.DUMMYFUNCTION("""COMPUTED_VALUE"""),20.86)</f>
        <v>20.86</v>
      </c>
      <c r="C2171" s="3">
        <v>67.2514750004429</v>
      </c>
    </row>
    <row r="2172">
      <c r="A2172" s="1">
        <f>IFERROR(__xludf.DUMMYFUNCTION("""COMPUTED_VALUE"""),43508.66666666667)</f>
        <v>43508.66667</v>
      </c>
      <c r="B2172" s="2">
        <f>IFERROR(__xludf.DUMMYFUNCTION("""COMPUTED_VALUE"""),20.79)</f>
        <v>20.79</v>
      </c>
      <c r="C2172" s="3">
        <v>66.4761486576381</v>
      </c>
    </row>
    <row r="2173">
      <c r="A2173" s="1">
        <f>IFERROR(__xludf.DUMMYFUNCTION("""COMPUTED_VALUE"""),43509.66666666667)</f>
        <v>43509.66667</v>
      </c>
      <c r="B2173" s="2">
        <f>IFERROR(__xludf.DUMMYFUNCTION("""COMPUTED_VALUE"""),20.54)</f>
        <v>20.54</v>
      </c>
      <c r="C2173" s="3">
        <v>65.9903780877768</v>
      </c>
    </row>
    <row r="2174">
      <c r="A2174" s="1">
        <f>IFERROR(__xludf.DUMMYFUNCTION("""COMPUTED_VALUE"""),43510.66666666667)</f>
        <v>43510.66667</v>
      </c>
      <c r="B2174" s="2">
        <f>IFERROR(__xludf.DUMMYFUNCTION("""COMPUTED_VALUE"""),20.25)</f>
        <v>20.25</v>
      </c>
      <c r="C2174" s="3">
        <v>64.4644224423691</v>
      </c>
    </row>
    <row r="2175">
      <c r="A2175" s="1">
        <f>IFERROR(__xludf.DUMMYFUNCTION("""COMPUTED_VALUE"""),43511.66666666667)</f>
        <v>43511.66667</v>
      </c>
      <c r="B2175" s="2">
        <f>IFERROR(__xludf.DUMMYFUNCTION("""COMPUTED_VALUE"""),20.53)</f>
        <v>20.53</v>
      </c>
      <c r="C2175" s="3">
        <v>62.794601200696</v>
      </c>
    </row>
    <row r="2176">
      <c r="A2176" s="1">
        <f>IFERROR(__xludf.DUMMYFUNCTION("""COMPUTED_VALUE"""),43515.66666666667)</f>
        <v>43515.66667</v>
      </c>
      <c r="B2176" s="2">
        <f>IFERROR(__xludf.DUMMYFUNCTION("""COMPUTED_VALUE"""),20.38)</f>
        <v>20.38</v>
      </c>
      <c r="C2176" s="3">
        <v>59.6718756457842</v>
      </c>
    </row>
    <row r="2177">
      <c r="A2177" s="1">
        <f>IFERROR(__xludf.DUMMYFUNCTION("""COMPUTED_VALUE"""),43516.66666666667)</f>
        <v>43516.66667</v>
      </c>
      <c r="B2177" s="2">
        <f>IFERROR(__xludf.DUMMYFUNCTION("""COMPUTED_VALUE"""),20.17)</f>
        <v>20.17</v>
      </c>
      <c r="C2177" s="3">
        <v>58.4119468702826</v>
      </c>
    </row>
    <row r="2178">
      <c r="A2178" s="1">
        <f>IFERROR(__xludf.DUMMYFUNCTION("""COMPUTED_VALUE"""),43517.66666666667)</f>
        <v>43517.66667</v>
      </c>
      <c r="B2178" s="2">
        <f>IFERROR(__xludf.DUMMYFUNCTION("""COMPUTED_VALUE"""),19.42)</f>
        <v>19.42</v>
      </c>
      <c r="C2178" s="3">
        <v>56.1280253277154</v>
      </c>
    </row>
    <row r="2179">
      <c r="A2179" s="1">
        <f>IFERROR(__xludf.DUMMYFUNCTION("""COMPUTED_VALUE"""),43518.66666666667)</f>
        <v>43518.66667</v>
      </c>
      <c r="B2179" s="2">
        <f>IFERROR(__xludf.DUMMYFUNCTION("""COMPUTED_VALUE"""),19.65)</f>
        <v>19.65</v>
      </c>
      <c r="C2179" s="3">
        <v>53.7367473842562</v>
      </c>
    </row>
    <row r="2180">
      <c r="A2180" s="1">
        <f>IFERROR(__xludf.DUMMYFUNCTION("""COMPUTED_VALUE"""),43521.66666666667)</f>
        <v>43521.66667</v>
      </c>
      <c r="B2180" s="2">
        <f>IFERROR(__xludf.DUMMYFUNCTION("""COMPUTED_VALUE"""),19.92)</f>
        <v>19.92</v>
      </c>
      <c r="C2180" s="3">
        <v>50.4040725208856</v>
      </c>
    </row>
    <row r="2181">
      <c r="A2181" s="1">
        <f>IFERROR(__xludf.DUMMYFUNCTION("""COMPUTED_VALUE"""),43522.66666666667)</f>
        <v>43522.66667</v>
      </c>
      <c r="B2181" s="2">
        <f>IFERROR(__xludf.DUMMYFUNCTION("""COMPUTED_VALUE"""),19.86)</f>
        <v>19.86</v>
      </c>
      <c r="C2181" s="3">
        <v>48.4657910018619</v>
      </c>
    </row>
    <row r="2182">
      <c r="A2182" s="1">
        <f>IFERROR(__xludf.DUMMYFUNCTION("""COMPUTED_VALUE"""),43523.66666666667)</f>
        <v>43523.66667</v>
      </c>
      <c r="B2182" s="2">
        <f>IFERROR(__xludf.DUMMYFUNCTION("""COMPUTED_VALUE"""),20.98)</f>
        <v>20.98</v>
      </c>
      <c r="C2182" s="3">
        <v>46.9312415515103</v>
      </c>
    </row>
    <row r="2183">
      <c r="A2183" s="1">
        <f>IFERROR(__xludf.DUMMYFUNCTION("""COMPUTED_VALUE"""),43524.66666666667)</f>
        <v>43524.66667</v>
      </c>
      <c r="B2183" s="2">
        <f>IFERROR(__xludf.DUMMYFUNCTION("""COMPUTED_VALUE"""),21.33)</f>
        <v>21.33</v>
      </c>
      <c r="C2183" s="3">
        <v>44.5006290715601</v>
      </c>
    </row>
    <row r="2184">
      <c r="A2184" s="1">
        <f>IFERROR(__xludf.DUMMYFUNCTION("""COMPUTED_VALUE"""),43525.66666666667)</f>
        <v>43525.66667</v>
      </c>
      <c r="B2184" s="2">
        <f>IFERROR(__xludf.DUMMYFUNCTION("""COMPUTED_VALUE"""),19.65)</f>
        <v>19.65</v>
      </c>
      <c r="C2184" s="3">
        <v>42.097099890418</v>
      </c>
    </row>
    <row r="2185">
      <c r="A2185" s="1">
        <f>IFERROR(__xludf.DUMMYFUNCTION("""COMPUTED_VALUE"""),43528.66666666667)</f>
        <v>43528.66667</v>
      </c>
      <c r="B2185" s="2">
        <f>IFERROR(__xludf.DUMMYFUNCTION("""COMPUTED_VALUE"""),19.02)</f>
        <v>19.02</v>
      </c>
      <c r="C2185" s="3">
        <v>39.5521360460351</v>
      </c>
    </row>
    <row r="2186">
      <c r="A2186" s="1">
        <f>IFERROR(__xludf.DUMMYFUNCTION("""COMPUTED_VALUE"""),43529.66666666667)</f>
        <v>43529.66667</v>
      </c>
      <c r="B2186" s="2">
        <f>IFERROR(__xludf.DUMMYFUNCTION("""COMPUTED_VALUE"""),18.44)</f>
        <v>18.44</v>
      </c>
      <c r="C2186" s="3">
        <v>38.1414111686</v>
      </c>
    </row>
    <row r="2187">
      <c r="A2187" s="1">
        <f>IFERROR(__xludf.DUMMYFUNCTION("""COMPUTED_VALUE"""),43530.66666666667)</f>
        <v>43530.66667</v>
      </c>
      <c r="B2187" s="2">
        <f>IFERROR(__xludf.DUMMYFUNCTION("""COMPUTED_VALUE"""),18.42)</f>
        <v>18.42</v>
      </c>
      <c r="C2187" s="3">
        <v>37.2544840773115</v>
      </c>
    </row>
    <row r="2188">
      <c r="A2188" s="1">
        <f>IFERROR(__xludf.DUMMYFUNCTION("""COMPUTED_VALUE"""),43531.66666666667)</f>
        <v>43531.66667</v>
      </c>
      <c r="B2188" s="2">
        <f>IFERROR(__xludf.DUMMYFUNCTION("""COMPUTED_VALUE"""),18.44)</f>
        <v>18.44</v>
      </c>
      <c r="C2188" s="3">
        <v>35.5800433593263</v>
      </c>
    </row>
    <row r="2189">
      <c r="A2189" s="1">
        <f>IFERROR(__xludf.DUMMYFUNCTION("""COMPUTED_VALUE"""),43532.66666666667)</f>
        <v>43532.66667</v>
      </c>
      <c r="B2189" s="2">
        <f>IFERROR(__xludf.DUMMYFUNCTION("""COMPUTED_VALUE"""),18.94)</f>
        <v>18.94</v>
      </c>
      <c r="C2189" s="3">
        <v>34.0274394284396</v>
      </c>
    </row>
    <row r="2190">
      <c r="A2190" s="1">
        <f>IFERROR(__xludf.DUMMYFUNCTION("""COMPUTED_VALUE"""),43535.66666666667)</f>
        <v>43535.66667</v>
      </c>
      <c r="B2190" s="2">
        <f>IFERROR(__xludf.DUMMYFUNCTION("""COMPUTED_VALUE"""),19.39)</f>
        <v>19.39</v>
      </c>
      <c r="C2190" s="3">
        <v>34.4399338778216</v>
      </c>
    </row>
    <row r="2191">
      <c r="A2191" s="1">
        <f>IFERROR(__xludf.DUMMYFUNCTION("""COMPUTED_VALUE"""),43536.66666666667)</f>
        <v>43536.66667</v>
      </c>
      <c r="B2191" s="2">
        <f>IFERROR(__xludf.DUMMYFUNCTION("""COMPUTED_VALUE"""),18.89)</f>
        <v>18.89</v>
      </c>
      <c r="C2191" s="3">
        <v>34.0897948682514</v>
      </c>
    </row>
    <row r="2192">
      <c r="A2192" s="1">
        <f>IFERROR(__xludf.DUMMYFUNCTION("""COMPUTED_VALUE"""),43537.66666666667)</f>
        <v>43537.66667</v>
      </c>
      <c r="B2192" s="2">
        <f>IFERROR(__xludf.DUMMYFUNCTION("""COMPUTED_VALUE"""),19.26)</f>
        <v>19.26</v>
      </c>
      <c r="C2192" s="3">
        <v>34.2696636834285</v>
      </c>
    </row>
    <row r="2193">
      <c r="A2193" s="1">
        <f>IFERROR(__xludf.DUMMYFUNCTION("""COMPUTED_VALUE"""),43538.66666666667)</f>
        <v>43538.66667</v>
      </c>
      <c r="B2193" s="2">
        <f>IFERROR(__xludf.DUMMYFUNCTION("""COMPUTED_VALUE"""),19.33)</f>
        <v>19.33</v>
      </c>
      <c r="C2193" s="3">
        <v>33.6498556317423</v>
      </c>
    </row>
    <row r="2194">
      <c r="A2194" s="1">
        <f>IFERROR(__xludf.DUMMYFUNCTION("""COMPUTED_VALUE"""),43539.66666666667)</f>
        <v>43539.66667</v>
      </c>
      <c r="B2194" s="2">
        <f>IFERROR(__xludf.DUMMYFUNCTION("""COMPUTED_VALUE"""),18.36)</f>
        <v>18.36</v>
      </c>
      <c r="C2194" s="3">
        <v>33.1222055091983</v>
      </c>
    </row>
    <row r="2195">
      <c r="A2195" s="1">
        <f>IFERROR(__xludf.DUMMYFUNCTION("""COMPUTED_VALUE"""),43542.66666666667)</f>
        <v>43542.66667</v>
      </c>
      <c r="B2195" s="2">
        <f>IFERROR(__xludf.DUMMYFUNCTION("""COMPUTED_VALUE"""),17.97)</f>
        <v>17.97</v>
      </c>
      <c r="C2195" s="3">
        <v>36.2775765094923</v>
      </c>
    </row>
    <row r="2196">
      <c r="A2196" s="1">
        <f>IFERROR(__xludf.DUMMYFUNCTION("""COMPUTED_VALUE"""),43543.66666666667)</f>
        <v>43543.66667</v>
      </c>
      <c r="B2196" s="2">
        <f>IFERROR(__xludf.DUMMYFUNCTION("""COMPUTED_VALUE"""),17.83)</f>
        <v>17.83</v>
      </c>
      <c r="C2196" s="3">
        <v>36.6891696165225</v>
      </c>
    </row>
    <row r="2197">
      <c r="A2197" s="1">
        <f>IFERROR(__xludf.DUMMYFUNCTION("""COMPUTED_VALUE"""),43544.66666666667)</f>
        <v>43544.66667</v>
      </c>
      <c r="B2197" s="2">
        <f>IFERROR(__xludf.DUMMYFUNCTION("""COMPUTED_VALUE"""),18.24)</f>
        <v>18.24</v>
      </c>
      <c r="C2197" s="3">
        <v>37.5391221786357</v>
      </c>
    </row>
    <row r="2198">
      <c r="A2198" s="1">
        <f>IFERROR(__xludf.DUMMYFUNCTION("""COMPUTED_VALUE"""),43545.66666666667)</f>
        <v>43545.66667</v>
      </c>
      <c r="B2198" s="2">
        <f>IFERROR(__xludf.DUMMYFUNCTION("""COMPUTED_VALUE"""),18.27)</f>
        <v>18.27</v>
      </c>
      <c r="C2198" s="3">
        <v>37.492212573568</v>
      </c>
    </row>
    <row r="2199">
      <c r="A2199" s="1">
        <f>IFERROR(__xludf.DUMMYFUNCTION("""COMPUTED_VALUE"""),43546.66666666667)</f>
        <v>43546.66667</v>
      </c>
      <c r="B2199" s="2">
        <f>IFERROR(__xludf.DUMMYFUNCTION("""COMPUTED_VALUE"""),17.64)</f>
        <v>17.64</v>
      </c>
      <c r="C2199" s="3">
        <v>37.4372830091562</v>
      </c>
    </row>
    <row r="2200">
      <c r="A2200" s="1">
        <f>IFERROR(__xludf.DUMMYFUNCTION("""COMPUTED_VALUE"""),43549.66666666667)</f>
        <v>43549.66667</v>
      </c>
      <c r="B2200" s="2">
        <f>IFERROR(__xludf.DUMMYFUNCTION("""COMPUTED_VALUE"""),17.36)</f>
        <v>17.36</v>
      </c>
      <c r="C2200" s="3">
        <v>41.4167714276955</v>
      </c>
    </row>
    <row r="2201">
      <c r="A2201" s="1">
        <f>IFERROR(__xludf.DUMMYFUNCTION("""COMPUTED_VALUE"""),43550.66666666667)</f>
        <v>43550.66667</v>
      </c>
      <c r="B2201" s="2">
        <f>IFERROR(__xludf.DUMMYFUNCTION("""COMPUTED_VALUE"""),17.85)</f>
        <v>17.85</v>
      </c>
      <c r="C2201" s="3">
        <v>41.9186759521922</v>
      </c>
    </row>
    <row r="2202">
      <c r="A2202" s="1">
        <f>IFERROR(__xludf.DUMMYFUNCTION("""COMPUTED_VALUE"""),43551.66666666667)</f>
        <v>43551.66667</v>
      </c>
      <c r="B2202" s="2">
        <f>IFERROR(__xludf.DUMMYFUNCTION("""COMPUTED_VALUE"""),18.32)</f>
        <v>18.32</v>
      </c>
      <c r="C2202" s="3">
        <v>42.7783945693693</v>
      </c>
    </row>
    <row r="2203">
      <c r="A2203" s="1">
        <f>IFERROR(__xludf.DUMMYFUNCTION("""COMPUTED_VALUE"""),43552.66666666667)</f>
        <v>43552.66667</v>
      </c>
      <c r="B2203" s="2">
        <f>IFERROR(__xludf.DUMMYFUNCTION("""COMPUTED_VALUE"""),18.57)</f>
        <v>18.57</v>
      </c>
      <c r="C2203" s="3">
        <v>42.6699844551436</v>
      </c>
    </row>
    <row r="2204">
      <c r="A2204" s="1">
        <f>IFERROR(__xludf.DUMMYFUNCTION("""COMPUTED_VALUE"""),43553.66666666667)</f>
        <v>43553.66667</v>
      </c>
      <c r="B2204" s="2">
        <f>IFERROR(__xludf.DUMMYFUNCTION("""COMPUTED_VALUE"""),18.66)</f>
        <v>18.66</v>
      </c>
      <c r="C2204" s="3">
        <v>42.4926114201063</v>
      </c>
    </row>
    <row r="2205">
      <c r="A2205" s="1">
        <f>IFERROR(__xludf.DUMMYFUNCTION("""COMPUTED_VALUE"""),43556.66666666667)</f>
        <v>43556.66667</v>
      </c>
      <c r="B2205" s="2">
        <f>IFERROR(__xludf.DUMMYFUNCTION("""COMPUTED_VALUE"""),19.28)</f>
        <v>19.28</v>
      </c>
      <c r="C2205" s="3">
        <v>45.8501374454553</v>
      </c>
    </row>
    <row r="2206">
      <c r="A2206" s="1">
        <f>IFERROR(__xludf.DUMMYFUNCTION("""COMPUTED_VALUE"""),43557.66666666667)</f>
        <v>43557.66667</v>
      </c>
      <c r="B2206" s="2">
        <f>IFERROR(__xludf.DUMMYFUNCTION("""COMPUTED_VALUE"""),19.06)</f>
        <v>19.06</v>
      </c>
      <c r="C2206" s="3">
        <v>46.0968130665189</v>
      </c>
    </row>
    <row r="2207">
      <c r="A2207" s="1">
        <f>IFERROR(__xludf.DUMMYFUNCTION("""COMPUTED_VALUE"""),43558.66666666667)</f>
        <v>43558.66667</v>
      </c>
      <c r="B2207" s="2">
        <f>IFERROR(__xludf.DUMMYFUNCTION("""COMPUTED_VALUE"""),19.45)</f>
        <v>19.45</v>
      </c>
      <c r="C2207" s="3">
        <v>46.6945607829722</v>
      </c>
    </row>
    <row r="2208">
      <c r="A2208" s="1">
        <f>IFERROR(__xludf.DUMMYFUNCTION("""COMPUTED_VALUE"""),43559.66666666667)</f>
        <v>43559.66667</v>
      </c>
      <c r="B2208" s="2">
        <f>IFERROR(__xludf.DUMMYFUNCTION("""COMPUTED_VALUE"""),17.85)</f>
        <v>17.85</v>
      </c>
      <c r="C2208" s="3">
        <v>46.3263276741624</v>
      </c>
    </row>
    <row r="2209">
      <c r="A2209" s="1">
        <f>IFERROR(__xludf.DUMMYFUNCTION("""COMPUTED_VALUE"""),43560.66666666667)</f>
        <v>43560.66667</v>
      </c>
      <c r="B2209" s="2">
        <f>IFERROR(__xludf.DUMMYFUNCTION("""COMPUTED_VALUE"""),18.33)</f>
        <v>18.33</v>
      </c>
      <c r="C2209" s="3">
        <v>45.8988368762529</v>
      </c>
    </row>
    <row r="2210">
      <c r="A2210" s="1">
        <f>IFERROR(__xludf.DUMMYFUNCTION("""COMPUTED_VALUE"""),43563.66666666667)</f>
        <v>43563.66667</v>
      </c>
      <c r="B2210" s="2">
        <f>IFERROR(__xludf.DUMMYFUNCTION("""COMPUTED_VALUE"""),18.21)</f>
        <v>18.21</v>
      </c>
      <c r="C2210" s="3">
        <v>48.6160229450745</v>
      </c>
    </row>
    <row r="2211">
      <c r="A2211" s="1">
        <f>IFERROR(__xludf.DUMMYFUNCTION("""COMPUTED_VALUE"""),43564.66666666667)</f>
        <v>43564.66667</v>
      </c>
      <c r="B2211" s="2">
        <f>IFERROR(__xludf.DUMMYFUNCTION("""COMPUTED_VALUE"""),18.15)</f>
        <v>18.15</v>
      </c>
      <c r="C2211" s="3">
        <v>48.6945409716046</v>
      </c>
    </row>
    <row r="2212">
      <c r="A2212" s="1">
        <f>IFERROR(__xludf.DUMMYFUNCTION("""COMPUTED_VALUE"""),43565.66666666667)</f>
        <v>43565.66667</v>
      </c>
      <c r="B2212" s="2">
        <f>IFERROR(__xludf.DUMMYFUNCTION("""COMPUTED_VALUE"""),18.4)</f>
        <v>18.4</v>
      </c>
      <c r="C2212" s="3">
        <v>49.1466971669059</v>
      </c>
    </row>
    <row r="2213">
      <c r="A2213" s="1">
        <f>IFERROR(__xludf.DUMMYFUNCTION("""COMPUTED_VALUE"""),43566.66666666667)</f>
        <v>43566.66667</v>
      </c>
      <c r="B2213" s="2">
        <f>IFERROR(__xludf.DUMMYFUNCTION("""COMPUTED_VALUE"""),17.89)</f>
        <v>17.89</v>
      </c>
      <c r="C2213" s="3">
        <v>48.65289206275</v>
      </c>
    </row>
    <row r="2214">
      <c r="A2214" s="1">
        <f>IFERROR(__xludf.DUMMYFUNCTION("""COMPUTED_VALUE"""),43567.66666666667)</f>
        <v>43567.66667</v>
      </c>
      <c r="B2214" s="2">
        <f>IFERROR(__xludf.DUMMYFUNCTION("""COMPUTED_VALUE"""),17.85)</f>
        <v>17.85</v>
      </c>
      <c r="C2214" s="3">
        <v>48.1158329525134</v>
      </c>
    </row>
    <row r="2215">
      <c r="A2215" s="1">
        <f>IFERROR(__xludf.DUMMYFUNCTION("""COMPUTED_VALUE"""),43570.66666666667)</f>
        <v>43570.66667</v>
      </c>
      <c r="B2215" s="2">
        <f>IFERROR(__xludf.DUMMYFUNCTION("""COMPUTED_VALUE"""),17.76)</f>
        <v>17.76</v>
      </c>
      <c r="C2215" s="3">
        <v>50.542825544162</v>
      </c>
    </row>
    <row r="2216">
      <c r="A2216" s="1">
        <f>IFERROR(__xludf.DUMMYFUNCTION("""COMPUTED_VALUE"""),43571.66666666667)</f>
        <v>43571.66667</v>
      </c>
      <c r="B2216" s="2">
        <f>IFERROR(__xludf.DUMMYFUNCTION("""COMPUTED_VALUE"""),18.22)</f>
        <v>18.22</v>
      </c>
      <c r="C2216" s="3">
        <v>50.514406482441</v>
      </c>
    </row>
    <row r="2217">
      <c r="A2217" s="1">
        <f>IFERROR(__xludf.DUMMYFUNCTION("""COMPUTED_VALUE"""),43572.66666666667)</f>
        <v>43572.66667</v>
      </c>
      <c r="B2217" s="2">
        <f>IFERROR(__xludf.DUMMYFUNCTION("""COMPUTED_VALUE"""),18.08)</f>
        <v>18.08</v>
      </c>
      <c r="C2217" s="3">
        <v>50.842138078025</v>
      </c>
    </row>
    <row r="2218">
      <c r="A2218" s="1">
        <f>IFERROR(__xludf.DUMMYFUNCTION("""COMPUTED_VALUE"""),43573.66666666667)</f>
        <v>43573.66667</v>
      </c>
      <c r="B2218" s="2">
        <f>IFERROR(__xludf.DUMMYFUNCTION("""COMPUTED_VALUE"""),18.22)</f>
        <v>18.22</v>
      </c>
      <c r="C2218" s="3">
        <v>50.1991498939837</v>
      </c>
    </row>
    <row r="2219">
      <c r="A2219" s="1">
        <f>IFERROR(__xludf.DUMMYFUNCTION("""COMPUTED_VALUE"""),43577.66666666667)</f>
        <v>43577.66667</v>
      </c>
      <c r="B2219" s="2">
        <f>IFERROR(__xludf.DUMMYFUNCTION("""COMPUTED_VALUE"""),17.52)</f>
        <v>17.52</v>
      </c>
      <c r="C2219" s="3">
        <v>51.1248459468383</v>
      </c>
    </row>
    <row r="2220">
      <c r="A2220" s="1">
        <f>IFERROR(__xludf.DUMMYFUNCTION("""COMPUTED_VALUE"""),43578.66666666667)</f>
        <v>43578.66667</v>
      </c>
      <c r="B2220" s="2">
        <f>IFERROR(__xludf.DUMMYFUNCTION("""COMPUTED_VALUE"""),17.59)</f>
        <v>17.59</v>
      </c>
      <c r="C2220" s="3">
        <v>50.7436288266668</v>
      </c>
    </row>
    <row r="2221">
      <c r="A2221" s="1">
        <f>IFERROR(__xludf.DUMMYFUNCTION("""COMPUTED_VALUE"""),43579.66666666667)</f>
        <v>43579.66667</v>
      </c>
      <c r="B2221" s="2">
        <f>IFERROR(__xludf.DUMMYFUNCTION("""COMPUTED_VALUE"""),17.24)</f>
        <v>17.24</v>
      </c>
      <c r="C2221" s="3">
        <v>50.6711376273627</v>
      </c>
    </row>
    <row r="2222">
      <c r="A2222" s="1">
        <f>IFERROR(__xludf.DUMMYFUNCTION("""COMPUTED_VALUE"""),43580.66666666667)</f>
        <v>43580.66667</v>
      </c>
      <c r="B2222" s="2">
        <f>IFERROR(__xludf.DUMMYFUNCTION("""COMPUTED_VALUE"""),16.51)</f>
        <v>16.51</v>
      </c>
      <c r="C2222" s="3">
        <v>49.5821235459408</v>
      </c>
    </row>
    <row r="2223">
      <c r="A2223" s="1">
        <f>IFERROR(__xludf.DUMMYFUNCTION("""COMPUTED_VALUE"""),43581.66666666667)</f>
        <v>43581.66667</v>
      </c>
      <c r="B2223" s="2">
        <f>IFERROR(__xludf.DUMMYFUNCTION("""COMPUTED_VALUE"""),15.68)</f>
        <v>15.68</v>
      </c>
      <c r="C2223" s="3">
        <v>48.3759878345838</v>
      </c>
    </row>
    <row r="2224">
      <c r="A2224" s="1">
        <f>IFERROR(__xludf.DUMMYFUNCTION("""COMPUTED_VALUE"""),43584.66666666667)</f>
        <v>43584.66667</v>
      </c>
      <c r="B2224" s="2">
        <f>IFERROR(__xludf.DUMMYFUNCTION("""COMPUTED_VALUE"""),16.1)</f>
        <v>16.1</v>
      </c>
      <c r="C2224" s="3">
        <v>48.3595134325308</v>
      </c>
    </row>
    <row r="2225">
      <c r="A2225" s="1">
        <f>IFERROR(__xludf.DUMMYFUNCTION("""COMPUTED_VALUE"""),43585.66666666667)</f>
        <v>43585.66667</v>
      </c>
      <c r="B2225" s="2">
        <f>IFERROR(__xludf.DUMMYFUNCTION("""COMPUTED_VALUE"""),15.91)</f>
        <v>15.91</v>
      </c>
      <c r="C2225" s="3">
        <v>47.3876383947686</v>
      </c>
    </row>
    <row r="2226">
      <c r="A2226" s="1">
        <f>IFERROR(__xludf.DUMMYFUNCTION("""COMPUTED_VALUE"""),43586.66666666667)</f>
        <v>43586.66667</v>
      </c>
      <c r="B2226" s="2">
        <f>IFERROR(__xludf.DUMMYFUNCTION("""COMPUTED_VALUE"""),15.6)</f>
        <v>15.6</v>
      </c>
      <c r="C2226" s="3">
        <v>46.7226569960398</v>
      </c>
    </row>
    <row r="2227">
      <c r="A2227" s="1">
        <f>IFERROR(__xludf.DUMMYFUNCTION("""COMPUTED_VALUE"""),43587.66666666667)</f>
        <v>43587.66667</v>
      </c>
      <c r="B2227" s="2">
        <f>IFERROR(__xludf.DUMMYFUNCTION("""COMPUTED_VALUE"""),16.27)</f>
        <v>16.27</v>
      </c>
      <c r="C2227" s="3">
        <v>45.0507334317465</v>
      </c>
    </row>
    <row r="2228">
      <c r="A2228" s="1">
        <f>IFERROR(__xludf.DUMMYFUNCTION("""COMPUTED_VALUE"""),43588.66666666667)</f>
        <v>43588.66667</v>
      </c>
      <c r="B2228" s="2">
        <f>IFERROR(__xludf.DUMMYFUNCTION("""COMPUTED_VALUE"""),17.0)</f>
        <v>17</v>
      </c>
      <c r="C2228" s="3">
        <v>43.2831196686291</v>
      </c>
    </row>
    <row r="2229">
      <c r="A2229" s="1">
        <f>IFERROR(__xludf.DUMMYFUNCTION("""COMPUTED_VALUE"""),43591.66666666667)</f>
        <v>43591.66667</v>
      </c>
      <c r="B2229" s="2">
        <f>IFERROR(__xludf.DUMMYFUNCTION("""COMPUTED_VALUE"""),17.02)</f>
        <v>17.02</v>
      </c>
      <c r="C2229" s="3">
        <v>41.828718128278</v>
      </c>
    </row>
    <row r="2230">
      <c r="A2230" s="1">
        <f>IFERROR(__xludf.DUMMYFUNCTION("""COMPUTED_VALUE"""),43592.66666666667)</f>
        <v>43592.66667</v>
      </c>
      <c r="B2230" s="2">
        <f>IFERROR(__xludf.DUMMYFUNCTION("""COMPUTED_VALUE"""),16.47)</f>
        <v>16.47</v>
      </c>
      <c r="C2230" s="3">
        <v>40.4963979165405</v>
      </c>
    </row>
    <row r="2231">
      <c r="A2231" s="1">
        <f>IFERROR(__xludf.DUMMYFUNCTION("""COMPUTED_VALUE"""),43593.66666666667)</f>
        <v>43593.66667</v>
      </c>
      <c r="B2231" s="2">
        <f>IFERROR(__xludf.DUMMYFUNCTION("""COMPUTED_VALUE"""),16.32)</f>
        <v>16.32</v>
      </c>
      <c r="C2231" s="3">
        <v>39.5462861772763</v>
      </c>
    </row>
    <row r="2232">
      <c r="A2232" s="1">
        <f>IFERROR(__xludf.DUMMYFUNCTION("""COMPUTED_VALUE"""),43594.66666666667)</f>
        <v>43594.66667</v>
      </c>
      <c r="B2232" s="2">
        <f>IFERROR(__xludf.DUMMYFUNCTION("""COMPUTED_VALUE"""),16.13)</f>
        <v>16.13</v>
      </c>
      <c r="C2232" s="3">
        <v>37.671968883355</v>
      </c>
    </row>
    <row r="2233">
      <c r="A2233" s="1">
        <f>IFERROR(__xludf.DUMMYFUNCTION("""COMPUTED_VALUE"""),43595.66666666667)</f>
        <v>43595.66667</v>
      </c>
      <c r="B2233" s="2">
        <f>IFERROR(__xludf.DUMMYFUNCTION("""COMPUTED_VALUE"""),15.97)</f>
        <v>15.97</v>
      </c>
      <c r="C2233" s="3">
        <v>35.7903616364772</v>
      </c>
    </row>
    <row r="2234">
      <c r="A2234" s="1">
        <f>IFERROR(__xludf.DUMMYFUNCTION("""COMPUTED_VALUE"""),43598.66666666667)</f>
        <v>43598.66667</v>
      </c>
      <c r="B2234" s="2">
        <f>IFERROR(__xludf.DUMMYFUNCTION("""COMPUTED_VALUE"""),15.13)</f>
        <v>15.13</v>
      </c>
      <c r="C2234" s="3">
        <v>34.551030964412</v>
      </c>
    </row>
    <row r="2235">
      <c r="A2235" s="1">
        <f>IFERROR(__xludf.DUMMYFUNCTION("""COMPUTED_VALUE"""),43599.66666666667)</f>
        <v>43599.66667</v>
      </c>
      <c r="B2235" s="2">
        <f>IFERROR(__xludf.DUMMYFUNCTION("""COMPUTED_VALUE"""),15.49)</f>
        <v>15.49</v>
      </c>
      <c r="C2235" s="3">
        <v>33.4742982012402</v>
      </c>
    </row>
    <row r="2236">
      <c r="A2236" s="1">
        <f>IFERROR(__xludf.DUMMYFUNCTION("""COMPUTED_VALUE"""),43600.66666666667)</f>
        <v>43600.66667</v>
      </c>
      <c r="B2236" s="2">
        <f>IFERROR(__xludf.DUMMYFUNCTION("""COMPUTED_VALUE"""),15.46)</f>
        <v>15.46</v>
      </c>
      <c r="C2236" s="3">
        <v>32.8654410445335</v>
      </c>
    </row>
    <row r="2237">
      <c r="A2237" s="1">
        <f>IFERROR(__xludf.DUMMYFUNCTION("""COMPUTED_VALUE"""),43601.66666666667)</f>
        <v>43601.66667</v>
      </c>
      <c r="B2237" s="2">
        <f>IFERROR(__xludf.DUMMYFUNCTION("""COMPUTED_VALUE"""),15.22)</f>
        <v>15.22</v>
      </c>
      <c r="C2237" s="3">
        <v>31.4111852589442</v>
      </c>
    </row>
    <row r="2238">
      <c r="A2238" s="1">
        <f>IFERROR(__xludf.DUMMYFUNCTION("""COMPUTED_VALUE"""),43602.66666666667)</f>
        <v>43602.66667</v>
      </c>
      <c r="B2238" s="2">
        <f>IFERROR(__xludf.DUMMYFUNCTION("""COMPUTED_VALUE"""),14.07)</f>
        <v>14.07</v>
      </c>
      <c r="C2238" s="3">
        <v>30.0197317875151</v>
      </c>
    </row>
    <row r="2239">
      <c r="A2239" s="1">
        <f>IFERROR(__xludf.DUMMYFUNCTION("""COMPUTED_VALUE"""),43605.66666666667)</f>
        <v>43605.66667</v>
      </c>
      <c r="B2239" s="2">
        <f>IFERROR(__xludf.DUMMYFUNCTION("""COMPUTED_VALUE"""),13.69)</f>
        <v>13.69</v>
      </c>
      <c r="C2239" s="3">
        <v>30.5614216295781</v>
      </c>
    </row>
    <row r="2240">
      <c r="A2240" s="1">
        <f>IFERROR(__xludf.DUMMYFUNCTION("""COMPUTED_VALUE"""),43606.66666666667)</f>
        <v>43606.66667</v>
      </c>
      <c r="B2240" s="2">
        <f>IFERROR(__xludf.DUMMYFUNCTION("""COMPUTED_VALUE"""),13.67)</f>
        <v>13.67</v>
      </c>
      <c r="C2240" s="3">
        <v>30.1396603842078</v>
      </c>
    </row>
    <row r="2241">
      <c r="A2241" s="1">
        <f>IFERROR(__xludf.DUMMYFUNCTION("""COMPUTED_VALUE"""),43607.66666666667)</f>
        <v>43607.66667</v>
      </c>
      <c r="B2241" s="2">
        <f>IFERROR(__xludf.DUMMYFUNCTION("""COMPUTED_VALUE"""),12.85)</f>
        <v>12.85</v>
      </c>
      <c r="C2241" s="3">
        <v>30.1937138412331</v>
      </c>
    </row>
    <row r="2242">
      <c r="A2242" s="1">
        <f>IFERROR(__xludf.DUMMYFUNCTION("""COMPUTED_VALUE"""),43608.66666666667)</f>
        <v>43608.66667</v>
      </c>
      <c r="B2242" s="2">
        <f>IFERROR(__xludf.DUMMYFUNCTION("""COMPUTED_VALUE"""),13.03)</f>
        <v>13.03</v>
      </c>
      <c r="C2242" s="3">
        <v>29.3964847158743</v>
      </c>
    </row>
    <row r="2243">
      <c r="A2243" s="1">
        <f>IFERROR(__xludf.DUMMYFUNCTION("""COMPUTED_VALUE"""),43609.66666666667)</f>
        <v>43609.66667</v>
      </c>
      <c r="B2243" s="2">
        <f>IFERROR(__xludf.DUMMYFUNCTION("""COMPUTED_VALUE"""),12.71)</f>
        <v>12.71</v>
      </c>
      <c r="C2243" s="3">
        <v>28.6427388449134</v>
      </c>
    </row>
    <row r="2244">
      <c r="A2244" s="1">
        <f>IFERROR(__xludf.DUMMYFUNCTION("""COMPUTED_VALUE"""),43613.66666666667)</f>
        <v>43613.66667</v>
      </c>
      <c r="B2244" s="2">
        <f>IFERROR(__xludf.DUMMYFUNCTION("""COMPUTED_VALUE"""),12.58)</f>
        <v>12.58</v>
      </c>
      <c r="C2244" s="3">
        <v>30.884677320054</v>
      </c>
    </row>
    <row r="2245">
      <c r="A2245" s="1">
        <f>IFERROR(__xludf.DUMMYFUNCTION("""COMPUTED_VALUE"""),43614.66666666667)</f>
        <v>43614.66667</v>
      </c>
      <c r="B2245" s="2">
        <f>IFERROR(__xludf.DUMMYFUNCTION("""COMPUTED_VALUE"""),12.66)</f>
        <v>12.66</v>
      </c>
      <c r="C2245" s="3">
        <v>31.3156357644282</v>
      </c>
    </row>
    <row r="2246">
      <c r="A2246" s="1">
        <f>IFERROR(__xludf.DUMMYFUNCTION("""COMPUTED_VALUE"""),43615.66666666667)</f>
        <v>43615.66667</v>
      </c>
      <c r="B2246" s="2">
        <f>IFERROR(__xludf.DUMMYFUNCTION("""COMPUTED_VALUE"""),12.55)</f>
        <v>12.55</v>
      </c>
      <c r="C2246" s="3">
        <v>30.8216649823377</v>
      </c>
    </row>
    <row r="2247">
      <c r="A2247" s="1">
        <f>IFERROR(__xludf.DUMMYFUNCTION("""COMPUTED_VALUE"""),43616.66666666667)</f>
        <v>43616.66667</v>
      </c>
      <c r="B2247" s="2">
        <f>IFERROR(__xludf.DUMMYFUNCTION("""COMPUTED_VALUE"""),12.34)</f>
        <v>12.34</v>
      </c>
      <c r="C2247" s="3">
        <v>30.2950533566528</v>
      </c>
    </row>
    <row r="2248">
      <c r="A2248" s="1">
        <f>IFERROR(__xludf.DUMMYFUNCTION("""COMPUTED_VALUE"""),43619.66666666667)</f>
        <v>43619.66667</v>
      </c>
      <c r="B2248" s="2">
        <f>IFERROR(__xludf.DUMMYFUNCTION("""COMPUTED_VALUE"""),11.93)</f>
        <v>11.93</v>
      </c>
      <c r="C2248" s="3">
        <v>32.745332164371</v>
      </c>
    </row>
    <row r="2249">
      <c r="A2249" s="1">
        <f>IFERROR(__xludf.DUMMYFUNCTION("""COMPUTED_VALUE"""),43620.66666666667)</f>
        <v>43620.66667</v>
      </c>
      <c r="B2249" s="2">
        <f>IFERROR(__xludf.DUMMYFUNCTION("""COMPUTED_VALUE"""),12.91)</f>
        <v>12.91</v>
      </c>
      <c r="C2249" s="3">
        <v>32.7104145449922</v>
      </c>
    </row>
    <row r="2250">
      <c r="A2250" s="1">
        <f>IFERROR(__xludf.DUMMYFUNCTION("""COMPUTED_VALUE"""),43621.66666666667)</f>
        <v>43621.66667</v>
      </c>
      <c r="B2250" s="2">
        <f>IFERROR(__xludf.DUMMYFUNCTION("""COMPUTED_VALUE"""),13.11)</f>
        <v>13.11</v>
      </c>
      <c r="C2250" s="3">
        <v>33.0252292628876</v>
      </c>
    </row>
    <row r="2251">
      <c r="A2251" s="1">
        <f>IFERROR(__xludf.DUMMYFUNCTION("""COMPUTED_VALUE"""),43622.66666666667)</f>
        <v>43622.66667</v>
      </c>
      <c r="B2251" s="2">
        <f>IFERROR(__xludf.DUMMYFUNCTION("""COMPUTED_VALUE"""),13.73)</f>
        <v>13.73</v>
      </c>
      <c r="C2251" s="3">
        <v>32.367166876401</v>
      </c>
    </row>
    <row r="2252">
      <c r="A2252" s="1">
        <f>IFERROR(__xludf.DUMMYFUNCTION("""COMPUTED_VALUE"""),43623.66666666667)</f>
        <v>43623.66667</v>
      </c>
      <c r="B2252" s="2">
        <f>IFERROR(__xludf.DUMMYFUNCTION("""COMPUTED_VALUE"""),13.63)</f>
        <v>13.63</v>
      </c>
      <c r="C2252" s="3">
        <v>31.6388184028465</v>
      </c>
    </row>
    <row r="2253">
      <c r="A2253" s="1">
        <f>IFERROR(__xludf.DUMMYFUNCTION("""COMPUTED_VALUE"""),43626.66666666667)</f>
        <v>43626.66667</v>
      </c>
      <c r="B2253" s="2">
        <f>IFERROR(__xludf.DUMMYFUNCTION("""COMPUTED_VALUE"""),14.19)</f>
        <v>14.19</v>
      </c>
      <c r="C2253" s="3">
        <v>33.3718943967155</v>
      </c>
    </row>
    <row r="2254">
      <c r="A2254" s="1">
        <f>IFERROR(__xludf.DUMMYFUNCTION("""COMPUTED_VALUE"""),43627.66666666667)</f>
        <v>43627.66667</v>
      </c>
      <c r="B2254" s="2">
        <f>IFERROR(__xludf.DUMMYFUNCTION("""COMPUTED_VALUE"""),14.47)</f>
        <v>14.47</v>
      </c>
      <c r="C2254" s="3">
        <v>33.0996535261907</v>
      </c>
    </row>
    <row r="2255">
      <c r="A2255" s="1">
        <f>IFERROR(__xludf.DUMMYFUNCTION("""COMPUTED_VALUE"""),43628.66666666667)</f>
        <v>43628.66667</v>
      </c>
      <c r="B2255" s="2">
        <f>IFERROR(__xludf.DUMMYFUNCTION("""COMPUTED_VALUE"""),13.95)</f>
        <v>13.95</v>
      </c>
      <c r="C2255" s="3">
        <v>33.1968429498029</v>
      </c>
    </row>
    <row r="2256">
      <c r="A2256" s="1">
        <f>IFERROR(__xludf.DUMMYFUNCTION("""COMPUTED_VALUE"""),43629.66666666667)</f>
        <v>43629.66667</v>
      </c>
      <c r="B2256" s="2">
        <f>IFERROR(__xludf.DUMMYFUNCTION("""COMPUTED_VALUE"""),14.26)</f>
        <v>14.26</v>
      </c>
      <c r="C2256" s="3">
        <v>32.3509878707094</v>
      </c>
    </row>
    <row r="2257">
      <c r="A2257" s="1">
        <f>IFERROR(__xludf.DUMMYFUNCTION("""COMPUTED_VALUE"""),43630.66666666667)</f>
        <v>43630.66667</v>
      </c>
      <c r="B2257" s="2">
        <f>IFERROR(__xludf.DUMMYFUNCTION("""COMPUTED_VALUE"""),14.33)</f>
        <v>14.33</v>
      </c>
      <c r="C2257" s="3">
        <v>31.4735945663762</v>
      </c>
    </row>
    <row r="2258">
      <c r="A2258" s="1">
        <f>IFERROR(__xludf.DUMMYFUNCTION("""COMPUTED_VALUE"""),43633.66666666667)</f>
        <v>43633.66667</v>
      </c>
      <c r="B2258" s="2">
        <f>IFERROR(__xludf.DUMMYFUNCTION("""COMPUTED_VALUE"""),15.0)</f>
        <v>15</v>
      </c>
      <c r="C2258" s="3">
        <v>33.0575342038195</v>
      </c>
    </row>
    <row r="2259">
      <c r="A2259" s="1">
        <f>IFERROR(__xludf.DUMMYFUNCTION("""COMPUTED_VALUE"""),43634.66666666667)</f>
        <v>43634.66667</v>
      </c>
      <c r="B2259" s="2">
        <f>IFERROR(__xludf.DUMMYFUNCTION("""COMPUTED_VALUE"""),14.98)</f>
        <v>14.98</v>
      </c>
      <c r="C2259" s="3">
        <v>32.8475535145038</v>
      </c>
    </row>
    <row r="2260">
      <c r="A2260" s="1">
        <f>IFERROR(__xludf.DUMMYFUNCTION("""COMPUTED_VALUE"""),43635.66666666667)</f>
        <v>43635.66667</v>
      </c>
      <c r="B2260" s="2">
        <f>IFERROR(__xludf.DUMMYFUNCTION("""COMPUTED_VALUE"""),15.1)</f>
        <v>15.1</v>
      </c>
      <c r="C2260" s="3">
        <v>33.0643177648385</v>
      </c>
    </row>
    <row r="2261">
      <c r="A2261" s="1">
        <f>IFERROR(__xludf.DUMMYFUNCTION("""COMPUTED_VALUE"""),43636.66666666667)</f>
        <v>43636.66667</v>
      </c>
      <c r="B2261" s="2">
        <f>IFERROR(__xludf.DUMMYFUNCTION("""COMPUTED_VALUE"""),14.64)</f>
        <v>14.64</v>
      </c>
      <c r="C2261" s="3">
        <v>32.393090181354</v>
      </c>
    </row>
    <row r="2262">
      <c r="A2262" s="1">
        <f>IFERROR(__xludf.DUMMYFUNCTION("""COMPUTED_VALUE"""),43637.66666666667)</f>
        <v>43637.66667</v>
      </c>
      <c r="B2262" s="2">
        <f>IFERROR(__xludf.DUMMYFUNCTION("""COMPUTED_VALUE"""),14.79)</f>
        <v>14.79</v>
      </c>
      <c r="C2262" s="3">
        <v>31.7411493530417</v>
      </c>
    </row>
    <row r="2263">
      <c r="A2263" s="1">
        <f>IFERROR(__xludf.DUMMYFUNCTION("""COMPUTED_VALUE"""),43640.66666666667)</f>
        <v>43640.66667</v>
      </c>
      <c r="B2263" s="2">
        <f>IFERROR(__xludf.DUMMYFUNCTION("""COMPUTED_VALUE"""),14.91)</f>
        <v>14.91</v>
      </c>
      <c r="C2263" s="3">
        <v>34.2378246168764</v>
      </c>
    </row>
    <row r="2264">
      <c r="A2264" s="1">
        <f>IFERROR(__xludf.DUMMYFUNCTION("""COMPUTED_VALUE"""),43641.66666666667)</f>
        <v>43641.66667</v>
      </c>
      <c r="B2264" s="2">
        <f>IFERROR(__xludf.DUMMYFUNCTION("""COMPUTED_VALUE"""),14.65)</f>
        <v>14.65</v>
      </c>
      <c r="C2264" s="3">
        <v>34.3808140752855</v>
      </c>
    </row>
    <row r="2265">
      <c r="A2265" s="1">
        <f>IFERROR(__xludf.DUMMYFUNCTION("""COMPUTED_VALUE"""),43642.66666666667)</f>
        <v>43642.66667</v>
      </c>
      <c r="B2265" s="2">
        <f>IFERROR(__xludf.DUMMYFUNCTION("""COMPUTED_VALUE"""),14.62)</f>
        <v>14.62</v>
      </c>
      <c r="C2265" s="3">
        <v>34.9572532783779</v>
      </c>
    </row>
    <row r="2266">
      <c r="A2266" s="1">
        <f>IFERROR(__xludf.DUMMYFUNCTION("""COMPUTED_VALUE"""),43643.66666666667)</f>
        <v>43643.66667</v>
      </c>
      <c r="B2266" s="2">
        <f>IFERROR(__xludf.DUMMYFUNCTION("""COMPUTED_VALUE"""),14.86)</f>
        <v>14.86</v>
      </c>
      <c r="C2266" s="3">
        <v>34.6409176404424</v>
      </c>
    </row>
    <row r="2267">
      <c r="A2267" s="1">
        <f>IFERROR(__xludf.DUMMYFUNCTION("""COMPUTED_VALUE"""),43644.66666666667)</f>
        <v>43644.66667</v>
      </c>
      <c r="B2267" s="2">
        <f>IFERROR(__xludf.DUMMYFUNCTION("""COMPUTED_VALUE"""),14.9)</f>
        <v>14.9</v>
      </c>
      <c r="C2267" s="3">
        <v>34.327494648984</v>
      </c>
    </row>
    <row r="2268">
      <c r="A2268" s="1">
        <f>IFERROR(__xludf.DUMMYFUNCTION("""COMPUTED_VALUE"""),43647.66666666667)</f>
        <v>43647.66667</v>
      </c>
      <c r="B2268" s="2">
        <f>IFERROR(__xludf.DUMMYFUNCTION("""COMPUTED_VALUE"""),15.14)</f>
        <v>15.14</v>
      </c>
      <c r="C2268" s="3">
        <v>37.6315367663188</v>
      </c>
    </row>
    <row r="2269">
      <c r="A2269" s="1">
        <f>IFERROR(__xludf.DUMMYFUNCTION("""COMPUTED_VALUE"""),43648.66666666667)</f>
        <v>43648.66667</v>
      </c>
      <c r="B2269" s="2">
        <f>IFERROR(__xludf.DUMMYFUNCTION("""COMPUTED_VALUE"""),14.97)</f>
        <v>14.97</v>
      </c>
      <c r="C2269" s="3">
        <v>37.9419805059865</v>
      </c>
    </row>
    <row r="2270">
      <c r="A2270" s="1">
        <f>IFERROR(__xludf.DUMMYFUNCTION("""COMPUTED_VALUE"""),43649.54166666667)</f>
        <v>43649.54167</v>
      </c>
      <c r="B2270" s="2">
        <f>IFERROR(__xludf.DUMMYFUNCTION("""COMPUTED_VALUE"""),15.66)</f>
        <v>15.66</v>
      </c>
      <c r="C2270" s="3">
        <v>38.6221622732912</v>
      </c>
    </row>
    <row r="2271">
      <c r="A2271" s="1">
        <f>IFERROR(__xludf.DUMMYFUNCTION("""COMPUTED_VALUE"""),43651.66666666667)</f>
        <v>43651.66667</v>
      </c>
      <c r="B2271" s="2">
        <f>IFERROR(__xludf.DUMMYFUNCTION("""COMPUTED_VALUE"""),15.54)</f>
        <v>15.54</v>
      </c>
      <c r="C2271" s="3">
        <v>37.9897436821299</v>
      </c>
    </row>
    <row r="2272">
      <c r="A2272" s="1">
        <f>IFERROR(__xludf.DUMMYFUNCTION("""COMPUTED_VALUE"""),43654.66666666667)</f>
        <v>43654.66667</v>
      </c>
      <c r="B2272" s="2">
        <f>IFERROR(__xludf.DUMMYFUNCTION("""COMPUTED_VALUE"""),15.36)</f>
        <v>15.36</v>
      </c>
      <c r="C2272" s="3">
        <v>40.7458381592689</v>
      </c>
    </row>
    <row r="2273">
      <c r="A2273" s="1">
        <f>IFERROR(__xludf.DUMMYFUNCTION("""COMPUTED_VALUE"""),43655.66666666667)</f>
        <v>43655.66667</v>
      </c>
      <c r="B2273" s="2">
        <f>IFERROR(__xludf.DUMMYFUNCTION("""COMPUTED_VALUE"""),15.34)</f>
        <v>15.34</v>
      </c>
      <c r="C2273" s="3">
        <v>40.7381851688774</v>
      </c>
    </row>
    <row r="2274">
      <c r="A2274" s="1">
        <f>IFERROR(__xludf.DUMMYFUNCTION("""COMPUTED_VALUE"""),43656.66666666667)</f>
        <v>43656.66667</v>
      </c>
      <c r="B2274" s="2">
        <f>IFERROR(__xludf.DUMMYFUNCTION("""COMPUTED_VALUE"""),15.93)</f>
        <v>15.93</v>
      </c>
      <c r="C2274" s="3">
        <v>41.0424010377978</v>
      </c>
    </row>
    <row r="2275">
      <c r="A2275" s="1">
        <f>IFERROR(__xludf.DUMMYFUNCTION("""COMPUTED_VALUE"""),43657.66666666667)</f>
        <v>43657.66667</v>
      </c>
      <c r="B2275" s="2">
        <f>IFERROR(__xludf.DUMMYFUNCTION("""COMPUTED_VALUE"""),15.91)</f>
        <v>15.91</v>
      </c>
      <c r="C2275" s="3">
        <v>40.3356201802388</v>
      </c>
    </row>
    <row r="2276">
      <c r="A2276" s="1">
        <f>IFERROR(__xludf.DUMMYFUNCTION("""COMPUTED_VALUE"""),43658.66666666667)</f>
        <v>43658.66667</v>
      </c>
      <c r="B2276" s="2">
        <f>IFERROR(__xludf.DUMMYFUNCTION("""COMPUTED_VALUE"""),16.34)</f>
        <v>16.34</v>
      </c>
      <c r="C2276" s="3">
        <v>39.5202998978852</v>
      </c>
    </row>
    <row r="2277">
      <c r="A2277" s="1">
        <f>IFERROR(__xludf.DUMMYFUNCTION("""COMPUTED_VALUE"""),43661.66666666667)</f>
        <v>43661.66667</v>
      </c>
      <c r="B2277" s="2">
        <f>IFERROR(__xludf.DUMMYFUNCTION("""COMPUTED_VALUE"""),16.9)</f>
        <v>16.9</v>
      </c>
      <c r="C2277" s="3">
        <v>40.7647159522219</v>
      </c>
    </row>
    <row r="2278">
      <c r="A2278" s="1">
        <f>IFERROR(__xludf.DUMMYFUNCTION("""COMPUTED_VALUE"""),43662.66666666667)</f>
        <v>43662.66667</v>
      </c>
      <c r="B2278" s="2">
        <f>IFERROR(__xludf.DUMMYFUNCTION("""COMPUTED_VALUE"""),16.83)</f>
        <v>16.83</v>
      </c>
      <c r="C2278" s="3">
        <v>40.2557068976671</v>
      </c>
    </row>
    <row r="2279">
      <c r="A2279" s="1">
        <f>IFERROR(__xludf.DUMMYFUNCTION("""COMPUTED_VALUE"""),43663.66666666667)</f>
        <v>43663.66667</v>
      </c>
      <c r="B2279" s="2">
        <f>IFERROR(__xludf.DUMMYFUNCTION("""COMPUTED_VALUE"""),16.99)</f>
        <v>16.99</v>
      </c>
      <c r="C2279" s="3">
        <v>40.0811034849298</v>
      </c>
    </row>
    <row r="2280">
      <c r="A2280" s="1">
        <f>IFERROR(__xludf.DUMMYFUNCTION("""COMPUTED_VALUE"""),43664.66666666667)</f>
        <v>43664.66667</v>
      </c>
      <c r="B2280" s="2">
        <f>IFERROR(__xludf.DUMMYFUNCTION("""COMPUTED_VALUE"""),16.9)</f>
        <v>16.9</v>
      </c>
      <c r="C2280" s="3">
        <v>38.930206711637</v>
      </c>
    </row>
    <row r="2281">
      <c r="A2281" s="1">
        <f>IFERROR(__xludf.DUMMYFUNCTION("""COMPUTED_VALUE"""),43665.66666666667)</f>
        <v>43665.66667</v>
      </c>
      <c r="B2281" s="2">
        <f>IFERROR(__xludf.DUMMYFUNCTION("""COMPUTED_VALUE"""),17.21)</f>
        <v>17.21</v>
      </c>
      <c r="C2281" s="3">
        <v>37.7167558704132</v>
      </c>
    </row>
    <row r="2282">
      <c r="A2282" s="1">
        <f>IFERROR(__xludf.DUMMYFUNCTION("""COMPUTED_VALUE"""),43668.66666666667)</f>
        <v>43668.66667</v>
      </c>
      <c r="B2282" s="2">
        <f>IFERROR(__xludf.DUMMYFUNCTION("""COMPUTED_VALUE"""),17.05)</f>
        <v>17.05</v>
      </c>
      <c r="C2282" s="3">
        <v>38.1358109560654</v>
      </c>
    </row>
    <row r="2283">
      <c r="A2283" s="1">
        <f>IFERROR(__xludf.DUMMYFUNCTION("""COMPUTED_VALUE"""),43669.66666666667)</f>
        <v>43669.66667</v>
      </c>
      <c r="B2283" s="2">
        <f>IFERROR(__xludf.DUMMYFUNCTION("""COMPUTED_VALUE"""),17.34)</f>
        <v>17.34</v>
      </c>
      <c r="C2283" s="3">
        <v>37.4973900325796</v>
      </c>
    </row>
    <row r="2284">
      <c r="A2284" s="1">
        <f>IFERROR(__xludf.DUMMYFUNCTION("""COMPUTED_VALUE"""),43670.66666666667)</f>
        <v>43670.66667</v>
      </c>
      <c r="B2284" s="2">
        <f>IFERROR(__xludf.DUMMYFUNCTION("""COMPUTED_VALUE"""),17.66)</f>
        <v>17.66</v>
      </c>
      <c r="C2284" s="3">
        <v>37.2727489599616</v>
      </c>
    </row>
    <row r="2285">
      <c r="A2285" s="1">
        <f>IFERROR(__xludf.DUMMYFUNCTION("""COMPUTED_VALUE"""),43671.66666666667)</f>
        <v>43671.66667</v>
      </c>
      <c r="B2285" s="2">
        <f>IFERROR(__xludf.DUMMYFUNCTION("""COMPUTED_VALUE"""),15.25)</f>
        <v>15.25</v>
      </c>
      <c r="C2285" s="3">
        <v>36.1519648757332</v>
      </c>
    </row>
    <row r="2286">
      <c r="A2286" s="1">
        <f>IFERROR(__xludf.DUMMYFUNCTION("""COMPUTED_VALUE"""),43672.66666666667)</f>
        <v>43672.66667</v>
      </c>
      <c r="B2286" s="2">
        <f>IFERROR(__xludf.DUMMYFUNCTION("""COMPUTED_VALUE"""),15.2)</f>
        <v>15.2</v>
      </c>
      <c r="C2286" s="3">
        <v>35.0474162166453</v>
      </c>
    </row>
    <row r="2287">
      <c r="A2287" s="1">
        <f>IFERROR(__xludf.DUMMYFUNCTION("""COMPUTED_VALUE"""),43675.66666666667)</f>
        <v>43675.66667</v>
      </c>
      <c r="B2287" s="2">
        <f>IFERROR(__xludf.DUMMYFUNCTION("""COMPUTED_VALUE"""),15.72)</f>
        <v>15.72</v>
      </c>
      <c r="C2287" s="3">
        <v>36.2216990996057</v>
      </c>
    </row>
    <row r="2288">
      <c r="A2288" s="1">
        <f>IFERROR(__xludf.DUMMYFUNCTION("""COMPUTED_VALUE"""),43676.66666666667)</f>
        <v>43676.66667</v>
      </c>
      <c r="B2288" s="2">
        <f>IFERROR(__xludf.DUMMYFUNCTION("""COMPUTED_VALUE"""),16.15)</f>
        <v>16.15</v>
      </c>
      <c r="C2288" s="3">
        <v>35.9539439908019</v>
      </c>
    </row>
    <row r="2289">
      <c r="A2289" s="1">
        <f>IFERROR(__xludf.DUMMYFUNCTION("""COMPUTED_VALUE"""),43677.66666666667)</f>
        <v>43677.66667</v>
      </c>
      <c r="B2289" s="2">
        <f>IFERROR(__xludf.DUMMYFUNCTION("""COMPUTED_VALUE"""),16.11)</f>
        <v>16.11</v>
      </c>
      <c r="C2289" s="3">
        <v>36.1436367992748</v>
      </c>
    </row>
    <row r="2290">
      <c r="A2290" s="1">
        <f>IFERROR(__xludf.DUMMYFUNCTION("""COMPUTED_VALUE"""),43678.66666666667)</f>
        <v>43678.66667</v>
      </c>
      <c r="B2290" s="2">
        <f>IFERROR(__xludf.DUMMYFUNCTION("""COMPUTED_VALUE"""),15.59)</f>
        <v>15.59</v>
      </c>
      <c r="C2290" s="3">
        <v>35.4696519644487</v>
      </c>
    </row>
    <row r="2291">
      <c r="A2291" s="1">
        <f>IFERROR(__xludf.DUMMYFUNCTION("""COMPUTED_VALUE"""),43679.66666666667)</f>
        <v>43679.66667</v>
      </c>
      <c r="B2291" s="2">
        <f>IFERROR(__xludf.DUMMYFUNCTION("""COMPUTED_VALUE"""),15.62)</f>
        <v>15.62</v>
      </c>
      <c r="C2291" s="3">
        <v>34.8324586031761</v>
      </c>
    </row>
    <row r="2292">
      <c r="A2292" s="1">
        <f>IFERROR(__xludf.DUMMYFUNCTION("""COMPUTED_VALUE"""),43682.66666666667)</f>
        <v>43682.66667</v>
      </c>
      <c r="B2292" s="2">
        <f>IFERROR(__xludf.DUMMYFUNCTION("""COMPUTED_VALUE"""),15.22)</f>
        <v>15.22</v>
      </c>
      <c r="C2292" s="3">
        <v>37.4097438654822</v>
      </c>
    </row>
    <row r="2293">
      <c r="A2293" s="1">
        <f>IFERROR(__xludf.DUMMYFUNCTION("""COMPUTED_VALUE"""),43683.66666666667)</f>
        <v>43683.66667</v>
      </c>
      <c r="B2293" s="2">
        <f>IFERROR(__xludf.DUMMYFUNCTION("""COMPUTED_VALUE"""),15.38)</f>
        <v>15.38</v>
      </c>
      <c r="C2293" s="3">
        <v>37.5705126782642</v>
      </c>
    </row>
    <row r="2294">
      <c r="A2294" s="1">
        <f>IFERROR(__xludf.DUMMYFUNCTION("""COMPUTED_VALUE"""),43684.66666666667)</f>
        <v>43684.66667</v>
      </c>
      <c r="B2294" s="2">
        <f>IFERROR(__xludf.DUMMYFUNCTION("""COMPUTED_VALUE"""),15.56)</f>
        <v>15.56</v>
      </c>
      <c r="C2294" s="3">
        <v>38.1512704540898</v>
      </c>
    </row>
    <row r="2295">
      <c r="A2295" s="1">
        <f>IFERROR(__xludf.DUMMYFUNCTION("""COMPUTED_VALUE"""),43685.66666666667)</f>
        <v>43685.66667</v>
      </c>
      <c r="B2295" s="2">
        <f>IFERROR(__xludf.DUMMYFUNCTION("""COMPUTED_VALUE"""),15.89)</f>
        <v>15.89</v>
      </c>
      <c r="C2295" s="3">
        <v>37.8218963905391</v>
      </c>
    </row>
    <row r="2296">
      <c r="A2296" s="1">
        <f>IFERROR(__xludf.DUMMYFUNCTION("""COMPUTED_VALUE"""),43686.66666666667)</f>
        <v>43686.66667</v>
      </c>
      <c r="B2296" s="2">
        <f>IFERROR(__xludf.DUMMYFUNCTION("""COMPUTED_VALUE"""),15.67)</f>
        <v>15.67</v>
      </c>
      <c r="C2296" s="3">
        <v>37.475377075919</v>
      </c>
    </row>
    <row r="2297">
      <c r="A2297" s="1">
        <f>IFERROR(__xludf.DUMMYFUNCTION("""COMPUTED_VALUE"""),43689.66666666667)</f>
        <v>43689.66667</v>
      </c>
      <c r="B2297" s="2">
        <f>IFERROR(__xludf.DUMMYFUNCTION("""COMPUTED_VALUE"""),15.27)</f>
        <v>15.27</v>
      </c>
      <c r="C2297" s="3">
        <v>40.5525935988384</v>
      </c>
    </row>
    <row r="2298">
      <c r="A2298" s="1">
        <f>IFERROR(__xludf.DUMMYFUNCTION("""COMPUTED_VALUE"""),43690.66666666667)</f>
        <v>43690.66667</v>
      </c>
      <c r="B2298" s="2">
        <f>IFERROR(__xludf.DUMMYFUNCTION("""COMPUTED_VALUE"""),15.67)</f>
        <v>15.67</v>
      </c>
      <c r="C2298" s="3">
        <v>40.7493096886386</v>
      </c>
    </row>
    <row r="2299">
      <c r="A2299" s="1">
        <f>IFERROR(__xludf.DUMMYFUNCTION("""COMPUTED_VALUE"""),43691.66666666667)</f>
        <v>43691.66667</v>
      </c>
      <c r="B2299" s="2">
        <f>IFERROR(__xludf.DUMMYFUNCTION("""COMPUTED_VALUE"""),14.64)</f>
        <v>14.64</v>
      </c>
      <c r="C2299" s="3">
        <v>41.3021585931891</v>
      </c>
    </row>
    <row r="2300">
      <c r="A2300" s="1">
        <f>IFERROR(__xludf.DUMMYFUNCTION("""COMPUTED_VALUE"""),43692.66666666667)</f>
        <v>43692.66667</v>
      </c>
      <c r="B2300" s="2">
        <f>IFERROR(__xludf.DUMMYFUNCTION("""COMPUTED_VALUE"""),14.38)</f>
        <v>14.38</v>
      </c>
      <c r="C2300" s="3">
        <v>40.8846929041162</v>
      </c>
    </row>
    <row r="2301">
      <c r="A2301" s="1">
        <f>IFERROR(__xludf.DUMMYFUNCTION("""COMPUTED_VALUE"""),43693.66666666667)</f>
        <v>43693.66667</v>
      </c>
      <c r="B2301" s="2">
        <f>IFERROR(__xludf.DUMMYFUNCTION("""COMPUTED_VALUE"""),14.66)</f>
        <v>14.66</v>
      </c>
      <c r="C2301" s="3">
        <v>40.3952414811051</v>
      </c>
    </row>
    <row r="2302">
      <c r="A2302" s="1">
        <f>IFERROR(__xludf.DUMMYFUNCTION("""COMPUTED_VALUE"""),43696.66666666667)</f>
        <v>43696.66667</v>
      </c>
      <c r="B2302" s="2">
        <f>IFERROR(__xludf.DUMMYFUNCTION("""COMPUTED_VALUE"""),15.12)</f>
        <v>15.12</v>
      </c>
      <c r="C2302" s="3">
        <v>42.7886005370515</v>
      </c>
    </row>
    <row r="2303">
      <c r="A2303" s="1">
        <f>IFERROR(__xludf.DUMMYFUNCTION("""COMPUTED_VALUE"""),43697.66666666667)</f>
        <v>43697.66667</v>
      </c>
      <c r="B2303" s="2">
        <f>IFERROR(__xludf.DUMMYFUNCTION("""COMPUTED_VALUE"""),15.06)</f>
        <v>15.06</v>
      </c>
      <c r="C2303" s="3">
        <v>42.7020045219732</v>
      </c>
    </row>
    <row r="2304">
      <c r="A2304" s="1">
        <f>IFERROR(__xludf.DUMMYFUNCTION("""COMPUTED_VALUE"""),43698.66666666667)</f>
        <v>43698.66667</v>
      </c>
      <c r="B2304" s="2">
        <f>IFERROR(__xludf.DUMMYFUNCTION("""COMPUTED_VALUE"""),14.72)</f>
        <v>14.72</v>
      </c>
      <c r="C2304" s="3">
        <v>42.9601360046008</v>
      </c>
    </row>
    <row r="2305">
      <c r="A2305" s="1">
        <f>IFERROR(__xludf.DUMMYFUNCTION("""COMPUTED_VALUE"""),43699.66666666667)</f>
        <v>43699.66667</v>
      </c>
      <c r="B2305" s="2">
        <f>IFERROR(__xludf.DUMMYFUNCTION("""COMPUTED_VALUE"""),14.81)</f>
        <v>14.81</v>
      </c>
      <c r="C2305" s="3">
        <v>42.2465018200298</v>
      </c>
    </row>
    <row r="2306">
      <c r="A2306" s="1">
        <f>IFERROR(__xludf.DUMMYFUNCTION("""COMPUTED_VALUE"""),43700.66666666667)</f>
        <v>43700.66667</v>
      </c>
      <c r="B2306" s="2">
        <f>IFERROR(__xludf.DUMMYFUNCTION("""COMPUTED_VALUE"""),14.09)</f>
        <v>14.09</v>
      </c>
      <c r="C2306" s="3">
        <v>41.4690556126414</v>
      </c>
    </row>
    <row r="2307">
      <c r="A2307" s="1">
        <f>IFERROR(__xludf.DUMMYFUNCTION("""COMPUTED_VALUE"""),43703.66666666667)</f>
        <v>43703.66667</v>
      </c>
      <c r="B2307" s="2">
        <f>IFERROR(__xludf.DUMMYFUNCTION("""COMPUTED_VALUE"""),14.33)</f>
        <v>14.33</v>
      </c>
      <c r="C2307" s="3">
        <v>43.1324149466754</v>
      </c>
    </row>
    <row r="2308">
      <c r="A2308" s="1">
        <f>IFERROR(__xludf.DUMMYFUNCTION("""COMPUTED_VALUE"""),43704.66666666667)</f>
        <v>43704.66667</v>
      </c>
      <c r="B2308" s="2">
        <f>IFERROR(__xludf.DUMMYFUNCTION("""COMPUTED_VALUE"""),14.27)</f>
        <v>14.27</v>
      </c>
      <c r="C2308" s="3">
        <v>42.8698375270542</v>
      </c>
    </row>
    <row r="2309">
      <c r="A2309" s="1">
        <f>IFERROR(__xludf.DUMMYFUNCTION("""COMPUTED_VALUE"""),43705.66666666667)</f>
        <v>43705.66667</v>
      </c>
      <c r="B2309" s="2">
        <f>IFERROR(__xludf.DUMMYFUNCTION("""COMPUTED_VALUE"""),14.37)</f>
        <v>14.37</v>
      </c>
      <c r="C2309" s="3">
        <v>42.9934513827716</v>
      </c>
    </row>
    <row r="2310">
      <c r="A2310" s="1">
        <f>IFERROR(__xludf.DUMMYFUNCTION("""COMPUTED_VALUE"""),43706.66666666667)</f>
        <v>43706.66667</v>
      </c>
      <c r="B2310" s="2">
        <f>IFERROR(__xludf.DUMMYFUNCTION("""COMPUTED_VALUE"""),14.78)</f>
        <v>14.78</v>
      </c>
      <c r="C2310" s="3">
        <v>42.1889879304294</v>
      </c>
    </row>
    <row r="2311">
      <c r="A2311" s="1">
        <f>IFERROR(__xludf.DUMMYFUNCTION("""COMPUTED_VALUE"""),43707.66666666667)</f>
        <v>43707.66667</v>
      </c>
      <c r="B2311" s="2">
        <f>IFERROR(__xludf.DUMMYFUNCTION("""COMPUTED_VALUE"""),15.04)</f>
        <v>15.04</v>
      </c>
      <c r="C2311" s="3">
        <v>41.3648847115618</v>
      </c>
    </row>
    <row r="2312">
      <c r="A2312" s="1">
        <f>IFERROR(__xludf.DUMMYFUNCTION("""COMPUTED_VALUE"""),43711.66666666667)</f>
        <v>43711.66667</v>
      </c>
      <c r="B2312" s="2">
        <f>IFERROR(__xludf.DUMMYFUNCTION("""COMPUTED_VALUE"""),15.0)</f>
        <v>15</v>
      </c>
      <c r="C2312" s="3">
        <v>42.9710686839295</v>
      </c>
    </row>
    <row r="2313">
      <c r="A2313" s="1">
        <f>IFERROR(__xludf.DUMMYFUNCTION("""COMPUTED_VALUE"""),43712.66666666667)</f>
        <v>43712.66667</v>
      </c>
      <c r="B2313" s="2">
        <f>IFERROR(__xludf.DUMMYFUNCTION("""COMPUTED_VALUE"""),14.71)</f>
        <v>14.71</v>
      </c>
      <c r="C2313" s="3">
        <v>43.2183394731672</v>
      </c>
    </row>
    <row r="2314">
      <c r="A2314" s="1">
        <f>IFERROR(__xludf.DUMMYFUNCTION("""COMPUTED_VALUE"""),43713.66666666667)</f>
        <v>43713.66667</v>
      </c>
      <c r="B2314" s="2">
        <f>IFERROR(__xludf.DUMMYFUNCTION("""COMPUTED_VALUE"""),15.31)</f>
        <v>15.31</v>
      </c>
      <c r="C2314" s="3">
        <v>42.5519159236771</v>
      </c>
    </row>
    <row r="2315">
      <c r="A2315" s="1">
        <f>IFERROR(__xludf.DUMMYFUNCTION("""COMPUTED_VALUE"""),43714.66666666667)</f>
        <v>43714.66667</v>
      </c>
      <c r="B2315" s="2">
        <f>IFERROR(__xludf.DUMMYFUNCTION("""COMPUTED_VALUE"""),15.16)</f>
        <v>15.16</v>
      </c>
      <c r="C2315" s="3">
        <v>41.8715399920317</v>
      </c>
    </row>
    <row r="2316">
      <c r="A2316" s="1">
        <f>IFERROR(__xludf.DUMMYFUNCTION("""COMPUTED_VALUE"""),43717.66666666667)</f>
        <v>43717.66667</v>
      </c>
      <c r="B2316" s="2">
        <f>IFERROR(__xludf.DUMMYFUNCTION("""COMPUTED_VALUE"""),15.45)</f>
        <v>15.45</v>
      </c>
      <c r="C2316" s="3">
        <v>44.0143161375764</v>
      </c>
    </row>
    <row r="2317">
      <c r="A2317" s="1">
        <f>IFERROR(__xludf.DUMMYFUNCTION("""COMPUTED_VALUE"""),43718.66666666667)</f>
        <v>43718.66667</v>
      </c>
      <c r="B2317" s="2">
        <f>IFERROR(__xludf.DUMMYFUNCTION("""COMPUTED_VALUE"""),15.7)</f>
        <v>15.7</v>
      </c>
      <c r="C2317" s="3">
        <v>43.9306264623487</v>
      </c>
    </row>
    <row r="2318">
      <c r="A2318" s="1">
        <f>IFERROR(__xludf.DUMMYFUNCTION("""COMPUTED_VALUE"""),43719.66666666667)</f>
        <v>43719.66667</v>
      </c>
      <c r="B2318" s="2">
        <f>IFERROR(__xludf.DUMMYFUNCTION("""COMPUTED_VALUE"""),16.47)</f>
        <v>16.47</v>
      </c>
      <c r="C2318" s="3">
        <v>44.2192010164686</v>
      </c>
    </row>
    <row r="2319">
      <c r="A2319" s="1">
        <f>IFERROR(__xludf.DUMMYFUNCTION("""COMPUTED_VALUE"""),43720.66666666667)</f>
        <v>43720.66667</v>
      </c>
      <c r="B2319" s="2">
        <f>IFERROR(__xludf.DUMMYFUNCTION("""COMPUTED_VALUE"""),16.39)</f>
        <v>16.39</v>
      </c>
      <c r="C2319" s="3">
        <v>43.5517988563552</v>
      </c>
    </row>
    <row r="2320">
      <c r="A2320" s="1">
        <f>IFERROR(__xludf.DUMMYFUNCTION("""COMPUTED_VALUE"""),43721.66666666667)</f>
        <v>43721.66667</v>
      </c>
      <c r="B2320" s="2">
        <f>IFERROR(__xludf.DUMMYFUNCTION("""COMPUTED_VALUE"""),16.35)</f>
        <v>16.35</v>
      </c>
      <c r="C2320" s="3">
        <v>42.8236981993557</v>
      </c>
    </row>
    <row r="2321">
      <c r="A2321" s="1">
        <f>IFERROR(__xludf.DUMMYFUNCTION("""COMPUTED_VALUE"""),43724.66666666667)</f>
        <v>43724.66667</v>
      </c>
      <c r="B2321" s="2">
        <f>IFERROR(__xludf.DUMMYFUNCTION("""COMPUTED_VALUE"""),16.19)</f>
        <v>16.19</v>
      </c>
      <c r="C2321" s="3">
        <v>44.5238854650279</v>
      </c>
    </row>
    <row r="2322">
      <c r="A2322" s="1">
        <f>IFERROR(__xludf.DUMMYFUNCTION("""COMPUTED_VALUE"""),43725.66666666667)</f>
        <v>43725.66667</v>
      </c>
      <c r="B2322" s="2">
        <f>IFERROR(__xludf.DUMMYFUNCTION("""COMPUTED_VALUE"""),16.32)</f>
        <v>16.32</v>
      </c>
      <c r="C2322" s="3">
        <v>44.1958681519899</v>
      </c>
    </row>
    <row r="2323">
      <c r="A2323" s="1">
        <f>IFERROR(__xludf.DUMMYFUNCTION("""COMPUTED_VALUE"""),43726.66666666667)</f>
        <v>43726.66667</v>
      </c>
      <c r="B2323" s="2">
        <f>IFERROR(__xludf.DUMMYFUNCTION("""COMPUTED_VALUE"""),16.23)</f>
        <v>16.23</v>
      </c>
      <c r="C2323" s="3">
        <v>44.1979807806594</v>
      </c>
    </row>
    <row r="2324">
      <c r="A2324" s="1">
        <f>IFERROR(__xludf.DUMMYFUNCTION("""COMPUTED_VALUE"""),43727.66666666667)</f>
        <v>43727.66667</v>
      </c>
      <c r="B2324" s="2">
        <f>IFERROR(__xludf.DUMMYFUNCTION("""COMPUTED_VALUE"""),16.44)</f>
        <v>16.44</v>
      </c>
      <c r="C2324" s="3">
        <v>43.2084878712865</v>
      </c>
    </row>
    <row r="2325">
      <c r="A2325" s="1">
        <f>IFERROR(__xludf.DUMMYFUNCTION("""COMPUTED_VALUE"""),43728.66666666667)</f>
        <v>43728.66667</v>
      </c>
      <c r="B2325" s="2">
        <f>IFERROR(__xludf.DUMMYFUNCTION("""COMPUTED_VALUE"""),16.04)</f>
        <v>16.04</v>
      </c>
      <c r="C2325" s="3">
        <v>42.1308183788162</v>
      </c>
    </row>
    <row r="2326">
      <c r="A2326" s="1">
        <f>IFERROR(__xludf.DUMMYFUNCTION("""COMPUTED_VALUE"""),43731.66666666667)</f>
        <v>43731.66667</v>
      </c>
      <c r="B2326" s="2">
        <f>IFERROR(__xludf.DUMMYFUNCTION("""COMPUTED_VALUE"""),16.08)</f>
        <v>16.08</v>
      </c>
      <c r="C2326" s="3">
        <v>42.7189121845045</v>
      </c>
    </row>
    <row r="2327">
      <c r="A2327" s="1">
        <f>IFERROR(__xludf.DUMMYFUNCTION("""COMPUTED_VALUE"""),43732.66666666667)</f>
        <v>43732.66667</v>
      </c>
      <c r="B2327" s="2">
        <f>IFERROR(__xludf.DUMMYFUNCTION("""COMPUTED_VALUE"""),14.88)</f>
        <v>14.88</v>
      </c>
      <c r="C2327" s="3">
        <v>42.0375618785542</v>
      </c>
    </row>
    <row r="2328">
      <c r="A2328" s="1">
        <f>IFERROR(__xludf.DUMMYFUNCTION("""COMPUTED_VALUE"""),43733.66666666667)</f>
        <v>43733.66667</v>
      </c>
      <c r="B2328" s="2">
        <f>IFERROR(__xludf.DUMMYFUNCTION("""COMPUTED_VALUE"""),15.25)</f>
        <v>15.25</v>
      </c>
      <c r="C2328" s="3">
        <v>41.7154461900118</v>
      </c>
    </row>
    <row r="2329">
      <c r="A2329" s="1">
        <f>IFERROR(__xludf.DUMMYFUNCTION("""COMPUTED_VALUE"""),43734.66666666667)</f>
        <v>43734.66667</v>
      </c>
      <c r="B2329" s="2">
        <f>IFERROR(__xludf.DUMMYFUNCTION("""COMPUTED_VALUE"""),16.17)</f>
        <v>16.17</v>
      </c>
      <c r="C2329" s="3">
        <v>40.4430307989467</v>
      </c>
    </row>
    <row r="2330">
      <c r="A2330" s="1">
        <f>IFERROR(__xludf.DUMMYFUNCTION("""COMPUTED_VALUE"""),43735.66666666667)</f>
        <v>43735.66667</v>
      </c>
      <c r="B2330" s="2">
        <f>IFERROR(__xludf.DUMMYFUNCTION("""COMPUTED_VALUE"""),16.14)</f>
        <v>16.14</v>
      </c>
      <c r="C2330" s="3">
        <v>39.1353898220634</v>
      </c>
    </row>
    <row r="2331">
      <c r="A2331" s="1">
        <f>IFERROR(__xludf.DUMMYFUNCTION("""COMPUTED_VALUE"""),43738.66666666667)</f>
        <v>43738.66667</v>
      </c>
      <c r="B2331" s="2">
        <f>IFERROR(__xludf.DUMMYFUNCTION("""COMPUTED_VALUE"""),16.06)</f>
        <v>16.06</v>
      </c>
      <c r="C2331" s="3">
        <v>39.4518755600187</v>
      </c>
    </row>
    <row r="2332">
      <c r="A2332" s="1">
        <f>IFERROR(__xludf.DUMMYFUNCTION("""COMPUTED_VALUE"""),43739.66666666667)</f>
        <v>43739.66667</v>
      </c>
      <c r="B2332" s="2">
        <f>IFERROR(__xludf.DUMMYFUNCTION("""COMPUTED_VALUE"""),16.31)</f>
        <v>16.31</v>
      </c>
      <c r="C2332" s="3">
        <v>38.8454122629204</v>
      </c>
    </row>
    <row r="2333">
      <c r="A2333" s="1">
        <f>IFERROR(__xludf.DUMMYFUNCTION("""COMPUTED_VALUE"""),43740.66666666667)</f>
        <v>43740.66667</v>
      </c>
      <c r="B2333" s="2">
        <f>IFERROR(__xludf.DUMMYFUNCTION("""COMPUTED_VALUE"""),16.21)</f>
        <v>16.21</v>
      </c>
      <c r="C2333" s="3">
        <v>38.68916538948</v>
      </c>
    </row>
    <row r="2334">
      <c r="A2334" s="1">
        <f>IFERROR(__xludf.DUMMYFUNCTION("""COMPUTED_VALUE"""),43741.66666666667)</f>
        <v>43741.66667</v>
      </c>
      <c r="B2334" s="2">
        <f>IFERROR(__xludf.DUMMYFUNCTION("""COMPUTED_VALUE"""),15.54)</f>
        <v>15.54</v>
      </c>
      <c r="C2334" s="3">
        <v>37.6752977261254</v>
      </c>
    </row>
    <row r="2335">
      <c r="A2335" s="1">
        <f>IFERROR(__xludf.DUMMYFUNCTION("""COMPUTED_VALUE"""),43742.66666666667)</f>
        <v>43742.66667</v>
      </c>
      <c r="B2335" s="2">
        <f>IFERROR(__xludf.DUMMYFUNCTION("""COMPUTED_VALUE"""),15.43)</f>
        <v>15.43</v>
      </c>
      <c r="C2335" s="3">
        <v>36.7182258813629</v>
      </c>
    </row>
    <row r="2336">
      <c r="A2336" s="1">
        <f>IFERROR(__xludf.DUMMYFUNCTION("""COMPUTED_VALUE"""),43745.66666666667)</f>
        <v>43745.66667</v>
      </c>
      <c r="B2336" s="2">
        <f>IFERROR(__xludf.DUMMYFUNCTION("""COMPUTED_VALUE"""),15.85)</f>
        <v>15.85</v>
      </c>
      <c r="C2336" s="3">
        <v>38.5962744624435</v>
      </c>
    </row>
    <row r="2337">
      <c r="A2337" s="1">
        <f>IFERROR(__xludf.DUMMYFUNCTION("""COMPUTED_VALUE"""),43746.66666666667)</f>
        <v>43746.66667</v>
      </c>
      <c r="B2337" s="2">
        <f>IFERROR(__xludf.DUMMYFUNCTION("""COMPUTED_VALUE"""),16.0)</f>
        <v>16</v>
      </c>
      <c r="C2337" s="3">
        <v>38.6547998797373</v>
      </c>
    </row>
    <row r="2338">
      <c r="A2338" s="1">
        <f>IFERROR(__xludf.DUMMYFUNCTION("""COMPUTED_VALUE"""),43747.66666666667)</f>
        <v>43747.66667</v>
      </c>
      <c r="B2338" s="2">
        <f>IFERROR(__xludf.DUMMYFUNCTION("""COMPUTED_VALUE"""),16.3)</f>
        <v>16.3</v>
      </c>
      <c r="C2338" s="3">
        <v>39.2178974768973</v>
      </c>
    </row>
    <row r="2339">
      <c r="A2339" s="1">
        <f>IFERROR(__xludf.DUMMYFUNCTION("""COMPUTED_VALUE"""),43748.66666666667)</f>
        <v>43748.66667</v>
      </c>
      <c r="B2339" s="2">
        <f>IFERROR(__xludf.DUMMYFUNCTION("""COMPUTED_VALUE"""),16.32)</f>
        <v>16.32</v>
      </c>
      <c r="C2339" s="3">
        <v>38.9644279847597</v>
      </c>
    </row>
    <row r="2340">
      <c r="A2340" s="1">
        <f>IFERROR(__xludf.DUMMYFUNCTION("""COMPUTED_VALUE"""),43749.66666666667)</f>
        <v>43749.66667</v>
      </c>
      <c r="B2340" s="2">
        <f>IFERROR(__xludf.DUMMYFUNCTION("""COMPUTED_VALUE"""),16.53)</f>
        <v>16.53</v>
      </c>
      <c r="C2340" s="3">
        <v>38.794225386569</v>
      </c>
    </row>
    <row r="2341">
      <c r="A2341" s="1">
        <f>IFERROR(__xludf.DUMMYFUNCTION("""COMPUTED_VALUE"""),43752.66666666667)</f>
        <v>43752.66667</v>
      </c>
      <c r="B2341" s="2">
        <f>IFERROR(__xludf.DUMMYFUNCTION("""COMPUTED_VALUE"""),17.13)</f>
        <v>17.13</v>
      </c>
      <c r="C2341" s="3">
        <v>43.0345930905445</v>
      </c>
    </row>
    <row r="2342">
      <c r="A2342" s="1">
        <f>IFERROR(__xludf.DUMMYFUNCTION("""COMPUTED_VALUE"""),43753.66666666667)</f>
        <v>43753.66667</v>
      </c>
      <c r="B2342" s="2">
        <f>IFERROR(__xludf.DUMMYFUNCTION("""COMPUTED_VALUE"""),17.19)</f>
        <v>17.19</v>
      </c>
      <c r="C2342" s="3">
        <v>43.8278485042332</v>
      </c>
    </row>
    <row r="2343">
      <c r="A2343" s="1">
        <f>IFERROR(__xludf.DUMMYFUNCTION("""COMPUTED_VALUE"""),43754.66666666667)</f>
        <v>43754.66667</v>
      </c>
      <c r="B2343" s="2">
        <f>IFERROR(__xludf.DUMMYFUNCTION("""COMPUTED_VALUE"""),17.32)</f>
        <v>17.32</v>
      </c>
      <c r="C2343" s="3">
        <v>45.0736919387878</v>
      </c>
    </row>
    <row r="2344">
      <c r="A2344" s="1">
        <f>IFERROR(__xludf.DUMMYFUNCTION("""COMPUTED_VALUE"""),43755.66666666667)</f>
        <v>43755.66667</v>
      </c>
      <c r="B2344" s="2">
        <f>IFERROR(__xludf.DUMMYFUNCTION("""COMPUTED_VALUE"""),17.46)</f>
        <v>17.46</v>
      </c>
      <c r="C2344" s="3">
        <v>45.4370716430849</v>
      </c>
    </row>
    <row r="2345">
      <c r="A2345" s="1">
        <f>IFERROR(__xludf.DUMMYFUNCTION("""COMPUTED_VALUE"""),43756.66666666667)</f>
        <v>43756.66667</v>
      </c>
      <c r="B2345" s="2">
        <f>IFERROR(__xludf.DUMMYFUNCTION("""COMPUTED_VALUE"""),17.13)</f>
        <v>17.13</v>
      </c>
      <c r="C2345" s="3">
        <v>45.8054163448531</v>
      </c>
    </row>
    <row r="2346">
      <c r="A2346" s="1">
        <f>IFERROR(__xludf.DUMMYFUNCTION("""COMPUTED_VALUE"""),43759.66666666667)</f>
        <v>43759.66667</v>
      </c>
      <c r="B2346" s="2">
        <f>IFERROR(__xludf.DUMMYFUNCTION("""COMPUTED_VALUE"""),16.9)</f>
        <v>16.9</v>
      </c>
      <c r="C2346" s="3">
        <v>51.0967436828842</v>
      </c>
    </row>
    <row r="2347">
      <c r="A2347" s="1">
        <f>IFERROR(__xludf.DUMMYFUNCTION("""COMPUTED_VALUE"""),43760.66666666667)</f>
        <v>43760.66667</v>
      </c>
      <c r="B2347" s="2">
        <f>IFERROR(__xludf.DUMMYFUNCTION("""COMPUTED_VALUE"""),17.04)</f>
        <v>17.04</v>
      </c>
      <c r="C2347" s="3">
        <v>52.0318816119262</v>
      </c>
    </row>
    <row r="2348">
      <c r="A2348" s="1">
        <f>IFERROR(__xludf.DUMMYFUNCTION("""COMPUTED_VALUE"""),43761.66666666667)</f>
        <v>43761.66667</v>
      </c>
      <c r="B2348" s="2">
        <f>IFERROR(__xludf.DUMMYFUNCTION("""COMPUTED_VALUE"""),16.98)</f>
        <v>16.98</v>
      </c>
      <c r="C2348" s="3">
        <v>53.3115396545228</v>
      </c>
    </row>
    <row r="2349">
      <c r="A2349" s="1">
        <f>IFERROR(__xludf.DUMMYFUNCTION("""COMPUTED_VALUE"""),43762.66666666667)</f>
        <v>43762.66667</v>
      </c>
      <c r="B2349" s="2">
        <f>IFERROR(__xludf.DUMMYFUNCTION("""COMPUTED_VALUE"""),19.98)</f>
        <v>19.98</v>
      </c>
      <c r="C2349" s="3">
        <v>53.6022456429048</v>
      </c>
    </row>
    <row r="2350">
      <c r="A2350" s="1">
        <f>IFERROR(__xludf.DUMMYFUNCTION("""COMPUTED_VALUE"""),43763.66666666667)</f>
        <v>43763.66667</v>
      </c>
      <c r="B2350" s="2">
        <f>IFERROR(__xludf.DUMMYFUNCTION("""COMPUTED_VALUE"""),21.88)</f>
        <v>21.88</v>
      </c>
      <c r="C2350" s="3">
        <v>53.7955565651287</v>
      </c>
    </row>
    <row r="2351">
      <c r="A2351" s="1">
        <f>IFERROR(__xludf.DUMMYFUNCTION("""COMPUTED_VALUE"""),43766.66666666667)</f>
        <v>43766.66667</v>
      </c>
      <c r="B2351" s="2">
        <f>IFERROR(__xludf.DUMMYFUNCTION("""COMPUTED_VALUE"""),21.85)</f>
        <v>21.85</v>
      </c>
      <c r="C2351" s="3">
        <v>58.024000063197</v>
      </c>
    </row>
    <row r="2352">
      <c r="A2352" s="1">
        <f>IFERROR(__xludf.DUMMYFUNCTION("""COMPUTED_VALUE"""),43767.66666666667)</f>
        <v>43767.66667</v>
      </c>
      <c r="B2352" s="2">
        <f>IFERROR(__xludf.DUMMYFUNCTION("""COMPUTED_VALUE"""),21.08)</f>
        <v>21.08</v>
      </c>
      <c r="C2352" s="3">
        <v>58.4610938268625</v>
      </c>
    </row>
    <row r="2353">
      <c r="A2353" s="1">
        <f>IFERROR(__xludf.DUMMYFUNCTION("""COMPUTED_VALUE"""),43768.66666666667)</f>
        <v>43768.66667</v>
      </c>
      <c r="B2353" s="2">
        <f>IFERROR(__xludf.DUMMYFUNCTION("""COMPUTED_VALUE"""),21.0)</f>
        <v>21</v>
      </c>
      <c r="C2353" s="3">
        <v>59.19253160422</v>
      </c>
    </row>
    <row r="2354">
      <c r="A2354" s="1">
        <f>IFERROR(__xludf.DUMMYFUNCTION("""COMPUTED_VALUE"""),43769.66666666667)</f>
        <v>43769.66667</v>
      </c>
      <c r="B2354" s="2">
        <f>IFERROR(__xludf.DUMMYFUNCTION("""COMPUTED_VALUE"""),20.99)</f>
        <v>20.99</v>
      </c>
      <c r="C2354" s="3">
        <v>58.8994526296408</v>
      </c>
    </row>
    <row r="2355">
      <c r="A2355" s="1">
        <f>IFERROR(__xludf.DUMMYFUNCTION("""COMPUTED_VALUE"""),43770.66666666667)</f>
        <v>43770.66667</v>
      </c>
      <c r="B2355" s="2">
        <f>IFERROR(__xludf.DUMMYFUNCTION("""COMPUTED_VALUE"""),20.89)</f>
        <v>20.89</v>
      </c>
      <c r="C2355" s="3">
        <v>58.4885137682942</v>
      </c>
    </row>
    <row r="2356">
      <c r="A2356" s="1">
        <f>IFERROR(__xludf.DUMMYFUNCTION("""COMPUTED_VALUE"""),43773.66666666667)</f>
        <v>43773.66667</v>
      </c>
      <c r="B2356" s="2">
        <f>IFERROR(__xludf.DUMMYFUNCTION("""COMPUTED_VALUE"""),21.16)</f>
        <v>21.16</v>
      </c>
      <c r="C2356" s="3">
        <v>60.9307302910176</v>
      </c>
    </row>
    <row r="2357">
      <c r="A2357" s="1">
        <f>IFERROR(__xludf.DUMMYFUNCTION("""COMPUTED_VALUE"""),43774.66666666667)</f>
        <v>43774.66667</v>
      </c>
      <c r="B2357" s="2">
        <f>IFERROR(__xludf.DUMMYFUNCTION("""COMPUTED_VALUE"""),21.15)</f>
        <v>21.15</v>
      </c>
      <c r="C2357" s="3">
        <v>60.8275297350881</v>
      </c>
    </row>
    <row r="2358">
      <c r="A2358" s="1">
        <f>IFERROR(__xludf.DUMMYFUNCTION("""COMPUTED_VALUE"""),43775.66666666667)</f>
        <v>43775.66667</v>
      </c>
      <c r="B2358" s="2">
        <f>IFERROR(__xludf.DUMMYFUNCTION("""COMPUTED_VALUE"""),21.77)</f>
        <v>21.77</v>
      </c>
      <c r="C2358" s="3">
        <v>61.0662610480966</v>
      </c>
    </row>
    <row r="2359">
      <c r="A2359" s="1">
        <f>IFERROR(__xludf.DUMMYFUNCTION("""COMPUTED_VALUE"""),43776.66666666667)</f>
        <v>43776.66667</v>
      </c>
      <c r="B2359" s="2">
        <f>IFERROR(__xludf.DUMMYFUNCTION("""COMPUTED_VALUE"""),22.37)</f>
        <v>22.37</v>
      </c>
      <c r="C2359" s="3">
        <v>60.3375094681355</v>
      </c>
    </row>
    <row r="2360">
      <c r="A2360" s="1">
        <f>IFERROR(__xludf.DUMMYFUNCTION("""COMPUTED_VALUE"""),43777.66666666667)</f>
        <v>43777.66667</v>
      </c>
      <c r="B2360" s="2">
        <f>IFERROR(__xludf.DUMMYFUNCTION("""COMPUTED_VALUE"""),22.48)</f>
        <v>22.48</v>
      </c>
      <c r="C2360" s="3">
        <v>59.5552858046257</v>
      </c>
    </row>
    <row r="2361">
      <c r="A2361" s="1">
        <f>IFERROR(__xludf.DUMMYFUNCTION("""COMPUTED_VALUE"""),43780.66666666667)</f>
        <v>43780.66667</v>
      </c>
      <c r="B2361" s="2">
        <f>IFERROR(__xludf.DUMMYFUNCTION("""COMPUTED_VALUE"""),23.01)</f>
        <v>23.01</v>
      </c>
      <c r="C2361" s="3">
        <v>61.3086883814373</v>
      </c>
    </row>
    <row r="2362">
      <c r="A2362" s="1">
        <f>IFERROR(__xludf.DUMMYFUNCTION("""COMPUTED_VALUE"""),43781.66666666667)</f>
        <v>43781.66667</v>
      </c>
      <c r="B2362" s="2">
        <f>IFERROR(__xludf.DUMMYFUNCTION("""COMPUTED_VALUE"""),23.33)</f>
        <v>23.33</v>
      </c>
      <c r="C2362" s="3">
        <v>61.1183750554484</v>
      </c>
    </row>
    <row r="2363">
      <c r="A2363" s="1">
        <f>IFERROR(__xludf.DUMMYFUNCTION("""COMPUTED_VALUE"""),43782.66666666667)</f>
        <v>43782.66667</v>
      </c>
      <c r="B2363" s="2">
        <f>IFERROR(__xludf.DUMMYFUNCTION("""COMPUTED_VALUE"""),23.07)</f>
        <v>23.07</v>
      </c>
      <c r="C2363" s="3">
        <v>61.3357005198681</v>
      </c>
    </row>
    <row r="2364">
      <c r="A2364" s="1">
        <f>IFERROR(__xludf.DUMMYFUNCTION("""COMPUTED_VALUE"""),43783.66666666667)</f>
        <v>43783.66667</v>
      </c>
      <c r="B2364" s="2">
        <f>IFERROR(__xludf.DUMMYFUNCTION("""COMPUTED_VALUE"""),23.29)</f>
        <v>23.29</v>
      </c>
      <c r="C2364" s="3">
        <v>60.6446239181908</v>
      </c>
    </row>
    <row r="2365">
      <c r="A2365" s="1">
        <f>IFERROR(__xludf.DUMMYFUNCTION("""COMPUTED_VALUE"""),43784.66666666667)</f>
        <v>43784.66667</v>
      </c>
      <c r="B2365" s="2">
        <f>IFERROR(__xludf.DUMMYFUNCTION("""COMPUTED_VALUE"""),23.48)</f>
        <v>23.48</v>
      </c>
      <c r="C2365" s="3">
        <v>59.9506314885556</v>
      </c>
    </row>
    <row r="2366">
      <c r="A2366" s="1">
        <f>IFERROR(__xludf.DUMMYFUNCTION("""COMPUTED_VALUE"""),43787.66666666667)</f>
        <v>43787.66667</v>
      </c>
      <c r="B2366" s="2">
        <f>IFERROR(__xludf.DUMMYFUNCTION("""COMPUTED_VALUE"""),23.33)</f>
        <v>23.33</v>
      </c>
      <c r="C2366" s="3">
        <v>65.8011523617459</v>
      </c>
    </row>
    <row r="2367">
      <c r="A2367" s="1">
        <f>IFERROR(__xludf.DUMMYFUNCTION("""COMPUTED_VALUE"""),43788.66666666667)</f>
        <v>43788.66667</v>
      </c>
      <c r="B2367" s="2">
        <f>IFERROR(__xludf.DUMMYFUNCTION("""COMPUTED_VALUE"""),23.97)</f>
        <v>23.97</v>
      </c>
      <c r="C2367" s="3">
        <v>67.0015224463137</v>
      </c>
    </row>
    <row r="2368">
      <c r="A2368" s="1">
        <f>IFERROR(__xludf.DUMMYFUNCTION("""COMPUTED_VALUE"""),43789.66666666667)</f>
        <v>43789.66667</v>
      </c>
      <c r="B2368" s="2">
        <f>IFERROR(__xludf.DUMMYFUNCTION("""COMPUTED_VALUE"""),23.48)</f>
        <v>23.48</v>
      </c>
      <c r="C2368" s="3">
        <v>68.6008932738511</v>
      </c>
    </row>
    <row r="2369">
      <c r="A2369" s="1">
        <f>IFERROR(__xludf.DUMMYFUNCTION("""COMPUTED_VALUE"""),43790.66666666667)</f>
        <v>43790.66667</v>
      </c>
      <c r="B2369" s="2">
        <f>IFERROR(__xludf.DUMMYFUNCTION("""COMPUTED_VALUE"""),23.66)</f>
        <v>23.66</v>
      </c>
      <c r="C2369" s="3">
        <v>69.2708954131413</v>
      </c>
    </row>
    <row r="2370">
      <c r="A2370" s="1">
        <f>IFERROR(__xludf.DUMMYFUNCTION("""COMPUTED_VALUE"""),43791.66666666667)</f>
        <v>43791.66667</v>
      </c>
      <c r="B2370" s="2">
        <f>IFERROR(__xludf.DUMMYFUNCTION("""COMPUTED_VALUE"""),22.2)</f>
        <v>22.2</v>
      </c>
      <c r="C2370" s="3">
        <v>69.905510264331</v>
      </c>
    </row>
    <row r="2371">
      <c r="A2371" s="1">
        <f>IFERROR(__xludf.DUMMYFUNCTION("""COMPUTED_VALUE"""),43794.66666666667)</f>
        <v>43794.66667</v>
      </c>
      <c r="B2371" s="2">
        <f>IFERROR(__xludf.DUMMYFUNCTION("""COMPUTED_VALUE"""),22.42)</f>
        <v>22.42</v>
      </c>
      <c r="C2371" s="3">
        <v>75.8161543321933</v>
      </c>
    </row>
    <row r="2372">
      <c r="A2372" s="1">
        <f>IFERROR(__xludf.DUMMYFUNCTION("""COMPUTED_VALUE"""),43795.66666666667)</f>
        <v>43795.66667</v>
      </c>
      <c r="B2372" s="2">
        <f>IFERROR(__xludf.DUMMYFUNCTION("""COMPUTED_VALUE"""),21.93)</f>
        <v>21.93</v>
      </c>
      <c r="C2372" s="3">
        <v>76.91762908848</v>
      </c>
    </row>
    <row r="2373">
      <c r="A2373" s="1">
        <f>IFERROR(__xludf.DUMMYFUNCTION("""COMPUTED_VALUE"""),43796.66666666667)</f>
        <v>43796.66667</v>
      </c>
      <c r="B2373" s="2">
        <f>IFERROR(__xludf.DUMMYFUNCTION("""COMPUTED_VALUE"""),22.09)</f>
        <v>22.09</v>
      </c>
      <c r="C2373" s="3">
        <v>78.3528483498776</v>
      </c>
    </row>
    <row r="2374">
      <c r="A2374" s="1">
        <f>IFERROR(__xludf.DUMMYFUNCTION("""COMPUTED_VALUE"""),43798.54166666667)</f>
        <v>43798.54167</v>
      </c>
      <c r="B2374" s="2">
        <f>IFERROR(__xludf.DUMMYFUNCTION("""COMPUTED_VALUE"""),22.0)</f>
        <v>22</v>
      </c>
      <c r="C2374" s="3">
        <v>79.1364461057145</v>
      </c>
    </row>
    <row r="2375">
      <c r="A2375" s="1">
        <f>IFERROR(__xludf.DUMMYFUNCTION("""COMPUTED_VALUE"""),43801.66666666667)</f>
        <v>43801.66667</v>
      </c>
      <c r="B2375" s="2">
        <f>IFERROR(__xludf.DUMMYFUNCTION("""COMPUTED_VALUE"""),22.32)</f>
        <v>22.32</v>
      </c>
      <c r="C2375" s="3">
        <v>83.859640437529</v>
      </c>
    </row>
    <row r="2376">
      <c r="A2376" s="1">
        <f>IFERROR(__xludf.DUMMYFUNCTION("""COMPUTED_VALUE"""),43802.66666666667)</f>
        <v>43802.66667</v>
      </c>
      <c r="B2376" s="2">
        <f>IFERROR(__xludf.DUMMYFUNCTION("""COMPUTED_VALUE"""),22.41)</f>
        <v>22.41</v>
      </c>
      <c r="C2376" s="3">
        <v>84.4930774525958</v>
      </c>
    </row>
    <row r="2377">
      <c r="A2377" s="1">
        <f>IFERROR(__xludf.DUMMYFUNCTION("""COMPUTED_VALUE"""),43803.66666666667)</f>
        <v>43803.66667</v>
      </c>
      <c r="B2377" s="2">
        <f>IFERROR(__xludf.DUMMYFUNCTION("""COMPUTED_VALUE"""),22.2)</f>
        <v>22.2</v>
      </c>
      <c r="C2377" s="3">
        <v>85.444654577308</v>
      </c>
    </row>
    <row r="2378">
      <c r="A2378" s="1">
        <f>IFERROR(__xludf.DUMMYFUNCTION("""COMPUTED_VALUE"""),43804.66666666667)</f>
        <v>43804.66667</v>
      </c>
      <c r="B2378" s="2">
        <f>IFERROR(__xludf.DUMMYFUNCTION("""COMPUTED_VALUE"""),22.02)</f>
        <v>22.02</v>
      </c>
      <c r="C2378" s="3">
        <v>85.4004834181719</v>
      </c>
    </row>
    <row r="2379">
      <c r="A2379" s="1">
        <f>IFERROR(__xludf.DUMMYFUNCTION("""COMPUTED_VALUE"""),43805.66666666667)</f>
        <v>43805.66667</v>
      </c>
      <c r="B2379" s="2">
        <f>IFERROR(__xludf.DUMMYFUNCTION("""COMPUTED_VALUE"""),22.39)</f>
        <v>22.39</v>
      </c>
      <c r="C2379" s="3">
        <v>85.2723226630552</v>
      </c>
    </row>
    <row r="2380">
      <c r="A2380" s="1">
        <f>IFERROR(__xludf.DUMMYFUNCTION("""COMPUTED_VALUE"""),43808.66666666667)</f>
        <v>43808.66667</v>
      </c>
      <c r="B2380" s="2">
        <f>IFERROR(__xludf.DUMMYFUNCTION("""COMPUTED_VALUE"""),22.64)</f>
        <v>22.64</v>
      </c>
      <c r="C2380" s="3">
        <v>88.8193721436734</v>
      </c>
    </row>
    <row r="2381">
      <c r="A2381" s="1">
        <f>IFERROR(__xludf.DUMMYFUNCTION("""COMPUTED_VALUE"""),43809.66666666667)</f>
        <v>43809.66667</v>
      </c>
      <c r="B2381" s="2">
        <f>IFERROR(__xludf.DUMMYFUNCTION("""COMPUTED_VALUE"""),23.26)</f>
        <v>23.26</v>
      </c>
      <c r="C2381" s="3">
        <v>89.1884298855206</v>
      </c>
    </row>
    <row r="2382">
      <c r="A2382" s="1">
        <f>IFERROR(__xludf.DUMMYFUNCTION("""COMPUTED_VALUE"""),43810.66666666667)</f>
        <v>43810.66667</v>
      </c>
      <c r="B2382" s="2">
        <f>IFERROR(__xludf.DUMMYFUNCTION("""COMPUTED_VALUE"""),23.51)</f>
        <v>23.51</v>
      </c>
      <c r="C2382" s="3">
        <v>89.9609197239535</v>
      </c>
    </row>
    <row r="2383">
      <c r="A2383" s="1">
        <f>IFERROR(__xludf.DUMMYFUNCTION("""COMPUTED_VALUE"""),43811.66666666667)</f>
        <v>43811.66667</v>
      </c>
      <c r="B2383" s="2">
        <f>IFERROR(__xludf.DUMMYFUNCTION("""COMPUTED_VALUE"""),23.98)</f>
        <v>23.98</v>
      </c>
      <c r="C2383" s="3">
        <v>89.8331912083093</v>
      </c>
    </row>
    <row r="2384">
      <c r="A2384" s="1">
        <f>IFERROR(__xludf.DUMMYFUNCTION("""COMPUTED_VALUE"""),43812.66666666667)</f>
        <v>43812.66667</v>
      </c>
      <c r="B2384" s="2">
        <f>IFERROR(__xludf.DUMMYFUNCTION("""COMPUTED_VALUE"""),23.89)</f>
        <v>23.89</v>
      </c>
      <c r="C2384" s="3">
        <v>89.7249575661554</v>
      </c>
    </row>
    <row r="2385">
      <c r="A2385" s="1">
        <f>IFERROR(__xludf.DUMMYFUNCTION("""COMPUTED_VALUE"""),43815.66666666667)</f>
        <v>43815.66667</v>
      </c>
      <c r="B2385" s="2">
        <f>IFERROR(__xludf.DUMMYFUNCTION("""COMPUTED_VALUE"""),25.43)</f>
        <v>25.43</v>
      </c>
      <c r="C2385" s="3">
        <v>93.9921706909816</v>
      </c>
    </row>
    <row r="2386">
      <c r="A2386" s="1">
        <f>IFERROR(__xludf.DUMMYFUNCTION("""COMPUTED_VALUE"""),43816.66666666667)</f>
        <v>43816.66667</v>
      </c>
      <c r="B2386" s="2">
        <f>IFERROR(__xludf.DUMMYFUNCTION("""COMPUTED_VALUE"""),25.27)</f>
        <v>25.27</v>
      </c>
      <c r="C2386" s="3">
        <v>94.819955482738</v>
      </c>
    </row>
    <row r="2387">
      <c r="A2387" s="1">
        <f>IFERROR(__xludf.DUMMYFUNCTION("""COMPUTED_VALUE"""),43817.66666666667)</f>
        <v>43817.66667</v>
      </c>
      <c r="B2387" s="2">
        <f>IFERROR(__xludf.DUMMYFUNCTION("""COMPUTED_VALUE"""),26.21)</f>
        <v>26.21</v>
      </c>
      <c r="C2387" s="3">
        <v>96.1522233993739</v>
      </c>
    </row>
    <row r="2388">
      <c r="A2388" s="1">
        <f>IFERROR(__xludf.DUMMYFUNCTION("""COMPUTED_VALUE"""),43818.66666666667)</f>
        <v>43818.66667</v>
      </c>
      <c r="B2388" s="2">
        <f>IFERROR(__xludf.DUMMYFUNCTION("""COMPUTED_VALUE"""),26.94)</f>
        <v>26.94</v>
      </c>
      <c r="C2388" s="3">
        <v>96.6759053105012</v>
      </c>
    </row>
    <row r="2389">
      <c r="A2389" s="1">
        <f>IFERROR(__xludf.DUMMYFUNCTION("""COMPUTED_VALUE"""),43819.66666666667)</f>
        <v>43819.66667</v>
      </c>
      <c r="B2389" s="2">
        <f>IFERROR(__xludf.DUMMYFUNCTION("""COMPUTED_VALUE"""),27.04)</f>
        <v>27.04</v>
      </c>
      <c r="C2389" s="3">
        <v>97.2985476141407</v>
      </c>
    </row>
    <row r="2390">
      <c r="A2390" s="1">
        <f>IFERROR(__xludf.DUMMYFUNCTION("""COMPUTED_VALUE"""),43822.66666666667)</f>
        <v>43822.66667</v>
      </c>
      <c r="B2390" s="2">
        <f>IFERROR(__xludf.DUMMYFUNCTION("""COMPUTED_VALUE"""),27.95)</f>
        <v>27.95</v>
      </c>
      <c r="C2390" s="3">
        <v>104.078329386992</v>
      </c>
    </row>
    <row r="2391">
      <c r="A2391" s="1">
        <f>IFERROR(__xludf.DUMMYFUNCTION("""COMPUTED_VALUE"""),43823.54166666667)</f>
        <v>43823.54167</v>
      </c>
      <c r="B2391" s="2">
        <f>IFERROR(__xludf.DUMMYFUNCTION("""COMPUTED_VALUE"""),28.35)</f>
        <v>28.35</v>
      </c>
      <c r="C2391" s="3">
        <v>105.78892534612</v>
      </c>
    </row>
    <row r="2392">
      <c r="A2392" s="1">
        <f>IFERROR(__xludf.DUMMYFUNCTION("""COMPUTED_VALUE"""),43825.66666666667)</f>
        <v>43825.66667</v>
      </c>
      <c r="B2392" s="2">
        <f>IFERROR(__xludf.DUMMYFUNCTION("""COMPUTED_VALUE"""),28.73)</f>
        <v>28.73</v>
      </c>
      <c r="C2392" s="3">
        <v>109.35665802494</v>
      </c>
    </row>
    <row r="2393">
      <c r="A2393" s="1">
        <f>IFERROR(__xludf.DUMMYFUNCTION("""COMPUTED_VALUE"""),43826.66666666667)</f>
        <v>43826.66667</v>
      </c>
      <c r="B2393" s="2">
        <f>IFERROR(__xludf.DUMMYFUNCTION("""COMPUTED_VALUE"""),28.69)</f>
        <v>28.69</v>
      </c>
      <c r="C2393" s="3">
        <v>110.766787812251</v>
      </c>
    </row>
    <row r="2394">
      <c r="A2394" s="1">
        <f>IFERROR(__xludf.DUMMYFUNCTION("""COMPUTED_VALUE"""),43829.66666666667)</f>
        <v>43829.66667</v>
      </c>
      <c r="B2394" s="2">
        <f>IFERROR(__xludf.DUMMYFUNCTION("""COMPUTED_VALUE"""),27.65)</f>
        <v>27.65</v>
      </c>
      <c r="C2394" s="3">
        <v>119.403700620051</v>
      </c>
    </row>
    <row r="2395">
      <c r="A2395" s="1">
        <f>IFERROR(__xludf.DUMMYFUNCTION("""COMPUTED_VALUE"""),43830.66666666667)</f>
        <v>43830.66667</v>
      </c>
      <c r="B2395" s="2">
        <f>IFERROR(__xludf.DUMMYFUNCTION("""COMPUTED_VALUE"""),27.89)</f>
        <v>27.89</v>
      </c>
      <c r="C2395" s="3">
        <v>121.510091749725</v>
      </c>
    </row>
    <row r="2396">
      <c r="A2396" s="1">
        <f>IFERROR(__xludf.DUMMYFUNCTION("""COMPUTED_VALUE"""),43832.66666666667)</f>
        <v>43832.66667</v>
      </c>
      <c r="B2396" s="2">
        <f>IFERROR(__xludf.DUMMYFUNCTION("""COMPUTED_VALUE"""),28.68)</f>
        <v>28.68</v>
      </c>
      <c r="C2396" s="3">
        <v>125.46154208475</v>
      </c>
    </row>
    <row r="2397">
      <c r="A2397" s="1">
        <f>IFERROR(__xludf.DUMMYFUNCTION("""COMPUTED_VALUE"""),43833.66666666667)</f>
        <v>43833.66667</v>
      </c>
      <c r="B2397" s="2">
        <f>IFERROR(__xludf.DUMMYFUNCTION("""COMPUTED_VALUE"""),29.53)</f>
        <v>29.53</v>
      </c>
      <c r="C2397" s="3">
        <v>126.845754427014</v>
      </c>
    </row>
    <row r="2398">
      <c r="A2398" s="1">
        <f>IFERROR(__xludf.DUMMYFUNCTION("""COMPUTED_VALUE"""),43836.66666666667)</f>
        <v>43836.66667</v>
      </c>
      <c r="B2398" s="2">
        <f>IFERROR(__xludf.DUMMYFUNCTION("""COMPUTED_VALUE"""),30.1)</f>
        <v>30.1</v>
      </c>
      <c r="C2398" s="3">
        <v>134.522314591356</v>
      </c>
    </row>
    <row r="2399">
      <c r="A2399" s="1">
        <f>IFERROR(__xludf.DUMMYFUNCTION("""COMPUTED_VALUE"""),43837.66666666667)</f>
        <v>43837.66667</v>
      </c>
      <c r="B2399" s="2">
        <f>IFERROR(__xludf.DUMMYFUNCTION("""COMPUTED_VALUE"""),31.27)</f>
        <v>31.27</v>
      </c>
      <c r="C2399" s="3">
        <v>136.031463615186</v>
      </c>
    </row>
    <row r="2400">
      <c r="A2400" s="1">
        <f>IFERROR(__xludf.DUMMYFUNCTION("""COMPUTED_VALUE"""),43838.66666666667)</f>
        <v>43838.66667</v>
      </c>
      <c r="B2400" s="2">
        <f>IFERROR(__xludf.DUMMYFUNCTION("""COMPUTED_VALUE"""),32.81)</f>
        <v>32.81</v>
      </c>
      <c r="C2400" s="3">
        <v>137.77928312728</v>
      </c>
    </row>
    <row r="2401">
      <c r="A2401" s="1">
        <f>IFERROR(__xludf.DUMMYFUNCTION("""COMPUTED_VALUE"""),43839.66666666667)</f>
        <v>43839.66667</v>
      </c>
      <c r="B2401" s="2">
        <f>IFERROR(__xludf.DUMMYFUNCTION("""COMPUTED_VALUE"""),32.09)</f>
        <v>32.09</v>
      </c>
      <c r="C2401" s="3">
        <v>138.437866976923</v>
      </c>
    </row>
    <row r="2402">
      <c r="A2402" s="1">
        <f>IFERROR(__xludf.DUMMYFUNCTION("""COMPUTED_VALUE"""),43840.66666666667)</f>
        <v>43840.66667</v>
      </c>
      <c r="B2402" s="2">
        <f>IFERROR(__xludf.DUMMYFUNCTION("""COMPUTED_VALUE"""),31.88)</f>
        <v>31.88</v>
      </c>
      <c r="C2402" s="3">
        <v>138.906003212159</v>
      </c>
    </row>
    <row r="2403">
      <c r="A2403" s="1">
        <f>IFERROR(__xludf.DUMMYFUNCTION("""COMPUTED_VALUE"""),43843.66666666667)</f>
        <v>43843.66667</v>
      </c>
      <c r="B2403" s="2">
        <f>IFERROR(__xludf.DUMMYFUNCTION("""COMPUTED_VALUE"""),34.99)</f>
        <v>34.99</v>
      </c>
      <c r="C2403" s="3">
        <v>143.493997975074</v>
      </c>
    </row>
    <row r="2404">
      <c r="A2404" s="1">
        <f>IFERROR(__xludf.DUMMYFUNCTION("""COMPUTED_VALUE"""),43844.66666666667)</f>
        <v>43844.66667</v>
      </c>
      <c r="B2404" s="2">
        <f>IFERROR(__xludf.DUMMYFUNCTION("""COMPUTED_VALUE"""),35.86)</f>
        <v>35.86</v>
      </c>
      <c r="C2404" s="3">
        <v>143.932549269025</v>
      </c>
    </row>
    <row r="2405">
      <c r="A2405" s="1">
        <f>IFERROR(__xludf.DUMMYFUNCTION("""COMPUTED_VALUE"""),43845.66666666667)</f>
        <v>43845.66667</v>
      </c>
      <c r="B2405" s="2">
        <f>IFERROR(__xludf.DUMMYFUNCTION("""COMPUTED_VALUE"""),34.57)</f>
        <v>34.57</v>
      </c>
      <c r="C2405" s="3">
        <v>144.626376099624</v>
      </c>
    </row>
    <row r="2406">
      <c r="A2406" s="1">
        <f>IFERROR(__xludf.DUMMYFUNCTION("""COMPUTED_VALUE"""),43846.66666666667)</f>
        <v>43846.66667</v>
      </c>
      <c r="B2406" s="2">
        <f>IFERROR(__xludf.DUMMYFUNCTION("""COMPUTED_VALUE"""),34.23)</f>
        <v>34.23</v>
      </c>
      <c r="C2406" s="3">
        <v>144.269226535725</v>
      </c>
    </row>
    <row r="2407">
      <c r="A2407" s="1">
        <f>IFERROR(__xludf.DUMMYFUNCTION("""COMPUTED_VALUE"""),43847.66666666667)</f>
        <v>43847.66667</v>
      </c>
      <c r="B2407" s="2">
        <f>IFERROR(__xludf.DUMMYFUNCTION("""COMPUTED_VALUE"""),34.03)</f>
        <v>34.03</v>
      </c>
      <c r="C2407" s="3">
        <v>143.780333177083</v>
      </c>
    </row>
    <row r="2408">
      <c r="A2408" s="1">
        <f>IFERROR(__xludf.DUMMYFUNCTION("""COMPUTED_VALUE"""),43851.66666666667)</f>
        <v>43851.66667</v>
      </c>
      <c r="B2408" s="2">
        <f>IFERROR(__xludf.DUMMYFUNCTION("""COMPUTED_VALUE"""),36.48)</f>
        <v>36.48</v>
      </c>
      <c r="C2408" s="3">
        <v>145.904325291941</v>
      </c>
    </row>
    <row r="2409">
      <c r="A2409" s="1">
        <f>IFERROR(__xludf.DUMMYFUNCTION("""COMPUTED_VALUE"""),43852.66666666667)</f>
        <v>43852.66667</v>
      </c>
      <c r="B2409" s="2">
        <f>IFERROR(__xludf.DUMMYFUNCTION("""COMPUTED_VALUE"""),37.97)</f>
        <v>37.97</v>
      </c>
      <c r="C2409" s="3">
        <v>146.165145378857</v>
      </c>
    </row>
    <row r="2410">
      <c r="A2410" s="1">
        <f>IFERROR(__xludf.DUMMYFUNCTION("""COMPUTED_VALUE"""),43853.66666666667)</f>
        <v>43853.66667</v>
      </c>
      <c r="B2410" s="2">
        <f>IFERROR(__xludf.DUMMYFUNCTION("""COMPUTED_VALUE"""),38.15)</f>
        <v>38.15</v>
      </c>
      <c r="C2410" s="3">
        <v>145.505476985815</v>
      </c>
    </row>
    <row r="2411">
      <c r="A2411" s="1">
        <f>IFERROR(__xludf.DUMMYFUNCTION("""COMPUTED_VALUE"""),43854.66666666667)</f>
        <v>43854.66667</v>
      </c>
      <c r="B2411" s="2">
        <f>IFERROR(__xludf.DUMMYFUNCTION("""COMPUTED_VALUE"""),37.65)</f>
        <v>37.65</v>
      </c>
      <c r="C2411" s="3">
        <v>144.845244628714</v>
      </c>
    </row>
    <row r="2412">
      <c r="A2412" s="1">
        <f>IFERROR(__xludf.DUMMYFUNCTION("""COMPUTED_VALUE"""),43857.66666666667)</f>
        <v>43857.66667</v>
      </c>
      <c r="B2412" s="2">
        <f>IFERROR(__xludf.DUMMYFUNCTION("""COMPUTED_VALUE"""),37.2)</f>
        <v>37.2</v>
      </c>
      <c r="C2412" s="3">
        <v>147.318095555265</v>
      </c>
    </row>
    <row r="2413">
      <c r="A2413" s="1">
        <f>IFERROR(__xludf.DUMMYFUNCTION("""COMPUTED_VALUE"""),43858.66666666667)</f>
        <v>43858.66667</v>
      </c>
      <c r="B2413" s="2">
        <f>IFERROR(__xludf.DUMMYFUNCTION("""COMPUTED_VALUE"""),37.79)</f>
        <v>37.79</v>
      </c>
      <c r="C2413" s="3">
        <v>147.489655540501</v>
      </c>
    </row>
    <row r="2414">
      <c r="A2414" s="1">
        <f>IFERROR(__xludf.DUMMYFUNCTION("""COMPUTED_VALUE"""),43859.66666666667)</f>
        <v>43859.66667</v>
      </c>
      <c r="B2414" s="2">
        <f>IFERROR(__xludf.DUMMYFUNCTION("""COMPUTED_VALUE"""),38.73)</f>
        <v>38.73</v>
      </c>
      <c r="C2414" s="3">
        <v>148.128247406175</v>
      </c>
    </row>
    <row r="2415">
      <c r="A2415" s="1">
        <f>IFERROR(__xludf.DUMMYFUNCTION("""COMPUTED_VALUE"""),43860.66666666667)</f>
        <v>43860.66667</v>
      </c>
      <c r="B2415" s="2">
        <f>IFERROR(__xludf.DUMMYFUNCTION("""COMPUTED_VALUE"""),42.72)</f>
        <v>42.72</v>
      </c>
      <c r="C2415" s="3">
        <v>147.914774963837</v>
      </c>
    </row>
    <row r="2416">
      <c r="A2416" s="1">
        <f>IFERROR(__xludf.DUMMYFUNCTION("""COMPUTED_VALUE"""),43861.66666666667)</f>
        <v>43861.66667</v>
      </c>
      <c r="B2416" s="2">
        <f>IFERROR(__xludf.DUMMYFUNCTION("""COMPUTED_VALUE"""),43.37)</f>
        <v>43.37</v>
      </c>
      <c r="C2416" s="3">
        <v>147.750459738487</v>
      </c>
    </row>
    <row r="2417">
      <c r="A2417" s="1">
        <f>IFERROR(__xludf.DUMMYFUNCTION("""COMPUTED_VALUE"""),43864.66666666667)</f>
        <v>43864.66667</v>
      </c>
      <c r="B2417" s="2">
        <f>IFERROR(__xludf.DUMMYFUNCTION("""COMPUTED_VALUE"""),52.0)</f>
        <v>52</v>
      </c>
      <c r="C2417" s="3">
        <v>151.808823183567</v>
      </c>
    </row>
    <row r="2418">
      <c r="A2418" s="1">
        <f>IFERROR(__xludf.DUMMYFUNCTION("""COMPUTED_VALUE"""),43865.66666666667)</f>
        <v>43865.66667</v>
      </c>
      <c r="B2418" s="2">
        <f>IFERROR(__xludf.DUMMYFUNCTION("""COMPUTED_VALUE"""),59.14)</f>
        <v>59.14</v>
      </c>
      <c r="C2418" s="3">
        <v>152.47404690438</v>
      </c>
    </row>
    <row r="2419">
      <c r="A2419" s="1">
        <f>IFERROR(__xludf.DUMMYFUNCTION("""COMPUTED_VALUE"""),43866.66666666667)</f>
        <v>43866.66667</v>
      </c>
      <c r="B2419" s="2">
        <f>IFERROR(__xludf.DUMMYFUNCTION("""COMPUTED_VALUE"""),48.98)</f>
        <v>48.98</v>
      </c>
      <c r="C2419" s="3">
        <v>153.556852216876</v>
      </c>
    </row>
    <row r="2420">
      <c r="A2420" s="1">
        <f>IFERROR(__xludf.DUMMYFUNCTION("""COMPUTED_VALUE"""),43867.66666666667)</f>
        <v>43867.66667</v>
      </c>
      <c r="B2420" s="2">
        <f>IFERROR(__xludf.DUMMYFUNCTION("""COMPUTED_VALUE"""),49.93)</f>
        <v>49.93</v>
      </c>
      <c r="C2420" s="3">
        <v>153.721061462331</v>
      </c>
    </row>
    <row r="2421">
      <c r="A2421" s="1">
        <f>IFERROR(__xludf.DUMMYFUNCTION("""COMPUTED_VALUE"""),43868.66666666667)</f>
        <v>43868.66667</v>
      </c>
      <c r="B2421" s="2">
        <f>IFERROR(__xludf.DUMMYFUNCTION("""COMPUTED_VALUE"""),49.87)</f>
        <v>49.87</v>
      </c>
      <c r="C2421" s="3">
        <v>153.852917840677</v>
      </c>
    </row>
    <row r="2422">
      <c r="A2422" s="1">
        <f>IFERROR(__xludf.DUMMYFUNCTION("""COMPUTED_VALUE"""),43871.66666666667)</f>
        <v>43871.66667</v>
      </c>
      <c r="B2422" s="2">
        <f>IFERROR(__xludf.DUMMYFUNCTION("""COMPUTED_VALUE"""),51.42)</f>
        <v>51.42</v>
      </c>
      <c r="C2422" s="3">
        <v>158.200618035036</v>
      </c>
    </row>
    <row r="2423">
      <c r="A2423" s="1">
        <f>IFERROR(__xludf.DUMMYFUNCTION("""COMPUTED_VALUE"""),43872.66666666667)</f>
        <v>43872.66667</v>
      </c>
      <c r="B2423" s="2">
        <f>IFERROR(__xludf.DUMMYFUNCTION("""COMPUTED_VALUE"""),51.63)</f>
        <v>51.63</v>
      </c>
      <c r="C2423" s="3">
        <v>158.741080731626</v>
      </c>
    </row>
    <row r="2424">
      <c r="A2424" s="1">
        <f>IFERROR(__xludf.DUMMYFUNCTION("""COMPUTED_VALUE"""),43873.66666666667)</f>
        <v>43873.66667</v>
      </c>
      <c r="B2424" s="2">
        <f>IFERROR(__xludf.DUMMYFUNCTION("""COMPUTED_VALUE"""),51.15)</f>
        <v>51.15</v>
      </c>
      <c r="C2424" s="3">
        <v>159.586000580933</v>
      </c>
    </row>
    <row r="2425">
      <c r="A2425" s="1">
        <f>IFERROR(__xludf.DUMMYFUNCTION("""COMPUTED_VALUE"""),43874.66666666667)</f>
        <v>43874.66667</v>
      </c>
      <c r="B2425" s="2">
        <f>IFERROR(__xludf.DUMMYFUNCTION("""COMPUTED_VALUE"""),53.6)</f>
        <v>53.6</v>
      </c>
      <c r="C2425" s="3">
        <v>159.402729971422</v>
      </c>
    </row>
    <row r="2426">
      <c r="A2426" s="1">
        <f>IFERROR(__xludf.DUMMYFUNCTION("""COMPUTED_VALUE"""),43875.66666666667)</f>
        <v>43875.66667</v>
      </c>
      <c r="B2426" s="2">
        <f>IFERROR(__xludf.DUMMYFUNCTION("""COMPUTED_VALUE"""),53.34)</f>
        <v>53.34</v>
      </c>
      <c r="C2426" s="3">
        <v>159.084306793077</v>
      </c>
    </row>
    <row r="2427">
      <c r="A2427" s="1">
        <f>IFERROR(__xludf.DUMMYFUNCTION("""COMPUTED_VALUE"""),43879.66666666667)</f>
        <v>43879.66667</v>
      </c>
      <c r="B2427" s="2">
        <f>IFERROR(__xludf.DUMMYFUNCTION("""COMPUTED_VALUE"""),57.23)</f>
        <v>57.23</v>
      </c>
      <c r="C2427" s="3">
        <v>161.380707236924</v>
      </c>
    </row>
    <row r="2428">
      <c r="A2428" s="1">
        <f>IFERROR(__xludf.DUMMYFUNCTION("""COMPUTED_VALUE"""),43880.66666666667)</f>
        <v>43880.66667</v>
      </c>
      <c r="B2428" s="2">
        <f>IFERROR(__xludf.DUMMYFUNCTION("""COMPUTED_VALUE"""),61.16)</f>
        <v>61.16</v>
      </c>
      <c r="C2428" s="3">
        <v>161.459944920546</v>
      </c>
    </row>
    <row r="2429">
      <c r="A2429" s="1">
        <f>IFERROR(__xludf.DUMMYFUNCTION("""COMPUTED_VALUE"""),43881.66666666667)</f>
        <v>43881.66667</v>
      </c>
      <c r="B2429" s="2">
        <f>IFERROR(__xludf.DUMMYFUNCTION("""COMPUTED_VALUE"""),59.96)</f>
        <v>59.96</v>
      </c>
      <c r="C2429" s="3">
        <v>160.501669675609</v>
      </c>
    </row>
    <row r="2430">
      <c r="A2430" s="1">
        <f>IFERROR(__xludf.DUMMYFUNCTION("""COMPUTED_VALUE"""),43882.66666666667)</f>
        <v>43882.66667</v>
      </c>
      <c r="B2430" s="2">
        <f>IFERROR(__xludf.DUMMYFUNCTION("""COMPUTED_VALUE"""),60.07)</f>
        <v>60.07</v>
      </c>
      <c r="C2430" s="3">
        <v>159.419313486615</v>
      </c>
    </row>
    <row r="2431">
      <c r="A2431" s="1">
        <f>IFERROR(__xludf.DUMMYFUNCTION("""COMPUTED_VALUE"""),43885.66666666667)</f>
        <v>43885.66667</v>
      </c>
      <c r="B2431" s="2">
        <f>IFERROR(__xludf.DUMMYFUNCTION("""COMPUTED_VALUE"""),55.59)</f>
        <v>55.59</v>
      </c>
      <c r="C2431" s="3">
        <v>159.887210347898</v>
      </c>
    </row>
    <row r="2432">
      <c r="A2432" s="1">
        <f>IFERROR(__xludf.DUMMYFUNCTION("""COMPUTED_VALUE"""),43886.66666666667)</f>
        <v>43886.66667</v>
      </c>
      <c r="B2432" s="2">
        <f>IFERROR(__xludf.DUMMYFUNCTION("""COMPUTED_VALUE"""),53.33)</f>
        <v>53.33</v>
      </c>
      <c r="C2432" s="3">
        <v>159.167609836778</v>
      </c>
    </row>
    <row r="2433">
      <c r="A2433" s="1">
        <f>IFERROR(__xludf.DUMMYFUNCTION("""COMPUTED_VALUE"""),43887.66666666667)</f>
        <v>43887.66667</v>
      </c>
      <c r="B2433" s="2">
        <f>IFERROR(__xludf.DUMMYFUNCTION("""COMPUTED_VALUE"""),51.92)</f>
        <v>51.92</v>
      </c>
      <c r="C2433" s="3">
        <v>158.826002817807</v>
      </c>
    </row>
    <row r="2434">
      <c r="A2434" s="1">
        <f>IFERROR(__xludf.DUMMYFUNCTION("""COMPUTED_VALUE"""),43888.66666666667)</f>
        <v>43888.66667</v>
      </c>
      <c r="B2434" s="2">
        <f>IFERROR(__xludf.DUMMYFUNCTION("""COMPUTED_VALUE"""),45.27)</f>
        <v>45.27</v>
      </c>
      <c r="C2434" s="3">
        <v>157.562496300627</v>
      </c>
    </row>
    <row r="2435">
      <c r="A2435" s="1">
        <f>IFERROR(__xludf.DUMMYFUNCTION("""COMPUTED_VALUE"""),43889.66666666667)</f>
        <v>43889.66667</v>
      </c>
      <c r="B2435" s="2">
        <f>IFERROR(__xludf.DUMMYFUNCTION("""COMPUTED_VALUE"""),44.53)</f>
        <v>44.53</v>
      </c>
      <c r="C2435" s="3">
        <v>156.300736556318</v>
      </c>
    </row>
    <row r="2436">
      <c r="A2436" s="1">
        <f>IFERROR(__xludf.DUMMYFUNCTION("""COMPUTED_VALUE"""),43892.66666666667)</f>
        <v>43892.66667</v>
      </c>
      <c r="B2436" s="2">
        <f>IFERROR(__xludf.DUMMYFUNCTION("""COMPUTED_VALUE"""),49.57)</f>
        <v>49.57</v>
      </c>
      <c r="C2436" s="3">
        <v>157.042522485226</v>
      </c>
    </row>
    <row r="2437">
      <c r="A2437" s="1">
        <f>IFERROR(__xludf.DUMMYFUNCTION("""COMPUTED_VALUE"""),43893.66666666667)</f>
        <v>43893.66667</v>
      </c>
      <c r="B2437" s="2">
        <f>IFERROR(__xludf.DUMMYFUNCTION("""COMPUTED_VALUE"""),49.7)</f>
        <v>49.7</v>
      </c>
      <c r="C2437" s="3">
        <v>156.688198639974</v>
      </c>
    </row>
    <row r="2438">
      <c r="A2438" s="1">
        <f>IFERROR(__xludf.DUMMYFUNCTION("""COMPUTED_VALUE"""),43894.66666666667)</f>
        <v>43894.66667</v>
      </c>
      <c r="B2438" s="2">
        <f>IFERROR(__xludf.DUMMYFUNCTION("""COMPUTED_VALUE"""),49.97)</f>
        <v>49.97</v>
      </c>
      <c r="C2438" s="3">
        <v>156.842631576735</v>
      </c>
    </row>
    <row r="2439">
      <c r="A2439" s="1">
        <f>IFERROR(__xludf.DUMMYFUNCTION("""COMPUTED_VALUE"""),43895.66666666667)</f>
        <v>43895.66667</v>
      </c>
      <c r="B2439" s="2">
        <f>IFERROR(__xludf.DUMMYFUNCTION("""COMPUTED_VALUE"""),48.3)</f>
        <v>48.3</v>
      </c>
      <c r="C2439" s="3">
        <v>156.197713944515</v>
      </c>
    </row>
    <row r="2440">
      <c r="A2440" s="1">
        <f>IFERROR(__xludf.DUMMYFUNCTION("""COMPUTED_VALUE"""),43896.66666666667)</f>
        <v>43896.66667</v>
      </c>
      <c r="B2440" s="2">
        <f>IFERROR(__xludf.DUMMYFUNCTION("""COMPUTED_VALUE"""),46.9)</f>
        <v>46.9</v>
      </c>
      <c r="C2440" s="3">
        <v>155.666199075067</v>
      </c>
    </row>
    <row r="2441">
      <c r="A2441" s="1">
        <f>IFERROR(__xludf.DUMMYFUNCTION("""COMPUTED_VALUE"""),43899.66666666667)</f>
        <v>43899.66667</v>
      </c>
      <c r="B2441" s="2">
        <f>IFERROR(__xludf.DUMMYFUNCTION("""COMPUTED_VALUE"""),40.53)</f>
        <v>40.53</v>
      </c>
      <c r="C2441" s="3">
        <v>159.126484489738</v>
      </c>
    </row>
    <row r="2442">
      <c r="A2442" s="1">
        <f>IFERROR(__xludf.DUMMYFUNCTION("""COMPUTED_VALUE"""),43900.66666666667)</f>
        <v>43900.66667</v>
      </c>
      <c r="B2442" s="2">
        <f>IFERROR(__xludf.DUMMYFUNCTION("""COMPUTED_VALUE"""),43.02)</f>
        <v>43.02</v>
      </c>
      <c r="C2442" s="3">
        <v>159.798567813799</v>
      </c>
    </row>
    <row r="2443">
      <c r="A2443" s="1">
        <f>IFERROR(__xludf.DUMMYFUNCTION("""COMPUTED_VALUE"""),43901.66666666667)</f>
        <v>43901.66667</v>
      </c>
      <c r="B2443" s="2">
        <f>IFERROR(__xludf.DUMMYFUNCTION("""COMPUTED_VALUE"""),42.28)</f>
        <v>42.28</v>
      </c>
      <c r="C2443" s="3">
        <v>161.0091051154</v>
      </c>
    </row>
    <row r="2444">
      <c r="A2444" s="1">
        <f>IFERROR(__xludf.DUMMYFUNCTION("""COMPUTED_VALUE"""),43902.66666666667)</f>
        <v>43902.66667</v>
      </c>
      <c r="B2444" s="2">
        <f>IFERROR(__xludf.DUMMYFUNCTION("""COMPUTED_VALUE"""),37.37)</f>
        <v>37.37</v>
      </c>
      <c r="C2444" s="3">
        <v>161.431177235129</v>
      </c>
    </row>
    <row r="2445">
      <c r="A2445" s="1">
        <f>IFERROR(__xludf.DUMMYFUNCTION("""COMPUTED_VALUE"""),43903.66666666667)</f>
        <v>43903.66667</v>
      </c>
      <c r="B2445" s="2">
        <f>IFERROR(__xludf.DUMMYFUNCTION("""COMPUTED_VALUE"""),36.44)</f>
        <v>36.44</v>
      </c>
      <c r="C2445" s="3">
        <v>161.959018819509</v>
      </c>
    </row>
    <row r="2446">
      <c r="A2446" s="1">
        <f>IFERROR(__xludf.DUMMYFUNCTION("""COMPUTED_VALUE"""),43906.66666666667)</f>
        <v>43906.66667</v>
      </c>
      <c r="B2446" s="2">
        <f>IFERROR(__xludf.DUMMYFUNCTION("""COMPUTED_VALUE"""),29.67)</f>
        <v>29.67</v>
      </c>
      <c r="C2446" s="3">
        <v>168.380112992564</v>
      </c>
    </row>
    <row r="2447">
      <c r="A2447" s="1">
        <f>IFERROR(__xludf.DUMMYFUNCTION("""COMPUTED_VALUE"""),43907.66666666667)</f>
        <v>43907.66667</v>
      </c>
      <c r="B2447" s="2">
        <f>IFERROR(__xludf.DUMMYFUNCTION("""COMPUTED_VALUE"""),28.68)</f>
        <v>28.68</v>
      </c>
      <c r="C2447" s="3">
        <v>169.916894857433</v>
      </c>
    </row>
    <row r="2448">
      <c r="A2448" s="1">
        <f>IFERROR(__xludf.DUMMYFUNCTION("""COMPUTED_VALUE"""),43908.66666666667)</f>
        <v>43908.66667</v>
      </c>
      <c r="B2448" s="2">
        <f>IFERROR(__xludf.DUMMYFUNCTION("""COMPUTED_VALUE"""),24.08)</f>
        <v>24.08</v>
      </c>
      <c r="C2448" s="3">
        <v>171.910915674317</v>
      </c>
    </row>
    <row r="2449">
      <c r="A2449" s="1">
        <f>IFERROR(__xludf.DUMMYFUNCTION("""COMPUTED_VALUE"""),43909.66666666667)</f>
        <v>43909.66667</v>
      </c>
      <c r="B2449" s="2">
        <f>IFERROR(__xludf.DUMMYFUNCTION("""COMPUTED_VALUE"""),28.51)</f>
        <v>28.51</v>
      </c>
      <c r="C2449" s="3">
        <v>173.026601830036</v>
      </c>
    </row>
    <row r="2450">
      <c r="A2450" s="1">
        <f>IFERROR(__xludf.DUMMYFUNCTION("""COMPUTED_VALUE"""),43910.66666666667)</f>
        <v>43910.66667</v>
      </c>
      <c r="B2450" s="2">
        <f>IFERROR(__xludf.DUMMYFUNCTION("""COMPUTED_VALUE"""),28.5)</f>
        <v>28.5</v>
      </c>
      <c r="C2450" s="3">
        <v>174.15201809496</v>
      </c>
    </row>
    <row r="2451">
      <c r="A2451" s="1">
        <f>IFERROR(__xludf.DUMMYFUNCTION("""COMPUTED_VALUE"""),43913.66666666667)</f>
        <v>43913.66667</v>
      </c>
      <c r="B2451" s="2">
        <f>IFERROR(__xludf.DUMMYFUNCTION("""COMPUTED_VALUE"""),28.95)</f>
        <v>28.95</v>
      </c>
      <c r="C2451" s="3">
        <v>181.765855350666</v>
      </c>
    </row>
    <row r="2452">
      <c r="A2452" s="1">
        <f>IFERROR(__xludf.DUMMYFUNCTION("""COMPUTED_VALUE"""),43914.66666666667)</f>
        <v>43914.66667</v>
      </c>
      <c r="B2452" s="2">
        <f>IFERROR(__xludf.DUMMYFUNCTION("""COMPUTED_VALUE"""),33.67)</f>
        <v>33.67</v>
      </c>
      <c r="C2452" s="3">
        <v>183.50451651086</v>
      </c>
    </row>
    <row r="2453">
      <c r="A2453" s="1">
        <f>IFERROR(__xludf.DUMMYFUNCTION("""COMPUTED_VALUE"""),43915.66666666667)</f>
        <v>43915.66667</v>
      </c>
      <c r="B2453" s="2">
        <f>IFERROR(__xludf.DUMMYFUNCTION("""COMPUTED_VALUE"""),35.95)</f>
        <v>35.95</v>
      </c>
      <c r="C2453" s="3">
        <v>185.610278369024</v>
      </c>
    </row>
    <row r="2454">
      <c r="A2454" s="1">
        <f>IFERROR(__xludf.DUMMYFUNCTION("""COMPUTED_VALUE"""),43916.66666666667)</f>
        <v>43916.66667</v>
      </c>
      <c r="B2454" s="2">
        <f>IFERROR(__xludf.DUMMYFUNCTION("""COMPUTED_VALUE"""),35.21)</f>
        <v>35.21</v>
      </c>
      <c r="C2454" s="3">
        <v>186.755045819951</v>
      </c>
    </row>
    <row r="2455">
      <c r="A2455" s="1">
        <f>IFERROR(__xludf.DUMMYFUNCTION("""COMPUTED_VALUE"""),43917.66666666667)</f>
        <v>43917.66667</v>
      </c>
      <c r="B2455" s="2">
        <f>IFERROR(__xludf.DUMMYFUNCTION("""COMPUTED_VALUE"""),34.29)</f>
        <v>34.29</v>
      </c>
      <c r="C2455" s="3">
        <v>187.835844919469</v>
      </c>
    </row>
    <row r="2456">
      <c r="A2456" s="1">
        <f>IFERROR(__xludf.DUMMYFUNCTION("""COMPUTED_VALUE"""),43920.66666666667)</f>
        <v>43920.66667</v>
      </c>
      <c r="B2456" s="2">
        <f>IFERROR(__xludf.DUMMYFUNCTION("""COMPUTED_VALUE"""),33.48)</f>
        <v>33.48</v>
      </c>
      <c r="C2456" s="3">
        <v>194.978057966952</v>
      </c>
    </row>
    <row r="2457">
      <c r="A2457" s="1">
        <f>IFERROR(__xludf.DUMMYFUNCTION("""COMPUTED_VALUE"""),43921.66666666667)</f>
        <v>43921.66667</v>
      </c>
      <c r="B2457" s="2">
        <f>IFERROR(__xludf.DUMMYFUNCTION("""COMPUTED_VALUE"""),34.93)</f>
        <v>34.93</v>
      </c>
      <c r="C2457" s="3">
        <v>196.484036383897</v>
      </c>
    </row>
    <row r="2458">
      <c r="A2458" s="1">
        <f>IFERROR(__xludf.DUMMYFUNCTION("""COMPUTED_VALUE"""),43922.66666666667)</f>
        <v>43922.66667</v>
      </c>
      <c r="B2458" s="2">
        <f>IFERROR(__xludf.DUMMYFUNCTION("""COMPUTED_VALUE"""),32.1)</f>
        <v>32.1</v>
      </c>
      <c r="C2458" s="3">
        <v>198.337776659475</v>
      </c>
    </row>
    <row r="2459">
      <c r="A2459" s="1">
        <f>IFERROR(__xludf.DUMMYFUNCTION("""COMPUTED_VALUE"""),43923.66666666667)</f>
        <v>43923.66667</v>
      </c>
      <c r="B2459" s="2">
        <f>IFERROR(__xludf.DUMMYFUNCTION("""COMPUTED_VALUE"""),30.3)</f>
        <v>30.3</v>
      </c>
      <c r="C2459" s="3">
        <v>199.221378405375</v>
      </c>
    </row>
    <row r="2460">
      <c r="A2460" s="1">
        <f>IFERROR(__xludf.DUMMYFUNCTION("""COMPUTED_VALUE"""),43924.66666666667)</f>
        <v>43924.66667</v>
      </c>
      <c r="B2460" s="2">
        <f>IFERROR(__xludf.DUMMYFUNCTION("""COMPUTED_VALUE"""),32.0)</f>
        <v>32</v>
      </c>
      <c r="C2460" s="3">
        <v>200.041053130562</v>
      </c>
    </row>
    <row r="2461">
      <c r="A2461" s="1">
        <f>IFERROR(__xludf.DUMMYFUNCTION("""COMPUTED_VALUE"""),43927.66666666667)</f>
        <v>43927.66667</v>
      </c>
      <c r="B2461" s="2">
        <f>IFERROR(__xludf.DUMMYFUNCTION("""COMPUTED_VALUE"""),34.42)</f>
        <v>34.42</v>
      </c>
      <c r="C2461" s="3">
        <v>206.471656742392</v>
      </c>
    </row>
    <row r="2462">
      <c r="A2462" s="1">
        <f>IFERROR(__xludf.DUMMYFUNCTION("""COMPUTED_VALUE"""),43928.66666666667)</f>
        <v>43928.66667</v>
      </c>
      <c r="B2462" s="2">
        <f>IFERROR(__xludf.DUMMYFUNCTION("""COMPUTED_VALUE"""),36.36)</f>
        <v>36.36</v>
      </c>
      <c r="C2462" s="3">
        <v>207.780181045442</v>
      </c>
    </row>
    <row r="2463">
      <c r="A2463" s="1">
        <f>IFERROR(__xludf.DUMMYFUNCTION("""COMPUTED_VALUE"""),43929.66666666667)</f>
        <v>43929.66667</v>
      </c>
      <c r="B2463" s="2">
        <f>IFERROR(__xludf.DUMMYFUNCTION("""COMPUTED_VALUE"""),36.59)</f>
        <v>36.59</v>
      </c>
      <c r="C2463" s="3">
        <v>209.459912461263</v>
      </c>
    </row>
    <row r="2464">
      <c r="A2464" s="1">
        <f>IFERROR(__xludf.DUMMYFUNCTION("""COMPUTED_VALUE"""),43930.66666666667)</f>
        <v>43930.66667</v>
      </c>
      <c r="B2464" s="2">
        <f>IFERROR(__xludf.DUMMYFUNCTION("""COMPUTED_VALUE"""),38.2)</f>
        <v>38.2</v>
      </c>
      <c r="C2464" s="3">
        <v>210.192458595272</v>
      </c>
    </row>
    <row r="2465">
      <c r="A2465" s="1">
        <f>IFERROR(__xludf.DUMMYFUNCTION("""COMPUTED_VALUE"""),43934.66666666667)</f>
        <v>43934.66667</v>
      </c>
      <c r="B2465" s="2">
        <f>IFERROR(__xludf.DUMMYFUNCTION("""COMPUTED_VALUE"""),43.4)</f>
        <v>43.4</v>
      </c>
      <c r="C2465" s="3">
        <v>217.003521323284</v>
      </c>
    </row>
    <row r="2466">
      <c r="A2466" s="1">
        <f>IFERROR(__xludf.DUMMYFUNCTION("""COMPUTED_VALUE"""),43935.66666666667)</f>
        <v>43935.66667</v>
      </c>
      <c r="B2466" s="2">
        <f>IFERROR(__xludf.DUMMYFUNCTION("""COMPUTED_VALUE"""),47.33)</f>
        <v>47.33</v>
      </c>
      <c r="C2466" s="3">
        <v>218.21641350619</v>
      </c>
    </row>
    <row r="2467">
      <c r="A2467" s="1">
        <f>IFERROR(__xludf.DUMMYFUNCTION("""COMPUTED_VALUE"""),43936.66666666667)</f>
        <v>43936.66667</v>
      </c>
      <c r="B2467" s="2">
        <f>IFERROR(__xludf.DUMMYFUNCTION("""COMPUTED_VALUE"""),48.66)</f>
        <v>48.66</v>
      </c>
      <c r="C2467" s="3">
        <v>219.792408732093</v>
      </c>
    </row>
    <row r="2468">
      <c r="A2468" s="1">
        <f>IFERROR(__xludf.DUMMYFUNCTION("""COMPUTED_VALUE"""),43937.66666666667)</f>
        <v>43937.66667</v>
      </c>
      <c r="B2468" s="2">
        <f>IFERROR(__xludf.DUMMYFUNCTION("""COMPUTED_VALUE"""),49.68)</f>
        <v>49.68</v>
      </c>
      <c r="C2468" s="3">
        <v>220.405598579967</v>
      </c>
    </row>
    <row r="2469">
      <c r="A2469" s="1">
        <f>IFERROR(__xludf.DUMMYFUNCTION("""COMPUTED_VALUE"""),43938.66666666667)</f>
        <v>43938.66667</v>
      </c>
      <c r="B2469" s="2">
        <f>IFERROR(__xludf.DUMMYFUNCTION("""COMPUTED_VALUE"""),50.26)</f>
        <v>50.26</v>
      </c>
      <c r="C2469" s="3">
        <v>220.952681890151</v>
      </c>
    </row>
    <row r="2470">
      <c r="A2470" s="1">
        <f>IFERROR(__xludf.DUMMYFUNCTION("""COMPUTED_VALUE"""),43941.66666666667)</f>
        <v>43941.66667</v>
      </c>
      <c r="B2470" s="2">
        <f>IFERROR(__xludf.DUMMYFUNCTION("""COMPUTED_VALUE"""),49.76)</f>
        <v>49.76</v>
      </c>
      <c r="C2470" s="3">
        <v>226.444779490227</v>
      </c>
    </row>
    <row r="2471">
      <c r="A2471" s="1">
        <f>IFERROR(__xludf.DUMMYFUNCTION("""COMPUTED_VALUE"""),43942.66666666667)</f>
        <v>43942.66667</v>
      </c>
      <c r="B2471" s="2">
        <f>IFERROR(__xludf.DUMMYFUNCTION("""COMPUTED_VALUE"""),45.78)</f>
        <v>45.78</v>
      </c>
      <c r="C2471" s="3">
        <v>227.363751119965</v>
      </c>
    </row>
    <row r="2472">
      <c r="A2472" s="1">
        <f>IFERROR(__xludf.DUMMYFUNCTION("""COMPUTED_VALUE"""),43943.66666666667)</f>
        <v>43943.66667</v>
      </c>
      <c r="B2472" s="2">
        <f>IFERROR(__xludf.DUMMYFUNCTION("""COMPUTED_VALUE"""),48.81)</f>
        <v>48.81</v>
      </c>
      <c r="C2472" s="3">
        <v>228.598849530601</v>
      </c>
    </row>
    <row r="2473">
      <c r="A2473" s="1">
        <f>IFERROR(__xludf.DUMMYFUNCTION("""COMPUTED_VALUE"""),43944.66666666667)</f>
        <v>43944.66667</v>
      </c>
      <c r="B2473" s="2">
        <f>IFERROR(__xludf.DUMMYFUNCTION("""COMPUTED_VALUE"""),47.04)</f>
        <v>47.04</v>
      </c>
      <c r="C2473" s="3">
        <v>228.823590573822</v>
      </c>
    </row>
    <row r="2474">
      <c r="A2474" s="1">
        <f>IFERROR(__xludf.DUMMYFUNCTION("""COMPUTED_VALUE"""),43945.66666666667)</f>
        <v>43945.66667</v>
      </c>
      <c r="B2474" s="2">
        <f>IFERROR(__xludf.DUMMYFUNCTION("""COMPUTED_VALUE"""),48.34)</f>
        <v>48.34</v>
      </c>
      <c r="C2474" s="3">
        <v>228.935848741823</v>
      </c>
    </row>
    <row r="2475">
      <c r="A2475" s="1">
        <f>IFERROR(__xludf.DUMMYFUNCTION("""COMPUTED_VALUE"""),43948.66666666667)</f>
        <v>43948.66667</v>
      </c>
      <c r="B2475" s="2">
        <f>IFERROR(__xludf.DUMMYFUNCTION("""COMPUTED_VALUE"""),53.25)</f>
        <v>53.25</v>
      </c>
      <c r="C2475" s="3">
        <v>232.883602115108</v>
      </c>
    </row>
    <row r="2476">
      <c r="A2476" s="1">
        <f>IFERROR(__xludf.DUMMYFUNCTION("""COMPUTED_VALUE"""),43949.66666666667)</f>
        <v>43949.66667</v>
      </c>
      <c r="B2476" s="2">
        <f>IFERROR(__xludf.DUMMYFUNCTION("""COMPUTED_VALUE"""),51.27)</f>
        <v>51.27</v>
      </c>
      <c r="C2476" s="3">
        <v>233.229075804342</v>
      </c>
    </row>
    <row r="2477">
      <c r="A2477" s="1">
        <f>IFERROR(__xludf.DUMMYFUNCTION("""COMPUTED_VALUE"""),43950.66666666667)</f>
        <v>43950.66667</v>
      </c>
      <c r="B2477" s="2">
        <f>IFERROR(__xludf.DUMMYFUNCTION("""COMPUTED_VALUE"""),53.37)</f>
        <v>53.37</v>
      </c>
      <c r="C2477" s="3">
        <v>233.875675656982</v>
      </c>
    </row>
    <row r="2478">
      <c r="A2478" s="1">
        <f>IFERROR(__xludf.DUMMYFUNCTION("""COMPUTED_VALUE"""),43951.66666666667)</f>
        <v>43951.66667</v>
      </c>
      <c r="B2478" s="2">
        <f>IFERROR(__xludf.DUMMYFUNCTION("""COMPUTED_VALUE"""),52.13)</f>
        <v>52.13</v>
      </c>
      <c r="C2478" s="3">
        <v>233.507338890018</v>
      </c>
    </row>
    <row r="2479">
      <c r="A2479" s="1">
        <f>IFERROR(__xludf.DUMMYFUNCTION("""COMPUTED_VALUE"""),43952.66666666667)</f>
        <v>43952.66667</v>
      </c>
      <c r="B2479" s="2">
        <f>IFERROR(__xludf.DUMMYFUNCTION("""COMPUTED_VALUE"""),46.75)</f>
        <v>46.75</v>
      </c>
      <c r="C2479" s="3">
        <v>233.033192827781</v>
      </c>
    </row>
    <row r="2480">
      <c r="A2480" s="1">
        <f>IFERROR(__xludf.DUMMYFUNCTION("""COMPUTED_VALUE"""),43955.66666666667)</f>
        <v>43955.66667</v>
      </c>
      <c r="B2480" s="2">
        <f>IFERROR(__xludf.DUMMYFUNCTION("""COMPUTED_VALUE"""),50.75)</f>
        <v>50.75</v>
      </c>
      <c r="C2480" s="3">
        <v>235.380079961515</v>
      </c>
    </row>
    <row r="2481">
      <c r="A2481" s="1">
        <f>IFERROR(__xludf.DUMMYFUNCTION("""COMPUTED_VALUE"""),43956.66666666667)</f>
        <v>43956.66667</v>
      </c>
      <c r="B2481" s="2">
        <f>IFERROR(__xludf.DUMMYFUNCTION("""COMPUTED_VALUE"""),51.21)</f>
        <v>51.21</v>
      </c>
      <c r="C2481" s="3">
        <v>235.283690245752</v>
      </c>
    </row>
    <row r="2482">
      <c r="A2482" s="1">
        <f>IFERROR(__xludf.DUMMYFUNCTION("""COMPUTED_VALUE"""),43957.66666666667)</f>
        <v>43957.66667</v>
      </c>
      <c r="B2482" s="2">
        <f>IFERROR(__xludf.DUMMYFUNCTION("""COMPUTED_VALUE"""),52.17)</f>
        <v>52.17</v>
      </c>
      <c r="C2482" s="3">
        <v>235.552359777853</v>
      </c>
    </row>
    <row r="2483">
      <c r="A2483" s="1">
        <f>IFERROR(__xludf.DUMMYFUNCTION("""COMPUTED_VALUE"""),43958.66666666667)</f>
        <v>43958.66667</v>
      </c>
      <c r="B2483" s="2">
        <f>IFERROR(__xludf.DUMMYFUNCTION("""COMPUTED_VALUE"""),52.0)</f>
        <v>52</v>
      </c>
      <c r="C2483" s="3">
        <v>234.879304398172</v>
      </c>
    </row>
    <row r="2484">
      <c r="A2484" s="1">
        <f>IFERROR(__xludf.DUMMYFUNCTION("""COMPUTED_VALUE"""),43959.66666666667)</f>
        <v>43959.66667</v>
      </c>
      <c r="B2484" s="2">
        <f>IFERROR(__xludf.DUMMYFUNCTION("""COMPUTED_VALUE"""),54.63)</f>
        <v>54.63</v>
      </c>
      <c r="C2484" s="3">
        <v>234.181477159174</v>
      </c>
    </row>
    <row r="2485">
      <c r="A2485" s="1">
        <f>IFERROR(__xludf.DUMMYFUNCTION("""COMPUTED_VALUE"""),43962.66666666667)</f>
        <v>43962.66667</v>
      </c>
      <c r="B2485" s="2">
        <f>IFERROR(__xludf.DUMMYFUNCTION("""COMPUTED_VALUE"""),54.09)</f>
        <v>54.09</v>
      </c>
      <c r="C2485" s="3">
        <v>236.395096110447</v>
      </c>
    </row>
    <row r="2486">
      <c r="A2486" s="1">
        <f>IFERROR(__xludf.DUMMYFUNCTION("""COMPUTED_VALUE"""),43963.66666666667)</f>
        <v>43963.66667</v>
      </c>
      <c r="B2486" s="2">
        <f>IFERROR(__xludf.DUMMYFUNCTION("""COMPUTED_VALUE"""),53.96)</f>
        <v>53.96</v>
      </c>
      <c r="C2486" s="3">
        <v>236.440653713284</v>
      </c>
    </row>
    <row r="2487">
      <c r="A2487" s="1">
        <f>IFERROR(__xludf.DUMMYFUNCTION("""COMPUTED_VALUE"""),43964.66666666667)</f>
        <v>43964.66667</v>
      </c>
      <c r="B2487" s="2">
        <f>IFERROR(__xludf.DUMMYFUNCTION("""COMPUTED_VALUE"""),52.73)</f>
        <v>52.73</v>
      </c>
      <c r="C2487" s="3">
        <v>236.942656056536</v>
      </c>
    </row>
    <row r="2488">
      <c r="A2488" s="1">
        <f>IFERROR(__xludf.DUMMYFUNCTION("""COMPUTED_VALUE"""),43965.66666666667)</f>
        <v>43965.66667</v>
      </c>
      <c r="B2488" s="2">
        <f>IFERROR(__xludf.DUMMYFUNCTION("""COMPUTED_VALUE"""),53.56)</f>
        <v>53.56</v>
      </c>
      <c r="C2488" s="3">
        <v>236.590005071571</v>
      </c>
    </row>
    <row r="2489">
      <c r="A2489" s="1">
        <f>IFERROR(__xludf.DUMMYFUNCTION("""COMPUTED_VALUE"""),43966.66666666667)</f>
        <v>43966.66667</v>
      </c>
      <c r="B2489" s="2">
        <f>IFERROR(__xludf.DUMMYFUNCTION("""COMPUTED_VALUE"""),53.28)</f>
        <v>53.28</v>
      </c>
      <c r="C2489" s="3">
        <v>236.293285552201</v>
      </c>
    </row>
    <row r="2490">
      <c r="A2490" s="1">
        <f>IFERROR(__xludf.DUMMYFUNCTION("""COMPUTED_VALUE"""),43969.66666666667)</f>
        <v>43969.66667</v>
      </c>
      <c r="B2490" s="2">
        <f>IFERROR(__xludf.DUMMYFUNCTION("""COMPUTED_VALUE"""),54.24)</f>
        <v>54.24</v>
      </c>
      <c r="C2490" s="3">
        <v>240.103540645968</v>
      </c>
    </row>
    <row r="2491">
      <c r="A2491" s="1">
        <f>IFERROR(__xludf.DUMMYFUNCTION("""COMPUTED_VALUE"""),43970.66666666667)</f>
        <v>43970.66667</v>
      </c>
      <c r="B2491" s="2">
        <f>IFERROR(__xludf.DUMMYFUNCTION("""COMPUTED_VALUE"""),53.87)</f>
        <v>53.87</v>
      </c>
      <c r="C2491" s="3">
        <v>240.774717534612</v>
      </c>
    </row>
    <row r="2492">
      <c r="A2492" s="1">
        <f>IFERROR(__xludf.DUMMYFUNCTION("""COMPUTED_VALUE"""),43971.66666666667)</f>
        <v>43971.66667</v>
      </c>
      <c r="B2492" s="2">
        <f>IFERROR(__xludf.DUMMYFUNCTION("""COMPUTED_VALUE"""),54.37)</f>
        <v>54.37</v>
      </c>
      <c r="C2492" s="3">
        <v>241.927536623193</v>
      </c>
    </row>
    <row r="2493">
      <c r="A2493" s="1">
        <f>IFERROR(__xludf.DUMMYFUNCTION("""COMPUTED_VALUE"""),43972.66666666667)</f>
        <v>43972.66667</v>
      </c>
      <c r="B2493" s="2">
        <f>IFERROR(__xludf.DUMMYFUNCTION("""COMPUTED_VALUE"""),55.17)</f>
        <v>55.17</v>
      </c>
      <c r="C2493" s="3">
        <v>242.237114422221</v>
      </c>
    </row>
    <row r="2494">
      <c r="A2494" s="1">
        <f>IFERROR(__xludf.DUMMYFUNCTION("""COMPUTED_VALUE"""),43973.66666666667)</f>
        <v>43973.66667</v>
      </c>
      <c r="B2494" s="2">
        <f>IFERROR(__xludf.DUMMYFUNCTION("""COMPUTED_VALUE"""),54.46)</f>
        <v>54.46</v>
      </c>
      <c r="C2494" s="3">
        <v>242.600173527841</v>
      </c>
    </row>
    <row r="2495">
      <c r="A2495" s="1">
        <f>IFERROR(__xludf.DUMMYFUNCTION("""COMPUTED_VALUE"""),43977.66666666667)</f>
        <v>43977.66667</v>
      </c>
      <c r="B2495" s="2">
        <f>IFERROR(__xludf.DUMMYFUNCTION("""COMPUTED_VALUE"""),54.59)</f>
        <v>54.59</v>
      </c>
      <c r="C2495" s="3">
        <v>249.436827071525</v>
      </c>
    </row>
    <row r="2496">
      <c r="A2496" s="1">
        <f>IFERROR(__xludf.DUMMYFUNCTION("""COMPUTED_VALUE"""),43978.66666666667)</f>
        <v>43978.66667</v>
      </c>
      <c r="B2496" s="2">
        <f>IFERROR(__xludf.DUMMYFUNCTION("""COMPUTED_VALUE"""),54.68)</f>
        <v>54.68</v>
      </c>
      <c r="C2496" s="3">
        <v>251.051864703047</v>
      </c>
    </row>
    <row r="2497">
      <c r="A2497" s="1">
        <f>IFERROR(__xludf.DUMMYFUNCTION("""COMPUTED_VALUE"""),43979.66666666667)</f>
        <v>43979.66667</v>
      </c>
      <c r="B2497" s="2">
        <f>IFERROR(__xludf.DUMMYFUNCTION("""COMPUTED_VALUE"""),53.72)</f>
        <v>53.72</v>
      </c>
      <c r="C2497" s="3">
        <v>251.756118705911</v>
      </c>
    </row>
    <row r="2498">
      <c r="A2498" s="1">
        <f>IFERROR(__xludf.DUMMYFUNCTION("""COMPUTED_VALUE"""),43980.66666666667)</f>
        <v>43980.66667</v>
      </c>
      <c r="B2498" s="2">
        <f>IFERROR(__xludf.DUMMYFUNCTION("""COMPUTED_VALUE"""),55.67)</f>
        <v>55.67</v>
      </c>
      <c r="C2498" s="3">
        <v>252.441165117083</v>
      </c>
    </row>
    <row r="2499">
      <c r="A2499" s="1">
        <f>IFERROR(__xludf.DUMMYFUNCTION("""COMPUTED_VALUE"""),43983.66666666667)</f>
        <v>43983.66667</v>
      </c>
      <c r="B2499" s="2">
        <f>IFERROR(__xludf.DUMMYFUNCTION("""COMPUTED_VALUE"""),59.87)</f>
        <v>59.87</v>
      </c>
      <c r="C2499" s="3">
        <v>258.594569944369</v>
      </c>
    </row>
    <row r="2500">
      <c r="A2500" s="1">
        <f>IFERROR(__xludf.DUMMYFUNCTION("""COMPUTED_VALUE"""),43984.66666666667)</f>
        <v>43984.66667</v>
      </c>
      <c r="B2500" s="2">
        <f>IFERROR(__xludf.DUMMYFUNCTION("""COMPUTED_VALUE"""),58.77)</f>
        <v>58.77</v>
      </c>
      <c r="C2500" s="3">
        <v>259.811122464611</v>
      </c>
    </row>
    <row r="2501">
      <c r="A2501" s="1">
        <f>IFERROR(__xludf.DUMMYFUNCTION("""COMPUTED_VALUE"""),43985.66666666667)</f>
        <v>43985.66667</v>
      </c>
      <c r="B2501" s="2">
        <f>IFERROR(__xludf.DUMMYFUNCTION("""COMPUTED_VALUE"""),58.86)</f>
        <v>58.86</v>
      </c>
      <c r="C2501" s="3">
        <v>261.382596468218</v>
      </c>
    </row>
    <row r="2502">
      <c r="A2502" s="1">
        <f>IFERROR(__xludf.DUMMYFUNCTION("""COMPUTED_VALUE"""),43986.66666666667)</f>
        <v>43986.66667</v>
      </c>
      <c r="B2502" s="2">
        <f>IFERROR(__xludf.DUMMYFUNCTION("""COMPUTED_VALUE"""),57.63)</f>
        <v>57.63</v>
      </c>
      <c r="C2502" s="3">
        <v>261.984170668802</v>
      </c>
    </row>
    <row r="2503">
      <c r="A2503" s="1">
        <f>IFERROR(__xludf.DUMMYFUNCTION("""COMPUTED_VALUE"""),43987.66666666667)</f>
        <v>43987.66667</v>
      </c>
      <c r="B2503" s="2">
        <f>IFERROR(__xludf.DUMMYFUNCTION("""COMPUTED_VALUE"""),59.04)</f>
        <v>59.04</v>
      </c>
      <c r="C2503" s="3">
        <v>262.516187739899</v>
      </c>
    </row>
    <row r="2504">
      <c r="A2504" s="1">
        <f>IFERROR(__xludf.DUMMYFUNCTION("""COMPUTED_VALUE"""),43990.66666666667)</f>
        <v>43990.66667</v>
      </c>
      <c r="B2504" s="2">
        <f>IFERROR(__xludf.DUMMYFUNCTION("""COMPUTED_VALUE"""),63.33)</f>
        <v>63.33</v>
      </c>
      <c r="C2504" s="3">
        <v>268.013149237218</v>
      </c>
    </row>
    <row r="2505">
      <c r="A2505" s="1">
        <f>IFERROR(__xludf.DUMMYFUNCTION("""COMPUTED_VALUE"""),43991.66666666667)</f>
        <v>43991.66667</v>
      </c>
      <c r="B2505" s="2">
        <f>IFERROR(__xludf.DUMMYFUNCTION("""COMPUTED_VALUE"""),62.71)</f>
        <v>62.71</v>
      </c>
      <c r="C2505" s="3">
        <v>268.98336299765</v>
      </c>
    </row>
    <row r="2506">
      <c r="A2506" s="1">
        <f>IFERROR(__xludf.DUMMYFUNCTION("""COMPUTED_VALUE"""),43992.66666666667)</f>
        <v>43992.66667</v>
      </c>
      <c r="B2506" s="2">
        <f>IFERROR(__xludf.DUMMYFUNCTION("""COMPUTED_VALUE"""),68.34)</f>
        <v>68.34</v>
      </c>
      <c r="C2506" s="3">
        <v>270.314286735948</v>
      </c>
    </row>
    <row r="2507">
      <c r="A2507" s="1">
        <f>IFERROR(__xludf.DUMMYFUNCTION("""COMPUTED_VALUE"""),43993.66666666667)</f>
        <v>43993.66667</v>
      </c>
      <c r="B2507" s="2">
        <f>IFERROR(__xludf.DUMMYFUNCTION("""COMPUTED_VALUE"""),64.86)</f>
        <v>64.86</v>
      </c>
      <c r="C2507" s="3">
        <v>270.692319927961</v>
      </c>
    </row>
    <row r="2508">
      <c r="A2508" s="1">
        <f>IFERROR(__xludf.DUMMYFUNCTION("""COMPUTED_VALUE"""),43994.66666666667)</f>
        <v>43994.66667</v>
      </c>
      <c r="B2508" s="2">
        <f>IFERROR(__xludf.DUMMYFUNCTION("""COMPUTED_VALUE"""),62.35)</f>
        <v>62.35</v>
      </c>
      <c r="C2508" s="3">
        <v>271.028197768463</v>
      </c>
    </row>
    <row r="2509">
      <c r="A2509" s="1">
        <f>IFERROR(__xludf.DUMMYFUNCTION("""COMPUTED_VALUE"""),43997.66666666667)</f>
        <v>43997.66667</v>
      </c>
      <c r="B2509" s="2">
        <f>IFERROR(__xludf.DUMMYFUNCTION("""COMPUTED_VALUE"""),66.06)</f>
        <v>66.06</v>
      </c>
      <c r="C2509" s="3">
        <v>276.186255065091</v>
      </c>
    </row>
    <row r="2510">
      <c r="A2510" s="1">
        <f>IFERROR(__xludf.DUMMYFUNCTION("""COMPUTED_VALUE"""),43998.66666666667)</f>
        <v>43998.66667</v>
      </c>
      <c r="B2510" s="2">
        <f>IFERROR(__xludf.DUMMYFUNCTION("""COMPUTED_VALUE"""),65.48)</f>
        <v>65.48</v>
      </c>
      <c r="C2510" s="3">
        <v>277.147013265802</v>
      </c>
    </row>
    <row r="2511">
      <c r="A2511" s="1">
        <f>IFERROR(__xludf.DUMMYFUNCTION("""COMPUTED_VALUE"""),43999.66666666667)</f>
        <v>43999.66667</v>
      </c>
      <c r="B2511" s="2">
        <f>IFERROR(__xludf.DUMMYFUNCTION("""COMPUTED_VALUE"""),66.12)</f>
        <v>66.12</v>
      </c>
      <c r="C2511" s="3">
        <v>278.525753325648</v>
      </c>
    </row>
    <row r="2512">
      <c r="A2512" s="1">
        <f>IFERROR(__xludf.DUMMYFUNCTION("""COMPUTED_VALUE"""),44000.66666666667)</f>
        <v>44000.66667</v>
      </c>
      <c r="B2512" s="2">
        <f>IFERROR(__xludf.DUMMYFUNCTION("""COMPUTED_VALUE"""),66.93)</f>
        <v>66.93</v>
      </c>
      <c r="C2512" s="3">
        <v>279.009165869272</v>
      </c>
    </row>
    <row r="2513">
      <c r="A2513" s="1">
        <f>IFERROR(__xludf.DUMMYFUNCTION("""COMPUTED_VALUE"""),44001.66666666667)</f>
        <v>44001.66667</v>
      </c>
      <c r="B2513" s="2">
        <f>IFERROR(__xludf.DUMMYFUNCTION("""COMPUTED_VALUE"""),66.73)</f>
        <v>66.73</v>
      </c>
      <c r="C2513" s="3">
        <v>279.506229429879</v>
      </c>
    </row>
    <row r="2514">
      <c r="A2514" s="1">
        <f>IFERROR(__xludf.DUMMYFUNCTION("""COMPUTED_VALUE"""),44004.66666666667)</f>
        <v>44004.66667</v>
      </c>
      <c r="B2514" s="2">
        <f>IFERROR(__xludf.DUMMYFUNCTION("""COMPUTED_VALUE"""),66.29)</f>
        <v>66.29</v>
      </c>
      <c r="C2514" s="3">
        <v>285.436038278363</v>
      </c>
    </row>
    <row r="2515">
      <c r="A2515" s="1">
        <f>IFERROR(__xludf.DUMMYFUNCTION("""COMPUTED_VALUE"""),44005.66666666667)</f>
        <v>44005.66667</v>
      </c>
      <c r="B2515" s="2">
        <f>IFERROR(__xludf.DUMMYFUNCTION("""COMPUTED_VALUE"""),66.79)</f>
        <v>66.79</v>
      </c>
      <c r="C2515" s="3">
        <v>286.725964906885</v>
      </c>
    </row>
    <row r="2516">
      <c r="A2516" s="1">
        <f>IFERROR(__xludf.DUMMYFUNCTION("""COMPUTED_VALUE"""),44006.66666666667)</f>
        <v>44006.66667</v>
      </c>
      <c r="B2516" s="2">
        <f>IFERROR(__xludf.DUMMYFUNCTION("""COMPUTED_VALUE"""),64.06)</f>
        <v>64.06</v>
      </c>
      <c r="C2516" s="3">
        <v>288.454250196949</v>
      </c>
    </row>
    <row r="2517">
      <c r="A2517" s="1">
        <f>IFERROR(__xludf.DUMMYFUNCTION("""COMPUTED_VALUE"""),44007.66666666667)</f>
        <v>44007.66667</v>
      </c>
      <c r="B2517" s="2">
        <f>IFERROR(__xludf.DUMMYFUNCTION("""COMPUTED_VALUE"""),65.73)</f>
        <v>65.73</v>
      </c>
      <c r="C2517" s="3">
        <v>289.296726521842</v>
      </c>
    </row>
    <row r="2518">
      <c r="A2518" s="1">
        <f>IFERROR(__xludf.DUMMYFUNCTION("""COMPUTED_VALUE"""),44008.66666666667)</f>
        <v>44008.66667</v>
      </c>
      <c r="B2518" s="2">
        <f>IFERROR(__xludf.DUMMYFUNCTION("""COMPUTED_VALUE"""),63.98)</f>
        <v>63.98</v>
      </c>
      <c r="C2518" s="3">
        <v>290.150966585686</v>
      </c>
    </row>
    <row r="2519">
      <c r="A2519" s="1">
        <f>IFERROR(__xludf.DUMMYFUNCTION("""COMPUTED_VALUE"""),44011.66666666667)</f>
        <v>44011.66667</v>
      </c>
      <c r="B2519" s="2">
        <f>IFERROR(__xludf.DUMMYFUNCTION("""COMPUTED_VALUE"""),67.29)</f>
        <v>67.29</v>
      </c>
      <c r="C2519" s="3">
        <v>297.026184338571</v>
      </c>
    </row>
    <row r="2520">
      <c r="A2520" s="1">
        <f>IFERROR(__xludf.DUMMYFUNCTION("""COMPUTED_VALUE"""),44012.66666666667)</f>
        <v>44012.66667</v>
      </c>
      <c r="B2520" s="2">
        <f>IFERROR(__xludf.DUMMYFUNCTION("""COMPUTED_VALUE"""),71.99)</f>
        <v>71.99</v>
      </c>
      <c r="C2520" s="3">
        <v>298.553190870573</v>
      </c>
    </row>
    <row r="2521">
      <c r="A2521" s="1">
        <f>IFERROR(__xludf.DUMMYFUNCTION("""COMPUTED_VALUE"""),44013.66666666667)</f>
        <v>44013.66667</v>
      </c>
      <c r="B2521" s="2">
        <f>IFERROR(__xludf.DUMMYFUNCTION("""COMPUTED_VALUE"""),74.64)</f>
        <v>74.64</v>
      </c>
      <c r="C2521" s="3">
        <v>300.463830169283</v>
      </c>
    </row>
    <row r="2522">
      <c r="A2522" s="1">
        <f>IFERROR(__xludf.DUMMYFUNCTION("""COMPUTED_VALUE"""),44014.66666666667)</f>
        <v>44014.66667</v>
      </c>
      <c r="B2522" s="2">
        <f>IFERROR(__xludf.DUMMYFUNCTION("""COMPUTED_VALUE"""),80.58)</f>
        <v>80.58</v>
      </c>
      <c r="C2522" s="3">
        <v>301.426539713268</v>
      </c>
    </row>
    <row r="2523">
      <c r="A2523" s="1">
        <f>IFERROR(__xludf.DUMMYFUNCTION("""COMPUTED_VALUE"""),44018.66666666667)</f>
        <v>44018.66667</v>
      </c>
      <c r="B2523" s="2">
        <f>IFERROR(__xludf.DUMMYFUNCTION("""COMPUTED_VALUE"""),91.44)</f>
        <v>91.44</v>
      </c>
      <c r="C2523" s="3">
        <v>308.930979599668</v>
      </c>
    </row>
    <row r="2524">
      <c r="A2524" s="1">
        <f>IFERROR(__xludf.DUMMYFUNCTION("""COMPUTED_VALUE"""),44019.66666666667)</f>
        <v>44019.66667</v>
      </c>
      <c r="B2524" s="2">
        <f>IFERROR(__xludf.DUMMYFUNCTION("""COMPUTED_VALUE"""),92.66)</f>
        <v>92.66</v>
      </c>
      <c r="C2524" s="3">
        <v>310.221676465309</v>
      </c>
    </row>
    <row r="2525">
      <c r="A2525" s="1">
        <f>IFERROR(__xludf.DUMMYFUNCTION("""COMPUTED_VALUE"""),44020.66666666667)</f>
        <v>44020.66667</v>
      </c>
      <c r="B2525" s="2">
        <f>IFERROR(__xludf.DUMMYFUNCTION("""COMPUTED_VALUE"""),91.06)</f>
        <v>91.06</v>
      </c>
      <c r="C2525" s="3">
        <v>311.829832316239</v>
      </c>
    </row>
    <row r="2526">
      <c r="A2526" s="1">
        <f>IFERROR(__xludf.DUMMYFUNCTION("""COMPUTED_VALUE"""),44021.66666666667)</f>
        <v>44021.66667</v>
      </c>
      <c r="B2526" s="2">
        <f>IFERROR(__xludf.DUMMYFUNCTION("""COMPUTED_VALUE"""),92.95)</f>
        <v>92.95</v>
      </c>
      <c r="C2526" s="3">
        <v>312.430300947866</v>
      </c>
    </row>
    <row r="2527">
      <c r="A2527" s="1">
        <f>IFERROR(__xludf.DUMMYFUNCTION("""COMPUTED_VALUE"""),44022.66666666667)</f>
        <v>44022.66667</v>
      </c>
      <c r="B2527" s="2">
        <f>IFERROR(__xludf.DUMMYFUNCTION("""COMPUTED_VALUE"""),102.98)</f>
        <v>102.98</v>
      </c>
      <c r="C2527" s="3">
        <v>312.923147771164</v>
      </c>
    </row>
    <row r="2528">
      <c r="A2528" s="1">
        <f>IFERROR(__xludf.DUMMYFUNCTION("""COMPUTED_VALUE"""),44025.66666666667)</f>
        <v>44025.66667</v>
      </c>
      <c r="B2528" s="2">
        <f>IFERROR(__xludf.DUMMYFUNCTION("""COMPUTED_VALUE"""),99.8)</f>
        <v>99.8</v>
      </c>
      <c r="C2528" s="3">
        <v>318.073412362289</v>
      </c>
    </row>
    <row r="2529">
      <c r="A2529" s="1">
        <f>IFERROR(__xludf.DUMMYFUNCTION("""COMPUTED_VALUE"""),44026.66666666667)</f>
        <v>44026.66667</v>
      </c>
      <c r="B2529" s="2">
        <f>IFERROR(__xludf.DUMMYFUNCTION("""COMPUTED_VALUE"""),101.12)</f>
        <v>101.12</v>
      </c>
      <c r="C2529" s="3">
        <v>318.852480742874</v>
      </c>
    </row>
    <row r="2530">
      <c r="A2530" s="1">
        <f>IFERROR(__xludf.DUMMYFUNCTION("""COMPUTED_VALUE"""),44027.66666666667)</f>
        <v>44027.66667</v>
      </c>
      <c r="B2530" s="2">
        <f>IFERROR(__xludf.DUMMYFUNCTION("""COMPUTED_VALUE"""),103.07)</f>
        <v>103.07</v>
      </c>
      <c r="C2530" s="3">
        <v>319.955618529996</v>
      </c>
    </row>
    <row r="2531">
      <c r="A2531" s="1">
        <f>IFERROR(__xludf.DUMMYFUNCTION("""COMPUTED_VALUE"""),44028.66666666667)</f>
        <v>44028.66667</v>
      </c>
      <c r="B2531" s="2">
        <f>IFERROR(__xludf.DUMMYFUNCTION("""COMPUTED_VALUE"""),100.04)</f>
        <v>100.04</v>
      </c>
      <c r="C2531" s="3">
        <v>320.070465916698</v>
      </c>
    </row>
    <row r="2532">
      <c r="A2532" s="1">
        <f>IFERROR(__xludf.DUMMYFUNCTION("""COMPUTED_VALUE"""),44029.66666666667)</f>
        <v>44029.66667</v>
      </c>
      <c r="B2532" s="2">
        <f>IFERROR(__xludf.DUMMYFUNCTION("""COMPUTED_VALUE"""),100.06)</f>
        <v>100.06</v>
      </c>
      <c r="C2532" s="3">
        <v>320.109423068523</v>
      </c>
    </row>
    <row r="2533">
      <c r="A2533" s="1">
        <f>IFERROR(__xludf.DUMMYFUNCTION("""COMPUTED_VALUE"""),44032.66666666667)</f>
        <v>44032.66667</v>
      </c>
      <c r="B2533" s="2">
        <f>IFERROR(__xludf.DUMMYFUNCTION("""COMPUTED_VALUE"""),109.53)</f>
        <v>109.53</v>
      </c>
      <c r="C2533" s="3">
        <v>324.197825162596</v>
      </c>
    </row>
    <row r="2534">
      <c r="A2534" s="1">
        <f>IFERROR(__xludf.DUMMYFUNCTION("""COMPUTED_VALUE"""),44033.66666666667)</f>
        <v>44033.66667</v>
      </c>
      <c r="B2534" s="2">
        <f>IFERROR(__xludf.DUMMYFUNCTION("""COMPUTED_VALUE"""),104.56)</f>
        <v>104.56</v>
      </c>
      <c r="C2534" s="3">
        <v>324.752585340178</v>
      </c>
    </row>
    <row r="2535">
      <c r="A2535" s="1">
        <f>IFERROR(__xludf.DUMMYFUNCTION("""COMPUTED_VALUE"""),44034.66666666667)</f>
        <v>44034.66667</v>
      </c>
      <c r="B2535" s="2">
        <f>IFERROR(__xludf.DUMMYFUNCTION("""COMPUTED_VALUE"""),106.16)</f>
        <v>106.16</v>
      </c>
      <c r="C2535" s="3">
        <v>325.706839080866</v>
      </c>
    </row>
    <row r="2536">
      <c r="A2536" s="1">
        <f>IFERROR(__xludf.DUMMYFUNCTION("""COMPUTED_VALUE"""),44035.66666666667)</f>
        <v>44035.66667</v>
      </c>
      <c r="B2536" s="2">
        <f>IFERROR(__xludf.DUMMYFUNCTION("""COMPUTED_VALUE"""),100.87)</f>
        <v>100.87</v>
      </c>
      <c r="C2536" s="3">
        <v>325.751648818058</v>
      </c>
    </row>
    <row r="2537">
      <c r="A2537" s="1">
        <f>IFERROR(__xludf.DUMMYFUNCTION("""COMPUTED_VALUE"""),44036.66666666667)</f>
        <v>44036.66667</v>
      </c>
      <c r="B2537" s="2">
        <f>IFERROR(__xludf.DUMMYFUNCTION("""COMPUTED_VALUE"""),94.47)</f>
        <v>94.47</v>
      </c>
      <c r="C2537" s="3">
        <v>325.800725541708</v>
      </c>
    </row>
    <row r="2538">
      <c r="A2538" s="1">
        <f>IFERROR(__xludf.DUMMYFUNCTION("""COMPUTED_VALUE"""),44039.66666666667)</f>
        <v>44039.66667</v>
      </c>
      <c r="B2538" s="2">
        <f>IFERROR(__xludf.DUMMYFUNCTION("""COMPUTED_VALUE"""),102.64)</f>
        <v>102.64</v>
      </c>
      <c r="C2538" s="3">
        <v>330.381706363747</v>
      </c>
    </row>
    <row r="2539">
      <c r="A2539" s="1">
        <f>IFERROR(__xludf.DUMMYFUNCTION("""COMPUTED_VALUE"""),44040.66666666667)</f>
        <v>44040.66667</v>
      </c>
      <c r="B2539" s="2">
        <f>IFERROR(__xludf.DUMMYFUNCTION("""COMPUTED_VALUE"""),98.43)</f>
        <v>98.43</v>
      </c>
      <c r="C2539" s="3">
        <v>331.238397393667</v>
      </c>
    </row>
    <row r="2540">
      <c r="A2540" s="1">
        <f>IFERROR(__xludf.DUMMYFUNCTION("""COMPUTED_VALUE"""),44041.66666666667)</f>
        <v>44041.66667</v>
      </c>
      <c r="B2540" s="2">
        <f>IFERROR(__xludf.DUMMYFUNCTION("""COMPUTED_VALUE"""),99.94)</f>
        <v>99.94</v>
      </c>
      <c r="C2540" s="3">
        <v>332.550763829185</v>
      </c>
    </row>
    <row r="2541">
      <c r="A2541" s="1">
        <f>IFERROR(__xludf.DUMMYFUNCTION("""COMPUTED_VALUE"""),44042.66666666667)</f>
        <v>44042.66667</v>
      </c>
      <c r="B2541" s="2">
        <f>IFERROR(__xludf.DUMMYFUNCTION("""COMPUTED_VALUE"""),99.17)</f>
        <v>99.17</v>
      </c>
      <c r="C2541" s="3">
        <v>333.000005711621</v>
      </c>
    </row>
    <row r="2542">
      <c r="A2542" s="1">
        <f>IFERROR(__xludf.DUMMYFUNCTION("""COMPUTED_VALUE"""),44043.66666666667)</f>
        <v>44043.66667</v>
      </c>
      <c r="B2542" s="2">
        <f>IFERROR(__xludf.DUMMYFUNCTION("""COMPUTED_VALUE"""),95.38)</f>
        <v>95.38</v>
      </c>
      <c r="C2542" s="3">
        <v>333.488860035787</v>
      </c>
    </row>
    <row r="2543">
      <c r="A2543" s="1">
        <f>IFERROR(__xludf.DUMMYFUNCTION("""COMPUTED_VALUE"""),44046.66666666667)</f>
        <v>44046.66667</v>
      </c>
      <c r="B2543" s="2">
        <f>IFERROR(__xludf.DUMMYFUNCTION("""COMPUTED_VALUE"""),99.0)</f>
        <v>99</v>
      </c>
      <c r="C2543" s="3">
        <v>339.481709168718</v>
      </c>
    </row>
    <row r="2544">
      <c r="A2544" s="1">
        <f>IFERROR(__xludf.DUMMYFUNCTION("""COMPUTED_VALUE"""),44047.66666666667)</f>
        <v>44047.66667</v>
      </c>
      <c r="B2544" s="2">
        <f>IFERROR(__xludf.DUMMYFUNCTION("""COMPUTED_VALUE"""),99.13)</f>
        <v>99.13</v>
      </c>
      <c r="C2544" s="3">
        <v>340.799185808121</v>
      </c>
    </row>
    <row r="2545">
      <c r="A2545" s="1">
        <f>IFERROR(__xludf.DUMMYFUNCTION("""COMPUTED_VALUE"""),44048.66666666667)</f>
        <v>44048.66667</v>
      </c>
      <c r="B2545" s="2">
        <f>IFERROR(__xludf.DUMMYFUNCTION("""COMPUTED_VALUE"""),99.0)</f>
        <v>99</v>
      </c>
      <c r="C2545" s="3">
        <v>342.547880376124</v>
      </c>
    </row>
    <row r="2546">
      <c r="A2546" s="1">
        <f>IFERROR(__xludf.DUMMYFUNCTION("""COMPUTED_VALUE"""),44049.66666666667)</f>
        <v>44049.66667</v>
      </c>
      <c r="B2546" s="2">
        <f>IFERROR(__xludf.DUMMYFUNCTION("""COMPUTED_VALUE"""),99.31)</f>
        <v>99.31</v>
      </c>
      <c r="C2546" s="3">
        <v>343.398449422611</v>
      </c>
    </row>
    <row r="2547">
      <c r="A2547" s="1">
        <f>IFERROR(__xludf.DUMMYFUNCTION("""COMPUTED_VALUE"""),44050.66666666667)</f>
        <v>44050.66667</v>
      </c>
      <c r="B2547" s="2">
        <f>IFERROR(__xludf.DUMMYFUNCTION("""COMPUTED_VALUE"""),96.85)</f>
        <v>96.85</v>
      </c>
      <c r="C2547" s="3">
        <v>344.244292321652</v>
      </c>
    </row>
    <row r="2548">
      <c r="A2548" s="1">
        <f>IFERROR(__xludf.DUMMYFUNCTION("""COMPUTED_VALUE"""),44053.66666666667)</f>
        <v>44053.66667</v>
      </c>
      <c r="B2548" s="2">
        <f>IFERROR(__xludf.DUMMYFUNCTION("""COMPUTED_VALUE"""),94.57)</f>
        <v>94.57</v>
      </c>
      <c r="C2548" s="3">
        <v>350.971730499903</v>
      </c>
    </row>
    <row r="2549">
      <c r="A2549" s="1">
        <f>IFERROR(__xludf.DUMMYFUNCTION("""COMPUTED_VALUE"""),44054.66666666667)</f>
        <v>44054.66667</v>
      </c>
      <c r="B2549" s="2">
        <f>IFERROR(__xludf.DUMMYFUNCTION("""COMPUTED_VALUE"""),91.63)</f>
        <v>91.63</v>
      </c>
      <c r="C2549" s="3">
        <v>352.407360678699</v>
      </c>
    </row>
    <row r="2550">
      <c r="A2550" s="1">
        <f>IFERROR(__xludf.DUMMYFUNCTION("""COMPUTED_VALUE"""),44055.66666666667)</f>
        <v>44055.66667</v>
      </c>
      <c r="B2550" s="2">
        <f>IFERROR(__xludf.DUMMYFUNCTION("""COMPUTED_VALUE"""),103.65)</f>
        <v>103.65</v>
      </c>
      <c r="C2550" s="3">
        <v>354.208329981209</v>
      </c>
    </row>
    <row r="2551">
      <c r="A2551" s="1">
        <f>IFERROR(__xludf.DUMMYFUNCTION("""COMPUTED_VALUE"""),44056.66666666667)</f>
        <v>44056.66667</v>
      </c>
      <c r="B2551" s="2">
        <f>IFERROR(__xludf.DUMMYFUNCTION("""COMPUTED_VALUE"""),108.07)</f>
        <v>108.07</v>
      </c>
      <c r="C2551" s="3">
        <v>355.046678688612</v>
      </c>
    </row>
    <row r="2552">
      <c r="A2552" s="1">
        <f>IFERROR(__xludf.DUMMYFUNCTION("""COMPUTED_VALUE"""),44057.66666666667)</f>
        <v>44057.66667</v>
      </c>
      <c r="B2552" s="2">
        <f>IFERROR(__xludf.DUMMYFUNCTION("""COMPUTED_VALUE"""),110.05)</f>
        <v>110.05</v>
      </c>
      <c r="C2552" s="3">
        <v>355.819036964557</v>
      </c>
    </row>
    <row r="2553">
      <c r="A2553" s="1">
        <f>IFERROR(__xludf.DUMMYFUNCTION("""COMPUTED_VALUE"""),44060.66666666667)</f>
        <v>44060.66667</v>
      </c>
      <c r="B2553" s="2">
        <f>IFERROR(__xludf.DUMMYFUNCTION("""COMPUTED_VALUE"""),122.38)</f>
        <v>122.38</v>
      </c>
      <c r="C2553" s="3">
        <v>362.015241896927</v>
      </c>
    </row>
    <row r="2554">
      <c r="A2554" s="1">
        <f>IFERROR(__xludf.DUMMYFUNCTION("""COMPUTED_VALUE"""),44061.66666666667)</f>
        <v>44061.66667</v>
      </c>
      <c r="B2554" s="2">
        <f>IFERROR(__xludf.DUMMYFUNCTION("""COMPUTED_VALUE"""),125.81)</f>
        <v>125.81</v>
      </c>
      <c r="C2554" s="3">
        <v>363.19579034709</v>
      </c>
    </row>
    <row r="2555">
      <c r="A2555" s="1">
        <f>IFERROR(__xludf.DUMMYFUNCTION("""COMPUTED_VALUE"""),44062.66666666667)</f>
        <v>44062.66667</v>
      </c>
      <c r="B2555" s="2">
        <f>IFERROR(__xludf.DUMMYFUNCTION("""COMPUTED_VALUE"""),125.24)</f>
        <v>125.24</v>
      </c>
      <c r="C2555" s="3">
        <v>364.717861987103</v>
      </c>
    </row>
    <row r="2556">
      <c r="A2556" s="1">
        <f>IFERROR(__xludf.DUMMYFUNCTION("""COMPUTED_VALUE"""),44063.66666666667)</f>
        <v>44063.66667</v>
      </c>
      <c r="B2556" s="2">
        <f>IFERROR(__xludf.DUMMYFUNCTION("""COMPUTED_VALUE"""),133.46)</f>
        <v>133.46</v>
      </c>
      <c r="C2556" s="3">
        <v>365.26340559867</v>
      </c>
    </row>
    <row r="2557">
      <c r="A2557" s="1">
        <f>IFERROR(__xludf.DUMMYFUNCTION("""COMPUTED_VALUE"""),44064.66666666667)</f>
        <v>44064.66667</v>
      </c>
      <c r="B2557" s="2">
        <f>IFERROR(__xludf.DUMMYFUNCTION("""COMPUTED_VALUE"""),136.67)</f>
        <v>136.67</v>
      </c>
      <c r="C2557" s="3">
        <v>365.739037494445</v>
      </c>
    </row>
    <row r="2558">
      <c r="A2558" s="1">
        <f>IFERROR(__xludf.DUMMYFUNCTION("""COMPUTED_VALUE"""),44067.66666666667)</f>
        <v>44067.66667</v>
      </c>
      <c r="B2558" s="2">
        <f>IFERROR(__xludf.DUMMYFUNCTION("""COMPUTED_VALUE"""),134.28)</f>
        <v>134.28</v>
      </c>
      <c r="C2558" s="3">
        <v>371.115787681843</v>
      </c>
    </row>
    <row r="2559">
      <c r="A2559" s="1">
        <f>IFERROR(__xludf.DUMMYFUNCTION("""COMPUTED_VALUE"""),44068.66666666667)</f>
        <v>44068.66667</v>
      </c>
      <c r="B2559" s="2">
        <f>IFERROR(__xludf.DUMMYFUNCTION("""COMPUTED_VALUE"""),134.89)</f>
        <v>134.89</v>
      </c>
      <c r="C2559" s="3">
        <v>372.074205023354</v>
      </c>
    </row>
    <row r="2560">
      <c r="A2560" s="1">
        <f>IFERROR(__xludf.DUMMYFUNCTION("""COMPUTED_VALUE"""),44069.66666666667)</f>
        <v>44069.66667</v>
      </c>
      <c r="B2560" s="2">
        <f>IFERROR(__xludf.DUMMYFUNCTION("""COMPUTED_VALUE"""),143.54)</f>
        <v>143.54</v>
      </c>
      <c r="C2560" s="3">
        <v>373.410476085323</v>
      </c>
    </row>
    <row r="2561">
      <c r="A2561" s="1">
        <f>IFERROR(__xludf.DUMMYFUNCTION("""COMPUTED_VALUE"""),44070.66666666667)</f>
        <v>44070.66667</v>
      </c>
      <c r="B2561" s="2">
        <f>IFERROR(__xludf.DUMMYFUNCTION("""COMPUTED_VALUE"""),149.25)</f>
        <v>149.25</v>
      </c>
      <c r="C2561" s="3">
        <v>373.810860431341</v>
      </c>
    </row>
    <row r="2562">
      <c r="A2562" s="1">
        <f>IFERROR(__xludf.DUMMYFUNCTION("""COMPUTED_VALUE"""),44071.66666666667)</f>
        <v>44071.66667</v>
      </c>
      <c r="B2562" s="2">
        <f>IFERROR(__xludf.DUMMYFUNCTION("""COMPUTED_VALUE"""),147.56)</f>
        <v>147.56</v>
      </c>
      <c r="C2562" s="3">
        <v>374.184627141995</v>
      </c>
    </row>
    <row r="2563">
      <c r="A2563" s="1">
        <f>IFERROR(__xludf.DUMMYFUNCTION("""COMPUTED_VALUE"""),44074.66666666667)</f>
        <v>44074.66667</v>
      </c>
      <c r="B2563" s="2">
        <f>IFERROR(__xludf.DUMMYFUNCTION("""COMPUTED_VALUE"""),166.11)</f>
        <v>166.11</v>
      </c>
      <c r="C2563" s="3">
        <v>379.516068745041</v>
      </c>
    </row>
    <row r="2564">
      <c r="A2564" s="1">
        <f>IFERROR(__xludf.DUMMYFUNCTION("""COMPUTED_VALUE"""),44075.66666666667)</f>
        <v>44075.66667</v>
      </c>
      <c r="B2564" s="2">
        <f>IFERROR(__xludf.DUMMYFUNCTION("""COMPUTED_VALUE"""),158.35)</f>
        <v>158.35</v>
      </c>
      <c r="C2564" s="3">
        <v>380.537812598151</v>
      </c>
    </row>
    <row r="2565">
      <c r="A2565" s="1">
        <f>IFERROR(__xludf.DUMMYFUNCTION("""COMPUTED_VALUE"""),44076.66666666667)</f>
        <v>44076.66667</v>
      </c>
      <c r="B2565" s="2">
        <f>IFERROR(__xludf.DUMMYFUNCTION("""COMPUTED_VALUE"""),149.12)</f>
        <v>149.12</v>
      </c>
      <c r="C2565" s="3">
        <v>381.968550229036</v>
      </c>
    </row>
    <row r="2566">
      <c r="A2566" s="1">
        <f>IFERROR(__xludf.DUMMYFUNCTION("""COMPUTED_VALUE"""),44077.66666666667)</f>
        <v>44077.66667</v>
      </c>
      <c r="B2566" s="2">
        <f>IFERROR(__xludf.DUMMYFUNCTION("""COMPUTED_VALUE"""),135.67)</f>
        <v>135.67</v>
      </c>
      <c r="C2566" s="3">
        <v>382.487706593164</v>
      </c>
    </row>
    <row r="2567">
      <c r="A2567" s="1">
        <f>IFERROR(__xludf.DUMMYFUNCTION("""COMPUTED_VALUE"""),44078.66666666667)</f>
        <v>44078.66667</v>
      </c>
      <c r="B2567" s="2">
        <f>IFERROR(__xludf.DUMMYFUNCTION("""COMPUTED_VALUE"""),139.44)</f>
        <v>139.44</v>
      </c>
      <c r="C2567" s="3">
        <v>382.996712496574</v>
      </c>
    </row>
    <row r="2568">
      <c r="A2568" s="1">
        <f>IFERROR(__xludf.DUMMYFUNCTION("""COMPUTED_VALUE"""),44082.66666666667)</f>
        <v>44082.66667</v>
      </c>
      <c r="B2568" s="2">
        <f>IFERROR(__xludf.DUMMYFUNCTION("""COMPUTED_VALUE"""),110.07)</f>
        <v>110.07</v>
      </c>
      <c r="C2568" s="3">
        <v>389.879977123706</v>
      </c>
    </row>
    <row r="2569">
      <c r="A2569" s="1">
        <f>IFERROR(__xludf.DUMMYFUNCTION("""COMPUTED_VALUE"""),44083.66666666667)</f>
        <v>44083.66667</v>
      </c>
      <c r="B2569" s="2">
        <f>IFERROR(__xludf.DUMMYFUNCTION("""COMPUTED_VALUE"""),122.09)</f>
        <v>122.09</v>
      </c>
      <c r="C2569" s="3">
        <v>391.396389455362</v>
      </c>
    </row>
    <row r="2570">
      <c r="A2570" s="1">
        <f>IFERROR(__xludf.DUMMYFUNCTION("""COMPUTED_VALUE"""),44084.66666666667)</f>
        <v>44084.66667</v>
      </c>
      <c r="B2570" s="2">
        <f>IFERROR(__xludf.DUMMYFUNCTION("""COMPUTED_VALUE"""),123.78)</f>
        <v>123.78</v>
      </c>
      <c r="C2570" s="3">
        <v>391.966546398747</v>
      </c>
    </row>
    <row r="2571">
      <c r="A2571" s="1">
        <f>IFERROR(__xludf.DUMMYFUNCTION("""COMPUTED_VALUE"""),44085.66666666667)</f>
        <v>44085.66667</v>
      </c>
      <c r="B2571" s="2">
        <f>IFERROR(__xludf.DUMMYFUNCTION("""COMPUTED_VALUE"""),124.24)</f>
        <v>124.24</v>
      </c>
      <c r="C2571" s="3">
        <v>392.485623601499</v>
      </c>
    </row>
    <row r="2572">
      <c r="A2572" s="1">
        <f>IFERROR(__xludf.DUMMYFUNCTION("""COMPUTED_VALUE"""),44088.66666666667)</f>
        <v>44088.66667</v>
      </c>
      <c r="B2572" s="2">
        <f>IFERROR(__xludf.DUMMYFUNCTION("""COMPUTED_VALUE"""),139.87)</f>
        <v>139.87</v>
      </c>
      <c r="C2572" s="3">
        <v>397.97857771864</v>
      </c>
    </row>
    <row r="2573">
      <c r="A2573" s="1">
        <f>IFERROR(__xludf.DUMMYFUNCTION("""COMPUTED_VALUE"""),44089.66666666667)</f>
        <v>44089.66667</v>
      </c>
      <c r="B2573" s="2">
        <f>IFERROR(__xludf.DUMMYFUNCTION("""COMPUTED_VALUE"""),149.92)</f>
        <v>149.92</v>
      </c>
      <c r="C2573" s="3">
        <v>398.928000543737</v>
      </c>
    </row>
    <row r="2574">
      <c r="A2574" s="1">
        <f>IFERROR(__xludf.DUMMYFUNCTION("""COMPUTED_VALUE"""),44090.66666666667)</f>
        <v>44090.66667</v>
      </c>
      <c r="B2574" s="2">
        <f>IFERROR(__xludf.DUMMYFUNCTION("""COMPUTED_VALUE"""),147.25)</f>
        <v>147.25</v>
      </c>
      <c r="C2574" s="3">
        <v>400.211427122381</v>
      </c>
    </row>
    <row r="2575">
      <c r="A2575" s="1">
        <f>IFERROR(__xludf.DUMMYFUNCTION("""COMPUTED_VALUE"""),44091.66666666667)</f>
        <v>44091.66667</v>
      </c>
      <c r="B2575" s="2">
        <f>IFERROR(__xludf.DUMMYFUNCTION("""COMPUTED_VALUE"""),141.14)</f>
        <v>141.14</v>
      </c>
      <c r="C2575" s="3">
        <v>400.505113890232</v>
      </c>
    </row>
    <row r="2576">
      <c r="A2576" s="1">
        <f>IFERROR(__xludf.DUMMYFUNCTION("""COMPUTED_VALUE"""),44092.66666666667)</f>
        <v>44092.66667</v>
      </c>
      <c r="B2576" s="2">
        <f>IFERROR(__xludf.DUMMYFUNCTION("""COMPUTED_VALUE"""),147.38)</f>
        <v>147.38</v>
      </c>
      <c r="C2576" s="3">
        <v>400.710304542356</v>
      </c>
    </row>
    <row r="2577">
      <c r="A2577" s="1">
        <f>IFERROR(__xludf.DUMMYFUNCTION("""COMPUTED_VALUE"""),44095.66666666667)</f>
        <v>44095.66667</v>
      </c>
      <c r="B2577" s="2">
        <f>IFERROR(__xludf.DUMMYFUNCTION("""COMPUTED_VALUE"""),149.8)</f>
        <v>149.8</v>
      </c>
      <c r="C2577" s="3">
        <v>405.12189481011</v>
      </c>
    </row>
    <row r="2578">
      <c r="A2578" s="1">
        <f>IFERROR(__xludf.DUMMYFUNCTION("""COMPUTED_VALUE"""),44096.66666666667)</f>
        <v>44096.66667</v>
      </c>
      <c r="B2578" s="2">
        <f>IFERROR(__xludf.DUMMYFUNCTION("""COMPUTED_VALUE"""),141.41)</f>
        <v>141.41</v>
      </c>
      <c r="C2578" s="3">
        <v>405.699004019914</v>
      </c>
    </row>
    <row r="2579">
      <c r="A2579" s="1">
        <f>IFERROR(__xludf.DUMMYFUNCTION("""COMPUTED_VALUE"""),44097.66666666667)</f>
        <v>44097.66667</v>
      </c>
      <c r="B2579" s="2">
        <f>IFERROR(__xludf.DUMMYFUNCTION("""COMPUTED_VALUE"""),126.79)</f>
        <v>126.79</v>
      </c>
      <c r="C2579" s="3">
        <v>406.623757460939</v>
      </c>
    </row>
    <row r="2580">
      <c r="A2580" s="1">
        <f>IFERROR(__xludf.DUMMYFUNCTION("""COMPUTED_VALUE"""),44098.66666666667)</f>
        <v>44098.66667</v>
      </c>
      <c r="B2580" s="2">
        <f>IFERROR(__xludf.DUMMYFUNCTION("""COMPUTED_VALUE"""),129.26)</f>
        <v>129.26</v>
      </c>
      <c r="C2580" s="3">
        <v>406.584782354001</v>
      </c>
    </row>
    <row r="2581">
      <c r="A2581" s="1">
        <f>IFERROR(__xludf.DUMMYFUNCTION("""COMPUTED_VALUE"""),44099.66666666667)</f>
        <v>44099.66667</v>
      </c>
      <c r="B2581" s="2">
        <f>IFERROR(__xludf.DUMMYFUNCTION("""COMPUTED_VALUE"""),135.78)</f>
        <v>135.78</v>
      </c>
      <c r="C2581" s="3">
        <v>406.495604270887</v>
      </c>
    </row>
    <row r="2582">
      <c r="A2582" s="1">
        <f>IFERROR(__xludf.DUMMYFUNCTION("""COMPUTED_VALUE"""),44102.66666666667)</f>
        <v>44102.66667</v>
      </c>
      <c r="B2582" s="2">
        <f>IFERROR(__xludf.DUMMYFUNCTION("""COMPUTED_VALUE"""),140.4)</f>
        <v>140.4</v>
      </c>
      <c r="C2582" s="3">
        <v>410.367529998399</v>
      </c>
    </row>
    <row r="2583">
      <c r="A2583" s="1">
        <f>IFERROR(__xludf.DUMMYFUNCTION("""COMPUTED_VALUE"""),44103.66666666667)</f>
        <v>44103.66667</v>
      </c>
      <c r="B2583" s="2">
        <f>IFERROR(__xludf.DUMMYFUNCTION("""COMPUTED_VALUE"""),139.69)</f>
        <v>139.69</v>
      </c>
      <c r="C2583" s="3">
        <v>410.911594898862</v>
      </c>
    </row>
    <row r="2584">
      <c r="A2584" s="1">
        <f>IFERROR(__xludf.DUMMYFUNCTION("""COMPUTED_VALUE"""),44104.66666666667)</f>
        <v>44104.66667</v>
      </c>
      <c r="B2584" s="2">
        <f>IFERROR(__xludf.DUMMYFUNCTION("""COMPUTED_VALUE"""),143.0)</f>
        <v>143</v>
      </c>
      <c r="C2584" s="3">
        <v>411.889021752829</v>
      </c>
    </row>
    <row r="2585">
      <c r="A2585" s="1">
        <f>IFERROR(__xludf.DUMMYFUNCTION("""COMPUTED_VALUE"""),44105.66666666667)</f>
        <v>44105.66667</v>
      </c>
      <c r="B2585" s="2">
        <f>IFERROR(__xludf.DUMMYFUNCTION("""COMPUTED_VALUE"""),149.39)</f>
        <v>149.39</v>
      </c>
      <c r="C2585" s="3">
        <v>411.992920778168</v>
      </c>
    </row>
    <row r="2586">
      <c r="A2586" s="1">
        <f>IFERROR(__xludf.DUMMYFUNCTION("""COMPUTED_VALUE"""),44106.66666666667)</f>
        <v>44106.66667</v>
      </c>
      <c r="B2586" s="2">
        <f>IFERROR(__xludf.DUMMYFUNCTION("""COMPUTED_VALUE"""),138.36)</f>
        <v>138.36</v>
      </c>
      <c r="C2586" s="3">
        <v>412.139089145855</v>
      </c>
    </row>
    <row r="2587">
      <c r="A2587" s="1">
        <f>IFERROR(__xludf.DUMMYFUNCTION("""COMPUTED_VALUE"""),44109.66666666667)</f>
        <v>44109.66667</v>
      </c>
      <c r="B2587" s="2">
        <f>IFERROR(__xludf.DUMMYFUNCTION("""COMPUTED_VALUE"""),141.89)</f>
        <v>141.89</v>
      </c>
      <c r="C2587" s="3">
        <v>417.259316908875</v>
      </c>
    </row>
    <row r="2588">
      <c r="A2588" s="1">
        <f>IFERROR(__xludf.DUMMYFUNCTION("""COMPUTED_VALUE"""),44110.66666666667)</f>
        <v>44110.66667</v>
      </c>
      <c r="B2588" s="2">
        <f>IFERROR(__xludf.DUMMYFUNCTION("""COMPUTED_VALUE"""),137.99)</f>
        <v>137.99</v>
      </c>
      <c r="C2588" s="3">
        <v>418.384198013804</v>
      </c>
    </row>
    <row r="2589">
      <c r="A2589" s="1">
        <f>IFERROR(__xludf.DUMMYFUNCTION("""COMPUTED_VALUE"""),44111.66666666667)</f>
        <v>44111.66667</v>
      </c>
      <c r="B2589" s="2">
        <f>IFERROR(__xludf.DUMMYFUNCTION("""COMPUTED_VALUE"""),141.77)</f>
        <v>141.77</v>
      </c>
      <c r="C2589" s="3">
        <v>420.011128171734</v>
      </c>
    </row>
    <row r="2590">
      <c r="A2590" s="1">
        <f>IFERROR(__xludf.DUMMYFUNCTION("""COMPUTED_VALUE"""),44112.66666666667)</f>
        <v>44112.66667</v>
      </c>
      <c r="B2590" s="2">
        <f>IFERROR(__xludf.DUMMYFUNCTION("""COMPUTED_VALUE"""),141.97)</f>
        <v>141.97</v>
      </c>
      <c r="C2590" s="3">
        <v>420.821972218384</v>
      </c>
    </row>
    <row r="2591">
      <c r="A2591" s="1">
        <f>IFERROR(__xludf.DUMMYFUNCTION("""COMPUTED_VALUE"""),44113.66666666667)</f>
        <v>44113.66667</v>
      </c>
      <c r="B2591" s="2">
        <f>IFERROR(__xludf.DUMMYFUNCTION("""COMPUTED_VALUE"""),144.67)</f>
        <v>144.67</v>
      </c>
      <c r="C2591" s="3">
        <v>421.719598446628</v>
      </c>
    </row>
    <row r="2592">
      <c r="A2592" s="1">
        <f>IFERROR(__xludf.DUMMYFUNCTION("""COMPUTED_VALUE"""),44116.66666666667)</f>
        <v>44116.66667</v>
      </c>
      <c r="B2592" s="2">
        <f>IFERROR(__xludf.DUMMYFUNCTION("""COMPUTED_VALUE"""),147.43)</f>
        <v>147.43</v>
      </c>
      <c r="C2592" s="3">
        <v>429.213672613278</v>
      </c>
    </row>
    <row r="2593">
      <c r="A2593" s="1">
        <f>IFERROR(__xludf.DUMMYFUNCTION("""COMPUTED_VALUE"""),44117.66666666667)</f>
        <v>44117.66667</v>
      </c>
      <c r="B2593" s="2">
        <f>IFERROR(__xludf.DUMMYFUNCTION("""COMPUTED_VALUE"""),148.88)</f>
        <v>148.88</v>
      </c>
      <c r="C2593" s="3">
        <v>431.117004324262</v>
      </c>
    </row>
    <row r="2594">
      <c r="A2594" s="1">
        <f>IFERROR(__xludf.DUMMYFUNCTION("""COMPUTED_VALUE"""),44118.66666666667)</f>
        <v>44118.66667</v>
      </c>
      <c r="B2594" s="2">
        <f>IFERROR(__xludf.DUMMYFUNCTION("""COMPUTED_VALUE"""),153.77)</f>
        <v>153.77</v>
      </c>
      <c r="C2594" s="3">
        <v>433.489344810071</v>
      </c>
    </row>
    <row r="2595">
      <c r="A2595" s="1">
        <f>IFERROR(__xludf.DUMMYFUNCTION("""COMPUTED_VALUE"""),44119.66666666667)</f>
        <v>44119.66667</v>
      </c>
      <c r="B2595" s="2">
        <f>IFERROR(__xludf.DUMMYFUNCTION("""COMPUTED_VALUE"""),149.63)</f>
        <v>149.63</v>
      </c>
      <c r="C2595" s="3">
        <v>434.99728604345</v>
      </c>
    </row>
    <row r="2596">
      <c r="A2596" s="1">
        <f>IFERROR(__xludf.DUMMYFUNCTION("""COMPUTED_VALUE"""),44120.66666666667)</f>
        <v>44120.66667</v>
      </c>
      <c r="B2596" s="2">
        <f>IFERROR(__xludf.DUMMYFUNCTION("""COMPUTED_VALUE"""),146.56)</f>
        <v>146.56</v>
      </c>
      <c r="C2596" s="3">
        <v>436.529463477881</v>
      </c>
    </row>
    <row r="2597">
      <c r="A2597" s="1">
        <f>IFERROR(__xludf.DUMMYFUNCTION("""COMPUTED_VALUE"""),44123.66666666667)</f>
        <v>44123.66667</v>
      </c>
      <c r="B2597" s="2">
        <f>IFERROR(__xludf.DUMMYFUNCTION("""COMPUTED_VALUE"""),143.61)</f>
        <v>143.61</v>
      </c>
      <c r="C2597" s="3">
        <v>445.432856495718</v>
      </c>
    </row>
    <row r="2598">
      <c r="A2598" s="1">
        <f>IFERROR(__xludf.DUMMYFUNCTION("""COMPUTED_VALUE"""),44124.66666666667)</f>
        <v>44124.66667</v>
      </c>
      <c r="B2598" s="2">
        <f>IFERROR(__xludf.DUMMYFUNCTION("""COMPUTED_VALUE"""),140.65)</f>
        <v>140.65</v>
      </c>
      <c r="C2598" s="3">
        <v>447.611409913413</v>
      </c>
    </row>
    <row r="2599">
      <c r="A2599" s="1">
        <f>IFERROR(__xludf.DUMMYFUNCTION("""COMPUTED_VALUE"""),44125.66666666667)</f>
        <v>44125.66667</v>
      </c>
      <c r="B2599" s="2">
        <f>IFERROR(__xludf.DUMMYFUNCTION("""COMPUTED_VALUE"""),140.88)</f>
        <v>140.88</v>
      </c>
      <c r="C2599" s="3">
        <v>450.152591689626</v>
      </c>
    </row>
    <row r="2600">
      <c r="A2600" s="1">
        <f>IFERROR(__xludf.DUMMYFUNCTION("""COMPUTED_VALUE"""),44126.66666666667)</f>
        <v>44126.66667</v>
      </c>
      <c r="B2600" s="2">
        <f>IFERROR(__xludf.DUMMYFUNCTION("""COMPUTED_VALUE"""),141.93)</f>
        <v>141.93</v>
      </c>
      <c r="C2600" s="3">
        <v>451.721317760416</v>
      </c>
    </row>
    <row r="2601">
      <c r="A2601" s="1">
        <f>IFERROR(__xludf.DUMMYFUNCTION("""COMPUTED_VALUE"""),44127.66666666667)</f>
        <v>44127.66667</v>
      </c>
      <c r="B2601" s="2">
        <f>IFERROR(__xludf.DUMMYFUNCTION("""COMPUTED_VALUE"""),140.21)</f>
        <v>140.21</v>
      </c>
      <c r="C2601" s="3">
        <v>453.20715446284</v>
      </c>
    </row>
    <row r="2602">
      <c r="A2602" s="1">
        <f>IFERROR(__xludf.DUMMYFUNCTION("""COMPUTED_VALUE"""),44130.66666666667)</f>
        <v>44130.66667</v>
      </c>
      <c r="B2602" s="2">
        <f>IFERROR(__xludf.DUMMYFUNCTION("""COMPUTED_VALUE"""),140.09)</f>
        <v>140.09</v>
      </c>
      <c r="C2602" s="3">
        <v>461.375896126297</v>
      </c>
    </row>
    <row r="2603">
      <c r="A2603" s="1">
        <f>IFERROR(__xludf.DUMMYFUNCTION("""COMPUTED_VALUE"""),44131.66666666667)</f>
        <v>44131.66667</v>
      </c>
      <c r="B2603" s="2">
        <f>IFERROR(__xludf.DUMMYFUNCTION("""COMPUTED_VALUE"""),141.56)</f>
        <v>141.56</v>
      </c>
      <c r="C2603" s="3">
        <v>463.138254024544</v>
      </c>
    </row>
    <row r="2604">
      <c r="A2604" s="1">
        <f>IFERROR(__xludf.DUMMYFUNCTION("""COMPUTED_VALUE"""),44132.66666666667)</f>
        <v>44132.66667</v>
      </c>
      <c r="B2604" s="2">
        <f>IFERROR(__xludf.DUMMYFUNCTION("""COMPUTED_VALUE"""),135.34)</f>
        <v>135.34</v>
      </c>
      <c r="C2604" s="3">
        <v>465.196121360308</v>
      </c>
    </row>
    <row r="2605">
      <c r="A2605" s="1">
        <f>IFERROR(__xludf.DUMMYFUNCTION("""COMPUTED_VALUE"""),44133.66666666667)</f>
        <v>44133.66667</v>
      </c>
      <c r="B2605" s="2">
        <f>IFERROR(__xludf.DUMMYFUNCTION("""COMPUTED_VALUE"""),136.94)</f>
        <v>136.94</v>
      </c>
      <c r="C2605" s="3">
        <v>466.227829780152</v>
      </c>
    </row>
    <row r="2606">
      <c r="A2606" s="1">
        <f>IFERROR(__xludf.DUMMYFUNCTION("""COMPUTED_VALUE"""),44134.66666666667)</f>
        <v>44134.66667</v>
      </c>
      <c r="B2606" s="2">
        <f>IFERROR(__xludf.DUMMYFUNCTION("""COMPUTED_VALUE"""),129.35)</f>
        <v>129.35</v>
      </c>
      <c r="C2606" s="3">
        <v>467.137368862013</v>
      </c>
    </row>
    <row r="2607">
      <c r="A2607" s="1">
        <f>IFERROR(__xludf.DUMMYFUNCTION("""COMPUTED_VALUE"""),44137.66666666667)</f>
        <v>44137.66667</v>
      </c>
      <c r="B2607" s="2">
        <f>IFERROR(__xludf.DUMMYFUNCTION("""COMPUTED_VALUE"""),133.5)</f>
        <v>133.5</v>
      </c>
      <c r="C2607" s="3">
        <v>473.492117188824</v>
      </c>
    </row>
    <row r="2608">
      <c r="A2608" s="1">
        <f>IFERROR(__xludf.DUMMYFUNCTION("""COMPUTED_VALUE"""),44138.66666666667)</f>
        <v>44138.66667</v>
      </c>
      <c r="B2608" s="2">
        <f>IFERROR(__xludf.DUMMYFUNCTION("""COMPUTED_VALUE"""),141.3)</f>
        <v>141.3</v>
      </c>
      <c r="C2608" s="3">
        <v>474.670755446385</v>
      </c>
    </row>
    <row r="2609">
      <c r="A2609" s="1">
        <f>IFERROR(__xludf.DUMMYFUNCTION("""COMPUTED_VALUE"""),44139.66666666667)</f>
        <v>44139.66667</v>
      </c>
      <c r="B2609" s="2">
        <f>IFERROR(__xludf.DUMMYFUNCTION("""COMPUTED_VALUE"""),140.33)</f>
        <v>140.33</v>
      </c>
      <c r="C2609" s="3">
        <v>476.178129532381</v>
      </c>
    </row>
    <row r="2610">
      <c r="A2610" s="1">
        <f>IFERROR(__xludf.DUMMYFUNCTION("""COMPUTED_VALUE"""),44140.66666666667)</f>
        <v>44140.66667</v>
      </c>
      <c r="B2610" s="2">
        <f>IFERROR(__xludf.DUMMYFUNCTION("""COMPUTED_VALUE"""),146.03)</f>
        <v>146.03</v>
      </c>
      <c r="C2610" s="3">
        <v>476.704272295053</v>
      </c>
    </row>
    <row r="2611">
      <c r="A2611" s="1">
        <f>IFERROR(__xludf.DUMMYFUNCTION("""COMPUTED_VALUE"""),44141.66666666667)</f>
        <v>44141.66667</v>
      </c>
      <c r="B2611" s="2">
        <f>IFERROR(__xludf.DUMMYFUNCTION("""COMPUTED_VALUE"""),143.32)</f>
        <v>143.32</v>
      </c>
      <c r="C2611" s="3">
        <v>477.16310543877</v>
      </c>
    </row>
    <row r="2612">
      <c r="A2612" s="1">
        <f>IFERROR(__xludf.DUMMYFUNCTION("""COMPUTED_VALUE"""),44144.66666666667)</f>
        <v>44144.66667</v>
      </c>
      <c r="B2612" s="2">
        <f>IFERROR(__xludf.DUMMYFUNCTION("""COMPUTED_VALUE"""),140.42)</f>
        <v>140.42</v>
      </c>
      <c r="C2612" s="3">
        <v>482.562535390697</v>
      </c>
    </row>
    <row r="2613">
      <c r="A2613" s="1">
        <f>IFERROR(__xludf.DUMMYFUNCTION("""COMPUTED_VALUE"""),44145.66666666667)</f>
        <v>44145.66667</v>
      </c>
      <c r="B2613" s="2">
        <f>IFERROR(__xludf.DUMMYFUNCTION("""COMPUTED_VALUE"""),136.79)</f>
        <v>136.79</v>
      </c>
      <c r="C2613" s="3">
        <v>483.56588263245</v>
      </c>
    </row>
    <row r="2614">
      <c r="A2614" s="1">
        <f>IFERROR(__xludf.DUMMYFUNCTION("""COMPUTED_VALUE"""),44146.66666666667)</f>
        <v>44146.66667</v>
      </c>
      <c r="B2614" s="2">
        <f>IFERROR(__xludf.DUMMYFUNCTION("""COMPUTED_VALUE"""),139.04)</f>
        <v>139.04</v>
      </c>
      <c r="C2614" s="3">
        <v>484.968928006587</v>
      </c>
    </row>
    <row r="2615">
      <c r="A2615" s="1">
        <f>IFERROR(__xludf.DUMMYFUNCTION("""COMPUTED_VALUE"""),44147.66666666667)</f>
        <v>44147.66667</v>
      </c>
      <c r="B2615" s="2">
        <f>IFERROR(__xludf.DUMMYFUNCTION("""COMPUTED_VALUE"""),137.25)</f>
        <v>137.25</v>
      </c>
      <c r="C2615" s="3">
        <v>485.457779501074</v>
      </c>
    </row>
    <row r="2616">
      <c r="A2616" s="1">
        <f>IFERROR(__xludf.DUMMYFUNCTION("""COMPUTED_VALUE"""),44148.66666666667)</f>
        <v>44148.66667</v>
      </c>
      <c r="B2616" s="2">
        <f>IFERROR(__xludf.DUMMYFUNCTION("""COMPUTED_VALUE"""),136.17)</f>
        <v>136.17</v>
      </c>
      <c r="C2616" s="3">
        <v>485.940247092114</v>
      </c>
    </row>
    <row r="2617">
      <c r="A2617" s="1">
        <f>IFERROR(__xludf.DUMMYFUNCTION("""COMPUTED_VALUE"""),44151.66666666667)</f>
        <v>44151.66667</v>
      </c>
      <c r="B2617" s="2">
        <f>IFERROR(__xludf.DUMMYFUNCTION("""COMPUTED_VALUE"""),136.03)</f>
        <v>136.03</v>
      </c>
      <c r="C2617" s="3">
        <v>491.687309757571</v>
      </c>
    </row>
    <row r="2618">
      <c r="A2618" s="1">
        <f>IFERROR(__xludf.DUMMYFUNCTION("""COMPUTED_VALUE"""),44152.66666666667)</f>
        <v>44152.66667</v>
      </c>
      <c r="B2618" s="2">
        <f>IFERROR(__xludf.DUMMYFUNCTION("""COMPUTED_VALUE"""),147.2)</f>
        <v>147.2</v>
      </c>
      <c r="C2618" s="3">
        <v>492.862148384926</v>
      </c>
    </row>
    <row r="2619">
      <c r="A2619" s="1">
        <f>IFERROR(__xludf.DUMMYFUNCTION("""COMPUTED_VALUE"""),44153.66666666667)</f>
        <v>44153.66667</v>
      </c>
      <c r="B2619" s="2">
        <f>IFERROR(__xludf.DUMMYFUNCTION("""COMPUTED_VALUE"""),162.21)</f>
        <v>162.21</v>
      </c>
      <c r="C2619" s="3">
        <v>494.443975236438</v>
      </c>
    </row>
    <row r="2620">
      <c r="A2620" s="1">
        <f>IFERROR(__xludf.DUMMYFUNCTION("""COMPUTED_VALUE"""),44154.66666666667)</f>
        <v>44154.66667</v>
      </c>
      <c r="B2620" s="2">
        <f>IFERROR(__xludf.DUMMYFUNCTION("""COMPUTED_VALUE"""),166.42)</f>
        <v>166.42</v>
      </c>
      <c r="C2620" s="3">
        <v>495.106132142465</v>
      </c>
    </row>
    <row r="2621">
      <c r="A2621" s="1">
        <f>IFERROR(__xludf.DUMMYFUNCTION("""COMPUTED_VALUE"""),44155.66666666667)</f>
        <v>44155.66667</v>
      </c>
      <c r="B2621" s="2">
        <f>IFERROR(__xludf.DUMMYFUNCTION("""COMPUTED_VALUE"""),163.2)</f>
        <v>163.2</v>
      </c>
      <c r="C2621" s="3">
        <v>495.74395953645</v>
      </c>
    </row>
    <row r="2622">
      <c r="A2622" s="1">
        <f>IFERROR(__xludf.DUMMYFUNCTION("""COMPUTED_VALUE"""),44158.66666666667)</f>
        <v>44158.66667</v>
      </c>
      <c r="B2622" s="2">
        <f>IFERROR(__xludf.DUMMYFUNCTION("""COMPUTED_VALUE"""),173.95)</f>
        <v>173.95</v>
      </c>
      <c r="C2622" s="3">
        <v>501.7379267047</v>
      </c>
    </row>
    <row r="2623">
      <c r="A2623" s="1">
        <f>IFERROR(__xludf.DUMMYFUNCTION("""COMPUTED_VALUE"""),44159.66666666667)</f>
        <v>44159.66667</v>
      </c>
      <c r="B2623" s="2">
        <f>IFERROR(__xludf.DUMMYFUNCTION("""COMPUTED_VALUE"""),185.13)</f>
        <v>185.13</v>
      </c>
      <c r="C2623" s="3">
        <v>502.891897344481</v>
      </c>
    </row>
    <row r="2624">
      <c r="A2624" s="1">
        <f>IFERROR(__xludf.DUMMYFUNCTION("""COMPUTED_VALUE"""),44160.66666666667)</f>
        <v>44160.66667</v>
      </c>
      <c r="B2624" s="2">
        <f>IFERROR(__xludf.DUMMYFUNCTION("""COMPUTED_VALUE"""),191.33)</f>
        <v>191.33</v>
      </c>
      <c r="C2624" s="3">
        <v>504.39087416251</v>
      </c>
    </row>
    <row r="2625">
      <c r="A2625" s="1">
        <f>IFERROR(__xludf.DUMMYFUNCTION("""COMPUTED_VALUE"""),44162.54166666667)</f>
        <v>44162.54167</v>
      </c>
      <c r="B2625" s="2">
        <f>IFERROR(__xludf.DUMMYFUNCTION("""COMPUTED_VALUE"""),195.25)</f>
        <v>195.25</v>
      </c>
      <c r="C2625" s="3">
        <v>505.32996511264</v>
      </c>
    </row>
    <row r="2626">
      <c r="A2626" s="1">
        <f>IFERROR(__xludf.DUMMYFUNCTION("""COMPUTED_VALUE"""),44165.66666666667)</f>
        <v>44165.66667</v>
      </c>
      <c r="B2626" s="2">
        <f>IFERROR(__xludf.DUMMYFUNCTION("""COMPUTED_VALUE"""),189.2)</f>
        <v>189.2</v>
      </c>
      <c r="C2626" s="3">
        <v>510.32465959132</v>
      </c>
    </row>
    <row r="2627">
      <c r="A2627" s="1">
        <f>IFERROR(__xludf.DUMMYFUNCTION("""COMPUTED_VALUE"""),44166.66666666667)</f>
        <v>44166.66667</v>
      </c>
      <c r="B2627" s="2">
        <f>IFERROR(__xludf.DUMMYFUNCTION("""COMPUTED_VALUE"""),194.92)</f>
        <v>194.92</v>
      </c>
      <c r="C2627" s="3">
        <v>511.048383759057</v>
      </c>
    </row>
    <row r="2628">
      <c r="A2628" s="1">
        <f>IFERROR(__xludf.DUMMYFUNCTION("""COMPUTED_VALUE"""),44167.66666666667)</f>
        <v>44167.66667</v>
      </c>
      <c r="B2628" s="2">
        <f>IFERROR(__xludf.DUMMYFUNCTION("""COMPUTED_VALUE"""),189.61)</f>
        <v>189.61</v>
      </c>
      <c r="C2628" s="3">
        <v>512.08533157199</v>
      </c>
    </row>
    <row r="2629">
      <c r="A2629" s="1">
        <f>IFERROR(__xludf.DUMMYFUNCTION("""COMPUTED_VALUE"""),44168.66666666667)</f>
        <v>44168.66667</v>
      </c>
      <c r="B2629" s="2">
        <f>IFERROR(__xludf.DUMMYFUNCTION("""COMPUTED_VALUE"""),197.79)</f>
        <v>197.79</v>
      </c>
      <c r="C2629" s="3">
        <v>512.118690256989</v>
      </c>
    </row>
    <row r="2630">
      <c r="A2630" s="1">
        <f>IFERROR(__xludf.DUMMYFUNCTION("""COMPUTED_VALUE"""),44169.66666666667)</f>
        <v>44169.66667</v>
      </c>
      <c r="B2630" s="2">
        <f>IFERROR(__xludf.DUMMYFUNCTION("""COMPUTED_VALUE"""),199.68)</f>
        <v>199.68</v>
      </c>
      <c r="C2630" s="3">
        <v>512.057393884742</v>
      </c>
    </row>
    <row r="2631">
      <c r="A2631" s="1">
        <f>IFERROR(__xludf.DUMMYFUNCTION("""COMPUTED_VALUE"""),44172.66666666667)</f>
        <v>44172.66667</v>
      </c>
      <c r="B2631" s="2">
        <f>IFERROR(__xludf.DUMMYFUNCTION("""COMPUTED_VALUE"""),213.92)</f>
        <v>213.92</v>
      </c>
      <c r="C2631" s="3">
        <v>515.71612966491</v>
      </c>
    </row>
    <row r="2632">
      <c r="A2632" s="1">
        <f>IFERROR(__xludf.DUMMYFUNCTION("""COMPUTED_VALUE"""),44173.66666666667)</f>
        <v>44173.66667</v>
      </c>
      <c r="B2632" s="2">
        <f>IFERROR(__xludf.DUMMYFUNCTION("""COMPUTED_VALUE"""),216.63)</f>
        <v>216.63</v>
      </c>
      <c r="C2632" s="3">
        <v>516.086148597331</v>
      </c>
    </row>
    <row r="2633">
      <c r="A2633" s="1">
        <f>IFERROR(__xludf.DUMMYFUNCTION("""COMPUTED_VALUE"""),44174.66666666667)</f>
        <v>44174.66667</v>
      </c>
      <c r="B2633" s="2">
        <f>IFERROR(__xludf.DUMMYFUNCTION("""COMPUTED_VALUE"""),201.49)</f>
        <v>201.49</v>
      </c>
      <c r="C2633" s="3">
        <v>516.839227871277</v>
      </c>
    </row>
    <row r="2634">
      <c r="A2634" s="1">
        <f>IFERROR(__xludf.DUMMYFUNCTION("""COMPUTED_VALUE"""),44175.66666666667)</f>
        <v>44175.66667</v>
      </c>
      <c r="B2634" s="2">
        <f>IFERROR(__xludf.DUMMYFUNCTION("""COMPUTED_VALUE"""),209.02)</f>
        <v>209.02</v>
      </c>
      <c r="C2634" s="3">
        <v>516.671134766614</v>
      </c>
    </row>
    <row r="2635">
      <c r="A2635" s="1">
        <f>IFERROR(__xludf.DUMMYFUNCTION("""COMPUTED_VALUE"""),44176.66666666667)</f>
        <v>44176.66667</v>
      </c>
      <c r="B2635" s="2">
        <f>IFERROR(__xludf.DUMMYFUNCTION("""COMPUTED_VALUE"""),203.33)</f>
        <v>203.33</v>
      </c>
      <c r="C2635" s="3">
        <v>516.501557992917</v>
      </c>
    </row>
    <row r="2636">
      <c r="A2636" s="1">
        <f>IFERROR(__xludf.DUMMYFUNCTION("""COMPUTED_VALUE"""),44179.66666666667)</f>
        <v>44179.66667</v>
      </c>
      <c r="B2636" s="2">
        <f>IFERROR(__xludf.DUMMYFUNCTION("""COMPUTED_VALUE"""),213.28)</f>
        <v>213.28</v>
      </c>
      <c r="C2636" s="3">
        <v>520.467217611635</v>
      </c>
    </row>
    <row r="2637">
      <c r="A2637" s="1">
        <f>IFERROR(__xludf.DUMMYFUNCTION("""COMPUTED_VALUE"""),44180.66666666667)</f>
        <v>44180.66667</v>
      </c>
      <c r="B2637" s="2">
        <f>IFERROR(__xludf.DUMMYFUNCTION("""COMPUTED_VALUE"""),211.08)</f>
        <v>211.08</v>
      </c>
      <c r="C2637" s="3">
        <v>521.16088102491</v>
      </c>
    </row>
    <row r="2638">
      <c r="A2638" s="1">
        <f>IFERROR(__xludf.DUMMYFUNCTION("""COMPUTED_VALUE"""),44181.66666666667)</f>
        <v>44181.66667</v>
      </c>
      <c r="B2638" s="2">
        <f>IFERROR(__xludf.DUMMYFUNCTION("""COMPUTED_VALUE"""),207.59)</f>
        <v>207.59</v>
      </c>
      <c r="C2638" s="3">
        <v>522.346293601199</v>
      </c>
    </row>
    <row r="2639">
      <c r="A2639" s="1">
        <f>IFERROR(__xludf.DUMMYFUNCTION("""COMPUTED_VALUE"""),44182.66666666667)</f>
        <v>44182.66667</v>
      </c>
      <c r="B2639" s="2">
        <f>IFERROR(__xludf.DUMMYFUNCTION("""COMPUTED_VALUE"""),218.63)</f>
        <v>218.63</v>
      </c>
      <c r="C2639" s="3">
        <v>522.713486807522</v>
      </c>
    </row>
    <row r="2640">
      <c r="A2640" s="1">
        <f>IFERROR(__xludf.DUMMYFUNCTION("""COMPUTED_VALUE"""),44183.66666666667)</f>
        <v>44183.66667</v>
      </c>
      <c r="B2640" s="2">
        <f>IFERROR(__xludf.DUMMYFUNCTION("""COMPUTED_VALUE"""),231.67)</f>
        <v>231.67</v>
      </c>
      <c r="C2640" s="3">
        <v>523.173449566802</v>
      </c>
    </row>
    <row r="2641">
      <c r="A2641" s="1">
        <f>IFERROR(__xludf.DUMMYFUNCTION("""COMPUTED_VALUE"""),44186.66666666667)</f>
        <v>44186.66667</v>
      </c>
      <c r="B2641" s="2">
        <f>IFERROR(__xludf.DUMMYFUNCTION("""COMPUTED_VALUE"""),216.62)</f>
        <v>216.62</v>
      </c>
      <c r="C2641" s="3">
        <v>529.465762915877</v>
      </c>
    </row>
    <row r="2642">
      <c r="A2642" s="1">
        <f>IFERROR(__xludf.DUMMYFUNCTION("""COMPUTED_VALUE"""),44187.66666666667)</f>
        <v>44187.66667</v>
      </c>
      <c r="B2642" s="2">
        <f>IFERROR(__xludf.DUMMYFUNCTION("""COMPUTED_VALUE"""),213.45)</f>
        <v>213.45</v>
      </c>
      <c r="C2642" s="3">
        <v>531.027050495578</v>
      </c>
    </row>
    <row r="2643">
      <c r="A2643" s="1">
        <f>IFERROR(__xludf.DUMMYFUNCTION("""COMPUTED_VALUE"""),44188.66666666667)</f>
        <v>44188.66667</v>
      </c>
      <c r="B2643" s="2">
        <f>IFERROR(__xludf.DUMMYFUNCTION("""COMPUTED_VALUE"""),215.33)</f>
        <v>215.33</v>
      </c>
      <c r="C2643" s="3">
        <v>533.094776407116</v>
      </c>
    </row>
    <row r="2644">
      <c r="A2644" s="1">
        <f>IFERROR(__xludf.DUMMYFUNCTION("""COMPUTED_VALUE"""),44189.54166666667)</f>
        <v>44189.54167</v>
      </c>
      <c r="B2644" s="2">
        <f>IFERROR(__xludf.DUMMYFUNCTION("""COMPUTED_VALUE"""),220.59)</f>
        <v>220.59</v>
      </c>
      <c r="C2644" s="3">
        <v>534.338498501771</v>
      </c>
    </row>
    <row r="2645">
      <c r="A2645" s="1">
        <f>IFERROR(__xludf.DUMMYFUNCTION("""COMPUTED_VALUE"""),44193.66666666667)</f>
        <v>44193.66667</v>
      </c>
      <c r="B2645" s="2">
        <f>IFERROR(__xludf.DUMMYFUNCTION("""COMPUTED_VALUE"""),221.23)</f>
        <v>221.23</v>
      </c>
      <c r="C2645" s="3">
        <v>544.127114346446</v>
      </c>
    </row>
    <row r="2646">
      <c r="A2646" s="1">
        <f>IFERROR(__xludf.DUMMYFUNCTION("""COMPUTED_VALUE"""),44194.66666666667)</f>
        <v>44194.66667</v>
      </c>
      <c r="B2646" s="2">
        <f>IFERROR(__xludf.DUMMYFUNCTION("""COMPUTED_VALUE"""),222.0)</f>
        <v>222</v>
      </c>
      <c r="C2646" s="3">
        <v>546.23397019061</v>
      </c>
    </row>
    <row r="2647">
      <c r="A2647" s="1">
        <f>IFERROR(__xludf.DUMMYFUNCTION("""COMPUTED_VALUE"""),44195.66666666667)</f>
        <v>44195.66667</v>
      </c>
      <c r="B2647" s="2">
        <f>IFERROR(__xludf.DUMMYFUNCTION("""COMPUTED_VALUE"""),231.59)</f>
        <v>231.59</v>
      </c>
      <c r="C2647" s="3">
        <v>548.729069720344</v>
      </c>
    </row>
    <row r="2648">
      <c r="A2648" s="1">
        <f>IFERROR(__xludf.DUMMYFUNCTION("""COMPUTED_VALUE"""),44196.66666666667)</f>
        <v>44196.66667</v>
      </c>
      <c r="B2648" s="2">
        <f>IFERROR(__xludf.DUMMYFUNCTION("""COMPUTED_VALUE"""),235.22)</f>
        <v>235.22</v>
      </c>
      <c r="C2648" s="3">
        <v>550.269683097972</v>
      </c>
    </row>
    <row r="2649">
      <c r="A2649" s="1">
        <f>IFERROR(__xludf.DUMMYFUNCTION("""COMPUTED_VALUE"""),44200.66666666667)</f>
        <v>44200.66667</v>
      </c>
      <c r="B2649" s="2">
        <f>IFERROR(__xludf.DUMMYFUNCTION("""COMPUTED_VALUE"""),243.26)</f>
        <v>243.26</v>
      </c>
      <c r="C2649" s="3">
        <v>559.803564715893</v>
      </c>
    </row>
    <row r="2650">
      <c r="A2650" s="1">
        <f>IFERROR(__xludf.DUMMYFUNCTION("""COMPUTED_VALUE"""),44201.66666666667)</f>
        <v>44201.66667</v>
      </c>
      <c r="B2650" s="2">
        <f>IFERROR(__xludf.DUMMYFUNCTION("""COMPUTED_VALUE"""),245.04)</f>
        <v>245.04</v>
      </c>
      <c r="C2650" s="3">
        <v>561.481435084276</v>
      </c>
    </row>
    <row r="2651">
      <c r="A2651" s="1">
        <f>IFERROR(__xludf.DUMMYFUNCTION("""COMPUTED_VALUE"""),44202.66666666667)</f>
        <v>44202.66667</v>
      </c>
      <c r="B2651" s="2">
        <f>IFERROR(__xludf.DUMMYFUNCTION("""COMPUTED_VALUE"""),251.99)</f>
        <v>251.99</v>
      </c>
      <c r="C2651" s="3">
        <v>563.411672953723</v>
      </c>
    </row>
    <row r="2652">
      <c r="A2652" s="1">
        <f>IFERROR(__xludf.DUMMYFUNCTION("""COMPUTED_VALUE"""),44203.66666666667)</f>
        <v>44203.66667</v>
      </c>
      <c r="B2652" s="2">
        <f>IFERROR(__xludf.DUMMYFUNCTION("""COMPUTED_VALUE"""),272.01)</f>
        <v>272.01</v>
      </c>
      <c r="C2652" s="3">
        <v>564.262491099076</v>
      </c>
    </row>
    <row r="2653">
      <c r="A2653" s="1">
        <f>IFERROR(__xludf.DUMMYFUNCTION("""COMPUTED_VALUE"""),44204.66666666667)</f>
        <v>44204.66667</v>
      </c>
      <c r="B2653" s="2">
        <f>IFERROR(__xludf.DUMMYFUNCTION("""COMPUTED_VALUE"""),293.34)</f>
        <v>293.34</v>
      </c>
      <c r="C2653" s="3">
        <v>564.928582633915</v>
      </c>
    </row>
    <row r="2654">
      <c r="A2654" s="1">
        <f>IFERROR(__xludf.DUMMYFUNCTION("""COMPUTED_VALUE"""),44207.66666666667)</f>
        <v>44207.66667</v>
      </c>
      <c r="B2654" s="2">
        <f>IFERROR(__xludf.DUMMYFUNCTION("""COMPUTED_VALUE"""),270.4)</f>
        <v>270.4</v>
      </c>
      <c r="C2654" s="3">
        <v>570.102849376643</v>
      </c>
    </row>
    <row r="2655">
      <c r="A2655" s="1">
        <f>IFERROR(__xludf.DUMMYFUNCTION("""COMPUTED_VALUE"""),44208.66666666667)</f>
        <v>44208.66667</v>
      </c>
      <c r="B2655" s="2">
        <f>IFERROR(__xludf.DUMMYFUNCTION("""COMPUTED_VALUE"""),283.15)</f>
        <v>283.15</v>
      </c>
      <c r="C2655" s="3">
        <v>570.720754623184</v>
      </c>
    </row>
    <row r="2656">
      <c r="A2656" s="1">
        <f>IFERROR(__xludf.DUMMYFUNCTION("""COMPUTED_VALUE"""),44209.66666666667)</f>
        <v>44209.66667</v>
      </c>
      <c r="B2656" s="2">
        <f>IFERROR(__xludf.DUMMYFUNCTION("""COMPUTED_VALUE"""),284.8)</f>
        <v>284.8</v>
      </c>
      <c r="C2656" s="3">
        <v>571.579715888857</v>
      </c>
    </row>
    <row r="2657">
      <c r="A2657" s="1">
        <f>IFERROR(__xludf.DUMMYFUNCTION("""COMPUTED_VALUE"""),44210.66666666667)</f>
        <v>44210.66667</v>
      </c>
      <c r="B2657" s="2">
        <f>IFERROR(__xludf.DUMMYFUNCTION("""COMPUTED_VALUE"""),281.67)</f>
        <v>281.67</v>
      </c>
      <c r="C2657" s="3">
        <v>571.370324833221</v>
      </c>
    </row>
    <row r="2658">
      <c r="A2658" s="1">
        <f>IFERROR(__xludf.DUMMYFUNCTION("""COMPUTED_VALUE"""),44211.66666666667)</f>
        <v>44211.66667</v>
      </c>
      <c r="B2658" s="2">
        <f>IFERROR(__xludf.DUMMYFUNCTION("""COMPUTED_VALUE"""),275.39)</f>
        <v>275.39</v>
      </c>
      <c r="C2658" s="3">
        <v>571.009144921263</v>
      </c>
    </row>
    <row r="2659">
      <c r="A2659" s="1">
        <f>IFERROR(__xludf.DUMMYFUNCTION("""COMPUTED_VALUE"""),44215.66666666667)</f>
        <v>44215.66667</v>
      </c>
      <c r="B2659" s="2">
        <f>IFERROR(__xludf.DUMMYFUNCTION("""COMPUTED_VALUE"""),281.52)</f>
        <v>281.52</v>
      </c>
      <c r="C2659" s="3">
        <v>573.41055257541</v>
      </c>
    </row>
    <row r="2660">
      <c r="A2660" s="1">
        <f>IFERROR(__xludf.DUMMYFUNCTION("""COMPUTED_VALUE"""),44216.66666666667)</f>
        <v>44216.66667</v>
      </c>
      <c r="B2660" s="2">
        <f>IFERROR(__xludf.DUMMYFUNCTION("""COMPUTED_VALUE"""),283.48)</f>
        <v>283.48</v>
      </c>
      <c r="C2660" s="3">
        <v>573.679715875718</v>
      </c>
    </row>
    <row r="2661">
      <c r="A2661" s="1">
        <f>IFERROR(__xludf.DUMMYFUNCTION("""COMPUTED_VALUE"""),44217.66666666667)</f>
        <v>44217.66667</v>
      </c>
      <c r="B2661" s="2">
        <f>IFERROR(__xludf.DUMMYFUNCTION("""COMPUTED_VALUE"""),281.66)</f>
        <v>281.66</v>
      </c>
      <c r="C2661" s="3">
        <v>573.005217115267</v>
      </c>
    </row>
    <row r="2662">
      <c r="A2662" s="1">
        <f>IFERROR(__xludf.DUMMYFUNCTION("""COMPUTED_VALUE"""),44218.66666666667)</f>
        <v>44218.66667</v>
      </c>
      <c r="B2662" s="2">
        <f>IFERROR(__xludf.DUMMYFUNCTION("""COMPUTED_VALUE"""),282.21)</f>
        <v>282.21</v>
      </c>
      <c r="C2662" s="3">
        <v>572.308693698225</v>
      </c>
    </row>
    <row r="2663">
      <c r="A2663" s="1">
        <f>IFERROR(__xludf.DUMMYFUNCTION("""COMPUTED_VALUE"""),44221.66666666667)</f>
        <v>44221.66667</v>
      </c>
      <c r="B2663" s="2">
        <f>IFERROR(__xludf.DUMMYFUNCTION("""COMPUTED_VALUE"""),293.6)</f>
        <v>293.6</v>
      </c>
      <c r="C2663" s="3">
        <v>574.569006475216</v>
      </c>
    </row>
    <row r="2664">
      <c r="A2664" s="1">
        <f>IFERROR(__xludf.DUMMYFUNCTION("""COMPUTED_VALUE"""),44222.66666666667)</f>
        <v>44222.66667</v>
      </c>
      <c r="B2664" s="2">
        <f>IFERROR(__xludf.DUMMYFUNCTION("""COMPUTED_VALUE"""),294.36)</f>
        <v>294.36</v>
      </c>
      <c r="C2664" s="3">
        <v>574.64566647897</v>
      </c>
    </row>
    <row r="2665">
      <c r="A2665" s="1">
        <f>IFERROR(__xludf.DUMMYFUNCTION("""COMPUTED_VALUE"""),44223.66666666667)</f>
        <v>44223.66667</v>
      </c>
      <c r="B2665" s="2">
        <f>IFERROR(__xludf.DUMMYFUNCTION("""COMPUTED_VALUE"""),288.05)</f>
        <v>288.05</v>
      </c>
      <c r="C2665" s="3">
        <v>575.183335923187</v>
      </c>
    </row>
    <row r="2666">
      <c r="A2666" s="1">
        <f>IFERROR(__xludf.DUMMYFUNCTION("""COMPUTED_VALUE"""),44224.66666666667)</f>
        <v>44224.66667</v>
      </c>
      <c r="B2666" s="2">
        <f>IFERROR(__xludf.DUMMYFUNCTION("""COMPUTED_VALUE"""),278.48)</f>
        <v>278.48</v>
      </c>
      <c r="C2666" s="3">
        <v>574.866763274166</v>
      </c>
    </row>
    <row r="2667">
      <c r="A2667" s="1">
        <f>IFERROR(__xludf.DUMMYFUNCTION("""COMPUTED_VALUE"""),44225.66666666667)</f>
        <v>44225.66667</v>
      </c>
      <c r="B2667" s="2">
        <f>IFERROR(__xludf.DUMMYFUNCTION("""COMPUTED_VALUE"""),264.51)</f>
        <v>264.51</v>
      </c>
      <c r="C2667" s="3">
        <v>574.601027320389</v>
      </c>
    </row>
    <row r="2668">
      <c r="A2668" s="1">
        <f>IFERROR(__xludf.DUMMYFUNCTION("""COMPUTED_VALUE"""),44228.66666666667)</f>
        <v>44228.66667</v>
      </c>
      <c r="B2668" s="2">
        <f>IFERROR(__xludf.DUMMYFUNCTION("""COMPUTED_VALUE"""),279.94)</f>
        <v>279.94</v>
      </c>
      <c r="C2668" s="3">
        <v>578.401739706467</v>
      </c>
    </row>
    <row r="2669">
      <c r="A2669" s="1">
        <f>IFERROR(__xludf.DUMMYFUNCTION("""COMPUTED_VALUE"""),44229.66666666667)</f>
        <v>44229.66667</v>
      </c>
      <c r="B2669" s="2">
        <f>IFERROR(__xludf.DUMMYFUNCTION("""COMPUTED_VALUE"""),290.93)</f>
        <v>290.93</v>
      </c>
      <c r="C2669" s="3">
        <v>579.007416027385</v>
      </c>
    </row>
    <row r="2670">
      <c r="A2670" s="1">
        <f>IFERROR(__xludf.DUMMYFUNCTION("""COMPUTED_VALUE"""),44230.66666666667)</f>
        <v>44230.66667</v>
      </c>
      <c r="B2670" s="2">
        <f>IFERROR(__xludf.DUMMYFUNCTION("""COMPUTED_VALUE"""),284.9)</f>
        <v>284.9</v>
      </c>
      <c r="C2670" s="3">
        <v>580.048240355727</v>
      </c>
    </row>
    <row r="2671">
      <c r="A2671" s="1">
        <f>IFERROR(__xludf.DUMMYFUNCTION("""COMPUTED_VALUE"""),44231.66666666667)</f>
        <v>44231.66667</v>
      </c>
      <c r="B2671" s="2">
        <f>IFERROR(__xludf.DUMMYFUNCTION("""COMPUTED_VALUE"""),283.33)</f>
        <v>283.33</v>
      </c>
      <c r="C2671" s="3">
        <v>580.189917349124</v>
      </c>
    </row>
    <row r="2672">
      <c r="A2672" s="1">
        <f>IFERROR(__xludf.DUMMYFUNCTION("""COMPUTED_VALUE"""),44232.66666666667)</f>
        <v>44232.66667</v>
      </c>
      <c r="B2672" s="2">
        <f>IFERROR(__xludf.DUMMYFUNCTION("""COMPUTED_VALUE"""),284.08)</f>
        <v>284.08</v>
      </c>
      <c r="C2672" s="3">
        <v>580.319989908892</v>
      </c>
    </row>
    <row r="2673">
      <c r="A2673" s="1">
        <f>IFERROR(__xludf.DUMMYFUNCTION("""COMPUTED_VALUE"""),44235.66666666667)</f>
        <v>44235.66667</v>
      </c>
      <c r="B2673" s="2">
        <f>IFERROR(__xludf.DUMMYFUNCTION("""COMPUTED_VALUE"""),287.81)</f>
        <v>287.81</v>
      </c>
      <c r="C2673" s="3">
        <v>584.790474582551</v>
      </c>
    </row>
    <row r="2674">
      <c r="A2674" s="1">
        <f>IFERROR(__xludf.DUMMYFUNCTION("""COMPUTED_VALUE"""),44236.66666666667)</f>
        <v>44236.66667</v>
      </c>
      <c r="B2674" s="2">
        <f>IFERROR(__xludf.DUMMYFUNCTION("""COMPUTED_VALUE"""),283.15)</f>
        <v>283.15</v>
      </c>
      <c r="C2674" s="3">
        <v>585.41263162251</v>
      </c>
    </row>
    <row r="2675">
      <c r="A2675" s="1">
        <f>IFERROR(__xludf.DUMMYFUNCTION("""COMPUTED_VALUE"""),44237.66666666667)</f>
        <v>44237.66667</v>
      </c>
      <c r="B2675" s="2">
        <f>IFERROR(__xludf.DUMMYFUNCTION("""COMPUTED_VALUE"""),268.27)</f>
        <v>268.27</v>
      </c>
      <c r="C2675" s="3">
        <v>586.357134207942</v>
      </c>
    </row>
    <row r="2676">
      <c r="A2676" s="1">
        <f>IFERROR(__xludf.DUMMYFUNCTION("""COMPUTED_VALUE"""),44238.66666666667)</f>
        <v>44238.66667</v>
      </c>
      <c r="B2676" s="2">
        <f>IFERROR(__xludf.DUMMYFUNCTION("""COMPUTED_VALUE"""),270.55)</f>
        <v>270.55</v>
      </c>
      <c r="C2676" s="3">
        <v>586.289006325779</v>
      </c>
    </row>
    <row r="2677">
      <c r="A2677" s="1">
        <f>IFERROR(__xludf.DUMMYFUNCTION("""COMPUTED_VALUE"""),44239.66666666667)</f>
        <v>44239.66667</v>
      </c>
      <c r="B2677" s="2">
        <f>IFERROR(__xludf.DUMMYFUNCTION("""COMPUTED_VALUE"""),272.04)</f>
        <v>272.04</v>
      </c>
      <c r="C2677" s="3">
        <v>586.098485595369</v>
      </c>
    </row>
    <row r="2678">
      <c r="A2678" s="1">
        <f>IFERROR(__xludf.DUMMYFUNCTION("""COMPUTED_VALUE"""),44243.66666666667)</f>
        <v>44243.66667</v>
      </c>
      <c r="B2678" s="2">
        <f>IFERROR(__xludf.DUMMYFUNCTION("""COMPUTED_VALUE"""),265.41)</f>
        <v>265.41</v>
      </c>
      <c r="C2678" s="3">
        <v>588.966112711626</v>
      </c>
    </row>
    <row r="2679">
      <c r="A2679" s="1">
        <f>IFERROR(__xludf.DUMMYFUNCTION("""COMPUTED_VALUE"""),44244.66666666667)</f>
        <v>44244.66667</v>
      </c>
      <c r="B2679" s="2">
        <f>IFERROR(__xludf.DUMMYFUNCTION("""COMPUTED_VALUE"""),266.05)</f>
        <v>266.05</v>
      </c>
      <c r="C2679" s="3">
        <v>589.184379227494</v>
      </c>
    </row>
    <row r="2680">
      <c r="A2680" s="1">
        <f>IFERROR(__xludf.DUMMYFUNCTION("""COMPUTED_VALUE"""),44245.66666666667)</f>
        <v>44245.66667</v>
      </c>
      <c r="B2680" s="2">
        <f>IFERROR(__xludf.DUMMYFUNCTION("""COMPUTED_VALUE"""),262.46)</f>
        <v>262.46</v>
      </c>
      <c r="C2680" s="3">
        <v>588.356033931704</v>
      </c>
    </row>
    <row r="2681">
      <c r="A2681" s="1">
        <f>IFERROR(__xludf.DUMMYFUNCTION("""COMPUTED_VALUE"""),44246.66666666667)</f>
        <v>44246.66667</v>
      </c>
      <c r="B2681" s="2">
        <f>IFERROR(__xludf.DUMMYFUNCTION("""COMPUTED_VALUE"""),260.43)</f>
        <v>260.43</v>
      </c>
      <c r="C2681" s="3">
        <v>587.39093942349</v>
      </c>
    </row>
    <row r="2682">
      <c r="A2682" s="1">
        <f>IFERROR(__xludf.DUMMYFUNCTION("""COMPUTED_VALUE"""),44249.66666666667)</f>
        <v>44249.66667</v>
      </c>
      <c r="B2682" s="2">
        <f>IFERROR(__xludf.DUMMYFUNCTION("""COMPUTED_VALUE"""),238.17)</f>
        <v>238.17</v>
      </c>
      <c r="C2682" s="3">
        <v>588.103632546111</v>
      </c>
    </row>
    <row r="2683">
      <c r="A2683" s="1">
        <f>IFERROR(__xludf.DUMMYFUNCTION("""COMPUTED_VALUE"""),44250.66666666667)</f>
        <v>44250.66667</v>
      </c>
      <c r="B2683" s="2">
        <f>IFERROR(__xludf.DUMMYFUNCTION("""COMPUTED_VALUE"""),232.95)</f>
        <v>232.95</v>
      </c>
      <c r="C2683" s="3">
        <v>587.421755427281</v>
      </c>
    </row>
    <row r="2684">
      <c r="A2684" s="1">
        <f>IFERROR(__xludf.DUMMYFUNCTION("""COMPUTED_VALUE"""),44251.66666666667)</f>
        <v>44251.66667</v>
      </c>
      <c r="B2684" s="2">
        <f>IFERROR(__xludf.DUMMYFUNCTION("""COMPUTED_VALUE"""),247.34)</f>
        <v>247.34</v>
      </c>
      <c r="C2684" s="3">
        <v>587.093099768928</v>
      </c>
    </row>
    <row r="2685">
      <c r="A2685" s="1">
        <f>IFERROR(__xludf.DUMMYFUNCTION("""COMPUTED_VALUE"""),44252.66666666667)</f>
        <v>44252.66667</v>
      </c>
      <c r="B2685" s="2">
        <f>IFERROR(__xludf.DUMMYFUNCTION("""COMPUTED_VALUE"""),227.41)</f>
        <v>227.41</v>
      </c>
      <c r="C2685" s="3">
        <v>585.816924660081</v>
      </c>
    </row>
    <row r="2686">
      <c r="A2686" s="1">
        <f>IFERROR(__xludf.DUMMYFUNCTION("""COMPUTED_VALUE"""),44253.66666666667)</f>
        <v>44253.66667</v>
      </c>
      <c r="B2686" s="2">
        <f>IFERROR(__xludf.DUMMYFUNCTION("""COMPUTED_VALUE"""),225.17)</f>
        <v>225.17</v>
      </c>
      <c r="C2686" s="3">
        <v>584.516627878507</v>
      </c>
    </row>
    <row r="2687">
      <c r="A2687" s="1">
        <f>IFERROR(__xludf.DUMMYFUNCTION("""COMPUTED_VALUE"""),44256.66666666667)</f>
        <v>44256.66667</v>
      </c>
      <c r="B2687" s="2">
        <f>IFERROR(__xludf.DUMMYFUNCTION("""COMPUTED_VALUE"""),239.48)</f>
        <v>239.48</v>
      </c>
      <c r="C2687" s="3">
        <v>584.994002848916</v>
      </c>
    </row>
    <row r="2688">
      <c r="A2688" s="1">
        <f>IFERROR(__xludf.DUMMYFUNCTION("""COMPUTED_VALUE"""),44257.66666666667)</f>
        <v>44257.66667</v>
      </c>
      <c r="B2688" s="2">
        <f>IFERROR(__xludf.DUMMYFUNCTION("""COMPUTED_VALUE"""),228.81)</f>
        <v>228.81</v>
      </c>
      <c r="C2688" s="3">
        <v>584.506867213854</v>
      </c>
    </row>
    <row r="2689">
      <c r="A2689" s="1">
        <f>IFERROR(__xludf.DUMMYFUNCTION("""COMPUTED_VALUE"""),44258.66666666667)</f>
        <v>44258.66667</v>
      </c>
      <c r="B2689" s="2">
        <f>IFERROR(__xludf.DUMMYFUNCTION("""COMPUTED_VALUE"""),217.73)</f>
        <v>217.73</v>
      </c>
      <c r="C2689" s="3">
        <v>584.509852122152</v>
      </c>
    </row>
    <row r="2690">
      <c r="A2690" s="1">
        <f>IFERROR(__xludf.DUMMYFUNCTION("""COMPUTED_VALUE"""),44259.66666666667)</f>
        <v>44259.66667</v>
      </c>
      <c r="B2690" s="2">
        <f>IFERROR(__xludf.DUMMYFUNCTION("""COMPUTED_VALUE"""),207.15)</f>
        <v>207.15</v>
      </c>
      <c r="C2690" s="3">
        <v>583.697685686886</v>
      </c>
    </row>
    <row r="2691">
      <c r="A2691" s="1">
        <f>IFERROR(__xludf.DUMMYFUNCTION("""COMPUTED_VALUE"""),44260.66666666667)</f>
        <v>44260.66667</v>
      </c>
      <c r="B2691" s="2">
        <f>IFERROR(__xludf.DUMMYFUNCTION("""COMPUTED_VALUE"""),199.32)</f>
        <v>199.32</v>
      </c>
      <c r="C2691" s="3">
        <v>582.986261979549</v>
      </c>
    </row>
    <row r="2692">
      <c r="A2692" s="1">
        <f>IFERROR(__xludf.DUMMYFUNCTION("""COMPUTED_VALUE"""),44263.66666666667)</f>
        <v>44263.66667</v>
      </c>
      <c r="B2692" s="2">
        <f>IFERROR(__xludf.DUMMYFUNCTION("""COMPUTED_VALUE"""),187.67)</f>
        <v>187.67</v>
      </c>
      <c r="C2692" s="3">
        <v>585.865044832994</v>
      </c>
    </row>
    <row r="2693">
      <c r="A2693" s="1">
        <f>IFERROR(__xludf.DUMMYFUNCTION("""COMPUTED_VALUE"""),44264.66666666667)</f>
        <v>44264.66667</v>
      </c>
      <c r="B2693" s="2">
        <f>IFERROR(__xludf.DUMMYFUNCTION("""COMPUTED_VALUE"""),224.53)</f>
        <v>224.53</v>
      </c>
      <c r="C2693" s="3">
        <v>586.341061772993</v>
      </c>
    </row>
    <row r="2694">
      <c r="A2694" s="1">
        <f>IFERROR(__xludf.DUMMYFUNCTION("""COMPUTED_VALUE"""),44265.66666666667)</f>
        <v>44265.66667</v>
      </c>
      <c r="B2694" s="2">
        <f>IFERROR(__xludf.DUMMYFUNCTION("""COMPUTED_VALUE"""),222.69)</f>
        <v>222.69</v>
      </c>
      <c r="C2694" s="3">
        <v>587.360100836884</v>
      </c>
    </row>
    <row r="2695">
      <c r="A2695" s="1">
        <f>IFERROR(__xludf.DUMMYFUNCTION("""COMPUTED_VALUE"""),44266.66666666667)</f>
        <v>44266.66667</v>
      </c>
      <c r="B2695" s="2">
        <f>IFERROR(__xludf.DUMMYFUNCTION("""COMPUTED_VALUE"""),233.2)</f>
        <v>233.2</v>
      </c>
      <c r="C2695" s="3">
        <v>587.598379203316</v>
      </c>
    </row>
    <row r="2696">
      <c r="A2696" s="1">
        <f>IFERROR(__xludf.DUMMYFUNCTION("""COMPUTED_VALUE"""),44267.66666666667)</f>
        <v>44267.66667</v>
      </c>
      <c r="B2696" s="2">
        <f>IFERROR(__xludf.DUMMYFUNCTION("""COMPUTED_VALUE"""),231.24)</f>
        <v>231.24</v>
      </c>
      <c r="C2696" s="3">
        <v>587.952979445228</v>
      </c>
    </row>
    <row r="2697">
      <c r="A2697" s="1">
        <f>IFERROR(__xludf.DUMMYFUNCTION("""COMPUTED_VALUE"""),44270.66666666667)</f>
        <v>44270.66667</v>
      </c>
      <c r="B2697" s="2">
        <f>IFERROR(__xludf.DUMMYFUNCTION("""COMPUTED_VALUE"""),235.98)</f>
        <v>235.98</v>
      </c>
      <c r="C2697" s="3">
        <v>593.940570767417</v>
      </c>
    </row>
    <row r="2698">
      <c r="A2698" s="1">
        <f>IFERROR(__xludf.DUMMYFUNCTION("""COMPUTED_VALUE"""),44271.66666666667)</f>
        <v>44271.66667</v>
      </c>
      <c r="B2698" s="2">
        <f>IFERROR(__xludf.DUMMYFUNCTION("""COMPUTED_VALUE"""),225.63)</f>
        <v>225.63</v>
      </c>
      <c r="C2698" s="3">
        <v>595.367066720556</v>
      </c>
    </row>
    <row r="2699">
      <c r="A2699" s="1">
        <f>IFERROR(__xludf.DUMMYFUNCTION("""COMPUTED_VALUE"""),44272.66666666667)</f>
        <v>44272.66667</v>
      </c>
      <c r="B2699" s="2">
        <f>IFERROR(__xludf.DUMMYFUNCTION("""COMPUTED_VALUE"""),233.94)</f>
        <v>233.94</v>
      </c>
      <c r="C2699" s="3">
        <v>597.269476058546</v>
      </c>
    </row>
    <row r="2700">
      <c r="A2700" s="1">
        <f>IFERROR(__xludf.DUMMYFUNCTION("""COMPUTED_VALUE"""),44273.66666666667)</f>
        <v>44273.66667</v>
      </c>
      <c r="B2700" s="2">
        <f>IFERROR(__xludf.DUMMYFUNCTION("""COMPUTED_VALUE"""),217.72)</f>
        <v>217.72</v>
      </c>
      <c r="C2700" s="3">
        <v>598.312447796745</v>
      </c>
    </row>
    <row r="2701">
      <c r="A2701" s="1">
        <f>IFERROR(__xludf.DUMMYFUNCTION("""COMPUTED_VALUE"""),44274.66666666667)</f>
        <v>44274.66667</v>
      </c>
      <c r="B2701" s="2">
        <f>IFERROR(__xludf.DUMMYFUNCTION("""COMPUTED_VALUE"""),218.29)</f>
        <v>218.29</v>
      </c>
      <c r="C2701" s="3">
        <v>599.383806467921</v>
      </c>
    </row>
    <row r="2702">
      <c r="A2702" s="1">
        <f>IFERROR(__xludf.DUMMYFUNCTION("""COMPUTED_VALUE"""),44277.66666666667)</f>
        <v>44277.66667</v>
      </c>
      <c r="B2702" s="2">
        <f>IFERROR(__xludf.DUMMYFUNCTION("""COMPUTED_VALUE"""),223.33)</f>
        <v>223.33</v>
      </c>
      <c r="C2702" s="3">
        <v>606.938744072257</v>
      </c>
    </row>
    <row r="2703">
      <c r="A2703" s="1">
        <f>IFERROR(__xludf.DUMMYFUNCTION("""COMPUTED_VALUE"""),44278.66666666667)</f>
        <v>44278.66667</v>
      </c>
      <c r="B2703" s="2">
        <f>IFERROR(__xludf.DUMMYFUNCTION("""COMPUTED_VALUE"""),220.72)</f>
        <v>220.72</v>
      </c>
      <c r="C2703" s="3">
        <v>608.687545748039</v>
      </c>
    </row>
    <row r="2704">
      <c r="A2704" s="1">
        <f>IFERROR(__xludf.DUMMYFUNCTION("""COMPUTED_VALUE"""),44279.66666666667)</f>
        <v>44279.66667</v>
      </c>
      <c r="B2704" s="2">
        <f>IFERROR(__xludf.DUMMYFUNCTION("""COMPUTED_VALUE"""),210.09)</f>
        <v>210.09</v>
      </c>
      <c r="C2704" s="3">
        <v>610.815333252017</v>
      </c>
    </row>
    <row r="2705">
      <c r="A2705" s="1">
        <f>IFERROR(__xludf.DUMMYFUNCTION("""COMPUTED_VALUE"""),44280.66666666667)</f>
        <v>44280.66667</v>
      </c>
      <c r="B2705" s="2">
        <f>IFERROR(__xludf.DUMMYFUNCTION("""COMPUTED_VALUE"""),213.46)</f>
        <v>213.46</v>
      </c>
      <c r="C2705" s="3">
        <v>611.991944599966</v>
      </c>
    </row>
    <row r="2706">
      <c r="A2706" s="1">
        <f>IFERROR(__xludf.DUMMYFUNCTION("""COMPUTED_VALUE"""),44281.66666666667)</f>
        <v>44281.66667</v>
      </c>
      <c r="B2706" s="2">
        <f>IFERROR(__xludf.DUMMYFUNCTION("""COMPUTED_VALUE"""),206.24)</f>
        <v>206.24</v>
      </c>
      <c r="C2706" s="3">
        <v>613.112261589495</v>
      </c>
    </row>
    <row r="2707">
      <c r="A2707" s="1">
        <f>IFERROR(__xludf.DUMMYFUNCTION("""COMPUTED_VALUE"""),44284.66666666667)</f>
        <v>44284.66667</v>
      </c>
      <c r="B2707" s="2">
        <f>IFERROR(__xludf.DUMMYFUNCTION("""COMPUTED_VALUE"""),203.76)</f>
        <v>203.76</v>
      </c>
      <c r="C2707" s="3">
        <v>620.39796603406</v>
      </c>
    </row>
    <row r="2708">
      <c r="A2708" s="1">
        <f>IFERROR(__xludf.DUMMYFUNCTION("""COMPUTED_VALUE"""),44285.66666666667)</f>
        <v>44285.66667</v>
      </c>
      <c r="B2708" s="2">
        <f>IFERROR(__xludf.DUMMYFUNCTION("""COMPUTED_VALUE"""),211.87)</f>
        <v>211.87</v>
      </c>
      <c r="C2708" s="3">
        <v>621.953631116056</v>
      </c>
    </row>
    <row r="2709">
      <c r="A2709" s="1">
        <f>IFERROR(__xludf.DUMMYFUNCTION("""COMPUTED_VALUE"""),44286.66666666667)</f>
        <v>44286.66667</v>
      </c>
      <c r="B2709" s="2">
        <f>IFERROR(__xludf.DUMMYFUNCTION("""COMPUTED_VALUE"""),222.64)</f>
        <v>222.64</v>
      </c>
      <c r="C2709" s="3">
        <v>623.855252994837</v>
      </c>
    </row>
    <row r="2710">
      <c r="A2710" s="1">
        <f>IFERROR(__xludf.DUMMYFUNCTION("""COMPUTED_VALUE"""),44287.66666666667)</f>
        <v>44287.66667</v>
      </c>
      <c r="B2710" s="2">
        <f>IFERROR(__xludf.DUMMYFUNCTION("""COMPUTED_VALUE"""),220.58)</f>
        <v>220.58</v>
      </c>
      <c r="C2710" s="3">
        <v>624.783688760111</v>
      </c>
    </row>
    <row r="2711">
      <c r="A2711" s="1">
        <f>IFERROR(__xludf.DUMMYFUNCTION("""COMPUTED_VALUE"""),44291.66666666667)</f>
        <v>44291.66667</v>
      </c>
      <c r="B2711" s="2">
        <f>IFERROR(__xludf.DUMMYFUNCTION("""COMPUTED_VALUE"""),230.35)</f>
        <v>230.35</v>
      </c>
      <c r="C2711" s="3">
        <v>632.169267612529</v>
      </c>
    </row>
    <row r="2712">
      <c r="A2712" s="1">
        <f>IFERROR(__xludf.DUMMYFUNCTION("""COMPUTED_VALUE"""),44292.66666666667)</f>
        <v>44292.66667</v>
      </c>
      <c r="B2712" s="2">
        <f>IFERROR(__xludf.DUMMYFUNCTION("""COMPUTED_VALUE"""),230.54)</f>
        <v>230.54</v>
      </c>
      <c r="C2712" s="3">
        <v>633.50014850996</v>
      </c>
    </row>
    <row r="2713">
      <c r="A2713" s="1">
        <f>IFERROR(__xludf.DUMMYFUNCTION("""COMPUTED_VALUE"""),44293.66666666667)</f>
        <v>44293.66667</v>
      </c>
      <c r="B2713" s="2">
        <f>IFERROR(__xludf.DUMMYFUNCTION("""COMPUTED_VALUE"""),223.66)</f>
        <v>223.66</v>
      </c>
      <c r="C2713" s="3">
        <v>635.198581972277</v>
      </c>
    </row>
    <row r="2714">
      <c r="A2714" s="1">
        <f>IFERROR(__xludf.DUMMYFUNCTION("""COMPUTED_VALUE"""),44294.66666666667)</f>
        <v>44294.66667</v>
      </c>
      <c r="B2714" s="2">
        <f>IFERROR(__xludf.DUMMYFUNCTION("""COMPUTED_VALUE"""),227.93)</f>
        <v>227.93</v>
      </c>
      <c r="C2714" s="3">
        <v>635.947126425149</v>
      </c>
    </row>
    <row r="2715">
      <c r="A2715" s="1">
        <f>IFERROR(__xludf.DUMMYFUNCTION("""COMPUTED_VALUE"""),44295.66666666667)</f>
        <v>44295.66667</v>
      </c>
      <c r="B2715" s="2">
        <f>IFERROR(__xludf.DUMMYFUNCTION("""COMPUTED_VALUE"""),225.67)</f>
        <v>225.67</v>
      </c>
      <c r="C2715" s="3">
        <v>636.651003361781</v>
      </c>
    </row>
    <row r="2716">
      <c r="A2716" s="1">
        <f>IFERROR(__xludf.DUMMYFUNCTION("""COMPUTED_VALUE"""),44298.66666666667)</f>
        <v>44298.66667</v>
      </c>
      <c r="B2716" s="2">
        <f>IFERROR(__xludf.DUMMYFUNCTION("""COMPUTED_VALUE"""),233.99)</f>
        <v>233.99</v>
      </c>
      <c r="C2716" s="3">
        <v>642.820423596467</v>
      </c>
    </row>
    <row r="2717">
      <c r="A2717" s="1">
        <f>IFERROR(__xludf.DUMMYFUNCTION("""COMPUTED_VALUE"""),44299.66666666667)</f>
        <v>44299.66667</v>
      </c>
      <c r="B2717" s="2">
        <f>IFERROR(__xludf.DUMMYFUNCTION("""COMPUTED_VALUE"""),254.11)</f>
        <v>254.11</v>
      </c>
      <c r="C2717" s="3">
        <v>644.055524013252</v>
      </c>
    </row>
    <row r="2718">
      <c r="A2718" s="1">
        <f>IFERROR(__xludf.DUMMYFUNCTION("""COMPUTED_VALUE"""),44300.66666666667)</f>
        <v>44300.66667</v>
      </c>
      <c r="B2718" s="2">
        <f>IFERROR(__xludf.DUMMYFUNCTION("""COMPUTED_VALUE"""),244.08)</f>
        <v>244.08</v>
      </c>
      <c r="C2718" s="3">
        <v>645.659189873297</v>
      </c>
    </row>
    <row r="2719">
      <c r="A2719" s="1">
        <f>IFERROR(__xludf.DUMMYFUNCTION("""COMPUTED_VALUE"""),44301.66666666667)</f>
        <v>44301.66667</v>
      </c>
      <c r="B2719" s="2">
        <f>IFERROR(__xludf.DUMMYFUNCTION("""COMPUTED_VALUE"""),246.28)</f>
        <v>246.28</v>
      </c>
      <c r="C2719" s="3">
        <v>646.306727682326</v>
      </c>
    </row>
    <row r="2720">
      <c r="A2720" s="1">
        <f>IFERROR(__xludf.DUMMYFUNCTION("""COMPUTED_VALUE"""),44302.66666666667)</f>
        <v>44302.66667</v>
      </c>
      <c r="B2720" s="2">
        <f>IFERROR(__xludf.DUMMYFUNCTION("""COMPUTED_VALUE"""),246.59)</f>
        <v>246.59</v>
      </c>
      <c r="C2720" s="3">
        <v>646.895855042807</v>
      </c>
    </row>
    <row r="2721">
      <c r="A2721" s="1">
        <f>IFERROR(__xludf.DUMMYFUNCTION("""COMPUTED_VALUE"""),44305.66666666667)</f>
        <v>44305.66667</v>
      </c>
      <c r="B2721" s="2">
        <f>IFERROR(__xludf.DUMMYFUNCTION("""COMPUTED_VALUE"""),238.21)</f>
        <v>238.21</v>
      </c>
      <c r="C2721" s="3">
        <v>652.566567691459</v>
      </c>
    </row>
    <row r="2722">
      <c r="A2722" s="1">
        <f>IFERROR(__xludf.DUMMYFUNCTION("""COMPUTED_VALUE"""),44306.66666666667)</f>
        <v>44306.66667</v>
      </c>
      <c r="B2722" s="2">
        <f>IFERROR(__xludf.DUMMYFUNCTION("""COMPUTED_VALUE"""),239.66)</f>
        <v>239.66</v>
      </c>
      <c r="C2722" s="3">
        <v>653.563149336879</v>
      </c>
    </row>
    <row r="2723">
      <c r="A2723" s="1">
        <f>IFERROR(__xludf.DUMMYFUNCTION("""COMPUTED_VALUE"""),44307.66666666667)</f>
        <v>44307.66667</v>
      </c>
      <c r="B2723" s="2">
        <f>IFERROR(__xludf.DUMMYFUNCTION("""COMPUTED_VALUE"""),248.04)</f>
        <v>248.04</v>
      </c>
      <c r="C2723" s="3">
        <v>654.884351806682</v>
      </c>
    </row>
    <row r="2724">
      <c r="A2724" s="1">
        <f>IFERROR(__xludf.DUMMYFUNCTION("""COMPUTED_VALUE"""),44308.66666666667)</f>
        <v>44308.66667</v>
      </c>
      <c r="B2724" s="2">
        <f>IFERROR(__xludf.DUMMYFUNCTION("""COMPUTED_VALUE"""),239.9)</f>
        <v>239.9</v>
      </c>
      <c r="C2724" s="3">
        <v>655.202857591887</v>
      </c>
    </row>
    <row r="2725">
      <c r="A2725" s="1">
        <f>IFERROR(__xludf.DUMMYFUNCTION("""COMPUTED_VALUE"""),44309.66666666667)</f>
        <v>44309.66667</v>
      </c>
      <c r="B2725" s="2">
        <f>IFERROR(__xludf.DUMMYFUNCTION("""COMPUTED_VALUE"""),243.13)</f>
        <v>243.13</v>
      </c>
      <c r="C2725" s="3">
        <v>655.415383433693</v>
      </c>
    </row>
    <row r="2726">
      <c r="A2726" s="1">
        <f>IFERROR(__xludf.DUMMYFUNCTION("""COMPUTED_VALUE"""),44312.66666666667)</f>
        <v>44312.66667</v>
      </c>
      <c r="B2726" s="2">
        <f>IFERROR(__xludf.DUMMYFUNCTION("""COMPUTED_VALUE"""),246.07)</f>
        <v>246.07</v>
      </c>
      <c r="C2726" s="3">
        <v>659.687111131452</v>
      </c>
    </row>
    <row r="2727">
      <c r="A2727" s="1">
        <f>IFERROR(__xludf.DUMMYFUNCTION("""COMPUTED_VALUE"""),44313.66666666667)</f>
        <v>44313.66667</v>
      </c>
      <c r="B2727" s="2">
        <f>IFERROR(__xludf.DUMMYFUNCTION("""COMPUTED_VALUE"""),234.91)</f>
        <v>234.91</v>
      </c>
      <c r="C2727" s="3">
        <v>660.141883579977</v>
      </c>
    </row>
    <row r="2728">
      <c r="A2728" s="1">
        <f>IFERROR(__xludf.DUMMYFUNCTION("""COMPUTED_VALUE"""),44314.66666666667)</f>
        <v>44314.66667</v>
      </c>
      <c r="B2728" s="2">
        <f>IFERROR(__xludf.DUMMYFUNCTION("""COMPUTED_VALUE"""),231.47)</f>
        <v>231.47</v>
      </c>
      <c r="C2728" s="3">
        <v>660.894841942518</v>
      </c>
    </row>
    <row r="2729">
      <c r="A2729" s="1">
        <f>IFERROR(__xludf.DUMMYFUNCTION("""COMPUTED_VALUE"""),44315.66666666667)</f>
        <v>44315.66667</v>
      </c>
      <c r="B2729" s="2">
        <f>IFERROR(__xludf.DUMMYFUNCTION("""COMPUTED_VALUE"""),225.67)</f>
        <v>225.67</v>
      </c>
      <c r="C2729" s="3">
        <v>660.627661238355</v>
      </c>
    </row>
    <row r="2730">
      <c r="A2730" s="1">
        <f>IFERROR(__xludf.DUMMYFUNCTION("""COMPUTED_VALUE"""),44316.66666666667)</f>
        <v>44316.66667</v>
      </c>
      <c r="B2730" s="2">
        <f>IFERROR(__xludf.DUMMYFUNCTION("""COMPUTED_VALUE"""),236.48)</f>
        <v>236.48</v>
      </c>
      <c r="C2730" s="3">
        <v>660.247226490358</v>
      </c>
    </row>
    <row r="2731">
      <c r="A2731" s="1">
        <f>IFERROR(__xludf.DUMMYFUNCTION("""COMPUTED_VALUE"""),44319.66666666667)</f>
        <v>44319.66667</v>
      </c>
      <c r="B2731" s="2">
        <f>IFERROR(__xludf.DUMMYFUNCTION("""COMPUTED_VALUE"""),228.3)</f>
        <v>228.3</v>
      </c>
      <c r="C2731" s="3">
        <v>662.809829555228</v>
      </c>
    </row>
    <row r="2732">
      <c r="A2732" s="1">
        <f>IFERROR(__xludf.DUMMYFUNCTION("""COMPUTED_VALUE"""),44320.66666666667)</f>
        <v>44320.66667</v>
      </c>
      <c r="B2732" s="2">
        <f>IFERROR(__xludf.DUMMYFUNCTION("""COMPUTED_VALUE"""),224.53)</f>
        <v>224.53</v>
      </c>
      <c r="C2732" s="3">
        <v>662.757614172584</v>
      </c>
    </row>
    <row r="2733">
      <c r="A2733" s="1">
        <f>IFERROR(__xludf.DUMMYFUNCTION("""COMPUTED_VALUE"""),44321.66666666667)</f>
        <v>44321.66667</v>
      </c>
      <c r="B2733" s="2">
        <f>IFERROR(__xludf.DUMMYFUNCTION("""COMPUTED_VALUE"""),223.65)</f>
        <v>223.65</v>
      </c>
      <c r="C2733" s="3">
        <v>663.054318897262</v>
      </c>
    </row>
    <row r="2734">
      <c r="A2734" s="1">
        <f>IFERROR(__xludf.DUMMYFUNCTION("""COMPUTED_VALUE"""),44322.66666666667)</f>
        <v>44322.66667</v>
      </c>
      <c r="B2734" s="2">
        <f>IFERROR(__xludf.DUMMYFUNCTION("""COMPUTED_VALUE"""),221.18)</f>
        <v>221.18</v>
      </c>
      <c r="C2734" s="3">
        <v>662.392304054593</v>
      </c>
    </row>
    <row r="2735">
      <c r="A2735" s="1">
        <f>IFERROR(__xludf.DUMMYFUNCTION("""COMPUTED_VALUE"""),44323.66666666667)</f>
        <v>44323.66667</v>
      </c>
      <c r="B2735" s="2">
        <f>IFERROR(__xludf.DUMMYFUNCTION("""COMPUTED_VALUE"""),224.12)</f>
        <v>224.12</v>
      </c>
      <c r="C2735" s="3">
        <v>661.688052754499</v>
      </c>
    </row>
    <row r="2736">
      <c r="A2736" s="1">
        <f>IFERROR(__xludf.DUMMYFUNCTION("""COMPUTED_VALUE"""),44326.66666666667)</f>
        <v>44326.66667</v>
      </c>
      <c r="B2736" s="2">
        <f>IFERROR(__xludf.DUMMYFUNCTION("""COMPUTED_VALUE"""),209.68)</f>
        <v>209.68</v>
      </c>
      <c r="C2736" s="3">
        <v>663.779014801218</v>
      </c>
    </row>
    <row r="2737">
      <c r="A2737" s="1">
        <f>IFERROR(__xludf.DUMMYFUNCTION("""COMPUTED_VALUE"""),44327.66666666667)</f>
        <v>44327.66667</v>
      </c>
      <c r="B2737" s="2">
        <f>IFERROR(__xludf.DUMMYFUNCTION("""COMPUTED_VALUE"""),205.73)</f>
        <v>205.73</v>
      </c>
      <c r="C2737" s="3">
        <v>663.751724227605</v>
      </c>
    </row>
    <row r="2738">
      <c r="A2738" s="1">
        <f>IFERROR(__xludf.DUMMYFUNCTION("""COMPUTED_VALUE"""),44328.66666666667)</f>
        <v>44328.66667</v>
      </c>
      <c r="B2738" s="2">
        <f>IFERROR(__xludf.DUMMYFUNCTION("""COMPUTED_VALUE"""),196.63)</f>
        <v>196.63</v>
      </c>
      <c r="C2738" s="3">
        <v>664.167106361583</v>
      </c>
    </row>
    <row r="2739">
      <c r="A2739" s="1">
        <f>IFERROR(__xludf.DUMMYFUNCTION("""COMPUTED_VALUE"""),44329.66666666667)</f>
        <v>44329.66667</v>
      </c>
      <c r="B2739" s="2">
        <f>IFERROR(__xludf.DUMMYFUNCTION("""COMPUTED_VALUE"""),190.56)</f>
        <v>190.56</v>
      </c>
      <c r="C2739" s="3">
        <v>663.715899615916</v>
      </c>
    </row>
    <row r="2740">
      <c r="A2740" s="1">
        <f>IFERROR(__xludf.DUMMYFUNCTION("""COMPUTED_VALUE"""),44330.66666666667)</f>
        <v>44330.66667</v>
      </c>
      <c r="B2740" s="2">
        <f>IFERROR(__xludf.DUMMYFUNCTION("""COMPUTED_VALUE"""),196.58)</f>
        <v>196.58</v>
      </c>
      <c r="C2740" s="3">
        <v>663.310803757508</v>
      </c>
    </row>
    <row r="2741">
      <c r="A2741" s="1">
        <f>IFERROR(__xludf.DUMMYFUNCTION("""COMPUTED_VALUE"""),44333.66666666667)</f>
        <v>44333.66667</v>
      </c>
      <c r="B2741" s="2">
        <f>IFERROR(__xludf.DUMMYFUNCTION("""COMPUTED_VALUE"""),192.28)</f>
        <v>192.28</v>
      </c>
      <c r="C2741" s="3">
        <v>666.761118185822</v>
      </c>
    </row>
    <row r="2742">
      <c r="A2742" s="1">
        <f>IFERROR(__xludf.DUMMYFUNCTION("""COMPUTED_VALUE"""),44334.66666666667)</f>
        <v>44334.66667</v>
      </c>
      <c r="B2742" s="2">
        <f>IFERROR(__xludf.DUMMYFUNCTION("""COMPUTED_VALUE"""),192.62)</f>
        <v>192.62</v>
      </c>
      <c r="C2742" s="3">
        <v>667.309279163194</v>
      </c>
    </row>
    <row r="2743">
      <c r="A2743" s="1">
        <f>IFERROR(__xludf.DUMMYFUNCTION("""COMPUTED_VALUE"""),44335.66666666667)</f>
        <v>44335.66667</v>
      </c>
      <c r="B2743" s="2">
        <f>IFERROR(__xludf.DUMMYFUNCTION("""COMPUTED_VALUE"""),187.82)</f>
        <v>187.82</v>
      </c>
      <c r="C2743" s="3">
        <v>668.341871615613</v>
      </c>
    </row>
    <row r="2744">
      <c r="A2744" s="1">
        <f>IFERROR(__xludf.DUMMYFUNCTION("""COMPUTED_VALUE"""),44336.66666666667)</f>
        <v>44336.66667</v>
      </c>
      <c r="B2744" s="2">
        <f>IFERROR(__xludf.DUMMYFUNCTION("""COMPUTED_VALUE"""),195.59)</f>
        <v>195.59</v>
      </c>
      <c r="C2744" s="3">
        <v>668.536463440565</v>
      </c>
    </row>
    <row r="2745">
      <c r="A2745" s="1">
        <f>IFERROR(__xludf.DUMMYFUNCTION("""COMPUTED_VALUE"""),44337.66666666667)</f>
        <v>44337.66667</v>
      </c>
      <c r="B2745" s="2">
        <f>IFERROR(__xludf.DUMMYFUNCTION("""COMPUTED_VALUE"""),193.63)</f>
        <v>193.63</v>
      </c>
      <c r="C2745" s="3">
        <v>668.792046323259</v>
      </c>
    </row>
    <row r="2746">
      <c r="A2746" s="1">
        <f>IFERROR(__xludf.DUMMYFUNCTION("""COMPUTED_VALUE"""),44340.66666666667)</f>
        <v>44340.66667</v>
      </c>
      <c r="B2746" s="2">
        <f>IFERROR(__xludf.DUMMYFUNCTION("""COMPUTED_VALUE"""),202.15)</f>
        <v>202.15</v>
      </c>
      <c r="C2746" s="3">
        <v>674.176279831924</v>
      </c>
    </row>
    <row r="2747">
      <c r="A2747" s="1">
        <f>IFERROR(__xludf.DUMMYFUNCTION("""COMPUTED_VALUE"""),44341.66666666667)</f>
        <v>44341.66667</v>
      </c>
      <c r="B2747" s="2">
        <f>IFERROR(__xludf.DUMMYFUNCTION("""COMPUTED_VALUE"""),201.56)</f>
        <v>201.56</v>
      </c>
      <c r="C2747" s="3">
        <v>675.309709252672</v>
      </c>
    </row>
    <row r="2748">
      <c r="A2748" s="1">
        <f>IFERROR(__xludf.DUMMYFUNCTION("""COMPUTED_VALUE"""),44342.66666666667)</f>
        <v>44342.66667</v>
      </c>
      <c r="B2748" s="2">
        <f>IFERROR(__xludf.DUMMYFUNCTION("""COMPUTED_VALUE"""),206.38)</f>
        <v>206.38</v>
      </c>
      <c r="C2748" s="3">
        <v>676.87866953326</v>
      </c>
    </row>
    <row r="2749">
      <c r="A2749" s="1">
        <f>IFERROR(__xludf.DUMMYFUNCTION("""COMPUTED_VALUE"""),44343.66666666667)</f>
        <v>44343.66667</v>
      </c>
      <c r="B2749" s="2">
        <f>IFERROR(__xludf.DUMMYFUNCTION("""COMPUTED_VALUE"""),210.28)</f>
        <v>210.28</v>
      </c>
      <c r="C2749" s="3">
        <v>677.551322676542</v>
      </c>
    </row>
    <row r="2750">
      <c r="A2750" s="1">
        <f>IFERROR(__xludf.DUMMYFUNCTION("""COMPUTED_VALUE"""),44344.66666666667)</f>
        <v>44344.66667</v>
      </c>
      <c r="B2750" s="2">
        <f>IFERROR(__xludf.DUMMYFUNCTION("""COMPUTED_VALUE"""),208.41)</f>
        <v>208.41</v>
      </c>
      <c r="C2750" s="3">
        <v>678.219030735251</v>
      </c>
    </row>
    <row r="2751">
      <c r="A2751" s="1">
        <f>IFERROR(__xludf.DUMMYFUNCTION("""COMPUTED_VALUE"""),44348.66666666667)</f>
        <v>44348.66667</v>
      </c>
      <c r="B2751" s="2">
        <f>IFERROR(__xludf.DUMMYFUNCTION("""COMPUTED_VALUE"""),207.97)</f>
        <v>207.97</v>
      </c>
      <c r="C2751" s="3">
        <v>685.644501935545</v>
      </c>
    </row>
    <row r="2752">
      <c r="A2752" s="1">
        <f>IFERROR(__xludf.DUMMYFUNCTION("""COMPUTED_VALUE"""),44349.66666666667)</f>
        <v>44349.66667</v>
      </c>
      <c r="B2752" s="2">
        <f>IFERROR(__xludf.DUMMYFUNCTION("""COMPUTED_VALUE"""),201.71)</f>
        <v>201.71</v>
      </c>
      <c r="C2752" s="3">
        <v>687.253735647591</v>
      </c>
    </row>
    <row r="2753">
      <c r="A2753" s="1">
        <f>IFERROR(__xludf.DUMMYFUNCTION("""COMPUTED_VALUE"""),44350.66666666667)</f>
        <v>44350.66667</v>
      </c>
      <c r="B2753" s="2">
        <f>IFERROR(__xludf.DUMMYFUNCTION("""COMPUTED_VALUE"""),190.95)</f>
        <v>190.95</v>
      </c>
      <c r="C2753" s="3">
        <v>687.898797864924</v>
      </c>
    </row>
    <row r="2754">
      <c r="A2754" s="1">
        <f>IFERROR(__xludf.DUMMYFUNCTION("""COMPUTED_VALUE"""),44351.66666666667)</f>
        <v>44351.66667</v>
      </c>
      <c r="B2754" s="2">
        <f>IFERROR(__xludf.DUMMYFUNCTION("""COMPUTED_VALUE"""),199.68)</f>
        <v>199.68</v>
      </c>
      <c r="C2754" s="3">
        <v>688.477839348781</v>
      </c>
    </row>
    <row r="2755">
      <c r="A2755" s="1">
        <f>IFERROR(__xludf.DUMMYFUNCTION("""COMPUTED_VALUE"""),44354.66666666667)</f>
        <v>44354.66667</v>
      </c>
      <c r="B2755" s="2">
        <f>IFERROR(__xludf.DUMMYFUNCTION("""COMPUTED_VALUE"""),201.71)</f>
        <v>201.71</v>
      </c>
      <c r="C2755" s="3">
        <v>694.11478172815</v>
      </c>
    </row>
    <row r="2756">
      <c r="A2756" s="1">
        <f>IFERROR(__xludf.DUMMYFUNCTION("""COMPUTED_VALUE"""),44355.66666666667)</f>
        <v>44355.66667</v>
      </c>
      <c r="B2756" s="2">
        <f>IFERROR(__xludf.DUMMYFUNCTION("""COMPUTED_VALUE"""),201.2)</f>
        <v>201.2</v>
      </c>
      <c r="C2756" s="3">
        <v>695.124204217039</v>
      </c>
    </row>
    <row r="2757">
      <c r="A2757" s="1">
        <f>IFERROR(__xludf.DUMMYFUNCTION("""COMPUTED_VALUE"""),44356.66666666667)</f>
        <v>44356.66667</v>
      </c>
      <c r="B2757" s="2">
        <f>IFERROR(__xludf.DUMMYFUNCTION("""COMPUTED_VALUE"""),199.59)</f>
        <v>199.59</v>
      </c>
      <c r="C2757" s="3">
        <v>696.4874698831</v>
      </c>
    </row>
    <row r="2758">
      <c r="A2758" s="1">
        <f>IFERROR(__xludf.DUMMYFUNCTION("""COMPUTED_VALUE"""),44357.66666666667)</f>
        <v>44357.66667</v>
      </c>
      <c r="B2758" s="2">
        <f>IFERROR(__xludf.DUMMYFUNCTION("""COMPUTED_VALUE"""),203.37)</f>
        <v>203.37</v>
      </c>
      <c r="C2758" s="3">
        <v>696.88945780448</v>
      </c>
    </row>
    <row r="2759">
      <c r="A2759" s="1">
        <f>IFERROR(__xludf.DUMMYFUNCTION("""COMPUTED_VALUE"""),44358.66666666667)</f>
        <v>44358.66667</v>
      </c>
      <c r="B2759" s="2">
        <f>IFERROR(__xludf.DUMMYFUNCTION("""COMPUTED_VALUE"""),203.3)</f>
        <v>203.3</v>
      </c>
      <c r="C2759" s="3">
        <v>697.239693652773</v>
      </c>
    </row>
    <row r="2760">
      <c r="A2760" s="1">
        <f>IFERROR(__xludf.DUMMYFUNCTION("""COMPUTED_VALUE"""),44361.66666666667)</f>
        <v>44361.66667</v>
      </c>
      <c r="B2760" s="2">
        <f>IFERROR(__xludf.DUMMYFUNCTION("""COMPUTED_VALUE"""),205.9)</f>
        <v>205.9</v>
      </c>
      <c r="C2760" s="3">
        <v>702.376499763158</v>
      </c>
    </row>
    <row r="2761">
      <c r="A2761" s="1">
        <f>IFERROR(__xludf.DUMMYFUNCTION("""COMPUTED_VALUE"""),44362.66666666667)</f>
        <v>44362.66667</v>
      </c>
      <c r="B2761" s="2">
        <f>IFERROR(__xludf.DUMMYFUNCTION("""COMPUTED_VALUE"""),199.79)</f>
        <v>199.79</v>
      </c>
      <c r="C2761" s="3">
        <v>703.308393308035</v>
      </c>
    </row>
    <row r="2762">
      <c r="A2762" s="1">
        <f>IFERROR(__xludf.DUMMYFUNCTION("""COMPUTED_VALUE"""),44363.66666666667)</f>
        <v>44363.66667</v>
      </c>
      <c r="B2762" s="2">
        <f>IFERROR(__xludf.DUMMYFUNCTION("""COMPUTED_VALUE"""),201.62)</f>
        <v>201.62</v>
      </c>
      <c r="C2762" s="3">
        <v>704.648171366765</v>
      </c>
    </row>
    <row r="2763">
      <c r="A2763" s="1">
        <f>IFERROR(__xludf.DUMMYFUNCTION("""COMPUTED_VALUE"""),44364.66666666667)</f>
        <v>44364.66667</v>
      </c>
      <c r="B2763" s="2">
        <f>IFERROR(__xludf.DUMMYFUNCTION("""COMPUTED_VALUE"""),205.53)</f>
        <v>205.53</v>
      </c>
      <c r="C2763" s="3">
        <v>705.083549969758</v>
      </c>
    </row>
    <row r="2764">
      <c r="A2764" s="1">
        <f>IFERROR(__xludf.DUMMYFUNCTION("""COMPUTED_VALUE"""),44365.66666666667)</f>
        <v>44365.66667</v>
      </c>
      <c r="B2764" s="2">
        <f>IFERROR(__xludf.DUMMYFUNCTION("""COMPUTED_VALUE"""),207.77)</f>
        <v>207.77</v>
      </c>
      <c r="C2764" s="3">
        <v>705.5248596189</v>
      </c>
    </row>
    <row r="2765">
      <c r="A2765" s="1">
        <f>IFERROR(__xludf.DUMMYFUNCTION("""COMPUTED_VALUE"""),44368.66666666667)</f>
        <v>44368.66667</v>
      </c>
      <c r="B2765" s="2">
        <f>IFERROR(__xludf.DUMMYFUNCTION("""COMPUTED_VALUE"""),206.94)</f>
        <v>206.94</v>
      </c>
      <c r="C2765" s="3">
        <v>711.258561950596</v>
      </c>
    </row>
    <row r="2766">
      <c r="A2766" s="1">
        <f>IFERROR(__xludf.DUMMYFUNCTION("""COMPUTED_VALUE"""),44369.66666666667)</f>
        <v>44369.66667</v>
      </c>
      <c r="B2766" s="2">
        <f>IFERROR(__xludf.DUMMYFUNCTION("""COMPUTED_VALUE"""),207.9)</f>
        <v>207.9</v>
      </c>
      <c r="C2766" s="3">
        <v>712.480261076129</v>
      </c>
    </row>
    <row r="2767">
      <c r="A2767" s="1">
        <f>IFERROR(__xludf.DUMMYFUNCTION("""COMPUTED_VALUE"""),44370.66666666667)</f>
        <v>44370.66667</v>
      </c>
      <c r="B2767" s="2">
        <f>IFERROR(__xludf.DUMMYFUNCTION("""COMPUTED_VALUE"""),218.86)</f>
        <v>218.86</v>
      </c>
      <c r="C2767" s="3">
        <v>714.142513368282</v>
      </c>
    </row>
    <row r="2768">
      <c r="A2768" s="1">
        <f>IFERROR(__xludf.DUMMYFUNCTION("""COMPUTED_VALUE"""),44371.66666666667)</f>
        <v>44371.66667</v>
      </c>
      <c r="B2768" s="2">
        <f>IFERROR(__xludf.DUMMYFUNCTION("""COMPUTED_VALUE"""),226.61)</f>
        <v>226.61</v>
      </c>
      <c r="C2768" s="3">
        <v>714.923331991229</v>
      </c>
    </row>
    <row r="2769">
      <c r="A2769" s="1">
        <f>IFERROR(__xludf.DUMMYFUNCTION("""COMPUTED_VALUE"""),44372.66666666667)</f>
        <v>44372.66667</v>
      </c>
      <c r="B2769" s="2">
        <f>IFERROR(__xludf.DUMMYFUNCTION("""COMPUTED_VALUE"""),223.96)</f>
        <v>223.96</v>
      </c>
      <c r="C2769" s="3">
        <v>715.72237964915</v>
      </c>
    </row>
    <row r="2770">
      <c r="A2770" s="1">
        <f>IFERROR(__xludf.DUMMYFUNCTION("""COMPUTED_VALUE"""),44375.66666666667)</f>
        <v>44375.66667</v>
      </c>
      <c r="B2770" s="2">
        <f>IFERROR(__xludf.DUMMYFUNCTION("""COMPUTED_VALUE"""),229.57)</f>
        <v>229.57</v>
      </c>
      <c r="C2770" s="3">
        <v>722.489013060717</v>
      </c>
    </row>
    <row r="2771">
      <c r="A2771" s="1">
        <f>IFERROR(__xludf.DUMMYFUNCTION("""COMPUTED_VALUE"""),44376.66666666667)</f>
        <v>44376.66667</v>
      </c>
      <c r="B2771" s="2">
        <f>IFERROR(__xludf.DUMMYFUNCTION("""COMPUTED_VALUE"""),226.92)</f>
        <v>226.92</v>
      </c>
      <c r="C2771" s="3">
        <v>724.003596104801</v>
      </c>
    </row>
    <row r="2772">
      <c r="A2772" s="1">
        <f>IFERROR(__xludf.DUMMYFUNCTION("""COMPUTED_VALUE"""),44377.66666666667)</f>
        <v>44377.66667</v>
      </c>
      <c r="B2772" s="2">
        <f>IFERROR(__xludf.DUMMYFUNCTION("""COMPUTED_VALUE"""),226.57)</f>
        <v>226.57</v>
      </c>
      <c r="C2772" s="3">
        <v>725.915276846077</v>
      </c>
    </row>
    <row r="2773">
      <c r="A2773" s="1">
        <f>IFERROR(__xludf.DUMMYFUNCTION("""COMPUTED_VALUE"""),44378.66666666667)</f>
        <v>44378.66667</v>
      </c>
      <c r="B2773" s="2">
        <f>IFERROR(__xludf.DUMMYFUNCTION("""COMPUTED_VALUE"""),225.97)</f>
        <v>225.97</v>
      </c>
      <c r="C2773" s="3">
        <v>726.89288585444</v>
      </c>
    </row>
    <row r="2774">
      <c r="A2774" s="1">
        <f>IFERROR(__xludf.DUMMYFUNCTION("""COMPUTED_VALUE"""),44379.66666666667)</f>
        <v>44379.66667</v>
      </c>
      <c r="B2774" s="2">
        <f>IFERROR(__xludf.DUMMYFUNCTION("""COMPUTED_VALUE"""),226.3)</f>
        <v>226.3</v>
      </c>
      <c r="C2774" s="3">
        <v>727.828300706441</v>
      </c>
    </row>
    <row r="2775">
      <c r="A2775" s="1">
        <f>IFERROR(__xludf.DUMMYFUNCTION("""COMPUTED_VALUE"""),44383.66666666667)</f>
        <v>44383.66667</v>
      </c>
      <c r="B2775" s="2">
        <f>IFERROR(__xludf.DUMMYFUNCTION("""COMPUTED_VALUE"""),219.86)</f>
        <v>219.86</v>
      </c>
      <c r="C2775" s="3">
        <v>735.956560031926</v>
      </c>
    </row>
    <row r="2776">
      <c r="A2776" s="1">
        <f>IFERROR(__xludf.DUMMYFUNCTION("""COMPUTED_VALUE"""),44384.66666666667)</f>
        <v>44384.66667</v>
      </c>
      <c r="B2776" s="2">
        <f>IFERROR(__xludf.DUMMYFUNCTION("""COMPUTED_VALUE"""),214.88)</f>
        <v>214.88</v>
      </c>
      <c r="C2776" s="3">
        <v>737.649252749865</v>
      </c>
    </row>
    <row r="2777">
      <c r="A2777" s="1">
        <f>IFERROR(__xludf.DUMMYFUNCTION("""COMPUTED_VALUE"""),44385.66666666667)</f>
        <v>44385.66667</v>
      </c>
      <c r="B2777" s="2">
        <f>IFERROR(__xludf.DUMMYFUNCTION("""COMPUTED_VALUE"""),217.6)</f>
        <v>217.6</v>
      </c>
      <c r="C2777" s="3">
        <v>738.340393497897</v>
      </c>
    </row>
    <row r="2778">
      <c r="A2778" s="1">
        <f>IFERROR(__xludf.DUMMYFUNCTION("""COMPUTED_VALUE"""),44386.66666666667)</f>
        <v>44386.66667</v>
      </c>
      <c r="B2778" s="2">
        <f>IFERROR(__xludf.DUMMYFUNCTION("""COMPUTED_VALUE"""),218.98)</f>
        <v>218.98</v>
      </c>
      <c r="C2778" s="3">
        <v>738.927805118085</v>
      </c>
    </row>
    <row r="2779">
      <c r="A2779" s="1">
        <f>IFERROR(__xludf.DUMMYFUNCTION("""COMPUTED_VALUE"""),44389.66666666667)</f>
        <v>44389.66667</v>
      </c>
      <c r="B2779" s="2">
        <f>IFERROR(__xludf.DUMMYFUNCTION("""COMPUTED_VALUE"""),228.57)</f>
        <v>228.57</v>
      </c>
      <c r="C2779" s="3">
        <v>744.361182423778</v>
      </c>
    </row>
    <row r="2780">
      <c r="A2780" s="1">
        <f>IFERROR(__xludf.DUMMYFUNCTION("""COMPUTED_VALUE"""),44390.66666666667)</f>
        <v>44390.66667</v>
      </c>
      <c r="B2780" s="2">
        <f>IFERROR(__xludf.DUMMYFUNCTION("""COMPUTED_VALUE"""),222.85)</f>
        <v>222.85</v>
      </c>
      <c r="C2780" s="3">
        <v>745.226420625417</v>
      </c>
    </row>
    <row r="2781">
      <c r="A2781" s="1">
        <f>IFERROR(__xludf.DUMMYFUNCTION("""COMPUTED_VALUE"""),44391.66666666667)</f>
        <v>44391.66667</v>
      </c>
      <c r="B2781" s="2">
        <f>IFERROR(__xludf.DUMMYFUNCTION("""COMPUTED_VALUE"""),217.79)</f>
        <v>217.79</v>
      </c>
      <c r="C2781" s="3">
        <v>746.407848672387</v>
      </c>
    </row>
    <row r="2782">
      <c r="A2782" s="1">
        <f>IFERROR(__xludf.DUMMYFUNCTION("""COMPUTED_VALUE"""),44392.66666666667)</f>
        <v>44392.66667</v>
      </c>
      <c r="B2782" s="2">
        <f>IFERROR(__xludf.DUMMYFUNCTION("""COMPUTED_VALUE"""),216.87)</f>
        <v>216.87</v>
      </c>
      <c r="C2782" s="3">
        <v>746.591110280862</v>
      </c>
    </row>
    <row r="2783">
      <c r="A2783" s="1">
        <f>IFERROR(__xludf.DUMMYFUNCTION("""COMPUTED_VALUE"""),44393.66666666667)</f>
        <v>44393.66667</v>
      </c>
      <c r="B2783" s="2">
        <f>IFERROR(__xludf.DUMMYFUNCTION("""COMPUTED_VALUE"""),214.74)</f>
        <v>214.74</v>
      </c>
      <c r="C2783" s="3">
        <v>746.686871325504</v>
      </c>
    </row>
    <row r="2784">
      <c r="A2784" s="1">
        <f>IFERROR(__xludf.DUMMYFUNCTION("""COMPUTED_VALUE"""),44396.66666666667)</f>
        <v>44396.66667</v>
      </c>
      <c r="B2784" s="2">
        <f>IFERROR(__xludf.DUMMYFUNCTION("""COMPUTED_VALUE"""),215.41)</f>
        <v>215.41</v>
      </c>
      <c r="C2784" s="3">
        <v>750.863570764954</v>
      </c>
    </row>
    <row r="2785">
      <c r="A2785" s="1">
        <f>IFERROR(__xludf.DUMMYFUNCTION("""COMPUTED_VALUE"""),44397.66666666667)</f>
        <v>44397.66667</v>
      </c>
      <c r="B2785" s="2">
        <f>IFERROR(__xludf.DUMMYFUNCTION("""COMPUTED_VALUE"""),220.17)</f>
        <v>220.17</v>
      </c>
      <c r="C2785" s="3">
        <v>751.418100057387</v>
      </c>
    </row>
    <row r="2786">
      <c r="A2786" s="1">
        <f>IFERROR(__xludf.DUMMYFUNCTION("""COMPUTED_VALUE"""),44398.66666666667)</f>
        <v>44398.66667</v>
      </c>
      <c r="B2786" s="2">
        <f>IFERROR(__xludf.DUMMYFUNCTION("""COMPUTED_VALUE"""),218.43)</f>
        <v>218.43</v>
      </c>
      <c r="C2786" s="3">
        <v>752.357138352908</v>
      </c>
    </row>
    <row r="2787">
      <c r="A2787" s="1">
        <f>IFERROR(__xludf.DUMMYFUNCTION("""COMPUTED_VALUE"""),44399.66666666667)</f>
        <v>44399.66667</v>
      </c>
      <c r="B2787" s="2">
        <f>IFERROR(__xludf.DUMMYFUNCTION("""COMPUTED_VALUE"""),216.42)</f>
        <v>216.42</v>
      </c>
      <c r="C2787" s="3">
        <v>752.372258066008</v>
      </c>
    </row>
    <row r="2788">
      <c r="A2788" s="1">
        <f>IFERROR(__xludf.DUMMYFUNCTION("""COMPUTED_VALUE"""),44400.66666666667)</f>
        <v>44400.66667</v>
      </c>
      <c r="B2788" s="2">
        <f>IFERROR(__xludf.DUMMYFUNCTION("""COMPUTED_VALUE"""),214.46)</f>
        <v>214.46</v>
      </c>
      <c r="C2788" s="3">
        <v>752.378063536235</v>
      </c>
    </row>
    <row r="2789">
      <c r="A2789" s="1">
        <f>IFERROR(__xludf.DUMMYFUNCTION("""COMPUTED_VALUE"""),44403.66666666667)</f>
        <v>44403.66667</v>
      </c>
      <c r="B2789" s="2">
        <f>IFERROR(__xludf.DUMMYFUNCTION("""COMPUTED_VALUE"""),219.21)</f>
        <v>219.21</v>
      </c>
      <c r="C2789" s="3">
        <v>756.761777918726</v>
      </c>
    </row>
    <row r="2790">
      <c r="A2790" s="1">
        <f>IFERROR(__xludf.DUMMYFUNCTION("""COMPUTED_VALUE"""),44404.66666666667)</f>
        <v>44404.66667</v>
      </c>
      <c r="B2790" s="2">
        <f>IFERROR(__xludf.DUMMYFUNCTION("""COMPUTED_VALUE"""),214.93)</f>
        <v>214.93</v>
      </c>
      <c r="C2790" s="3">
        <v>757.536302951749</v>
      </c>
    </row>
    <row r="2791">
      <c r="A2791" s="1">
        <f>IFERROR(__xludf.DUMMYFUNCTION("""COMPUTED_VALUE"""),44405.66666666667)</f>
        <v>44405.66667</v>
      </c>
      <c r="B2791" s="2">
        <f>IFERROR(__xludf.DUMMYFUNCTION("""COMPUTED_VALUE"""),215.66)</f>
        <v>215.66</v>
      </c>
      <c r="C2791" s="3">
        <v>758.761844124029</v>
      </c>
    </row>
    <row r="2792">
      <c r="A2792" s="1">
        <f>IFERROR(__xludf.DUMMYFUNCTION("""COMPUTED_VALUE"""),44406.66666666667)</f>
        <v>44406.66667</v>
      </c>
      <c r="B2792" s="2">
        <f>IFERROR(__xludf.DUMMYFUNCTION("""COMPUTED_VALUE"""),225.78)</f>
        <v>225.78</v>
      </c>
      <c r="C2792" s="3">
        <v>759.121905586721</v>
      </c>
    </row>
    <row r="2793">
      <c r="A2793" s="1">
        <f>IFERROR(__xludf.DUMMYFUNCTION("""COMPUTED_VALUE"""),44407.66666666667)</f>
        <v>44407.66667</v>
      </c>
      <c r="B2793" s="2">
        <f>IFERROR(__xludf.DUMMYFUNCTION("""COMPUTED_VALUE"""),229.07)</f>
        <v>229.07</v>
      </c>
      <c r="C2793" s="3">
        <v>759.52155401753</v>
      </c>
    </row>
    <row r="2794">
      <c r="A2794" s="1">
        <f>IFERROR(__xludf.DUMMYFUNCTION("""COMPUTED_VALUE"""),44410.66666666667)</f>
        <v>44410.66667</v>
      </c>
      <c r="B2794" s="2">
        <f>IFERROR(__xludf.DUMMYFUNCTION("""COMPUTED_VALUE"""),236.56)</f>
        <v>236.56</v>
      </c>
      <c r="C2794" s="3">
        <v>765.268924774877</v>
      </c>
    </row>
    <row r="2795">
      <c r="A2795" s="1">
        <f>IFERROR(__xludf.DUMMYFUNCTION("""COMPUTED_VALUE"""),44411.66666666667)</f>
        <v>44411.66667</v>
      </c>
      <c r="B2795" s="2">
        <f>IFERROR(__xludf.DUMMYFUNCTION("""COMPUTED_VALUE"""),236.58)</f>
        <v>236.58</v>
      </c>
      <c r="C2795" s="3">
        <v>766.518615127094</v>
      </c>
    </row>
    <row r="2796">
      <c r="A2796" s="1">
        <f>IFERROR(__xludf.DUMMYFUNCTION("""COMPUTED_VALUE"""),44412.66666666667)</f>
        <v>44412.66667</v>
      </c>
      <c r="B2796" s="2">
        <f>IFERROR(__xludf.DUMMYFUNCTION("""COMPUTED_VALUE"""),236.97)</f>
        <v>236.97</v>
      </c>
      <c r="C2796" s="3">
        <v>768.209294671899</v>
      </c>
    </row>
    <row r="2797">
      <c r="A2797" s="1">
        <f>IFERROR(__xludf.DUMMYFUNCTION("""COMPUTED_VALUE"""),44413.66666666667)</f>
        <v>44413.66667</v>
      </c>
      <c r="B2797" s="2">
        <f>IFERROR(__xludf.DUMMYFUNCTION("""COMPUTED_VALUE"""),238.21)</f>
        <v>238.21</v>
      </c>
      <c r="C2797" s="3">
        <v>769.012828088981</v>
      </c>
    </row>
    <row r="2798">
      <c r="A2798" s="1">
        <f>IFERROR(__xludf.DUMMYFUNCTION("""COMPUTED_VALUE"""),44414.66666666667)</f>
        <v>44414.66667</v>
      </c>
      <c r="B2798" s="2">
        <f>IFERROR(__xludf.DUMMYFUNCTION("""COMPUTED_VALUE"""),233.03)</f>
        <v>233.03</v>
      </c>
      <c r="C2798" s="3">
        <v>769.823481048791</v>
      </c>
    </row>
    <row r="2799">
      <c r="A2799" s="1">
        <f>IFERROR(__xludf.DUMMYFUNCTION("""COMPUTED_VALUE"""),44417.66666666667)</f>
        <v>44417.66667</v>
      </c>
      <c r="B2799" s="2">
        <f>IFERROR(__xludf.DUMMYFUNCTION("""COMPUTED_VALUE"""),237.92)</f>
        <v>237.92</v>
      </c>
      <c r="C2799" s="3">
        <v>776.519626194014</v>
      </c>
    </row>
    <row r="2800">
      <c r="A2800" s="1">
        <f>IFERROR(__xludf.DUMMYFUNCTION("""COMPUTED_VALUE"""),44418.66666666667)</f>
        <v>44418.66667</v>
      </c>
      <c r="B2800" s="2">
        <f>IFERROR(__xludf.DUMMYFUNCTION("""COMPUTED_VALUE"""),236.66)</f>
        <v>236.66</v>
      </c>
      <c r="C2800" s="3">
        <v>777.968825309168</v>
      </c>
    </row>
    <row r="2801">
      <c r="A2801" s="1">
        <f>IFERROR(__xludf.DUMMYFUNCTION("""COMPUTED_VALUE"""),44419.66666666667)</f>
        <v>44419.66667</v>
      </c>
      <c r="B2801" s="2">
        <f>IFERROR(__xludf.DUMMYFUNCTION("""COMPUTED_VALUE"""),235.94)</f>
        <v>235.94</v>
      </c>
      <c r="C2801" s="3">
        <v>779.794119375133</v>
      </c>
    </row>
    <row r="2802">
      <c r="A2802" s="1">
        <f>IFERROR(__xludf.DUMMYFUNCTION("""COMPUTED_VALUE"""),44420.66666666667)</f>
        <v>44420.66667</v>
      </c>
      <c r="B2802" s="2">
        <f>IFERROR(__xludf.DUMMYFUNCTION("""COMPUTED_VALUE"""),240.75)</f>
        <v>240.75</v>
      </c>
      <c r="C2802" s="3">
        <v>780.666341861401</v>
      </c>
    </row>
    <row r="2803">
      <c r="A2803" s="1">
        <f>IFERROR(__xludf.DUMMYFUNCTION("""COMPUTED_VALUE"""),44421.66666666667)</f>
        <v>44421.66667</v>
      </c>
      <c r="B2803" s="2">
        <f>IFERROR(__xludf.DUMMYFUNCTION("""COMPUTED_VALUE"""),239.06)</f>
        <v>239.06</v>
      </c>
      <c r="C2803" s="3">
        <v>781.480665605573</v>
      </c>
    </row>
    <row r="2804">
      <c r="A2804" s="1">
        <f>IFERROR(__xludf.DUMMYFUNCTION("""COMPUTED_VALUE"""),44424.66666666667)</f>
        <v>44424.66667</v>
      </c>
      <c r="B2804" s="2">
        <f>IFERROR(__xludf.DUMMYFUNCTION("""COMPUTED_VALUE"""),228.72)</f>
        <v>228.72</v>
      </c>
      <c r="C2804" s="3">
        <v>787.834085536512</v>
      </c>
    </row>
    <row r="2805">
      <c r="A2805" s="1">
        <f>IFERROR(__xludf.DUMMYFUNCTION("""COMPUTED_VALUE"""),44425.66666666667)</f>
        <v>44425.66667</v>
      </c>
      <c r="B2805" s="2">
        <f>IFERROR(__xludf.DUMMYFUNCTION("""COMPUTED_VALUE"""),221.9)</f>
        <v>221.9</v>
      </c>
      <c r="C2805" s="3">
        <v>789.071258725087</v>
      </c>
    </row>
    <row r="2806">
      <c r="A2806" s="1">
        <f>IFERROR(__xludf.DUMMYFUNCTION("""COMPUTED_VALUE"""),44426.66666666667)</f>
        <v>44426.66667</v>
      </c>
      <c r="B2806" s="2">
        <f>IFERROR(__xludf.DUMMYFUNCTION("""COMPUTED_VALUE"""),229.66)</f>
        <v>229.66</v>
      </c>
      <c r="C2806" s="3">
        <v>790.648932862282</v>
      </c>
    </row>
    <row r="2807">
      <c r="A2807" s="1">
        <f>IFERROR(__xludf.DUMMYFUNCTION("""COMPUTED_VALUE"""),44427.66666666667)</f>
        <v>44427.66667</v>
      </c>
      <c r="B2807" s="2">
        <f>IFERROR(__xludf.DUMMYFUNCTION("""COMPUTED_VALUE"""),224.49)</f>
        <v>224.49</v>
      </c>
      <c r="C2807" s="3">
        <v>791.247293016103</v>
      </c>
    </row>
    <row r="2808">
      <c r="A2808" s="1">
        <f>IFERROR(__xludf.DUMMYFUNCTION("""COMPUTED_VALUE"""),44428.66666666667)</f>
        <v>44428.66667</v>
      </c>
      <c r="B2808" s="2">
        <f>IFERROR(__xludf.DUMMYFUNCTION("""COMPUTED_VALUE"""),226.75)</f>
        <v>226.75</v>
      </c>
      <c r="C2808" s="3">
        <v>791.771349726967</v>
      </c>
    </row>
    <row r="2809">
      <c r="A2809" s="1">
        <f>IFERROR(__xludf.DUMMYFUNCTION("""COMPUTED_VALUE"""),44431.66666666667)</f>
        <v>44431.66667</v>
      </c>
      <c r="B2809" s="2">
        <f>IFERROR(__xludf.DUMMYFUNCTION("""COMPUTED_VALUE"""),235.43)</f>
        <v>235.43</v>
      </c>
      <c r="C2809" s="3">
        <v>797.254356465758</v>
      </c>
    </row>
    <row r="2810">
      <c r="A2810" s="1">
        <f>IFERROR(__xludf.DUMMYFUNCTION("""COMPUTED_VALUE"""),44432.66666666667)</f>
        <v>44432.66667</v>
      </c>
      <c r="B2810" s="2">
        <f>IFERROR(__xludf.DUMMYFUNCTION("""COMPUTED_VALUE"""),236.16)</f>
        <v>236.16</v>
      </c>
      <c r="C2810" s="3">
        <v>798.23236077867</v>
      </c>
    </row>
    <row r="2811">
      <c r="A2811" s="1">
        <f>IFERROR(__xludf.DUMMYFUNCTION("""COMPUTED_VALUE"""),44433.66666666667)</f>
        <v>44433.66667</v>
      </c>
      <c r="B2811" s="2">
        <f>IFERROR(__xludf.DUMMYFUNCTION("""COMPUTED_VALUE"""),237.07)</f>
        <v>237.07</v>
      </c>
      <c r="C2811" s="3">
        <v>799.579677533205</v>
      </c>
    </row>
    <row r="2812">
      <c r="A2812" s="1">
        <f>IFERROR(__xludf.DUMMYFUNCTION("""COMPUTED_VALUE"""),44434.66666666667)</f>
        <v>44434.66667</v>
      </c>
      <c r="B2812" s="2">
        <f>IFERROR(__xludf.DUMMYFUNCTION("""COMPUTED_VALUE"""),233.72)</f>
        <v>233.72</v>
      </c>
      <c r="C2812" s="3">
        <v>799.982687990361</v>
      </c>
    </row>
    <row r="2813">
      <c r="A2813" s="1">
        <f>IFERROR(__xludf.DUMMYFUNCTION("""COMPUTED_VALUE"""),44435.66666666667)</f>
        <v>44435.66667</v>
      </c>
      <c r="B2813" s="2">
        <f>IFERROR(__xludf.DUMMYFUNCTION("""COMPUTED_VALUE"""),237.31)</f>
        <v>237.31</v>
      </c>
      <c r="C2813" s="3">
        <v>800.351109954487</v>
      </c>
    </row>
    <row r="2814">
      <c r="A2814" s="1">
        <f>IFERROR(__xludf.DUMMYFUNCTION("""COMPUTED_VALUE"""),44438.66666666667)</f>
        <v>44438.66667</v>
      </c>
      <c r="B2814" s="2">
        <f>IFERROR(__xludf.DUMMYFUNCTION("""COMPUTED_VALUE"""),243.64)</f>
        <v>243.64</v>
      </c>
      <c r="C2814" s="3">
        <v>805.627643888936</v>
      </c>
    </row>
    <row r="2815">
      <c r="A2815" s="1">
        <f>IFERROR(__xludf.DUMMYFUNCTION("""COMPUTED_VALUE"""),44439.66666666667)</f>
        <v>44439.66667</v>
      </c>
      <c r="B2815" s="2">
        <f>IFERROR(__xludf.DUMMYFUNCTION("""COMPUTED_VALUE"""),245.24)</f>
        <v>245.24</v>
      </c>
      <c r="C2815" s="3">
        <v>806.622360957438</v>
      </c>
    </row>
    <row r="2816">
      <c r="A2816" s="1">
        <f>IFERROR(__xludf.DUMMYFUNCTION("""COMPUTED_VALUE"""),44440.66666666667)</f>
        <v>44440.66667</v>
      </c>
      <c r="B2816" s="2">
        <f>IFERROR(__xludf.DUMMYFUNCTION("""COMPUTED_VALUE"""),244.7)</f>
        <v>244.7</v>
      </c>
      <c r="C2816" s="3">
        <v>808.024292844083</v>
      </c>
    </row>
    <row r="2817">
      <c r="A2817" s="1">
        <f>IFERROR(__xludf.DUMMYFUNCTION("""COMPUTED_VALUE"""),44441.66666666667)</f>
        <v>44441.66667</v>
      </c>
      <c r="B2817" s="2">
        <f>IFERROR(__xludf.DUMMYFUNCTION("""COMPUTED_VALUE"""),244.13)</f>
        <v>244.13</v>
      </c>
      <c r="C2817" s="3">
        <v>808.514580704164</v>
      </c>
    </row>
    <row r="2818">
      <c r="A2818" s="1">
        <f>IFERROR(__xludf.DUMMYFUNCTION("""COMPUTED_VALUE"""),44442.66666666667)</f>
        <v>44442.66667</v>
      </c>
      <c r="B2818" s="2">
        <f>IFERROR(__xludf.DUMMYFUNCTION("""COMPUTED_VALUE"""),244.52)</f>
        <v>244.52</v>
      </c>
      <c r="C2818" s="3">
        <v>808.996398505094</v>
      </c>
    </row>
    <row r="2819">
      <c r="A2819" s="1">
        <f>IFERROR(__xludf.DUMMYFUNCTION("""COMPUTED_VALUE"""),44446.66666666667)</f>
        <v>44446.66667</v>
      </c>
      <c r="B2819" s="2">
        <f>IFERROR(__xludf.DUMMYFUNCTION("""COMPUTED_VALUE"""),250.97)</f>
        <v>250.97</v>
      </c>
      <c r="C2819" s="3">
        <v>815.820047008298</v>
      </c>
    </row>
    <row r="2820">
      <c r="A2820" s="1">
        <f>IFERROR(__xludf.DUMMYFUNCTION("""COMPUTED_VALUE"""),44447.66666666667)</f>
        <v>44447.66667</v>
      </c>
      <c r="B2820" s="2">
        <f>IFERROR(__xludf.DUMMYFUNCTION("""COMPUTED_VALUE"""),251.29)</f>
        <v>251.29</v>
      </c>
      <c r="C2820" s="3">
        <v>817.340467775114</v>
      </c>
    </row>
    <row r="2821">
      <c r="A2821" s="1">
        <f>IFERROR(__xludf.DUMMYFUNCTION("""COMPUTED_VALUE"""),44448.66666666667)</f>
        <v>44448.66667</v>
      </c>
      <c r="B2821" s="2">
        <f>IFERROR(__xludf.DUMMYFUNCTION("""COMPUTED_VALUE"""),251.62)</f>
        <v>251.62</v>
      </c>
      <c r="C2821" s="3">
        <v>817.923980155691</v>
      </c>
    </row>
    <row r="2822">
      <c r="A2822" s="1">
        <f>IFERROR(__xludf.DUMMYFUNCTION("""COMPUTED_VALUE"""),44449.66666666667)</f>
        <v>44449.66667</v>
      </c>
      <c r="B2822" s="2">
        <f>IFERROR(__xludf.DUMMYFUNCTION("""COMPUTED_VALUE"""),245.42)</f>
        <v>245.42</v>
      </c>
      <c r="C2822" s="3">
        <v>818.466103171706</v>
      </c>
    </row>
    <row r="2823">
      <c r="A2823" s="1">
        <f>IFERROR(__xludf.DUMMYFUNCTION("""COMPUTED_VALUE"""),44452.66666666667)</f>
        <v>44452.66667</v>
      </c>
      <c r="B2823" s="2">
        <f>IFERROR(__xludf.DUMMYFUNCTION("""COMPUTED_VALUE"""),247.67)</f>
        <v>247.67</v>
      </c>
      <c r="C2823" s="3">
        <v>824.08439426893</v>
      </c>
    </row>
    <row r="2824">
      <c r="A2824" s="1">
        <f>IFERROR(__xludf.DUMMYFUNCTION("""COMPUTED_VALUE"""),44453.66666666667)</f>
        <v>44453.66667</v>
      </c>
      <c r="B2824" s="2">
        <f>IFERROR(__xludf.DUMMYFUNCTION("""COMPUTED_VALUE"""),248.16)</f>
        <v>248.16</v>
      </c>
      <c r="C2824" s="3">
        <v>825.091872323505</v>
      </c>
    </row>
    <row r="2825">
      <c r="A2825" s="1">
        <f>IFERROR(__xludf.DUMMYFUNCTION("""COMPUTED_VALUE"""),44454.66666666667)</f>
        <v>44454.66667</v>
      </c>
      <c r="B2825" s="2">
        <f>IFERROR(__xludf.DUMMYFUNCTION("""COMPUTED_VALUE"""),251.94)</f>
        <v>251.94</v>
      </c>
      <c r="C2825" s="3">
        <v>826.439404663955</v>
      </c>
    </row>
    <row r="2826">
      <c r="A2826" s="1">
        <f>IFERROR(__xludf.DUMMYFUNCTION("""COMPUTED_VALUE"""),44455.66666666667)</f>
        <v>44455.66667</v>
      </c>
      <c r="B2826" s="2">
        <f>IFERROR(__xludf.DUMMYFUNCTION("""COMPUTED_VALUE"""),252.33)</f>
        <v>252.33</v>
      </c>
      <c r="C2826" s="3">
        <v>826.80153863439</v>
      </c>
    </row>
    <row r="2827">
      <c r="A2827" s="1">
        <f>IFERROR(__xludf.DUMMYFUNCTION("""COMPUTED_VALUE"""),44456.66666666667)</f>
        <v>44456.66667</v>
      </c>
      <c r="B2827" s="2">
        <f>IFERROR(__xludf.DUMMYFUNCTION("""COMPUTED_VALUE"""),253.16)</f>
        <v>253.16</v>
      </c>
      <c r="C2827" s="3">
        <v>827.077563154097</v>
      </c>
    </row>
    <row r="2828">
      <c r="A2828" s="1">
        <f>IFERROR(__xludf.DUMMYFUNCTION("""COMPUTED_VALUE"""),44459.66666666667)</f>
        <v>44459.66667</v>
      </c>
      <c r="B2828" s="2">
        <f>IFERROR(__xludf.DUMMYFUNCTION("""COMPUTED_VALUE"""),243.39)</f>
        <v>243.39</v>
      </c>
      <c r="C2828" s="3">
        <v>831.693921061026</v>
      </c>
    </row>
    <row r="2829">
      <c r="A2829" s="1">
        <f>IFERROR(__xludf.DUMMYFUNCTION("""COMPUTED_VALUE"""),44460.66666666667)</f>
        <v>44460.66667</v>
      </c>
      <c r="B2829" s="2">
        <f>IFERROR(__xludf.DUMMYFUNCTION("""COMPUTED_VALUE"""),246.46)</f>
        <v>246.46</v>
      </c>
      <c r="C2829" s="3">
        <v>832.32897096403</v>
      </c>
    </row>
    <row r="2830">
      <c r="A2830" s="1">
        <f>IFERROR(__xludf.DUMMYFUNCTION("""COMPUTED_VALUE"""),44461.66666666667)</f>
        <v>44461.66667</v>
      </c>
      <c r="B2830" s="2">
        <f>IFERROR(__xludf.DUMMYFUNCTION("""COMPUTED_VALUE"""),250.65)</f>
        <v>250.65</v>
      </c>
      <c r="C2830" s="3">
        <v>833.302687618851</v>
      </c>
    </row>
    <row r="2831">
      <c r="A2831" s="1">
        <f>IFERROR(__xludf.DUMMYFUNCTION("""COMPUTED_VALUE"""),44462.66666666667)</f>
        <v>44462.66667</v>
      </c>
      <c r="B2831" s="2">
        <f>IFERROR(__xludf.DUMMYFUNCTION("""COMPUTED_VALUE"""),251.21)</f>
        <v>251.21</v>
      </c>
      <c r="C2831" s="3">
        <v>833.301583289025</v>
      </c>
    </row>
    <row r="2832">
      <c r="A2832" s="1">
        <f>IFERROR(__xludf.DUMMYFUNCTION("""COMPUTED_VALUE"""),44463.66666666667)</f>
        <v>44463.66667</v>
      </c>
      <c r="B2832" s="2">
        <f>IFERROR(__xludf.DUMMYFUNCTION("""COMPUTED_VALUE"""),258.13)</f>
        <v>258.13</v>
      </c>
      <c r="C2832" s="3">
        <v>833.237281827402</v>
      </c>
    </row>
    <row r="2833">
      <c r="A2833" s="1">
        <f>IFERROR(__xludf.DUMMYFUNCTION("""COMPUTED_VALUE"""),44466.66666666667)</f>
        <v>44466.66667</v>
      </c>
      <c r="B2833" s="2">
        <f>IFERROR(__xludf.DUMMYFUNCTION("""COMPUTED_VALUE"""),263.79)</f>
        <v>263.79</v>
      </c>
      <c r="C2833" s="3">
        <v>837.09130875858</v>
      </c>
    </row>
    <row r="2834">
      <c r="A2834" s="1">
        <f>IFERROR(__xludf.DUMMYFUNCTION("""COMPUTED_VALUE"""),44467.66666666667)</f>
        <v>44467.66667</v>
      </c>
      <c r="B2834" s="2">
        <f>IFERROR(__xludf.DUMMYFUNCTION("""COMPUTED_VALUE"""),259.19)</f>
        <v>259.19</v>
      </c>
      <c r="C2834" s="3">
        <v>837.595538986404</v>
      </c>
    </row>
    <row r="2835">
      <c r="A2835" s="1">
        <f>IFERROR(__xludf.DUMMYFUNCTION("""COMPUTED_VALUE"""),44468.66666666667)</f>
        <v>44468.66667</v>
      </c>
      <c r="B2835" s="2">
        <f>IFERROR(__xludf.DUMMYFUNCTION("""COMPUTED_VALUE"""),260.44)</f>
        <v>260.44</v>
      </c>
      <c r="C2835" s="3">
        <v>838.515724865827</v>
      </c>
    </row>
    <row r="2836">
      <c r="A2836" s="1">
        <f>IFERROR(__xludf.DUMMYFUNCTION("""COMPUTED_VALUE"""),44469.66666666667)</f>
        <v>44469.66667</v>
      </c>
      <c r="B2836" s="2">
        <f>IFERROR(__xludf.DUMMYFUNCTION("""COMPUTED_VALUE"""),258.49)</f>
        <v>258.49</v>
      </c>
      <c r="C2836" s="3">
        <v>838.545361439782</v>
      </c>
    </row>
    <row r="2837">
      <c r="A2837" s="1">
        <f>IFERROR(__xludf.DUMMYFUNCTION("""COMPUTED_VALUE"""),44470.66666666667)</f>
        <v>44470.66667</v>
      </c>
      <c r="B2837" s="2">
        <f>IFERROR(__xludf.DUMMYFUNCTION("""COMPUTED_VALUE"""),258.41)</f>
        <v>258.41</v>
      </c>
      <c r="C2837" s="3">
        <v>838.601082004103</v>
      </c>
    </row>
    <row r="2838">
      <c r="A2838" s="1">
        <f>IFERROR(__xludf.DUMMYFUNCTION("""COMPUTED_VALUE"""),44473.66666666667)</f>
        <v>44473.66667</v>
      </c>
      <c r="B2838" s="2">
        <f>IFERROR(__xludf.DUMMYFUNCTION("""COMPUTED_VALUE"""),260.51)</f>
        <v>260.51</v>
      </c>
      <c r="C2838" s="3">
        <v>843.367625124972</v>
      </c>
    </row>
    <row r="2839">
      <c r="A2839" s="1">
        <f>IFERROR(__xludf.DUMMYFUNCTION("""COMPUTED_VALUE"""),44474.66666666667)</f>
        <v>44474.66667</v>
      </c>
      <c r="B2839" s="2">
        <f>IFERROR(__xludf.DUMMYFUNCTION("""COMPUTED_VALUE"""),260.2)</f>
        <v>260.2</v>
      </c>
      <c r="C2839" s="3">
        <v>844.353989625564</v>
      </c>
    </row>
    <row r="2840">
      <c r="A2840" s="1">
        <f>IFERROR(__xludf.DUMMYFUNCTION("""COMPUTED_VALUE"""),44475.66666666667)</f>
        <v>44475.66667</v>
      </c>
      <c r="B2840" s="2">
        <f>IFERROR(__xludf.DUMMYFUNCTION("""COMPUTED_VALUE"""),260.92)</f>
        <v>260.92</v>
      </c>
      <c r="C2840" s="3">
        <v>845.836286263046</v>
      </c>
    </row>
    <row r="2841">
      <c r="A2841" s="1">
        <f>IFERROR(__xludf.DUMMYFUNCTION("""COMPUTED_VALUE"""),44476.66666666667)</f>
        <v>44476.66667</v>
      </c>
      <c r="B2841" s="2">
        <f>IFERROR(__xludf.DUMMYFUNCTION("""COMPUTED_VALUE"""),264.54)</f>
        <v>264.54</v>
      </c>
      <c r="C2841" s="3">
        <v>846.499236590384</v>
      </c>
    </row>
    <row r="2842">
      <c r="A2842" s="1">
        <f>IFERROR(__xludf.DUMMYFUNCTION("""COMPUTED_VALUE"""),44477.66666666667)</f>
        <v>44477.66667</v>
      </c>
      <c r="B2842" s="2">
        <f>IFERROR(__xludf.DUMMYFUNCTION("""COMPUTED_VALUE"""),261.83)</f>
        <v>261.83</v>
      </c>
      <c r="C2842" s="3">
        <v>847.248693119452</v>
      </c>
    </row>
    <row r="2843">
      <c r="A2843" s="1">
        <f>IFERROR(__xludf.DUMMYFUNCTION("""COMPUTED_VALUE"""),44480.66666666667)</f>
        <v>44480.66667</v>
      </c>
      <c r="B2843" s="2">
        <f>IFERROR(__xludf.DUMMYFUNCTION("""COMPUTED_VALUE"""),263.98)</f>
        <v>263.98</v>
      </c>
      <c r="C2843" s="3">
        <v>854.326716984647</v>
      </c>
    </row>
    <row r="2844">
      <c r="A2844" s="1">
        <f>IFERROR(__xludf.DUMMYFUNCTION("""COMPUTED_VALUE"""),44481.66666666667)</f>
        <v>44481.66667</v>
      </c>
      <c r="B2844" s="2">
        <f>IFERROR(__xludf.DUMMYFUNCTION("""COMPUTED_VALUE"""),268.57)</f>
        <v>268.57</v>
      </c>
      <c r="C2844" s="3">
        <v>856.1104264006</v>
      </c>
    </row>
    <row r="2845">
      <c r="A2845" s="1">
        <f>IFERROR(__xludf.DUMMYFUNCTION("""COMPUTED_VALUE"""),44482.66666666667)</f>
        <v>44482.66667</v>
      </c>
      <c r="B2845" s="2">
        <f>IFERROR(__xludf.DUMMYFUNCTION("""COMPUTED_VALUE"""),270.36)</f>
        <v>270.36</v>
      </c>
      <c r="C2845" s="3">
        <v>858.376963694721</v>
      </c>
    </row>
    <row r="2846">
      <c r="A2846" s="1">
        <f>IFERROR(__xludf.DUMMYFUNCTION("""COMPUTED_VALUE"""),44483.66666666667)</f>
        <v>44483.66667</v>
      </c>
      <c r="B2846" s="2">
        <f>IFERROR(__xludf.DUMMYFUNCTION("""COMPUTED_VALUE"""),272.77)</f>
        <v>272.77</v>
      </c>
      <c r="C2846" s="3">
        <v>859.795048145511</v>
      </c>
    </row>
    <row r="2847">
      <c r="A2847" s="1">
        <f>IFERROR(__xludf.DUMMYFUNCTION("""COMPUTED_VALUE"""),44484.66666666667)</f>
        <v>44484.66667</v>
      </c>
      <c r="B2847" s="2">
        <f>IFERROR(__xludf.DUMMYFUNCTION("""COMPUTED_VALUE"""),281.01)</f>
        <v>281.01</v>
      </c>
      <c r="C2847" s="3">
        <v>861.255061804943</v>
      </c>
    </row>
    <row r="2848">
      <c r="A2848" s="1">
        <f>IFERROR(__xludf.DUMMYFUNCTION("""COMPUTED_VALUE"""),44487.66666666667)</f>
        <v>44487.66667</v>
      </c>
      <c r="B2848" s="2">
        <f>IFERROR(__xludf.DUMMYFUNCTION("""COMPUTED_VALUE"""),290.04)</f>
        <v>290.04</v>
      </c>
      <c r="C2848" s="3">
        <v>870.058984468704</v>
      </c>
    </row>
    <row r="2849">
      <c r="A2849" s="1">
        <f>IFERROR(__xludf.DUMMYFUNCTION("""COMPUTED_VALUE"""),44488.66666666667)</f>
        <v>44488.66667</v>
      </c>
      <c r="B2849" s="2">
        <f>IFERROR(__xludf.DUMMYFUNCTION("""COMPUTED_VALUE"""),288.09)</f>
        <v>288.09</v>
      </c>
      <c r="C2849" s="3">
        <v>872.244625428583</v>
      </c>
    </row>
    <row r="2850">
      <c r="A2850" s="1">
        <f>IFERROR(__xludf.DUMMYFUNCTION("""COMPUTED_VALUE"""),44489.66666666667)</f>
        <v>44489.66667</v>
      </c>
      <c r="B2850" s="2">
        <f>IFERROR(__xludf.DUMMYFUNCTION("""COMPUTED_VALUE"""),288.6)</f>
        <v>288.6</v>
      </c>
      <c r="C2850" s="3">
        <v>874.812414470622</v>
      </c>
    </row>
    <row r="2851">
      <c r="A2851" s="1">
        <f>IFERROR(__xludf.DUMMYFUNCTION("""COMPUTED_VALUE"""),44490.66666666667)</f>
        <v>44490.66667</v>
      </c>
      <c r="B2851" s="2">
        <f>IFERROR(__xludf.DUMMYFUNCTION("""COMPUTED_VALUE"""),298.0)</f>
        <v>298</v>
      </c>
      <c r="C2851" s="3">
        <v>876.426194062112</v>
      </c>
    </row>
    <row r="2852">
      <c r="A2852" s="1">
        <f>IFERROR(__xludf.DUMMYFUNCTION("""COMPUTED_VALUE"""),44491.66666666667)</f>
        <v>44491.66667</v>
      </c>
      <c r="B2852" s="2">
        <f>IFERROR(__xludf.DUMMYFUNCTION("""COMPUTED_VALUE"""),303.23)</f>
        <v>303.23</v>
      </c>
      <c r="C2852" s="3">
        <v>877.974021152469</v>
      </c>
    </row>
    <row r="2853">
      <c r="A2853" s="1">
        <f>IFERROR(__xludf.DUMMYFUNCTION("""COMPUTED_VALUE"""),44494.66666666667)</f>
        <v>44494.66667</v>
      </c>
      <c r="B2853" s="2">
        <f>IFERROR(__xludf.DUMMYFUNCTION("""COMPUTED_VALUE"""),341.62)</f>
        <v>341.62</v>
      </c>
      <c r="C2853" s="3">
        <v>886.409728361315</v>
      </c>
    </row>
    <row r="2854">
      <c r="A2854" s="1">
        <f>IFERROR(__xludf.DUMMYFUNCTION("""COMPUTED_VALUE"""),44495.66666666667)</f>
        <v>44495.66667</v>
      </c>
      <c r="B2854" s="2">
        <f>IFERROR(__xludf.DUMMYFUNCTION("""COMPUTED_VALUE"""),339.48)</f>
        <v>339.48</v>
      </c>
      <c r="C2854" s="3">
        <v>888.279781968451</v>
      </c>
    </row>
    <row r="2855">
      <c r="A2855" s="1">
        <f>IFERROR(__xludf.DUMMYFUNCTION("""COMPUTED_VALUE"""),44496.66666666667)</f>
        <v>44496.66667</v>
      </c>
      <c r="B2855" s="2">
        <f>IFERROR(__xludf.DUMMYFUNCTION("""COMPUTED_VALUE"""),345.95)</f>
        <v>345.95</v>
      </c>
      <c r="C2855" s="3">
        <v>890.450096121532</v>
      </c>
    </row>
    <row r="2856">
      <c r="A2856" s="1">
        <f>IFERROR(__xludf.DUMMYFUNCTION("""COMPUTED_VALUE"""),44497.66666666667)</f>
        <v>44497.66667</v>
      </c>
      <c r="B2856" s="2">
        <f>IFERROR(__xludf.DUMMYFUNCTION("""COMPUTED_VALUE"""),359.01)</f>
        <v>359.01</v>
      </c>
      <c r="C2856" s="3">
        <v>891.596131370211</v>
      </c>
    </row>
    <row r="2857">
      <c r="A2857" s="1">
        <f>IFERROR(__xludf.DUMMYFUNCTION("""COMPUTED_VALUE"""),44498.66666666667)</f>
        <v>44498.66667</v>
      </c>
      <c r="B2857" s="2">
        <f>IFERROR(__xludf.DUMMYFUNCTION("""COMPUTED_VALUE"""),371.33)</f>
        <v>371.33</v>
      </c>
      <c r="C2857" s="3">
        <v>892.6190469006</v>
      </c>
    </row>
    <row r="2858">
      <c r="A2858" s="1">
        <f>IFERROR(__xludf.DUMMYFUNCTION("""COMPUTED_VALUE"""),44501.66666666667)</f>
        <v>44501.66667</v>
      </c>
      <c r="B2858" s="2">
        <f>IFERROR(__xludf.DUMMYFUNCTION("""COMPUTED_VALUE"""),402.86)</f>
        <v>402.86</v>
      </c>
      <c r="C2858" s="3">
        <v>899.282181297673</v>
      </c>
    </row>
    <row r="2859">
      <c r="A2859" s="1">
        <f>IFERROR(__xludf.DUMMYFUNCTION("""COMPUTED_VALUE"""),44502.66666666667)</f>
        <v>44502.66667</v>
      </c>
      <c r="B2859" s="2">
        <f>IFERROR(__xludf.DUMMYFUNCTION("""COMPUTED_VALUE"""),390.67)</f>
        <v>390.67</v>
      </c>
      <c r="C2859" s="3">
        <v>900.54561031575</v>
      </c>
    </row>
    <row r="2860">
      <c r="A2860" s="1">
        <f>IFERROR(__xludf.DUMMYFUNCTION("""COMPUTED_VALUE"""),44503.66666666667)</f>
        <v>44503.66667</v>
      </c>
      <c r="B2860" s="2">
        <f>IFERROR(__xludf.DUMMYFUNCTION("""COMPUTED_VALUE"""),404.62)</f>
        <v>404.62</v>
      </c>
      <c r="C2860" s="3">
        <v>902.125904060104</v>
      </c>
    </row>
    <row r="2861">
      <c r="A2861" s="1">
        <f>IFERROR(__xludf.DUMMYFUNCTION("""COMPUTED_VALUE"""),44504.66666666667)</f>
        <v>44504.66667</v>
      </c>
      <c r="B2861" s="2">
        <f>IFERROR(__xludf.DUMMYFUNCTION("""COMPUTED_VALUE"""),409.97)</f>
        <v>409.97</v>
      </c>
      <c r="C2861" s="3">
        <v>902.711980023026</v>
      </c>
    </row>
    <row r="2862">
      <c r="A2862" s="1">
        <f>IFERROR(__xludf.DUMMYFUNCTION("""COMPUTED_VALUE"""),44505.66666666667)</f>
        <v>44505.66667</v>
      </c>
      <c r="B2862" s="2">
        <f>IFERROR(__xludf.DUMMYFUNCTION("""COMPUTED_VALUE"""),407.36)</f>
        <v>407.36</v>
      </c>
      <c r="C2862" s="3">
        <v>903.217092764885</v>
      </c>
    </row>
    <row r="2863">
      <c r="A2863" s="1">
        <f>IFERROR(__xludf.DUMMYFUNCTION("""COMPUTED_VALUE"""),44508.66666666667)</f>
        <v>44508.66667</v>
      </c>
      <c r="B2863" s="2">
        <f>IFERROR(__xludf.DUMMYFUNCTION("""COMPUTED_VALUE"""),387.65)</f>
        <v>387.65</v>
      </c>
      <c r="C2863" s="3">
        <v>908.673683345503</v>
      </c>
    </row>
    <row r="2864">
      <c r="A2864" s="1">
        <f>IFERROR(__xludf.DUMMYFUNCTION("""COMPUTED_VALUE"""),44509.66666666667)</f>
        <v>44509.66667</v>
      </c>
      <c r="B2864" s="2">
        <f>IFERROR(__xludf.DUMMYFUNCTION("""COMPUTED_VALUE"""),341.17)</f>
        <v>341.17</v>
      </c>
      <c r="C2864" s="3">
        <v>909.671177510115</v>
      </c>
    </row>
    <row r="2865">
      <c r="A2865" s="1">
        <f>IFERROR(__xludf.DUMMYFUNCTION("""COMPUTED_VALUE"""),44510.66666666667)</f>
        <v>44510.66667</v>
      </c>
      <c r="B2865" s="2">
        <f>IFERROR(__xludf.DUMMYFUNCTION("""COMPUTED_VALUE"""),355.98)</f>
        <v>355.98</v>
      </c>
      <c r="C2865" s="3">
        <v>911.05809854124</v>
      </c>
    </row>
    <row r="2866">
      <c r="A2866" s="1">
        <f>IFERROR(__xludf.DUMMYFUNCTION("""COMPUTED_VALUE"""),44511.66666666667)</f>
        <v>44511.66667</v>
      </c>
      <c r="B2866" s="2">
        <f>IFERROR(__xludf.DUMMYFUNCTION("""COMPUTED_VALUE"""),354.5)</f>
        <v>354.5</v>
      </c>
      <c r="C2866" s="3">
        <v>911.522383781868</v>
      </c>
    </row>
    <row r="2867">
      <c r="A2867" s="1">
        <f>IFERROR(__xludf.DUMMYFUNCTION("""COMPUTED_VALUE"""),44512.66666666667)</f>
        <v>44512.66667</v>
      </c>
      <c r="B2867" s="2">
        <f>IFERROR(__xludf.DUMMYFUNCTION("""COMPUTED_VALUE"""),344.47)</f>
        <v>344.47</v>
      </c>
      <c r="C2867" s="3">
        <v>911.97393676015</v>
      </c>
    </row>
    <row r="2868">
      <c r="A2868" s="1">
        <f>IFERROR(__xludf.DUMMYFUNCTION("""COMPUTED_VALUE"""),44515.66666666667)</f>
        <v>44515.66667</v>
      </c>
      <c r="B2868" s="2">
        <f>IFERROR(__xludf.DUMMYFUNCTION("""COMPUTED_VALUE"""),337.8)</f>
        <v>337.8</v>
      </c>
      <c r="C2868" s="3">
        <v>917.613540677401</v>
      </c>
    </row>
    <row r="2869">
      <c r="A2869" s="1">
        <f>IFERROR(__xludf.DUMMYFUNCTION("""COMPUTED_VALUE"""),44516.66666666667)</f>
        <v>44516.66667</v>
      </c>
      <c r="B2869" s="2">
        <f>IFERROR(__xludf.DUMMYFUNCTION("""COMPUTED_VALUE"""),351.58)</f>
        <v>351.58</v>
      </c>
      <c r="C2869" s="3">
        <v>918.755707439964</v>
      </c>
    </row>
    <row r="2870">
      <c r="A2870" s="1">
        <f>IFERROR(__xludf.DUMMYFUNCTION("""COMPUTED_VALUE"""),44517.66666666667)</f>
        <v>44517.66667</v>
      </c>
      <c r="B2870" s="2">
        <f>IFERROR(__xludf.DUMMYFUNCTION("""COMPUTED_VALUE"""),363.0)</f>
        <v>363</v>
      </c>
      <c r="C2870" s="3">
        <v>920.310308969789</v>
      </c>
    </row>
    <row r="2871">
      <c r="A2871" s="1">
        <f>IFERROR(__xludf.DUMMYFUNCTION("""COMPUTED_VALUE"""),44518.66666666667)</f>
        <v>44518.66667</v>
      </c>
      <c r="B2871" s="2">
        <f>IFERROR(__xludf.DUMMYFUNCTION("""COMPUTED_VALUE"""),365.46)</f>
        <v>365.46</v>
      </c>
      <c r="C2871" s="3">
        <v>920.952752101697</v>
      </c>
    </row>
    <row r="2872">
      <c r="A2872" s="1">
        <f>IFERROR(__xludf.DUMMYFUNCTION("""COMPUTED_VALUE"""),44519.66666666667)</f>
        <v>44519.66667</v>
      </c>
      <c r="B2872" s="2">
        <f>IFERROR(__xludf.DUMMYFUNCTION("""COMPUTED_VALUE"""),379.02)</f>
        <v>379.02</v>
      </c>
      <c r="C2872" s="3">
        <v>921.580167462736</v>
      </c>
    </row>
    <row r="2873">
      <c r="A2873" s="1">
        <f>IFERROR(__xludf.DUMMYFUNCTION("""COMPUTED_VALUE"""),44522.66666666667)</f>
        <v>44522.66667</v>
      </c>
      <c r="B2873" s="2">
        <f>IFERROR(__xludf.DUMMYFUNCTION("""COMPUTED_VALUE"""),385.62)</f>
        <v>385.62</v>
      </c>
      <c r="C2873" s="3">
        <v>927.611235290347</v>
      </c>
    </row>
    <row r="2874">
      <c r="A2874" s="1">
        <f>IFERROR(__xludf.DUMMYFUNCTION("""COMPUTED_VALUE"""),44523.66666666667)</f>
        <v>44523.66667</v>
      </c>
      <c r="B2874" s="2">
        <f>IFERROR(__xludf.DUMMYFUNCTION("""COMPUTED_VALUE"""),369.68)</f>
        <v>369.68</v>
      </c>
      <c r="C2874" s="3">
        <v>928.802420572252</v>
      </c>
    </row>
    <row r="2875">
      <c r="A2875" s="1">
        <f>IFERROR(__xludf.DUMMYFUNCTION("""COMPUTED_VALUE"""),44524.66666666667)</f>
        <v>44524.66667</v>
      </c>
      <c r="B2875" s="2">
        <f>IFERROR(__xludf.DUMMYFUNCTION("""COMPUTED_VALUE"""),372.0)</f>
        <v>372</v>
      </c>
      <c r="C2875" s="3">
        <v>930.350919769869</v>
      </c>
    </row>
    <row r="2876">
      <c r="A2876" s="1">
        <f>IFERROR(__xludf.DUMMYFUNCTION("""COMPUTED_VALUE"""),44526.54166666667)</f>
        <v>44526.54167</v>
      </c>
      <c r="B2876" s="2">
        <f>IFERROR(__xludf.DUMMYFUNCTION("""COMPUTED_VALUE"""),360.64)</f>
        <v>360.64</v>
      </c>
      <c r="C2876" s="3">
        <v>931.422405282351</v>
      </c>
    </row>
    <row r="2877">
      <c r="A2877" s="1">
        <f>IFERROR(__xludf.DUMMYFUNCTION("""COMPUTED_VALUE"""),44529.66666666667)</f>
        <v>44529.66667</v>
      </c>
      <c r="B2877" s="2">
        <f>IFERROR(__xludf.DUMMYFUNCTION("""COMPUTED_VALUE"""),379.0)</f>
        <v>379</v>
      </c>
      <c r="C2877" s="3">
        <v>936.674369545133</v>
      </c>
    </row>
    <row r="2878">
      <c r="A2878" s="1">
        <f>IFERROR(__xludf.DUMMYFUNCTION("""COMPUTED_VALUE"""),44530.66666666667)</f>
        <v>44530.66667</v>
      </c>
      <c r="B2878" s="2">
        <f>IFERROR(__xludf.DUMMYFUNCTION("""COMPUTED_VALUE"""),381.59)</f>
        <v>381.59</v>
      </c>
      <c r="C2878" s="3">
        <v>937.490407826693</v>
      </c>
    </row>
    <row r="2879">
      <c r="A2879" s="1">
        <f>IFERROR(__xludf.DUMMYFUNCTION("""COMPUTED_VALUE"""),44531.66666666667)</f>
        <v>44531.66667</v>
      </c>
      <c r="B2879" s="2">
        <f>IFERROR(__xludf.DUMMYFUNCTION("""COMPUTED_VALUE"""),365.0)</f>
        <v>365</v>
      </c>
      <c r="C2879" s="3">
        <v>938.618411871567</v>
      </c>
    </row>
    <row r="2880">
      <c r="A2880" s="1">
        <f>IFERROR(__xludf.DUMMYFUNCTION("""COMPUTED_VALUE"""),44532.66666666667)</f>
        <v>44532.66667</v>
      </c>
      <c r="B2880" s="2">
        <f>IFERROR(__xludf.DUMMYFUNCTION("""COMPUTED_VALUE"""),361.53)</f>
        <v>361.53</v>
      </c>
      <c r="C2880" s="3">
        <v>938.738646437263</v>
      </c>
    </row>
    <row r="2881">
      <c r="A2881" s="1">
        <f>IFERROR(__xludf.DUMMYFUNCTION("""COMPUTED_VALUE"""),44533.66666666667)</f>
        <v>44533.66667</v>
      </c>
      <c r="B2881" s="2">
        <f>IFERROR(__xludf.DUMMYFUNCTION("""COMPUTED_VALUE"""),338.32)</f>
        <v>338.32</v>
      </c>
      <c r="C2881" s="3">
        <v>938.757110362341</v>
      </c>
    </row>
    <row r="2882">
      <c r="A2882" s="1">
        <f>IFERROR(__xludf.DUMMYFUNCTION("""COMPUTED_VALUE"""),44536.66666666667)</f>
        <v>44536.66667</v>
      </c>
      <c r="B2882" s="2">
        <f>IFERROR(__xludf.DUMMYFUNCTION("""COMPUTED_VALUE"""),336.34)</f>
        <v>336.34</v>
      </c>
      <c r="C2882" s="3">
        <v>942.584773136139</v>
      </c>
    </row>
    <row r="2883">
      <c r="A2883" s="1">
        <f>IFERROR(__xludf.DUMMYFUNCTION("""COMPUTED_VALUE"""),44537.66666666667)</f>
        <v>44537.66667</v>
      </c>
      <c r="B2883" s="2">
        <f>IFERROR(__xludf.DUMMYFUNCTION("""COMPUTED_VALUE"""),350.58)</f>
        <v>350.58</v>
      </c>
      <c r="C2883" s="3">
        <v>942.97960167037</v>
      </c>
    </row>
    <row r="2884">
      <c r="A2884" s="1">
        <f>IFERROR(__xludf.DUMMYFUNCTION("""COMPUTED_VALUE"""),44538.66666666667)</f>
        <v>44538.66667</v>
      </c>
      <c r="B2884" s="2">
        <f>IFERROR(__xludf.DUMMYFUNCTION("""COMPUTED_VALUE"""),356.32)</f>
        <v>356.32</v>
      </c>
      <c r="C2884" s="3">
        <v>943.738581526044</v>
      </c>
    </row>
    <row r="2885">
      <c r="A2885" s="1">
        <f>IFERROR(__xludf.DUMMYFUNCTION("""COMPUTED_VALUE"""),44539.66666666667)</f>
        <v>44539.66667</v>
      </c>
      <c r="B2885" s="2">
        <f>IFERROR(__xludf.DUMMYFUNCTION("""COMPUTED_VALUE"""),334.6)</f>
        <v>334.6</v>
      </c>
      <c r="C2885" s="3">
        <v>943.556246592104</v>
      </c>
    </row>
    <row r="2886">
      <c r="A2886" s="1">
        <f>IFERROR(__xludf.DUMMYFUNCTION("""COMPUTED_VALUE"""),44540.66666666667)</f>
        <v>44540.66667</v>
      </c>
      <c r="B2886" s="2">
        <f>IFERROR(__xludf.DUMMYFUNCTION("""COMPUTED_VALUE"""),339.01)</f>
        <v>339.01</v>
      </c>
      <c r="C2886" s="3">
        <v>943.351568218556</v>
      </c>
    </row>
    <row r="2887">
      <c r="A2887" s="1">
        <f>IFERROR(__xludf.DUMMYFUNCTION("""COMPUTED_VALUE"""),44543.66666666667)</f>
        <v>44543.66667</v>
      </c>
      <c r="B2887" s="2">
        <f>IFERROR(__xludf.DUMMYFUNCTION("""COMPUTED_VALUE"""),322.14)</f>
        <v>322.14</v>
      </c>
      <c r="C2887" s="3">
        <v>947.087964375952</v>
      </c>
    </row>
    <row r="2888">
      <c r="A2888" s="1">
        <f>IFERROR(__xludf.DUMMYFUNCTION("""COMPUTED_VALUE"""),44544.66666666667)</f>
        <v>44544.66667</v>
      </c>
      <c r="B2888" s="2">
        <f>IFERROR(__xludf.DUMMYFUNCTION("""COMPUTED_VALUE"""),319.5)</f>
        <v>319.5</v>
      </c>
      <c r="C2888" s="3">
        <v>947.66714394807</v>
      </c>
    </row>
    <row r="2889">
      <c r="A2889" s="1">
        <f>IFERROR(__xludf.DUMMYFUNCTION("""COMPUTED_VALUE"""),44545.66666666667)</f>
        <v>44545.66667</v>
      </c>
      <c r="B2889" s="2">
        <f>IFERROR(__xludf.DUMMYFUNCTION("""COMPUTED_VALUE"""),325.33)</f>
        <v>325.33</v>
      </c>
      <c r="C2889" s="3">
        <v>948.722055790647</v>
      </c>
    </row>
    <row r="2890">
      <c r="A2890" s="1">
        <f>IFERROR(__xludf.DUMMYFUNCTION("""COMPUTED_VALUE"""),44546.66666666667)</f>
        <v>44546.66667</v>
      </c>
      <c r="B2890" s="2">
        <f>IFERROR(__xludf.DUMMYFUNCTION("""COMPUTED_VALUE"""),308.97)</f>
        <v>308.97</v>
      </c>
      <c r="C2890" s="3">
        <v>948.945301545027</v>
      </c>
    </row>
    <row r="2891">
      <c r="A2891" s="1">
        <f>IFERROR(__xludf.DUMMYFUNCTION("""COMPUTED_VALUE"""),44547.66666666667)</f>
        <v>44547.66667</v>
      </c>
      <c r="B2891" s="2">
        <f>IFERROR(__xludf.DUMMYFUNCTION("""COMPUTED_VALUE"""),310.86)</f>
        <v>310.86</v>
      </c>
      <c r="C2891" s="3">
        <v>949.250873183733</v>
      </c>
    </row>
    <row r="2892">
      <c r="A2892" s="1">
        <f>IFERROR(__xludf.DUMMYFUNCTION("""COMPUTED_VALUE"""),44550.66666666667)</f>
        <v>44550.66667</v>
      </c>
      <c r="B2892" s="2">
        <f>IFERROR(__xludf.DUMMYFUNCTION("""COMPUTED_VALUE"""),299.98)</f>
        <v>299.98</v>
      </c>
      <c r="C2892" s="3">
        <v>955.052301646492</v>
      </c>
    </row>
    <row r="2893">
      <c r="A2893" s="1">
        <f>IFERROR(__xludf.DUMMYFUNCTION("""COMPUTED_VALUE"""),44551.66666666667)</f>
        <v>44551.66667</v>
      </c>
      <c r="B2893" s="2">
        <f>IFERROR(__xludf.DUMMYFUNCTION("""COMPUTED_VALUE"""),312.84)</f>
        <v>312.84</v>
      </c>
      <c r="C2893" s="3">
        <v>956.453397479395</v>
      </c>
    </row>
    <row r="2894">
      <c r="A2894" s="1">
        <f>IFERROR(__xludf.DUMMYFUNCTION("""COMPUTED_VALUE"""),44552.66666666667)</f>
        <v>44552.66667</v>
      </c>
      <c r="B2894" s="2">
        <f>IFERROR(__xludf.DUMMYFUNCTION("""COMPUTED_VALUE"""),336.29)</f>
        <v>336.29</v>
      </c>
      <c r="C2894" s="3">
        <v>958.369158608515</v>
      </c>
    </row>
    <row r="2895">
      <c r="A2895" s="1">
        <f>IFERROR(__xludf.DUMMYFUNCTION("""COMPUTED_VALUE"""),44553.66666666667)</f>
        <v>44553.66667</v>
      </c>
      <c r="B2895" s="2">
        <f>IFERROR(__xludf.DUMMYFUNCTION("""COMPUTED_VALUE"""),355.67)</f>
        <v>355.67</v>
      </c>
      <c r="C2895" s="3">
        <v>959.472937705244</v>
      </c>
    </row>
    <row r="2896">
      <c r="A2896" s="1">
        <f>IFERROR(__xludf.DUMMYFUNCTION("""COMPUTED_VALUE"""),44557.66666666667)</f>
        <v>44557.66667</v>
      </c>
      <c r="B2896" s="2">
        <f>IFERROR(__xludf.DUMMYFUNCTION("""COMPUTED_VALUE"""),364.65)</f>
        <v>364.65</v>
      </c>
      <c r="C2896" s="3">
        <v>968.888382459492</v>
      </c>
    </row>
    <row r="2897">
      <c r="A2897" s="1">
        <f>IFERROR(__xludf.DUMMYFUNCTION("""COMPUTED_VALUE"""),44558.66666666667)</f>
        <v>44558.66667</v>
      </c>
      <c r="B2897" s="2">
        <f>IFERROR(__xludf.DUMMYFUNCTION("""COMPUTED_VALUE"""),362.82)</f>
        <v>362.82</v>
      </c>
      <c r="C2897" s="3">
        <v>970.961582406231</v>
      </c>
    </row>
    <row r="2898">
      <c r="A2898" s="1">
        <f>IFERROR(__xludf.DUMMYFUNCTION("""COMPUTED_VALUE"""),44559.66666666667)</f>
        <v>44559.66667</v>
      </c>
      <c r="B2898" s="2">
        <f>IFERROR(__xludf.DUMMYFUNCTION("""COMPUTED_VALUE"""),362.06)</f>
        <v>362.06</v>
      </c>
      <c r="C2898" s="3">
        <v>973.450226845658</v>
      </c>
    </row>
    <row r="2899">
      <c r="A2899" s="1">
        <f>IFERROR(__xludf.DUMMYFUNCTION("""COMPUTED_VALUE"""),44560.66666666667)</f>
        <v>44560.66667</v>
      </c>
      <c r="B2899" s="2">
        <f>IFERROR(__xludf.DUMMYFUNCTION("""COMPUTED_VALUE"""),356.78)</f>
        <v>356.78</v>
      </c>
      <c r="C2899" s="3">
        <v>975.012188335186</v>
      </c>
    </row>
    <row r="2900">
      <c r="A2900" s="1">
        <f>IFERROR(__xludf.DUMMYFUNCTION("""COMPUTED_VALUE"""),44561.66666666667)</f>
        <v>44561.66667</v>
      </c>
      <c r="B2900" s="2">
        <f>IFERROR(__xludf.DUMMYFUNCTION("""COMPUTED_VALUE"""),352.26)</f>
        <v>352.26</v>
      </c>
      <c r="C2900" s="3">
        <v>976.528192917209</v>
      </c>
    </row>
    <row r="2901">
      <c r="A2901" s="1">
        <f>IFERROR(__xludf.DUMMYFUNCTION("""COMPUTED_VALUE"""),44564.66666666667)</f>
        <v>44564.66667</v>
      </c>
      <c r="B2901" s="2">
        <f>IFERROR(__xludf.DUMMYFUNCTION("""COMPUTED_VALUE"""),399.93)</f>
        <v>399.93</v>
      </c>
      <c r="C2901" s="3">
        <v>984.898571950017</v>
      </c>
    </row>
    <row r="2902">
      <c r="A2902" s="1">
        <f>IFERROR(__xludf.DUMMYFUNCTION("""COMPUTED_VALUE"""),44565.66666666667)</f>
        <v>44565.66667</v>
      </c>
      <c r="B2902" s="2">
        <f>IFERROR(__xludf.DUMMYFUNCTION("""COMPUTED_VALUE"""),383.2)</f>
        <v>383.2</v>
      </c>
      <c r="C2902" s="3">
        <v>986.723071323894</v>
      </c>
    </row>
    <row r="2903">
      <c r="A2903" s="1">
        <f>IFERROR(__xludf.DUMMYFUNCTION("""COMPUTED_VALUE"""),44566.66666666667)</f>
        <v>44566.66667</v>
      </c>
      <c r="B2903" s="2">
        <f>IFERROR(__xludf.DUMMYFUNCTION("""COMPUTED_VALUE"""),362.71)</f>
        <v>362.71</v>
      </c>
      <c r="C2903" s="3">
        <v>988.81803454323</v>
      </c>
    </row>
    <row r="2904">
      <c r="A2904" s="1">
        <f>IFERROR(__xludf.DUMMYFUNCTION("""COMPUTED_VALUE"""),44567.66666666667)</f>
        <v>44567.66667</v>
      </c>
      <c r="B2904" s="2">
        <f>IFERROR(__xludf.DUMMYFUNCTION("""COMPUTED_VALUE"""),354.9)</f>
        <v>354.9</v>
      </c>
      <c r="C2904" s="3">
        <v>989.848200039844</v>
      </c>
    </row>
    <row r="2905">
      <c r="A2905" s="1">
        <f>IFERROR(__xludf.DUMMYFUNCTION("""COMPUTED_VALUE"""),44568.66666666667)</f>
        <v>44568.66667</v>
      </c>
      <c r="B2905" s="2">
        <f>IFERROR(__xludf.DUMMYFUNCTION("""COMPUTED_VALUE"""),342.32)</f>
        <v>342.32</v>
      </c>
      <c r="C2905" s="3">
        <v>990.704449202722</v>
      </c>
    </row>
    <row r="2906">
      <c r="A2906" s="1">
        <f>IFERROR(__xludf.DUMMYFUNCTION("""COMPUTED_VALUE"""),44571.66666666667)</f>
        <v>44571.66667</v>
      </c>
      <c r="B2906" s="2">
        <f>IFERROR(__xludf.DUMMYFUNCTION("""COMPUTED_VALUE"""),352.71)</f>
        <v>352.71</v>
      </c>
      <c r="C2906" s="3">
        <v>996.472971749382</v>
      </c>
    </row>
    <row r="2907">
      <c r="A2907" s="1">
        <f>IFERROR(__xludf.DUMMYFUNCTION("""COMPUTED_VALUE"""),44572.66666666667)</f>
        <v>44572.66667</v>
      </c>
      <c r="B2907" s="2">
        <f>IFERROR(__xludf.DUMMYFUNCTION("""COMPUTED_VALUE"""),354.8)</f>
        <v>354.8</v>
      </c>
      <c r="C2907" s="3">
        <v>997.282955622138</v>
      </c>
    </row>
    <row r="2908">
      <c r="A2908" s="1">
        <f>IFERROR(__xludf.DUMMYFUNCTION("""COMPUTED_VALUE"""),44573.66666666667)</f>
        <v>44573.66667</v>
      </c>
      <c r="B2908" s="2">
        <f>IFERROR(__xludf.DUMMYFUNCTION("""COMPUTED_VALUE"""),368.74)</f>
        <v>368.74</v>
      </c>
      <c r="C2908" s="3">
        <v>998.324282931512</v>
      </c>
    </row>
    <row r="2909">
      <c r="A2909" s="1">
        <f>IFERROR(__xludf.DUMMYFUNCTION("""COMPUTED_VALUE"""),44574.66666666667)</f>
        <v>44574.66667</v>
      </c>
      <c r="B2909" s="2">
        <f>IFERROR(__xludf.DUMMYFUNCTION("""COMPUTED_VALUE"""),343.85)</f>
        <v>343.85</v>
      </c>
      <c r="C2909" s="3">
        <v>998.283894460688</v>
      </c>
    </row>
    <row r="2910">
      <c r="A2910" s="1">
        <f>IFERROR(__xludf.DUMMYFUNCTION("""COMPUTED_VALUE"""),44575.66666666667)</f>
        <v>44575.66667</v>
      </c>
      <c r="B2910" s="2">
        <f>IFERROR(__xludf.DUMMYFUNCTION("""COMPUTED_VALUE"""),349.87)</f>
        <v>349.87</v>
      </c>
      <c r="C2910" s="3">
        <v>998.075087564004</v>
      </c>
    </row>
    <row r="2911">
      <c r="A2911" s="1">
        <f>IFERROR(__xludf.DUMMYFUNCTION("""COMPUTED_VALUE"""),44579.66666666667)</f>
        <v>44579.66667</v>
      </c>
      <c r="B2911" s="2">
        <f>IFERROR(__xludf.DUMMYFUNCTION("""COMPUTED_VALUE"""),343.5)</f>
        <v>343.5</v>
      </c>
      <c r="C2911" s="3">
        <v>1000.87214359787</v>
      </c>
    </row>
    <row r="2912">
      <c r="A2912" s="1">
        <f>IFERROR(__xludf.DUMMYFUNCTION("""COMPUTED_VALUE"""),44580.66666666667)</f>
        <v>44580.66667</v>
      </c>
      <c r="B2912" s="2">
        <f>IFERROR(__xludf.DUMMYFUNCTION("""COMPUTED_VALUE"""),331.88)</f>
        <v>331.88</v>
      </c>
      <c r="C2912" s="3">
        <v>1001.18009325206</v>
      </c>
    </row>
    <row r="2913">
      <c r="A2913" s="1">
        <f>IFERROR(__xludf.DUMMYFUNCTION("""COMPUTED_VALUE"""),44581.66666666667)</f>
        <v>44581.66667</v>
      </c>
      <c r="B2913" s="2">
        <f>IFERROR(__xludf.DUMMYFUNCTION("""COMPUTED_VALUE"""),332.09)</f>
        <v>332.09</v>
      </c>
      <c r="C2913" s="3">
        <v>1000.51992816904</v>
      </c>
    </row>
    <row r="2914">
      <c r="A2914" s="1">
        <f>IFERROR(__xludf.DUMMYFUNCTION("""COMPUTED_VALUE"""),44582.66666666667)</f>
        <v>44582.66667</v>
      </c>
      <c r="B2914" s="2">
        <f>IFERROR(__xludf.DUMMYFUNCTION("""COMPUTED_VALUE"""),314.63)</f>
        <v>314.63</v>
      </c>
      <c r="C2914" s="3">
        <v>999.814230265783</v>
      </c>
    </row>
    <row r="2915">
      <c r="A2915" s="1">
        <f>IFERROR(__xludf.DUMMYFUNCTION("""COMPUTED_VALUE"""),44585.66666666667)</f>
        <v>44585.66667</v>
      </c>
      <c r="B2915" s="2">
        <f>IFERROR(__xludf.DUMMYFUNCTION("""COMPUTED_VALUE"""),310.0)</f>
        <v>310</v>
      </c>
      <c r="C2915" s="3">
        <v>1001.92441880822</v>
      </c>
    </row>
    <row r="2916">
      <c r="A2916" s="1">
        <f>IFERROR(__xludf.DUMMYFUNCTION("""COMPUTED_VALUE"""),44586.66666666667)</f>
        <v>44586.66667</v>
      </c>
      <c r="B2916" s="2">
        <f>IFERROR(__xludf.DUMMYFUNCTION("""COMPUTED_VALUE"""),306.13)</f>
        <v>306.13</v>
      </c>
      <c r="C2916" s="3">
        <v>1001.91892074827</v>
      </c>
    </row>
    <row r="2917">
      <c r="A2917" s="1">
        <f>IFERROR(__xludf.DUMMYFUNCTION("""COMPUTED_VALUE"""),44587.66666666667)</f>
        <v>44587.66667</v>
      </c>
      <c r="B2917" s="2">
        <f>IFERROR(__xludf.DUMMYFUNCTION("""COMPUTED_VALUE"""),312.47)</f>
        <v>312.47</v>
      </c>
      <c r="C2917" s="3">
        <v>1002.36378482601</v>
      </c>
    </row>
    <row r="2918">
      <c r="A2918" s="1">
        <f>IFERROR(__xludf.DUMMYFUNCTION("""COMPUTED_VALUE"""),44588.66666666667)</f>
        <v>44588.66667</v>
      </c>
      <c r="B2918" s="2">
        <f>IFERROR(__xludf.DUMMYFUNCTION("""COMPUTED_VALUE"""),276.37)</f>
        <v>276.37</v>
      </c>
      <c r="C2918" s="3">
        <v>1001.94743779089</v>
      </c>
    </row>
    <row r="2919">
      <c r="A2919" s="1">
        <f>IFERROR(__xludf.DUMMYFUNCTION("""COMPUTED_VALUE"""),44589.66666666667)</f>
        <v>44589.66667</v>
      </c>
      <c r="B2919" s="2">
        <f>IFERROR(__xludf.DUMMYFUNCTION("""COMPUTED_VALUE"""),282.12)</f>
        <v>282.12</v>
      </c>
      <c r="C2919" s="3">
        <v>1001.57878310753</v>
      </c>
    </row>
    <row r="2920">
      <c r="A2920" s="1">
        <f>IFERROR(__xludf.DUMMYFUNCTION("""COMPUTED_VALUE"""),44592.66666666667)</f>
        <v>44592.66667</v>
      </c>
      <c r="B2920" s="2">
        <f>IFERROR(__xludf.DUMMYFUNCTION("""COMPUTED_VALUE"""),312.24)</f>
        <v>312.24</v>
      </c>
      <c r="C2920" s="3">
        <v>1005.09007033592</v>
      </c>
    </row>
    <row r="2921">
      <c r="A2921" s="1">
        <f>IFERROR(__xludf.DUMMYFUNCTION("""COMPUTED_VALUE"""),44593.66666666667)</f>
        <v>44593.66667</v>
      </c>
      <c r="B2921" s="2">
        <f>IFERROR(__xludf.DUMMYFUNCTION("""COMPUTED_VALUE"""),310.42)</f>
        <v>310.42</v>
      </c>
      <c r="C2921" s="3">
        <v>1005.61769206823</v>
      </c>
    </row>
    <row r="2922">
      <c r="A2922" s="1">
        <f>IFERROR(__xludf.DUMMYFUNCTION("""COMPUTED_VALUE"""),44594.66666666667)</f>
        <v>44594.66667</v>
      </c>
      <c r="B2922" s="2">
        <f>IFERROR(__xludf.DUMMYFUNCTION("""COMPUTED_VALUE"""),301.89)</f>
        <v>301.89</v>
      </c>
      <c r="C2922" s="3">
        <v>1006.59493514276</v>
      </c>
    </row>
    <row r="2923">
      <c r="A2923" s="1">
        <f>IFERROR(__xludf.DUMMYFUNCTION("""COMPUTED_VALUE"""),44595.66666666667)</f>
        <v>44595.66667</v>
      </c>
      <c r="B2923" s="2">
        <f>IFERROR(__xludf.DUMMYFUNCTION("""COMPUTED_VALUE"""),297.05)</f>
        <v>297.05</v>
      </c>
      <c r="C2923" s="3">
        <v>1006.69004132367</v>
      </c>
    </row>
    <row r="2924">
      <c r="A2924" s="1">
        <f>IFERROR(__xludf.DUMMYFUNCTION("""COMPUTED_VALUE"""),44596.66666666667)</f>
        <v>44596.66667</v>
      </c>
      <c r="B2924" s="2">
        <f>IFERROR(__xludf.DUMMYFUNCTION("""COMPUTED_VALUE"""),307.77)</f>
        <v>307.77</v>
      </c>
      <c r="C2924" s="3">
        <v>1006.79257411933</v>
      </c>
    </row>
    <row r="2925">
      <c r="A2925" s="1">
        <f>IFERROR(__xludf.DUMMYFUNCTION("""COMPUTED_VALUE"""),44599.66666666667)</f>
        <v>44599.66667</v>
      </c>
      <c r="B2925" s="2">
        <f>IFERROR(__xludf.DUMMYFUNCTION("""COMPUTED_VALUE"""),302.45)</f>
        <v>302.45</v>
      </c>
      <c r="C2925" s="3">
        <v>1011.30604473115</v>
      </c>
    </row>
    <row r="2926">
      <c r="A2926" s="1">
        <f>IFERROR(__xludf.DUMMYFUNCTION("""COMPUTED_VALUE"""),44600.66666666667)</f>
        <v>44600.66667</v>
      </c>
      <c r="B2926" s="2">
        <f>IFERROR(__xludf.DUMMYFUNCTION("""COMPUTED_VALUE"""),307.33)</f>
        <v>307.33</v>
      </c>
      <c r="C2926" s="3">
        <v>1011.9850822731</v>
      </c>
    </row>
    <row r="2927">
      <c r="A2927" s="1">
        <f>IFERROR(__xludf.DUMMYFUNCTION("""COMPUTED_VALUE"""),44601.66666666667)</f>
        <v>44601.66667</v>
      </c>
      <c r="B2927" s="2">
        <f>IFERROR(__xludf.DUMMYFUNCTION("""COMPUTED_VALUE"""),310.67)</f>
        <v>310.67</v>
      </c>
      <c r="C2927" s="3">
        <v>1013.00650485914</v>
      </c>
    </row>
    <row r="2928">
      <c r="A2928" s="1">
        <f>IFERROR(__xludf.DUMMYFUNCTION("""COMPUTED_VALUE"""),44602.66666666667)</f>
        <v>44602.66667</v>
      </c>
      <c r="B2928" s="2">
        <f>IFERROR(__xludf.DUMMYFUNCTION("""COMPUTED_VALUE"""),301.52)</f>
        <v>301.52</v>
      </c>
      <c r="C2928" s="3">
        <v>1013.03368596441</v>
      </c>
    </row>
    <row r="2929">
      <c r="A2929" s="1">
        <f>IFERROR(__xludf.DUMMYFUNCTION("""COMPUTED_VALUE"""),44603.66666666667)</f>
        <v>44603.66667</v>
      </c>
      <c r="B2929" s="2">
        <f>IFERROR(__xludf.DUMMYFUNCTION("""COMPUTED_VALUE"""),286.67)</f>
        <v>286.67</v>
      </c>
      <c r="C2929" s="3">
        <v>1012.95466327109</v>
      </c>
    </row>
    <row r="2930">
      <c r="A2930" s="1">
        <f>IFERROR(__xludf.DUMMYFUNCTION("""COMPUTED_VALUE"""),44606.66666666667)</f>
        <v>44606.66667</v>
      </c>
      <c r="B2930" s="2">
        <f>IFERROR(__xludf.DUMMYFUNCTION("""COMPUTED_VALUE"""),291.92)</f>
        <v>291.92</v>
      </c>
      <c r="C2930" s="3">
        <v>1016.2767153948</v>
      </c>
    </row>
    <row r="2931">
      <c r="A2931" s="1">
        <f>IFERROR(__xludf.DUMMYFUNCTION("""COMPUTED_VALUE"""),44607.66666666667)</f>
        <v>44607.66667</v>
      </c>
      <c r="B2931" s="2">
        <f>IFERROR(__xludf.DUMMYFUNCTION("""COMPUTED_VALUE"""),307.48)</f>
        <v>307.48</v>
      </c>
      <c r="C2931" s="3">
        <v>1016.370671078</v>
      </c>
    </row>
    <row r="2932">
      <c r="A2932" s="1">
        <f>IFERROR(__xludf.DUMMYFUNCTION("""COMPUTED_VALUE"""),44608.66666666667)</f>
        <v>44608.66667</v>
      </c>
      <c r="B2932" s="2">
        <f>IFERROR(__xludf.DUMMYFUNCTION("""COMPUTED_VALUE"""),307.8)</f>
        <v>307.8</v>
      </c>
      <c r="C2932" s="3">
        <v>1016.73404338376</v>
      </c>
    </row>
    <row r="2933">
      <c r="A2933" s="1">
        <f>IFERROR(__xludf.DUMMYFUNCTION("""COMPUTED_VALUE"""),44609.66666666667)</f>
        <v>44609.66667</v>
      </c>
      <c r="B2933" s="2">
        <f>IFERROR(__xludf.DUMMYFUNCTION("""COMPUTED_VALUE"""),292.12)</f>
        <v>292.12</v>
      </c>
      <c r="C2933" s="3">
        <v>1016.04641974522</v>
      </c>
    </row>
    <row r="2934">
      <c r="A2934" s="1">
        <f>IFERROR(__xludf.DUMMYFUNCTION("""COMPUTED_VALUE"""),44610.66666666667)</f>
        <v>44610.66667</v>
      </c>
      <c r="B2934" s="2">
        <f>IFERROR(__xludf.DUMMYFUNCTION("""COMPUTED_VALUE"""),285.66)</f>
        <v>285.66</v>
      </c>
      <c r="C2934" s="3">
        <v>1015.21387352733</v>
      </c>
    </row>
    <row r="2935">
      <c r="A2935" s="1">
        <f>IFERROR(__xludf.DUMMYFUNCTION("""COMPUTED_VALUE"""),44614.66666666667)</f>
        <v>44614.66667</v>
      </c>
      <c r="B2935" s="2">
        <f>IFERROR(__xludf.DUMMYFUNCTION("""COMPUTED_VALUE"""),273.84)</f>
        <v>273.84</v>
      </c>
      <c r="C2935" s="3">
        <v>1015.6250313843</v>
      </c>
    </row>
    <row r="2936">
      <c r="A2936" s="1">
        <f>IFERROR(__xludf.DUMMYFUNCTION("""COMPUTED_VALUE"""),44615.66666666667)</f>
        <v>44615.66667</v>
      </c>
      <c r="B2936" s="2">
        <f>IFERROR(__xludf.DUMMYFUNCTION("""COMPUTED_VALUE"""),254.68)</f>
        <v>254.68</v>
      </c>
      <c r="C2936" s="3">
        <v>1015.34009077041</v>
      </c>
    </row>
    <row r="2937">
      <c r="A2937" s="1">
        <f>IFERROR(__xludf.DUMMYFUNCTION("""COMPUTED_VALUE"""),44616.66666666667)</f>
        <v>44616.66667</v>
      </c>
      <c r="B2937" s="2">
        <f>IFERROR(__xludf.DUMMYFUNCTION("""COMPUTED_VALUE"""),266.92)</f>
        <v>266.92</v>
      </c>
      <c r="C2937" s="3">
        <v>1014.08316269084</v>
      </c>
    </row>
    <row r="2938">
      <c r="A2938" s="1">
        <f>IFERROR(__xludf.DUMMYFUNCTION("""COMPUTED_VALUE"""),44617.66666666667)</f>
        <v>44617.66667</v>
      </c>
      <c r="B2938" s="2">
        <f>IFERROR(__xludf.DUMMYFUNCTION("""COMPUTED_VALUE"""),269.96)</f>
        <v>269.96</v>
      </c>
      <c r="C2938" s="3">
        <v>1012.77664915377</v>
      </c>
    </row>
    <row r="2939">
      <c r="A2939" s="1">
        <f>IFERROR(__xludf.DUMMYFUNCTION("""COMPUTED_VALUE"""),44620.66666666667)</f>
        <v>44620.66667</v>
      </c>
      <c r="B2939" s="2">
        <f>IFERROR(__xludf.DUMMYFUNCTION("""COMPUTED_VALUE"""),290.14)</f>
        <v>290.14</v>
      </c>
      <c r="C2939" s="3">
        <v>1013.08159682034</v>
      </c>
    </row>
    <row r="2940">
      <c r="A2940" s="1">
        <f>IFERROR(__xludf.DUMMYFUNCTION("""COMPUTED_VALUE"""),44621.66666666667)</f>
        <v>44621.66667</v>
      </c>
      <c r="B2940" s="2">
        <f>IFERROR(__xludf.DUMMYFUNCTION("""COMPUTED_VALUE"""),288.12)</f>
        <v>288.12</v>
      </c>
      <c r="C2940" s="3">
        <v>1012.48834178052</v>
      </c>
    </row>
    <row r="2941">
      <c r="A2941" s="1">
        <f>IFERROR(__xludf.DUMMYFUNCTION("""COMPUTED_VALUE"""),44622.66666666667)</f>
        <v>44622.66667</v>
      </c>
      <c r="B2941" s="2">
        <f>IFERROR(__xludf.DUMMYFUNCTION("""COMPUTED_VALUE"""),293.3)</f>
        <v>293.3</v>
      </c>
      <c r="C2941" s="3">
        <v>1012.36357369836</v>
      </c>
    </row>
    <row r="2942">
      <c r="A2942" s="1">
        <f>IFERROR(__xludf.DUMMYFUNCTION("""COMPUTED_VALUE"""),44623.66666666667)</f>
        <v>44623.66667</v>
      </c>
      <c r="B2942" s="2">
        <f>IFERROR(__xludf.DUMMYFUNCTION("""COMPUTED_VALUE"""),279.76)</f>
        <v>279.76</v>
      </c>
      <c r="C2942" s="3">
        <v>1011.40436616536</v>
      </c>
    </row>
    <row r="2943">
      <c r="A2943" s="1">
        <f>IFERROR(__xludf.DUMMYFUNCTION("""COMPUTED_VALUE"""),44624.66666666667)</f>
        <v>44624.66667</v>
      </c>
      <c r="B2943" s="2">
        <f>IFERROR(__xludf.DUMMYFUNCTION("""COMPUTED_VALUE"""),279.43)</f>
        <v>279.43</v>
      </c>
      <c r="C2943" s="3">
        <v>1010.52935992792</v>
      </c>
    </row>
    <row r="2944">
      <c r="A2944" s="1">
        <f>IFERROR(__xludf.DUMMYFUNCTION("""COMPUTED_VALUE"""),44627.66666666667)</f>
        <v>44627.66667</v>
      </c>
      <c r="B2944" s="2">
        <f>IFERROR(__xludf.DUMMYFUNCTION("""COMPUTED_VALUE"""),268.19)</f>
        <v>268.19</v>
      </c>
      <c r="C2944" s="3">
        <v>1012.84999177308</v>
      </c>
    </row>
    <row r="2945">
      <c r="A2945" s="1">
        <f>IFERROR(__xludf.DUMMYFUNCTION("""COMPUTED_VALUE"""),44628.66666666667)</f>
        <v>44628.66667</v>
      </c>
      <c r="B2945" s="2">
        <f>IFERROR(__xludf.DUMMYFUNCTION("""COMPUTED_VALUE"""),274.8)</f>
        <v>274.8</v>
      </c>
      <c r="C2945" s="3">
        <v>1013.12896330203</v>
      </c>
    </row>
    <row r="2946">
      <c r="A2946" s="1">
        <f>IFERROR(__xludf.DUMMYFUNCTION("""COMPUTED_VALUE"""),44629.66666666667)</f>
        <v>44629.66667</v>
      </c>
      <c r="B2946" s="2">
        <f>IFERROR(__xludf.DUMMYFUNCTION("""COMPUTED_VALUE"""),286.32)</f>
        <v>286.32</v>
      </c>
      <c r="C2946" s="3">
        <v>1013.95131097319</v>
      </c>
    </row>
    <row r="2947">
      <c r="A2947" s="1">
        <f>IFERROR(__xludf.DUMMYFUNCTION("""COMPUTED_VALUE"""),44630.66666666667)</f>
        <v>44630.66667</v>
      </c>
      <c r="B2947" s="2">
        <f>IFERROR(__xludf.DUMMYFUNCTION("""COMPUTED_VALUE"""),279.43)</f>
        <v>279.43</v>
      </c>
      <c r="C2947" s="3">
        <v>1013.99664530252</v>
      </c>
    </row>
    <row r="2948">
      <c r="A2948" s="1">
        <f>IFERROR(__xludf.DUMMYFUNCTION("""COMPUTED_VALUE"""),44631.66666666667)</f>
        <v>44631.66667</v>
      </c>
      <c r="B2948" s="2">
        <f>IFERROR(__xludf.DUMMYFUNCTION("""COMPUTED_VALUE"""),265.12)</f>
        <v>265.12</v>
      </c>
      <c r="C2948" s="3">
        <v>1014.1652462499</v>
      </c>
    </row>
    <row r="2949">
      <c r="A2949" s="1">
        <f>IFERROR(__xludf.DUMMYFUNCTION("""COMPUTED_VALUE"""),44634.66666666667)</f>
        <v>44634.66667</v>
      </c>
      <c r="B2949" s="2">
        <f>IFERROR(__xludf.DUMMYFUNCTION("""COMPUTED_VALUE"""),255.46)</f>
        <v>255.46</v>
      </c>
      <c r="C2949" s="3">
        <v>1019.66403291347</v>
      </c>
    </row>
    <row r="2950">
      <c r="A2950" s="1">
        <f>IFERROR(__xludf.DUMMYFUNCTION("""COMPUTED_VALUE"""),44635.66666666667)</f>
        <v>44635.66667</v>
      </c>
      <c r="B2950" s="2">
        <f>IFERROR(__xludf.DUMMYFUNCTION("""COMPUTED_VALUE"""),267.3)</f>
        <v>267.3</v>
      </c>
      <c r="C2950" s="3">
        <v>1020.95794229353</v>
      </c>
    </row>
    <row r="2951">
      <c r="A2951" s="1">
        <f>IFERROR(__xludf.DUMMYFUNCTION("""COMPUTED_VALUE"""),44636.66666666667)</f>
        <v>44636.66667</v>
      </c>
      <c r="B2951" s="2">
        <f>IFERROR(__xludf.DUMMYFUNCTION("""COMPUTED_VALUE"""),280.08)</f>
        <v>280.08</v>
      </c>
      <c r="C2951" s="3">
        <v>1022.74548781687</v>
      </c>
    </row>
    <row r="2952">
      <c r="A2952" s="1">
        <f>IFERROR(__xludf.DUMMYFUNCTION("""COMPUTED_VALUE"""),44637.66666666667)</f>
        <v>44637.66667</v>
      </c>
      <c r="B2952" s="2">
        <f>IFERROR(__xludf.DUMMYFUNCTION("""COMPUTED_VALUE"""),290.53)</f>
        <v>290.53</v>
      </c>
      <c r="C2952" s="3">
        <v>1023.69214007057</v>
      </c>
    </row>
    <row r="2953">
      <c r="A2953" s="1">
        <f>IFERROR(__xludf.DUMMYFUNCTION("""COMPUTED_VALUE"""),44638.66666666667)</f>
        <v>44638.66667</v>
      </c>
      <c r="B2953" s="2">
        <f>IFERROR(__xludf.DUMMYFUNCTION("""COMPUTED_VALUE"""),301.8)</f>
        <v>301.8</v>
      </c>
      <c r="C2953" s="3">
        <v>1024.68606489106</v>
      </c>
    </row>
    <row r="2954">
      <c r="A2954" s="1">
        <f>IFERROR(__xludf.DUMMYFUNCTION("""COMPUTED_VALUE"""),44641.66666666667)</f>
        <v>44641.66667</v>
      </c>
      <c r="B2954" s="2">
        <f>IFERROR(__xludf.DUMMYFUNCTION("""COMPUTED_VALUE"""),307.05)</f>
        <v>307.05</v>
      </c>
      <c r="C2954" s="3">
        <v>1032.11857161295</v>
      </c>
    </row>
    <row r="2955">
      <c r="A2955" s="1">
        <f>IFERROR(__xludf.DUMMYFUNCTION("""COMPUTED_VALUE"""),44642.66666666667)</f>
        <v>44642.66667</v>
      </c>
      <c r="B2955" s="2">
        <f>IFERROR(__xludf.DUMMYFUNCTION("""COMPUTED_VALUE"""),331.33)</f>
        <v>331.33</v>
      </c>
      <c r="C2955" s="3">
        <v>1033.85998537964</v>
      </c>
    </row>
    <row r="2956">
      <c r="A2956" s="1">
        <f>IFERROR(__xludf.DUMMYFUNCTION("""COMPUTED_VALUE"""),44643.66666666667)</f>
        <v>44643.66667</v>
      </c>
      <c r="B2956" s="2">
        <f>IFERROR(__xludf.DUMMYFUNCTION("""COMPUTED_VALUE"""),333.04)</f>
        <v>333.04</v>
      </c>
      <c r="C2956" s="3">
        <v>1035.99463512838</v>
      </c>
    </row>
    <row r="2957">
      <c r="A2957" s="1">
        <f>IFERROR(__xludf.DUMMYFUNCTION("""COMPUTED_VALUE"""),44644.66666666667)</f>
        <v>44644.66667</v>
      </c>
      <c r="B2957" s="2">
        <f>IFERROR(__xludf.DUMMYFUNCTION("""COMPUTED_VALUE"""),337.97)</f>
        <v>337.97</v>
      </c>
      <c r="C2957" s="3">
        <v>1037.19048999202</v>
      </c>
    </row>
    <row r="2958">
      <c r="A2958" s="1"/>
      <c r="C2958" s="3">
        <v>1038.34039555832</v>
      </c>
    </row>
    <row r="2959">
      <c r="A2959" s="1"/>
      <c r="C2959" s="3">
        <v>1043.08145755336</v>
      </c>
    </row>
    <row r="2960">
      <c r="A2960" s="1"/>
      <c r="C2960" s="3">
        <v>1044.99416972473</v>
      </c>
    </row>
    <row r="2961">
      <c r="A2961" s="1"/>
      <c r="C2961" s="3">
        <v>1045.75557384231</v>
      </c>
    </row>
    <row r="2962">
      <c r="A2962" s="1"/>
      <c r="C2962" s="3">
        <v>1047.3610085084</v>
      </c>
    </row>
    <row r="2963">
      <c r="A2963" s="1"/>
      <c r="C2963" s="3">
        <v>1049.31254026375</v>
      </c>
    </row>
    <row r="2964">
      <c r="A2964" s="1"/>
      <c r="C2964" s="3">
        <v>1050.28943702349</v>
      </c>
    </row>
    <row r="2965">
      <c r="A2965" s="1"/>
      <c r="C2965" s="3">
        <v>1051.19566458878</v>
      </c>
    </row>
    <row r="2966">
      <c r="A2966" s="1"/>
      <c r="C2966" s="3">
        <v>1055.67891492765</v>
      </c>
    </row>
    <row r="2967">
      <c r="A2967" s="1"/>
      <c r="C2967" s="3">
        <v>1057.32940786029</v>
      </c>
    </row>
    <row r="2968">
      <c r="A2968" s="1"/>
      <c r="C2968" s="3">
        <v>1057.83276367825</v>
      </c>
    </row>
    <row r="2969">
      <c r="A2969" s="1"/>
      <c r="C2969" s="3">
        <v>1059.19151166596</v>
      </c>
    </row>
    <row r="2970">
      <c r="A2970" s="1"/>
      <c r="C2970" s="3">
        <v>1060.91333471749</v>
      </c>
    </row>
    <row r="2971">
      <c r="A2971" s="1"/>
      <c r="C2971" s="3">
        <v>1061.68141502923</v>
      </c>
    </row>
    <row r="2972">
      <c r="A2972" s="1"/>
      <c r="C2972" s="3">
        <v>1062.40186467037</v>
      </c>
    </row>
    <row r="2973">
      <c r="A2973" s="1"/>
      <c r="C2973" s="3">
        <v>1066.72275081416</v>
      </c>
    </row>
    <row r="2974">
      <c r="A2974" s="1"/>
      <c r="C2974" s="3">
        <v>1068.23295637432</v>
      </c>
    </row>
    <row r="2975">
      <c r="A2975" s="1"/>
      <c r="C2975" s="3">
        <v>1068.61517075001</v>
      </c>
    </row>
    <row r="2976">
      <c r="A2976" s="1"/>
      <c r="C2976" s="3">
        <v>1069.86757099047</v>
      </c>
    </row>
    <row r="2977">
      <c r="A2977" s="1"/>
      <c r="C2977" s="3">
        <v>1071.4922872423</v>
      </c>
    </row>
    <row r="2978">
      <c r="A2978" s="1"/>
      <c r="C2978" s="3">
        <v>1072.16600966604</v>
      </c>
    </row>
    <row r="2979">
      <c r="A2979" s="1"/>
      <c r="C2979" s="3">
        <v>1072.78771161738</v>
      </c>
    </row>
    <row r="2980">
      <c r="A2980" s="1"/>
      <c r="C2980" s="3">
        <v>1076.99798894364</v>
      </c>
    </row>
    <row r="2981">
      <c r="A2981" s="1"/>
      <c r="C2981" s="3">
        <v>1078.37824559528</v>
      </c>
    </row>
    <row r="2982">
      <c r="A2982" s="1"/>
      <c r="C2982" s="3">
        <v>1078.60400942934</v>
      </c>
    </row>
    <row r="2983">
      <c r="A2983" s="1"/>
      <c r="C2983" s="3">
        <v>1079.66692774428</v>
      </c>
    </row>
    <row r="2984">
      <c r="A2984" s="1"/>
      <c r="C2984" s="3">
        <v>1081.06352602621</v>
      </c>
    </row>
    <row r="2985">
      <c r="A2985" s="1"/>
      <c r="C2985" s="3">
        <v>1081.46607741914</v>
      </c>
    </row>
    <row r="2986">
      <c r="A2986" s="1"/>
      <c r="C2986" s="3">
        <v>1081.77054904615</v>
      </c>
    </row>
    <row r="2987">
      <c r="A2987" s="1"/>
      <c r="C2987" s="3">
        <v>1085.61611763465</v>
      </c>
    </row>
    <row r="2988">
      <c r="A2988" s="1"/>
      <c r="C2988" s="3">
        <v>1086.58447874384</v>
      </c>
    </row>
    <row r="2989">
      <c r="A2989" s="1"/>
      <c r="C2989" s="3">
        <v>1086.35322924419</v>
      </c>
    </row>
    <row r="2990">
      <c r="A2990" s="1"/>
      <c r="C2990" s="3">
        <v>1086.91787016208</v>
      </c>
    </row>
    <row r="2991">
      <c r="A2991" s="1"/>
      <c r="C2991" s="3">
        <v>1087.78051281602</v>
      </c>
    </row>
    <row r="2992">
      <c r="A2992" s="1"/>
      <c r="C2992" s="3">
        <v>1087.62063708943</v>
      </c>
    </row>
    <row r="2993">
      <c r="A2993" s="1"/>
      <c r="C2993" s="3">
        <v>1087.34287114138</v>
      </c>
    </row>
    <row r="2994">
      <c r="A2994" s="1"/>
      <c r="C2994" s="3">
        <v>1090.59628992523</v>
      </c>
    </row>
    <row r="2995">
      <c r="A2995" s="1"/>
      <c r="C2995" s="3">
        <v>1090.97346331905</v>
      </c>
    </row>
    <row r="2996">
      <c r="A2996" s="1"/>
      <c r="C2996" s="3">
        <v>1090.16354141102</v>
      </c>
    </row>
    <row r="2997">
      <c r="A2997" s="1"/>
      <c r="C2997" s="3">
        <v>1090.17393309099</v>
      </c>
    </row>
    <row r="2998">
      <c r="A2998" s="1"/>
      <c r="C2998" s="3">
        <v>1090.51867077894</v>
      </c>
    </row>
    <row r="2999">
      <c r="A2999" s="1"/>
      <c r="C2999" s="3">
        <v>1089.88882060249</v>
      </c>
    </row>
    <row r="3000">
      <c r="A3000" s="1"/>
      <c r="C3000" s="3">
        <v>1089.19991803379</v>
      </c>
    </row>
    <row r="3001">
      <c r="A3001" s="1"/>
      <c r="C3001" s="3">
        <v>1092.110936979</v>
      </c>
    </row>
    <row r="3002">
      <c r="A3002" s="1"/>
      <c r="C3002" s="3">
        <v>1092.22303333662</v>
      </c>
    </row>
    <row r="3003">
      <c r="A3003" s="1"/>
      <c r="C3003" s="3">
        <v>1091.23236005729</v>
      </c>
    </row>
    <row r="3004">
      <c r="A3004" s="1"/>
      <c r="C3004" s="3">
        <v>1091.15151833275</v>
      </c>
    </row>
    <row r="3005">
      <c r="A3005" s="1"/>
      <c r="C3005" s="3">
        <v>1091.49774494878</v>
      </c>
    </row>
    <row r="3006">
      <c r="A3006" s="1"/>
      <c r="C3006" s="3">
        <v>1090.9632008255</v>
      </c>
    </row>
    <row r="3007">
      <c r="A3007" s="1"/>
      <c r="C3007" s="3">
        <v>1090.46234479842</v>
      </c>
    </row>
    <row r="3008">
      <c r="A3008" s="1"/>
      <c r="C3008" s="3">
        <v>1093.65090288358</v>
      </c>
    </row>
    <row r="3009">
      <c r="A3009" s="1"/>
      <c r="C3009" s="3">
        <v>1094.12467442951</v>
      </c>
    </row>
    <row r="3010">
      <c r="A3010" s="1"/>
      <c r="C3010" s="3">
        <v>1093.5724706975</v>
      </c>
    </row>
    <row r="3011">
      <c r="A3011" s="1"/>
      <c r="C3011" s="3">
        <v>1093.99774717113</v>
      </c>
    </row>
    <row r="3012">
      <c r="A3012" s="1"/>
      <c r="C3012" s="3">
        <v>1094.90702456622</v>
      </c>
    </row>
    <row r="3013">
      <c r="A3013" s="1"/>
      <c r="C3013" s="3">
        <v>1094.98045691312</v>
      </c>
    </row>
    <row r="3014">
      <c r="A3014" s="1"/>
      <c r="C3014" s="3">
        <v>1095.11952272484</v>
      </c>
    </row>
    <row r="3015">
      <c r="A3015" s="1"/>
      <c r="C3015" s="3">
        <v>1098.96634030473</v>
      </c>
    </row>
    <row r="3016">
      <c r="A3016" s="1"/>
      <c r="C3016" s="3">
        <v>1100.10283853304</v>
      </c>
    </row>
    <row r="3017">
      <c r="A3017" s="1"/>
      <c r="C3017" s="3">
        <v>1100.20406803613</v>
      </c>
    </row>
    <row r="3018">
      <c r="A3018" s="1"/>
      <c r="C3018" s="3">
        <v>1101.26020314708</v>
      </c>
    </row>
    <row r="3019">
      <c r="A3019" s="1"/>
      <c r="C3019" s="3">
        <v>1102.76531880647</v>
      </c>
    </row>
    <row r="3020">
      <c r="A3020" s="1"/>
      <c r="C3020" s="3">
        <v>1103.38829034817</v>
      </c>
    </row>
    <row r="3021">
      <c r="A3021" s="1"/>
      <c r="C3021" s="3">
        <v>1104.02078246269</v>
      </c>
    </row>
    <row r="3022">
      <c r="A3022" s="1"/>
      <c r="C3022" s="3">
        <v>1108.29681966895</v>
      </c>
    </row>
    <row r="3023">
      <c r="A3023" s="1"/>
      <c r="C3023" s="3">
        <v>1109.79216216917</v>
      </c>
    </row>
    <row r="3024">
      <c r="A3024" s="1"/>
      <c r="C3024" s="3">
        <v>1110.17776600885</v>
      </c>
    </row>
    <row r="3025">
      <c r="A3025" s="1"/>
      <c r="C3025" s="3">
        <v>1111.44187362938</v>
      </c>
    </row>
    <row r="3026">
      <c r="A3026" s="1"/>
      <c r="C3026" s="3">
        <v>1113.07881643201</v>
      </c>
    </row>
    <row r="3027">
      <c r="A3027" s="1"/>
      <c r="C3027" s="3">
        <v>1113.75987663369</v>
      </c>
    </row>
    <row r="3028">
      <c r="A3028" s="1"/>
      <c r="C3028" s="3">
        <v>1114.38117593001</v>
      </c>
    </row>
    <row r="3029">
      <c r="A3029" s="1"/>
      <c r="C3029" s="3">
        <v>1118.58308636792</v>
      </c>
    </row>
    <row r="3030">
      <c r="A3030" s="1"/>
      <c r="C3030" s="3">
        <v>1119.94939213328</v>
      </c>
    </row>
    <row r="3031">
      <c r="A3031" s="1"/>
      <c r="C3031" s="3">
        <v>1120.16048761934</v>
      </c>
    </row>
    <row r="3032">
      <c r="A3032" s="1"/>
      <c r="C3032" s="3">
        <v>1121.21516572892</v>
      </c>
    </row>
    <row r="3033">
      <c r="A3033" s="1"/>
      <c r="C3033" s="3">
        <v>1122.61908708096</v>
      </c>
    </row>
    <row r="3034">
      <c r="A3034" s="1"/>
      <c r="C3034" s="3">
        <v>1123.05528737037</v>
      </c>
    </row>
    <row r="3035">
      <c r="A3035" s="1"/>
      <c r="C3035" s="3">
        <v>1123.43170098297</v>
      </c>
    </row>
    <row r="3036">
      <c r="A3036" s="1"/>
      <c r="C3036" s="3">
        <v>1127.40020715838</v>
      </c>
    </row>
    <row r="3037">
      <c r="A3037" s="1"/>
      <c r="C3037" s="3">
        <v>1128.55543827353</v>
      </c>
    </row>
    <row r="3038">
      <c r="A3038" s="1"/>
      <c r="C3038" s="3">
        <v>1128.58764613512</v>
      </c>
    </row>
    <row r="3039">
      <c r="A3039" s="1"/>
      <c r="C3039" s="3">
        <v>1129.50419009597</v>
      </c>
    </row>
    <row r="3040">
      <c r="A3040" s="1"/>
      <c r="C3040" s="3">
        <v>1130.81774657569</v>
      </c>
    </row>
    <row r="3041">
      <c r="A3041" s="1"/>
      <c r="C3041" s="3">
        <v>1131.2166049252</v>
      </c>
    </row>
    <row r="3042">
      <c r="A3042" s="1"/>
      <c r="C3042" s="3">
        <v>1131.61203398143</v>
      </c>
    </row>
    <row r="3043">
      <c r="A3043" s="1"/>
      <c r="C3043" s="3">
        <v>1135.65723021686</v>
      </c>
    </row>
    <row r="3044">
      <c r="A3044" s="1"/>
      <c r="C3044" s="3">
        <v>1136.94608990025</v>
      </c>
    </row>
    <row r="3045">
      <c r="A3045" s="1"/>
      <c r="C3045" s="3">
        <v>1137.16610214772</v>
      </c>
    </row>
    <row r="3046">
      <c r="A3046" s="1"/>
      <c r="C3046" s="3">
        <v>1138.31992579044</v>
      </c>
    </row>
    <row r="3047">
      <c r="A3047" s="1"/>
      <c r="C3047" s="3">
        <v>1139.91374689701</v>
      </c>
    </row>
    <row r="3048">
      <c r="A3048" s="1"/>
      <c r="C3048" s="3">
        <v>1140.6277773796</v>
      </c>
    </row>
    <row r="3049">
      <c r="A3049" s="1"/>
      <c r="C3049" s="3">
        <v>1141.36387288515</v>
      </c>
    </row>
    <row r="3050">
      <c r="A3050" s="1"/>
      <c r="C3050" s="3">
        <v>1145.76477328327</v>
      </c>
    </row>
    <row r="3051">
      <c r="A3051" s="1"/>
      <c r="C3051" s="3">
        <v>1147.41319935292</v>
      </c>
    </row>
    <row r="3052">
      <c r="A3052" s="1"/>
      <c r="C3052" s="3">
        <v>1147.98509277553</v>
      </c>
    </row>
    <row r="3053">
      <c r="A3053" s="1"/>
      <c r="C3053" s="3">
        <v>1149.47155192514</v>
      </c>
    </row>
    <row r="3054">
      <c r="A3054" s="1"/>
      <c r="C3054" s="3">
        <v>1151.3675495052</v>
      </c>
    </row>
    <row r="3055">
      <c r="A3055" s="1"/>
      <c r="C3055" s="3">
        <v>1152.34278164245</v>
      </c>
    </row>
    <row r="3056">
      <c r="A3056" s="1"/>
      <c r="C3056" s="3">
        <v>1153.28961611353</v>
      </c>
    </row>
    <row r="3057">
      <c r="A3057" s="1"/>
      <c r="C3057" s="3">
        <v>1157.8426330974</v>
      </c>
    </row>
    <row r="3058">
      <c r="A3058" s="1"/>
      <c r="C3058" s="3">
        <v>1159.57798303882</v>
      </c>
    </row>
    <row r="3059">
      <c r="A3059" s="1"/>
      <c r="C3059" s="3">
        <v>1160.16684088586</v>
      </c>
    </row>
    <row r="3060">
      <c r="A3060" s="1"/>
      <c r="C3060" s="3">
        <v>1161.59750275077</v>
      </c>
    </row>
    <row r="3061">
      <c r="A3061" s="1"/>
      <c r="C3061" s="3">
        <v>1163.36420619835</v>
      </c>
    </row>
    <row r="3062">
      <c r="A3062" s="1"/>
      <c r="C3062" s="3">
        <v>1164.13802066587</v>
      </c>
    </row>
    <row r="3063">
      <c r="A3063" s="1"/>
      <c r="C3063" s="3">
        <v>1164.81477441357</v>
      </c>
    </row>
    <row r="3064">
      <c r="A3064" s="1"/>
      <c r="C3064" s="3">
        <v>1169.03451198902</v>
      </c>
    </row>
    <row r="3065">
      <c r="A3065" s="1"/>
      <c r="C3065" s="3">
        <v>1170.38070922871</v>
      </c>
    </row>
    <row r="3066">
      <c r="A3066" s="1"/>
      <c r="C3066" s="3">
        <v>1170.53352927022</v>
      </c>
    </row>
    <row r="3067">
      <c r="A3067" s="1"/>
      <c r="C3067" s="3">
        <v>1171.49167148147</v>
      </c>
    </row>
    <row r="3068">
      <c r="A3068" s="1"/>
      <c r="C3068" s="3">
        <v>1172.76090183705</v>
      </c>
    </row>
    <row r="3069">
      <c r="A3069" s="1"/>
      <c r="C3069" s="3">
        <v>1173.02461982132</v>
      </c>
    </row>
    <row r="3070">
      <c r="A3070" s="1"/>
      <c r="C3070" s="3">
        <v>1173.19143782504</v>
      </c>
    </row>
    <row r="3071">
      <c r="A3071" s="1"/>
      <c r="C3071" s="3">
        <v>1176.91427729214</v>
      </c>
    </row>
    <row r="3072">
      <c r="A3072" s="1"/>
      <c r="C3072" s="3">
        <v>1177.78921931152</v>
      </c>
    </row>
    <row r="3073">
      <c r="A3073" s="1"/>
      <c r="C3073" s="3">
        <v>1177.5084038781</v>
      </c>
    </row>
    <row r="3074">
      <c r="A3074" s="1"/>
      <c r="C3074" s="3">
        <v>1178.08154023874</v>
      </c>
    </row>
    <row r="3075">
      <c r="A3075" s="1"/>
      <c r="C3075" s="3">
        <v>1179.02412680736</v>
      </c>
    </row>
    <row r="3076">
      <c r="A3076" s="1"/>
      <c r="C3076" s="3">
        <v>1179.02774483129</v>
      </c>
    </row>
    <row r="3077">
      <c r="A3077" s="1"/>
      <c r="C3077" s="3">
        <v>1179.00740975683</v>
      </c>
    </row>
    <row r="3078">
      <c r="A3078" s="1"/>
      <c r="C3078" s="3">
        <v>1182.62049117242</v>
      </c>
    </row>
    <row r="3079">
      <c r="A3079" s="1"/>
      <c r="C3079" s="3">
        <v>1183.46544409253</v>
      </c>
    </row>
    <row r="3080">
      <c r="A3080" s="1"/>
      <c r="C3080" s="3">
        <v>1183.23464917128</v>
      </c>
    </row>
    <row r="3081">
      <c r="A3081" s="1"/>
      <c r="C3081" s="3">
        <v>1183.93592582565</v>
      </c>
    </row>
    <row r="3082">
      <c r="A3082" s="1"/>
      <c r="C3082" s="3">
        <v>1185.08081647273</v>
      </c>
    </row>
    <row r="3083">
      <c r="A3083" s="1"/>
      <c r="C3083" s="3">
        <v>1185.35500395083</v>
      </c>
    </row>
    <row r="3084">
      <c r="A3084" s="1"/>
      <c r="C3084" s="3">
        <v>1185.66584219498</v>
      </c>
    </row>
    <row r="3085">
      <c r="A3085" s="1"/>
      <c r="C3085" s="3">
        <v>1189.66150552165</v>
      </c>
    </row>
    <row r="3086">
      <c r="A3086" s="1"/>
      <c r="C3086" s="3">
        <v>1190.9299922862</v>
      </c>
    </row>
    <row r="3087">
      <c r="A3087" s="1"/>
      <c r="C3087" s="3">
        <v>1191.15227223845</v>
      </c>
    </row>
    <row r="3088">
      <c r="A3088" s="1"/>
      <c r="C3088" s="3">
        <v>1192.32413228024</v>
      </c>
    </row>
    <row r="3089">
      <c r="A3089" s="1"/>
      <c r="C3089" s="3">
        <v>1193.9448088216</v>
      </c>
    </row>
    <row r="3090">
      <c r="A3090" s="1"/>
      <c r="C3090" s="3">
        <v>1194.68775836888</v>
      </c>
    </row>
    <row r="3091">
      <c r="A3091" s="1"/>
      <c r="C3091" s="3">
        <v>1195.44853586433</v>
      </c>
    </row>
    <row r="3092">
      <c r="A3092" s="1"/>
      <c r="C3092" s="3">
        <v>1199.86427578616</v>
      </c>
    </row>
    <row r="3093">
      <c r="A3093" s="1"/>
      <c r="C3093" s="3">
        <v>1201.51300194171</v>
      </c>
    </row>
    <row r="3094">
      <c r="A3094" s="1"/>
      <c r="C3094" s="3">
        <v>1202.06704626059</v>
      </c>
    </row>
    <row r="3095">
      <c r="A3095" s="1"/>
      <c r="C3095" s="3">
        <v>1203.515123355</v>
      </c>
    </row>
    <row r="3096">
      <c r="A3096" s="1"/>
      <c r="C3096" s="3">
        <v>1205.35114242756</v>
      </c>
    </row>
    <row r="3097">
      <c r="A3097" s="1"/>
      <c r="C3097" s="3">
        <v>1206.24510306131</v>
      </c>
    </row>
    <row r="3098">
      <c r="A3098" s="1"/>
      <c r="C3098" s="3">
        <v>1207.09104098181</v>
      </c>
    </row>
    <row r="3099">
      <c r="A3099" s="1"/>
      <c r="C3099" s="3">
        <v>1211.5265171409</v>
      </c>
    </row>
    <row r="3100">
      <c r="A3100" s="1"/>
      <c r="C3100" s="3">
        <v>1213.13187621209</v>
      </c>
    </row>
    <row r="3101">
      <c r="A3101" s="1"/>
      <c r="C3101" s="3">
        <v>1213.58355677079</v>
      </c>
    </row>
    <row r="3102">
      <c r="A3102" s="1"/>
      <c r="C3102" s="3">
        <v>1214.87600363879</v>
      </c>
    </row>
    <row r="3103">
      <c r="A3103" s="1"/>
      <c r="C3103" s="3">
        <v>1216.51026931526</v>
      </c>
    </row>
    <row r="3104">
      <c r="A3104" s="1"/>
      <c r="C3104" s="3">
        <v>1217.16465783572</v>
      </c>
    </row>
    <row r="3105">
      <c r="A3105" s="1"/>
      <c r="C3105" s="3">
        <v>1217.74238520975</v>
      </c>
    </row>
    <row r="3106">
      <c r="A3106" s="1"/>
      <c r="C3106" s="3">
        <v>1221.89075885487</v>
      </c>
    </row>
    <row r="3107">
      <c r="A3107" s="1"/>
      <c r="C3107" s="3">
        <v>1223.20011191141</v>
      </c>
    </row>
    <row r="3108">
      <c r="A3108" s="1"/>
      <c r="C3108" s="3">
        <v>1223.3567849345</v>
      </c>
    </row>
    <row r="3109">
      <c r="A3109" s="1"/>
      <c r="C3109" s="3">
        <v>1224.36471577694</v>
      </c>
    </row>
    <row r="3110">
      <c r="A3110" s="1"/>
      <c r="C3110" s="3">
        <v>1225.73373471668</v>
      </c>
    </row>
    <row r="3111">
      <c r="A3111" s="1"/>
      <c r="C3111" s="3">
        <v>1226.14992778407</v>
      </c>
    </row>
    <row r="3112">
      <c r="A3112" s="1"/>
      <c r="C3112" s="3">
        <v>1226.52305124293</v>
      </c>
    </row>
    <row r="3113">
      <c r="A3113" s="1"/>
      <c r="C3113" s="3">
        <v>1230.50550736144</v>
      </c>
    </row>
    <row r="3114">
      <c r="A3114" s="1"/>
      <c r="C3114" s="3">
        <v>1231.69112375549</v>
      </c>
    </row>
    <row r="3115">
      <c r="A3115" s="1"/>
      <c r="C3115" s="3">
        <v>1231.76803367673</v>
      </c>
    </row>
    <row r="3116">
      <c r="A3116" s="1"/>
      <c r="C3116" s="3">
        <v>1232.74022126373</v>
      </c>
    </row>
    <row r="3117">
      <c r="A3117" s="1"/>
      <c r="C3117" s="3">
        <v>1234.11583023922</v>
      </c>
    </row>
    <row r="3118">
      <c r="A3118" s="1"/>
      <c r="C3118" s="3">
        <v>1234.57759861746</v>
      </c>
    </row>
    <row r="3119">
      <c r="A3119" s="1"/>
      <c r="C3119" s="3">
        <v>1235.0304001704</v>
      </c>
    </row>
    <row r="3120">
      <c r="A3120" s="1"/>
      <c r="C3120" s="3">
        <v>1239.12039883468</v>
      </c>
    </row>
    <row r="3121">
      <c r="A3121" s="1"/>
      <c r="C3121" s="3">
        <v>1240.43405275545</v>
      </c>
    </row>
    <row r="3122">
      <c r="A3122" s="1"/>
      <c r="C3122" s="3">
        <v>1240.65125828872</v>
      </c>
    </row>
    <row r="3123">
      <c r="A3123" s="1"/>
      <c r="C3123" s="3">
        <v>1241.76718967835</v>
      </c>
    </row>
    <row r="3124">
      <c r="A3124" s="1"/>
      <c r="C3124" s="3">
        <v>1243.28092358903</v>
      </c>
    </row>
    <row r="3125">
      <c r="A3125" s="1"/>
      <c r="C3125" s="3">
        <v>1243.86620104092</v>
      </c>
    </row>
    <row r="3126">
      <c r="A3126" s="1"/>
      <c r="C3126" s="3">
        <v>1244.41929706666</v>
      </c>
    </row>
    <row r="3127">
      <c r="A3127" s="1"/>
      <c r="C3127" s="3">
        <v>1248.57849375357</v>
      </c>
    </row>
    <row r="3128">
      <c r="A3128" s="1"/>
      <c r="C3128" s="3">
        <v>1249.92338308179</v>
      </c>
    </row>
    <row r="3129">
      <c r="A3129" s="1"/>
      <c r="C3129" s="3">
        <v>1250.12828014566</v>
      </c>
    </row>
    <row r="3130">
      <c r="A3130" s="1"/>
      <c r="C3130" s="3">
        <v>1251.18429359399</v>
      </c>
    </row>
    <row r="3131">
      <c r="A3131" s="1"/>
      <c r="C3131" s="3">
        <v>1252.58813472152</v>
      </c>
    </row>
    <row r="3132">
      <c r="A3132" s="1"/>
      <c r="C3132" s="3">
        <v>1253.01301138468</v>
      </c>
    </row>
    <row r="3133">
      <c r="A3133" s="1"/>
      <c r="C3133" s="3">
        <v>1253.3565722693</v>
      </c>
    </row>
    <row r="3134">
      <c r="A3134" s="1"/>
      <c r="C3134" s="3">
        <v>1257.26039411738</v>
      </c>
    </row>
    <row r="3135">
      <c r="A3135" s="1"/>
      <c r="C3135" s="3">
        <v>1258.30923710919</v>
      </c>
    </row>
    <row r="3136">
      <c r="A3136" s="1"/>
      <c r="C3136" s="3">
        <v>1258.18434966482</v>
      </c>
    </row>
    <row r="3137">
      <c r="A3137" s="1"/>
      <c r="C3137" s="3">
        <v>1258.8853720605</v>
      </c>
    </row>
    <row r="3138">
      <c r="A3138" s="1"/>
      <c r="C3138" s="3">
        <v>1259.91892467084</v>
      </c>
    </row>
    <row r="3139">
      <c r="A3139" s="1"/>
      <c r="C3139" s="3">
        <v>1259.96923308601</v>
      </c>
    </row>
    <row r="3140">
      <c r="A3140" s="1"/>
      <c r="C3140" s="3">
        <v>1259.94576323414</v>
      </c>
    </row>
    <row r="3141">
      <c r="A3141" s="1"/>
      <c r="C3141" s="3">
        <v>1263.50236802424</v>
      </c>
    </row>
    <row r="3142">
      <c r="A3142" s="1"/>
      <c r="C3142" s="3">
        <v>1264.23618066051</v>
      </c>
    </row>
    <row r="3143">
      <c r="A3143" s="1"/>
      <c r="C3143" s="3">
        <v>1263.84054659907</v>
      </c>
    </row>
    <row r="3144">
      <c r="A3144" s="1"/>
      <c r="C3144" s="3">
        <v>1264.32655468495</v>
      </c>
    </row>
    <row r="3145">
      <c r="A3145" s="1"/>
      <c r="C3145" s="3">
        <v>1265.21126452436</v>
      </c>
    </row>
    <row r="3146">
      <c r="A3146" s="1"/>
      <c r="C3146" s="3">
        <v>1265.18799335043</v>
      </c>
    </row>
    <row r="3147">
      <c r="A3147" s="1"/>
      <c r="C3147" s="3">
        <v>1265.17364595291</v>
      </c>
    </row>
    <row r="3148">
      <c r="A3148" s="1"/>
      <c r="C3148" s="3">
        <v>1268.82759874143</v>
      </c>
    </row>
    <row r="3149">
      <c r="A3149" s="1"/>
      <c r="C3149" s="3">
        <v>1269.7503814681</v>
      </c>
    </row>
    <row r="3150">
      <c r="A3150" s="1"/>
      <c r="C3150" s="3">
        <v>1269.63645551701</v>
      </c>
    </row>
    <row r="3151">
      <c r="A3151" s="1"/>
      <c r="C3151" s="3">
        <v>1270.49565457719</v>
      </c>
    </row>
    <row r="3152">
      <c r="A3152" s="1"/>
      <c r="C3152" s="3">
        <v>1271.84138820694</v>
      </c>
    </row>
    <row r="3153">
      <c r="A3153" s="1"/>
      <c r="C3153" s="3">
        <v>1272.36097305658</v>
      </c>
    </row>
    <row r="3154">
      <c r="A3154" s="1"/>
      <c r="C3154" s="3">
        <v>1272.96307482703</v>
      </c>
    </row>
    <row r="3155">
      <c r="A3155" s="1"/>
      <c r="C3155" s="3">
        <v>1277.29676953861</v>
      </c>
    </row>
    <row r="3156">
      <c r="A3156" s="1"/>
      <c r="C3156" s="3">
        <v>1278.9504631985</v>
      </c>
    </row>
    <row r="3157">
      <c r="A3157" s="1"/>
      <c r="C3157" s="3">
        <v>1279.60496251249</v>
      </c>
    </row>
    <row r="3158">
      <c r="A3158" s="1"/>
      <c r="C3158" s="3">
        <v>1281.25525454505</v>
      </c>
    </row>
    <row r="3159">
      <c r="A3159" s="1"/>
      <c r="C3159" s="3">
        <v>1283.39908649438</v>
      </c>
    </row>
    <row r="3160">
      <c r="A3160" s="1"/>
      <c r="C3160" s="3">
        <v>1284.70769984693</v>
      </c>
    </row>
    <row r="3161">
      <c r="A3161" s="1"/>
      <c r="C3161" s="3">
        <v>1286.07369062733</v>
      </c>
    </row>
    <row r="3162">
      <c r="A3162" s="1"/>
      <c r="C3162" s="3">
        <v>1291.13049242778</v>
      </c>
    </row>
    <row r="3163">
      <c r="A3163" s="1"/>
      <c r="C3163" s="3">
        <v>1293.45170923317</v>
      </c>
    </row>
    <row r="3164">
      <c r="A3164" s="1"/>
      <c r="C3164" s="3">
        <v>1294.70457878824</v>
      </c>
    </row>
    <row r="3165">
      <c r="A3165" s="1"/>
      <c r="C3165" s="3">
        <v>1296.87211303644</v>
      </c>
    </row>
    <row r="3166">
      <c r="A3166" s="1"/>
      <c r="C3166" s="3">
        <v>1299.44199628382</v>
      </c>
    </row>
    <row r="3167">
      <c r="A3167" s="1"/>
      <c r="C3167" s="3">
        <v>1301.0775860165</v>
      </c>
    </row>
    <row r="3168">
      <c r="A3168" s="1"/>
      <c r="C3168" s="3">
        <v>1302.66598020797</v>
      </c>
    </row>
    <row r="3169">
      <c r="A3169" s="1"/>
      <c r="C3169" s="3">
        <v>1307.83764161722</v>
      </c>
    </row>
    <row r="3170">
      <c r="A3170" s="1"/>
      <c r="C3170" s="3">
        <v>1310.16580179799</v>
      </c>
    </row>
    <row r="3171">
      <c r="A3171" s="1"/>
      <c r="C3171" s="3">
        <v>1311.31992329161</v>
      </c>
    </row>
    <row r="3172">
      <c r="A3172" s="1"/>
      <c r="C3172" s="3">
        <v>1313.28776635845</v>
      </c>
    </row>
    <row r="3173">
      <c r="A3173" s="1"/>
      <c r="C3173" s="3">
        <v>1315.56414284092</v>
      </c>
    </row>
    <row r="3174">
      <c r="A3174" s="1"/>
      <c r="C3174" s="3">
        <v>1316.82170609308</v>
      </c>
    </row>
    <row r="3175">
      <c r="A3175" s="1"/>
      <c r="C3175" s="3">
        <v>1317.95874677789</v>
      </c>
    </row>
    <row r="3176">
      <c r="A3176" s="1"/>
      <c r="C3176" s="3">
        <v>1322.61849279001</v>
      </c>
    </row>
    <row r="3177">
      <c r="A3177" s="1"/>
      <c r="C3177" s="3">
        <v>1324.38814535228</v>
      </c>
    </row>
    <row r="3178">
      <c r="A3178" s="1"/>
      <c r="C3178" s="3">
        <v>1324.95194039062</v>
      </c>
    </row>
    <row r="3179">
      <c r="A3179" s="1"/>
      <c r="C3179" s="3">
        <v>1326.31279317048</v>
      </c>
    </row>
    <row r="3180">
      <c r="A3180" s="1"/>
      <c r="C3180" s="3">
        <v>1327.98062107474</v>
      </c>
    </row>
    <row r="3181">
      <c r="A3181" s="1"/>
      <c r="C3181" s="3">
        <v>1328.64270604398</v>
      </c>
    </row>
    <row r="3182">
      <c r="A3182" s="1"/>
      <c r="C3182" s="3">
        <v>1329.21107899639</v>
      </c>
    </row>
    <row r="3183">
      <c r="A3183" s="1"/>
      <c r="C3183" s="3">
        <v>1333.34143656188</v>
      </c>
    </row>
    <row r="3184">
      <c r="A3184" s="1"/>
      <c r="C3184" s="3">
        <v>1334.63183345866</v>
      </c>
    </row>
    <row r="3185">
      <c r="A3185" s="1"/>
      <c r="C3185" s="3">
        <v>1334.7754497642</v>
      </c>
    </row>
    <row r="3186">
      <c r="A3186" s="1"/>
      <c r="C3186" s="3">
        <v>1335.78199977452</v>
      </c>
    </row>
    <row r="3187">
      <c r="A3187" s="1"/>
      <c r="C3187" s="3">
        <v>1337.1658843431</v>
      </c>
    </row>
    <row r="3188">
      <c r="A3188" s="1"/>
      <c r="C3188" s="3">
        <v>1337.61645331774</v>
      </c>
    </row>
    <row r="3189">
      <c r="A3189" s="1"/>
      <c r="C3189" s="3">
        <v>1338.04536341894</v>
      </c>
    </row>
    <row r="3190">
      <c r="A3190" s="1"/>
      <c r="C3190" s="3">
        <v>1342.10554274974</v>
      </c>
    </row>
    <row r="3191">
      <c r="A3191" s="1"/>
      <c r="C3191" s="3">
        <v>1343.39000391652</v>
      </c>
    </row>
    <row r="3192">
      <c r="A3192" s="1"/>
      <c r="C3192" s="3">
        <v>1343.58480148936</v>
      </c>
    </row>
    <row r="3193">
      <c r="A3193" s="1"/>
      <c r="C3193" s="3">
        <v>1344.6906948927</v>
      </c>
    </row>
    <row r="3194">
      <c r="A3194" s="1"/>
      <c r="C3194" s="3">
        <v>1346.21161109059</v>
      </c>
    </row>
    <row r="3195">
      <c r="A3195" s="1"/>
      <c r="C3195" s="3">
        <v>1346.82526444859</v>
      </c>
    </row>
    <row r="3196">
      <c r="A3196" s="1"/>
      <c r="C3196" s="3">
        <v>1347.43090843409</v>
      </c>
    </row>
    <row r="3197">
      <c r="A3197" s="1"/>
      <c r="C3197" s="3">
        <v>1351.6687185283</v>
      </c>
    </row>
    <row r="3198">
      <c r="A3198" s="1"/>
      <c r="C3198" s="3">
        <v>1353.11903572069</v>
      </c>
    </row>
    <row r="3199">
      <c r="A3199" s="1"/>
      <c r="C3199" s="3">
        <v>1353.45575328324</v>
      </c>
    </row>
    <row r="3200">
      <c r="A3200" s="1"/>
      <c r="C3200" s="3">
        <v>1354.66839484495</v>
      </c>
    </row>
    <row r="3201">
      <c r="A3201" s="1"/>
      <c r="C3201" s="3">
        <v>1356.25096540789</v>
      </c>
    </row>
    <row r="3202">
      <c r="A3202" s="1"/>
      <c r="C3202" s="3">
        <v>1356.87292068968</v>
      </c>
    </row>
    <row r="3203">
      <c r="A3203" s="1"/>
      <c r="C3203" s="3">
        <v>1357.42721854124</v>
      </c>
    </row>
    <row r="3204">
      <c r="A3204" s="1"/>
      <c r="C3204" s="3">
        <v>1361.54994231439</v>
      </c>
    </row>
    <row r="3205">
      <c r="A3205" s="1"/>
      <c r="C3205" s="3">
        <v>1362.81971775378</v>
      </c>
    </row>
    <row r="3206">
      <c r="A3206" s="1"/>
      <c r="C3206" s="3">
        <v>1362.91120025823</v>
      </c>
    </row>
    <row r="3207">
      <c r="A3207" s="1"/>
      <c r="C3207" s="3">
        <v>1363.81717680828</v>
      </c>
    </row>
    <row r="3208">
      <c r="A3208" s="1"/>
      <c r="C3208" s="3">
        <v>1365.03736273034</v>
      </c>
    </row>
    <row r="3209">
      <c r="A3209" s="1"/>
      <c r="C3209" s="3">
        <v>1365.24923952162</v>
      </c>
    </row>
    <row r="3210">
      <c r="A3210" s="1"/>
      <c r="C3210" s="3">
        <v>1365.35590062665</v>
      </c>
    </row>
    <row r="3211">
      <c r="A3211" s="1"/>
      <c r="C3211" s="3">
        <v>1369.0054004061</v>
      </c>
    </row>
    <row r="3212">
      <c r="A3212" s="1"/>
      <c r="C3212" s="3">
        <v>1369.78983532261</v>
      </c>
    </row>
    <row r="3213">
      <c r="A3213" s="1"/>
      <c r="C3213" s="3">
        <v>1369.39844351767</v>
      </c>
    </row>
    <row r="3214">
      <c r="A3214" s="1"/>
      <c r="C3214" s="3">
        <v>1369.83927802494</v>
      </c>
    </row>
    <row r="3215">
      <c r="A3215" s="1"/>
      <c r="C3215" s="3">
        <v>1370.62754604981</v>
      </c>
    </row>
    <row r="3216">
      <c r="A3216" s="1"/>
      <c r="C3216" s="3">
        <v>1370.45597376044</v>
      </c>
    </row>
    <row r="3217">
      <c r="A3217" s="1"/>
      <c r="C3217" s="3">
        <v>1370.242177285</v>
      </c>
    </row>
    <row r="3218">
      <c r="A3218" s="1"/>
      <c r="C3218" s="3">
        <v>1373.64754914472</v>
      </c>
    </row>
    <row r="3219">
      <c r="A3219" s="1"/>
      <c r="C3219" s="3">
        <v>1374.27590291462</v>
      </c>
    </row>
    <row r="3220">
      <c r="A3220" s="1"/>
      <c r="C3220" s="3">
        <v>1373.82617543008</v>
      </c>
    </row>
    <row r="3221">
      <c r="A3221" s="1"/>
      <c r="C3221" s="3">
        <v>1374.31375391882</v>
      </c>
    </row>
    <row r="3222">
      <c r="A3222" s="1"/>
      <c r="C3222" s="3">
        <v>1375.25853125289</v>
      </c>
    </row>
    <row r="3223">
      <c r="A3223" s="1"/>
      <c r="C3223" s="3">
        <v>1375.35505783984</v>
      </c>
    </row>
    <row r="3224">
      <c r="A3224" s="1"/>
      <c r="C3224" s="3">
        <v>1375.51977795495</v>
      </c>
    </row>
    <row r="3225">
      <c r="A3225" s="1"/>
      <c r="C3225" s="3">
        <v>1379.40986466567</v>
      </c>
    </row>
    <row r="3226">
      <c r="A3226" s="1"/>
      <c r="C3226" s="3">
        <v>1380.62189871671</v>
      </c>
    </row>
    <row r="3227">
      <c r="A3227" s="1"/>
      <c r="C3227" s="3">
        <v>1380.84469083581</v>
      </c>
    </row>
    <row r="3228">
      <c r="A3228" s="1"/>
      <c r="C3228" s="3">
        <v>1382.08081252306</v>
      </c>
    </row>
    <row r="3229">
      <c r="A3229" s="1"/>
      <c r="C3229" s="3">
        <v>1383.8349337934</v>
      </c>
    </row>
    <row r="3230">
      <c r="A3230" s="1"/>
      <c r="C3230" s="3">
        <v>1384.78432937564</v>
      </c>
    </row>
    <row r="3231">
      <c r="A3231" s="1"/>
      <c r="C3231" s="3">
        <v>1385.8265320479</v>
      </c>
    </row>
    <row r="3232">
      <c r="A3232" s="1"/>
      <c r="C3232" s="3">
        <v>1390.59863627803</v>
      </c>
    </row>
    <row r="3233">
      <c r="A3233" s="1"/>
      <c r="C3233" s="3">
        <v>1392.67648499561</v>
      </c>
    </row>
    <row r="3234">
      <c r="A3234" s="1"/>
      <c r="C3234" s="3">
        <v>1393.7280252</v>
      </c>
    </row>
    <row r="3235">
      <c r="A3235" s="1"/>
      <c r="C3235" s="3">
        <v>1395.7353828822</v>
      </c>
    </row>
    <row r="3236">
      <c r="A3236" s="1"/>
      <c r="C3236" s="3">
        <v>1398.18374072342</v>
      </c>
    </row>
    <row r="3237">
      <c r="A3237" s="1"/>
      <c r="C3237" s="3">
        <v>1399.73236506861</v>
      </c>
    </row>
    <row r="3238">
      <c r="A3238" s="1"/>
      <c r="C3238" s="3">
        <v>1401.26274627558</v>
      </c>
    </row>
    <row r="3239">
      <c r="A3239" s="1"/>
      <c r="C3239" s="3">
        <v>1406.39834187017</v>
      </c>
    </row>
    <row r="3240">
      <c r="A3240" s="1"/>
      <c r="C3240" s="3">
        <v>1408.70414282868</v>
      </c>
    </row>
    <row r="3241">
      <c r="A3241" s="1"/>
      <c r="C3241" s="3">
        <v>1409.8403377792</v>
      </c>
    </row>
    <row r="3242">
      <c r="A3242" s="1"/>
      <c r="C3242" s="3">
        <v>1411.78461659486</v>
      </c>
    </row>
    <row r="3243">
      <c r="A3243" s="1"/>
      <c r="C3243" s="3">
        <v>1414.02119000744</v>
      </c>
    </row>
    <row r="3244">
      <c r="A3244" s="1"/>
      <c r="C3244" s="3">
        <v>1415.21186727815</v>
      </c>
    </row>
    <row r="3245">
      <c r="A3245" s="1"/>
      <c r="C3245" s="3">
        <v>1416.24415407363</v>
      </c>
    </row>
    <row r="3246">
      <c r="A3246" s="1"/>
      <c r="C3246" s="3">
        <v>1420.75086059893</v>
      </c>
    </row>
    <row r="3247">
      <c r="A3247" s="1"/>
      <c r="C3247" s="3">
        <v>1422.30944349733</v>
      </c>
    </row>
    <row r="3248">
      <c r="A3248" s="1"/>
      <c r="C3248" s="3">
        <v>1422.59536198453</v>
      </c>
    </row>
    <row r="3249">
      <c r="A3249" s="1"/>
      <c r="C3249" s="3">
        <v>1423.60399770394</v>
      </c>
    </row>
    <row r="3250">
      <c r="A3250" s="1"/>
      <c r="C3250" s="3">
        <v>1424.8392250663</v>
      </c>
    </row>
    <row r="3251">
      <c r="A3251" s="1"/>
      <c r="C3251" s="3">
        <v>1424.98398609023</v>
      </c>
    </row>
    <row r="3252">
      <c r="A3252" s="1"/>
      <c r="C3252" s="3">
        <v>1424.94784538687</v>
      </c>
    </row>
    <row r="3253">
      <c r="A3253" s="1"/>
      <c r="C3253" s="3">
        <v>1428.38602997889</v>
      </c>
    </row>
    <row r="3254">
      <c r="A3254" s="1"/>
      <c r="C3254" s="3">
        <v>1428.89819283964</v>
      </c>
    </row>
    <row r="3255">
      <c r="A3255" s="1"/>
      <c r="C3255" s="3">
        <v>1428.18119630727</v>
      </c>
    </row>
    <row r="3256">
      <c r="A3256" s="1"/>
      <c r="C3256" s="3">
        <v>1428.25048042198</v>
      </c>
    </row>
    <row r="3257">
      <c r="A3257" s="1"/>
      <c r="C3257" s="3">
        <v>1428.62811795302</v>
      </c>
    </row>
    <row r="3258">
      <c r="A3258" s="1"/>
      <c r="C3258" s="3">
        <v>1428.0129241582</v>
      </c>
    </row>
    <row r="3259">
      <c r="A3259" s="1"/>
      <c r="C3259" s="3">
        <v>1427.3276095777</v>
      </c>
    </row>
    <row r="3260">
      <c r="A3260" s="1"/>
      <c r="C3260" s="3">
        <v>1430.23749148997</v>
      </c>
    </row>
    <row r="3261">
      <c r="A3261" s="1"/>
      <c r="C3261" s="3">
        <v>1430.34901182745</v>
      </c>
    </row>
    <row r="3262">
      <c r="A3262" s="1"/>
      <c r="C3262" s="3">
        <v>1429.36236434407</v>
      </c>
    </row>
    <row r="3263">
      <c r="A3263" s="1"/>
      <c r="C3263" s="3">
        <v>1429.29280026154</v>
      </c>
    </row>
    <row r="3264">
      <c r="A3264" s="1"/>
      <c r="C3264" s="3">
        <v>1429.65871576508</v>
      </c>
    </row>
    <row r="3265">
      <c r="A3265" s="1"/>
      <c r="C3265" s="3">
        <v>1429.15188837724</v>
      </c>
    </row>
    <row r="3266">
      <c r="A3266" s="1"/>
      <c r="C3266" s="3">
        <v>1428.68484690903</v>
      </c>
    </row>
    <row r="3267">
      <c r="A3267" s="1"/>
      <c r="C3267" s="3">
        <v>1431.90988452758</v>
      </c>
    </row>
    <row r="3268">
      <c r="A3268" s="1"/>
      <c r="C3268" s="3">
        <v>1432.41795433472</v>
      </c>
    </row>
    <row r="3269">
      <c r="A3269" s="1"/>
      <c r="C3269" s="3">
        <v>1431.89173976709</v>
      </c>
    </row>
    <row r="3270">
      <c r="A3270" s="1"/>
      <c r="C3270" s="3">
        <v>1432.32745677962</v>
      </c>
    </row>
    <row r="3271">
      <c r="A3271" s="1"/>
      <c r="C3271" s="3">
        <v>1433.22347747693</v>
      </c>
    </row>
    <row r="3272">
      <c r="A3272" s="1"/>
      <c r="C3272" s="3">
        <v>1433.25112745858</v>
      </c>
    </row>
    <row r="3273">
      <c r="A3273" s="1"/>
      <c r="C3273" s="3">
        <v>1433.30262617003</v>
      </c>
    </row>
    <row r="3274">
      <c r="A3274" s="1"/>
      <c r="C3274" s="3">
        <v>1437.01066417489</v>
      </c>
    </row>
    <row r="3275">
      <c r="A3275" s="1"/>
      <c r="C3275" s="3">
        <v>1437.9478413387</v>
      </c>
    </row>
    <row r="3276">
      <c r="A3276" s="1"/>
      <c r="C3276" s="3">
        <v>1437.78024347637</v>
      </c>
    </row>
    <row r="3277">
      <c r="A3277" s="1"/>
      <c r="C3277" s="3">
        <v>1438.48970071998</v>
      </c>
    </row>
    <row r="3278">
      <c r="A3278" s="1"/>
      <c r="C3278" s="3">
        <v>1439.56280499741</v>
      </c>
    </row>
    <row r="3279">
      <c r="A3279" s="1"/>
      <c r="C3279" s="3">
        <v>1439.66202837982</v>
      </c>
    </row>
    <row r="3280">
      <c r="A3280" s="1"/>
      <c r="C3280" s="3">
        <v>1439.6739031333</v>
      </c>
    </row>
    <row r="3281">
      <c r="A3281" s="1"/>
      <c r="C3281" s="3">
        <v>1443.22875121184</v>
      </c>
    </row>
    <row r="3282">
      <c r="A3282" s="1"/>
      <c r="C3282" s="3">
        <v>1443.90018344312</v>
      </c>
    </row>
    <row r="3283">
      <c r="A3283" s="1"/>
      <c r="C3283" s="3">
        <v>1443.35864475281</v>
      </c>
    </row>
    <row r="3284">
      <c r="A3284" s="1"/>
      <c r="C3284" s="3">
        <v>1443.59355003152</v>
      </c>
    </row>
    <row r="3285">
      <c r="A3285" s="1"/>
      <c r="C3285" s="3">
        <v>1444.10209188525</v>
      </c>
    </row>
    <row r="3286">
      <c r="A3286" s="1"/>
      <c r="C3286" s="3">
        <v>1443.56006826063</v>
      </c>
    </row>
    <row r="3287">
      <c r="A3287" s="1"/>
      <c r="C3287" s="3">
        <v>1442.86969920872</v>
      </c>
    </row>
    <row r="3288">
      <c r="A3288" s="1"/>
      <c r="C3288" s="3">
        <v>1445.67893090165</v>
      </c>
    </row>
    <row r="3289">
      <c r="A3289" s="1"/>
      <c r="C3289" s="3">
        <v>1445.58045917731</v>
      </c>
    </row>
    <row r="3290">
      <c r="A3290" s="1"/>
      <c r="C3290" s="3">
        <v>1444.26476228258</v>
      </c>
    </row>
    <row r="3291">
      <c r="A3291" s="1"/>
      <c r="C3291" s="3">
        <v>1443.74170166536</v>
      </c>
    </row>
    <row r="3292">
      <c r="A3292" s="1"/>
      <c r="C3292" s="3">
        <v>1443.52878681853</v>
      </c>
    </row>
    <row r="3293">
      <c r="A3293" s="1"/>
      <c r="C3293" s="3">
        <v>1442.32146703051</v>
      </c>
    </row>
    <row r="3294">
      <c r="A3294" s="1"/>
      <c r="C3294" s="3">
        <v>1441.04043385359</v>
      </c>
    </row>
    <row r="3295">
      <c r="A3295" s="1"/>
      <c r="C3295" s="3">
        <v>1443.35044623173</v>
      </c>
    </row>
    <row r="3296">
      <c r="A3296" s="1"/>
      <c r="C3296" s="3">
        <v>1442.85892328801</v>
      </c>
    </row>
    <row r="3297">
      <c r="A3297" s="1"/>
      <c r="C3297" s="3">
        <v>1441.26860571843</v>
      </c>
    </row>
    <row r="3298">
      <c r="A3298" s="1"/>
      <c r="C3298" s="3">
        <v>1440.59885416382</v>
      </c>
    </row>
    <row r="3299">
      <c r="A3299" s="1"/>
      <c r="C3299" s="3">
        <v>1440.37368807932</v>
      </c>
    </row>
    <row r="3300">
      <c r="A3300" s="1"/>
      <c r="C3300" s="3">
        <v>1439.29193327208</v>
      </c>
    </row>
    <row r="3301">
      <c r="A3301" s="1"/>
      <c r="C3301" s="3">
        <v>1438.27446490611</v>
      </c>
    </row>
    <row r="3302">
      <c r="A3302" s="1"/>
      <c r="C3302" s="3">
        <v>1440.9830585115</v>
      </c>
    </row>
    <row r="3303">
      <c r="A3303" s="1"/>
      <c r="C3303" s="3">
        <v>1441.01909220936</v>
      </c>
    </row>
    <row r="3304">
      <c r="A3304" s="1"/>
      <c r="C3304" s="3">
        <v>1440.07639699886</v>
      </c>
    </row>
    <row r="3305">
      <c r="A3305" s="1"/>
      <c r="C3305" s="3">
        <v>1440.16281720621</v>
      </c>
    </row>
    <row r="3306">
      <c r="A3306" s="1"/>
      <c r="C3306" s="3">
        <v>1440.78857637196</v>
      </c>
    </row>
    <row r="3307">
      <c r="A3307" s="1"/>
      <c r="C3307" s="3">
        <v>1440.63680678716</v>
      </c>
    </row>
    <row r="3308">
      <c r="A3308" s="1"/>
      <c r="C3308" s="3">
        <v>1440.61121810258</v>
      </c>
    </row>
    <row r="3309">
      <c r="A3309" s="1"/>
      <c r="C3309" s="3">
        <v>1444.35540509791</v>
      </c>
    </row>
    <row r="3310">
      <c r="A3310" s="1"/>
      <c r="C3310" s="3">
        <v>1445.45202466364</v>
      </c>
    </row>
    <row r="3311">
      <c r="A3311" s="1"/>
      <c r="C3311" s="3">
        <v>1445.57612535961</v>
      </c>
    </row>
    <row r="3312">
      <c r="A3312" s="1"/>
      <c r="C3312" s="3">
        <v>1446.71717823325</v>
      </c>
    </row>
    <row r="3313">
      <c r="A3313" s="1"/>
      <c r="C3313" s="3">
        <v>1448.36789120735</v>
      </c>
    </row>
    <row r="3314">
      <c r="A3314" s="1"/>
      <c r="C3314" s="3">
        <v>1449.19515309862</v>
      </c>
    </row>
    <row r="3315">
      <c r="A3315" s="1"/>
      <c r="C3315" s="3">
        <v>1450.08807170018</v>
      </c>
    </row>
    <row r="3316">
      <c r="A3316" s="1"/>
      <c r="C3316" s="3">
        <v>1454.6775964842</v>
      </c>
    </row>
    <row r="3317">
      <c r="A3317" s="1"/>
      <c r="C3317" s="3">
        <v>1456.53594816654</v>
      </c>
    </row>
    <row r="3318">
      <c r="A3318" s="1"/>
      <c r="C3318" s="3">
        <v>1457.33013260943</v>
      </c>
    </row>
    <row r="3319">
      <c r="A3319" s="1"/>
      <c r="C3319" s="3">
        <v>1459.0440839297</v>
      </c>
    </row>
    <row r="3320">
      <c r="A3320" s="1"/>
      <c r="C3320" s="3">
        <v>1461.16751746193</v>
      </c>
    </row>
    <row r="3321">
      <c r="A3321" s="1"/>
      <c r="C3321" s="3">
        <v>1462.36683915582</v>
      </c>
    </row>
    <row r="3322">
      <c r="A3322" s="1"/>
      <c r="C3322" s="3">
        <v>1463.53307849243</v>
      </c>
    </row>
    <row r="3323">
      <c r="A3323" s="1"/>
      <c r="C3323" s="4"/>
    </row>
    <row r="3324">
      <c r="A3324" s="1"/>
      <c r="C3324" s="4"/>
    </row>
    <row r="3325">
      <c r="A3325" s="1"/>
    </row>
    <row r="3326">
      <c r="A3326" s="1"/>
    </row>
    <row r="3327">
      <c r="A3327" s="1"/>
    </row>
    <row r="3328">
      <c r="A3328" s="1"/>
    </row>
    <row r="3329">
      <c r="A3329" s="1"/>
    </row>
    <row r="3330">
      <c r="A3330" s="1"/>
    </row>
    <row r="3331">
      <c r="A3331" s="1"/>
    </row>
    <row r="3332">
      <c r="A3332" s="1"/>
    </row>
    <row r="3333">
      <c r="A3333" s="1"/>
    </row>
    <row r="3334">
      <c r="A3334" s="1"/>
    </row>
    <row r="3335">
      <c r="A3335" s="1"/>
    </row>
    <row r="3336">
      <c r="A3336" s="1"/>
    </row>
    <row r="3337">
      <c r="A3337" s="1"/>
    </row>
    <row r="3338">
      <c r="A3338" s="1"/>
    </row>
    <row r="3339">
      <c r="A3339" s="1"/>
    </row>
    <row r="3340">
      <c r="A3340" s="1"/>
    </row>
    <row r="3341">
      <c r="A3341" s="1"/>
    </row>
    <row r="3342">
      <c r="A3342" s="1"/>
    </row>
    <row r="3343">
      <c r="A3343" s="1"/>
    </row>
    <row r="3344">
      <c r="A3344" s="1"/>
    </row>
    <row r="3345">
      <c r="A3345" s="1"/>
    </row>
    <row r="3346">
      <c r="A3346" s="1"/>
    </row>
    <row r="3347">
      <c r="A3347" s="1"/>
    </row>
    <row r="3348">
      <c r="A3348" s="1"/>
    </row>
    <row r="3349">
      <c r="A3349" s="1"/>
    </row>
    <row r="3350">
      <c r="A3350" s="1"/>
    </row>
    <row r="3351">
      <c r="A3351" s="1"/>
    </row>
    <row r="3352">
      <c r="A3352" s="1"/>
    </row>
    <row r="3353">
      <c r="A3353" s="1"/>
    </row>
    <row r="3354">
      <c r="A3354" s="1"/>
    </row>
    <row r="3355">
      <c r="A3355" s="1"/>
    </row>
    <row r="3356">
      <c r="A3356" s="1"/>
    </row>
    <row r="3357">
      <c r="A3357" s="1"/>
    </row>
    <row r="3358">
      <c r="A3358" s="1"/>
    </row>
    <row r="3359">
      <c r="A3359" s="1"/>
    </row>
    <row r="3360">
      <c r="A3360" s="1"/>
    </row>
    <row r="3361">
      <c r="A3361" s="1"/>
    </row>
    <row r="3362">
      <c r="A3362" s="1"/>
    </row>
    <row r="3363">
      <c r="A3363" s="1"/>
    </row>
    <row r="3364">
      <c r="A3364" s="1"/>
    </row>
    <row r="3365">
      <c r="A3365" s="1"/>
    </row>
    <row r="3366">
      <c r="A3366" s="1"/>
    </row>
    <row r="3367">
      <c r="A3367" s="1"/>
    </row>
    <row r="3368">
      <c r="A3368" s="1"/>
    </row>
    <row r="3369">
      <c r="A3369" s="1"/>
    </row>
    <row r="3370">
      <c r="A3370" s="1"/>
    </row>
    <row r="3371">
      <c r="A3371" s="1"/>
    </row>
    <row r="3372">
      <c r="A3372" s="1"/>
    </row>
    <row r="3373">
      <c r="A3373" s="1"/>
    </row>
    <row r="3374">
      <c r="A3374" s="1"/>
    </row>
    <row r="3375">
      <c r="A3375" s="1"/>
    </row>
    <row r="3376">
      <c r="A3376" s="1"/>
    </row>
    <row r="3377">
      <c r="A3377" s="1"/>
    </row>
    <row r="3378">
      <c r="A3378" s="1"/>
    </row>
    <row r="3379">
      <c r="A3379" s="1"/>
    </row>
    <row r="3380">
      <c r="A3380" s="1"/>
    </row>
    <row r="3381">
      <c r="A3381" s="1"/>
    </row>
    <row r="3382">
      <c r="A3382" s="1"/>
    </row>
    <row r="3383">
      <c r="A3383" s="1"/>
    </row>
    <row r="3384">
      <c r="A3384" s="1"/>
    </row>
    <row r="3385">
      <c r="A3385" s="1"/>
    </row>
    <row r="3386">
      <c r="A3386" s="1"/>
    </row>
    <row r="3387">
      <c r="A3387" s="1"/>
    </row>
    <row r="3388">
      <c r="A3388" s="1"/>
    </row>
    <row r="3389">
      <c r="A3389" s="1"/>
    </row>
    <row r="3390">
      <c r="A3390" s="1"/>
    </row>
    <row r="3391">
      <c r="A3391" s="1"/>
    </row>
    <row r="3392">
      <c r="A3392" s="1"/>
    </row>
    <row r="3393">
      <c r="A3393" s="1"/>
    </row>
    <row r="3394">
      <c r="A3394" s="1"/>
    </row>
    <row r="3395">
      <c r="A3395" s="1"/>
    </row>
    <row r="3396">
      <c r="A3396" s="1"/>
    </row>
    <row r="3397">
      <c r="A3397" s="1"/>
    </row>
    <row r="3398">
      <c r="A3398" s="1"/>
    </row>
    <row r="3399">
      <c r="A3399" s="1"/>
    </row>
    <row r="3400">
      <c r="A3400" s="1"/>
    </row>
    <row r="3401">
      <c r="A3401" s="1"/>
    </row>
    <row r="3402">
      <c r="A3402" s="1"/>
    </row>
    <row r="3403">
      <c r="A3403" s="1"/>
    </row>
    <row r="3404">
      <c r="A3404" s="1"/>
    </row>
    <row r="3405">
      <c r="A3405" s="1"/>
    </row>
    <row r="3406">
      <c r="A3406" s="1"/>
    </row>
    <row r="3407">
      <c r="A3407" s="1"/>
    </row>
    <row r="3408">
      <c r="A3408" s="1"/>
    </row>
    <row r="3409">
      <c r="A3409" s="1"/>
    </row>
    <row r="3410">
      <c r="A3410" s="1"/>
    </row>
    <row r="3411">
      <c r="A3411" s="1"/>
    </row>
    <row r="3412">
      <c r="A3412" s="1"/>
    </row>
    <row r="3413">
      <c r="A3413" s="1"/>
    </row>
    <row r="3414">
      <c r="A3414" s="1"/>
    </row>
    <row r="3415">
      <c r="A3415" s="1"/>
    </row>
    <row r="3416">
      <c r="A3416" s="1"/>
    </row>
    <row r="3417">
      <c r="A3417" s="1"/>
    </row>
    <row r="3418">
      <c r="A3418" s="1"/>
    </row>
    <row r="3419">
      <c r="A3419" s="1"/>
    </row>
    <row r="3420">
      <c r="A3420" s="1"/>
    </row>
    <row r="3421">
      <c r="A3421" s="1"/>
    </row>
    <row r="3422">
      <c r="A3422" s="1"/>
    </row>
    <row r="3423">
      <c r="A3423" s="1"/>
    </row>
    <row r="3424">
      <c r="A3424" s="1"/>
    </row>
    <row r="3425">
      <c r="A3425" s="1"/>
    </row>
    <row r="3426">
      <c r="A3426" s="1"/>
    </row>
    <row r="3427">
      <c r="A3427" s="1"/>
    </row>
    <row r="3428">
      <c r="A3428" s="1"/>
    </row>
    <row r="3429">
      <c r="A3429" s="1"/>
    </row>
    <row r="3430">
      <c r="A3430" s="1"/>
    </row>
    <row r="3431">
      <c r="A3431" s="1"/>
    </row>
    <row r="3432">
      <c r="A3432" s="1"/>
    </row>
    <row r="3433">
      <c r="A3433" s="1"/>
    </row>
    <row r="3434">
      <c r="A3434" s="1"/>
    </row>
    <row r="3435">
      <c r="A3435" s="1"/>
    </row>
    <row r="3436">
      <c r="A3436" s="1"/>
    </row>
    <row r="3437">
      <c r="A3437" s="1"/>
    </row>
    <row r="3438">
      <c r="A3438" s="1"/>
    </row>
    <row r="3439">
      <c r="A3439" s="1"/>
    </row>
    <row r="3440">
      <c r="A3440" s="1"/>
    </row>
    <row r="3441">
      <c r="A3441" s="1"/>
    </row>
    <row r="3442">
      <c r="A3442" s="1"/>
    </row>
    <row r="3443">
      <c r="A3443" s="1"/>
    </row>
    <row r="3444">
      <c r="A3444" s="1"/>
    </row>
    <row r="3445">
      <c r="A3445" s="1"/>
    </row>
    <row r="3446">
      <c r="A3446" s="1"/>
    </row>
    <row r="3447">
      <c r="A3447" s="1"/>
    </row>
    <row r="3448">
      <c r="A3448" s="1"/>
    </row>
    <row r="3449">
      <c r="A3449" s="1"/>
    </row>
    <row r="3450">
      <c r="A3450" s="1"/>
    </row>
    <row r="3451">
      <c r="A3451" s="1"/>
    </row>
    <row r="3452">
      <c r="A3452" s="1"/>
    </row>
    <row r="3453">
      <c r="A3453" s="1"/>
    </row>
    <row r="3454">
      <c r="A3454" s="1"/>
    </row>
    <row r="3455">
      <c r="A3455" s="1"/>
    </row>
    <row r="3456">
      <c r="A3456" s="1"/>
    </row>
    <row r="3457">
      <c r="A3457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0</v>
      </c>
    </row>
    <row r="2">
      <c r="A2" s="6">
        <v>40358.0</v>
      </c>
      <c r="B2" s="5">
        <v>2.36378869254528</v>
      </c>
      <c r="C2" s="5">
        <v>-75.7811270304036</v>
      </c>
      <c r="D2" s="5">
        <v>51.4704283081853</v>
      </c>
      <c r="E2" s="5">
        <v>2.36378869254528</v>
      </c>
      <c r="F2" s="5">
        <v>2.36378869254528</v>
      </c>
      <c r="G2" s="5">
        <v>-12.9048306668436</v>
      </c>
      <c r="H2" s="5">
        <v>-12.9048306668436</v>
      </c>
      <c r="I2" s="5">
        <v>-12.9048306668436</v>
      </c>
      <c r="J2" s="5">
        <v>-0.144118857245663</v>
      </c>
      <c r="K2" s="5">
        <v>-0.144118857245663</v>
      </c>
      <c r="L2" s="5">
        <v>-0.144118857245663</v>
      </c>
      <c r="M2" s="5">
        <v>-12.760711809598</v>
      </c>
      <c r="N2" s="5">
        <v>-12.760711809598</v>
      </c>
      <c r="O2" s="5">
        <v>-12.760711809598</v>
      </c>
      <c r="P2" s="5">
        <v>0.0</v>
      </c>
      <c r="Q2" s="5">
        <v>0.0</v>
      </c>
      <c r="R2" s="5">
        <v>0.0</v>
      </c>
      <c r="S2" s="5">
        <v>-10.5410419742984</v>
      </c>
    </row>
    <row r="3">
      <c r="A3" s="6">
        <v>40359.0</v>
      </c>
      <c r="B3" s="5">
        <v>2.37218344549106</v>
      </c>
      <c r="C3" s="5">
        <v>-75.4670929282875</v>
      </c>
      <c r="D3" s="5">
        <v>53.510486180277</v>
      </c>
      <c r="E3" s="5">
        <v>2.37218344549106</v>
      </c>
      <c r="F3" s="5">
        <v>2.37218344549106</v>
      </c>
      <c r="G3" s="5">
        <v>-12.165827735403</v>
      </c>
      <c r="H3" s="5">
        <v>-12.165827735403</v>
      </c>
      <c r="I3" s="5">
        <v>-12.165827735403</v>
      </c>
      <c r="J3" s="5">
        <v>0.00703780528219968</v>
      </c>
      <c r="K3" s="5">
        <v>0.00703780528219968</v>
      </c>
      <c r="L3" s="5">
        <v>0.00703780528219968</v>
      </c>
      <c r="M3" s="5">
        <v>-12.1728655406852</v>
      </c>
      <c r="N3" s="5">
        <v>-12.1728655406852</v>
      </c>
      <c r="O3" s="5">
        <v>-12.1728655406852</v>
      </c>
      <c r="P3" s="5">
        <v>0.0</v>
      </c>
      <c r="Q3" s="5">
        <v>0.0</v>
      </c>
      <c r="R3" s="5">
        <v>0.0</v>
      </c>
      <c r="S3" s="5">
        <v>-9.79364428991194</v>
      </c>
    </row>
    <row r="4">
      <c r="A4" s="6">
        <v>40360.0</v>
      </c>
      <c r="B4" s="5">
        <v>2.38057819843685</v>
      </c>
      <c r="C4" s="5">
        <v>-72.7626410369199</v>
      </c>
      <c r="D4" s="5">
        <v>54.2090519143025</v>
      </c>
      <c r="E4" s="5">
        <v>2.38057819843685</v>
      </c>
      <c r="F4" s="5">
        <v>2.38057819843685</v>
      </c>
      <c r="G4" s="5">
        <v>-12.3581717544244</v>
      </c>
      <c r="H4" s="5">
        <v>-12.3581717544244</v>
      </c>
      <c r="I4" s="5">
        <v>-12.3581717544244</v>
      </c>
      <c r="J4" s="5">
        <v>-0.776422525904588</v>
      </c>
      <c r="K4" s="5">
        <v>-0.776422525904588</v>
      </c>
      <c r="L4" s="5">
        <v>-0.776422525904588</v>
      </c>
      <c r="M4" s="5">
        <v>-11.5817492285198</v>
      </c>
      <c r="N4" s="5">
        <v>-11.5817492285198</v>
      </c>
      <c r="O4" s="5">
        <v>-11.5817492285198</v>
      </c>
      <c r="P4" s="5">
        <v>0.0</v>
      </c>
      <c r="Q4" s="5">
        <v>0.0</v>
      </c>
      <c r="R4" s="5">
        <v>0.0</v>
      </c>
      <c r="S4" s="5">
        <v>-9.97759355598762</v>
      </c>
    </row>
    <row r="5">
      <c r="A5" s="6">
        <v>40361.0</v>
      </c>
      <c r="B5" s="5">
        <v>2.38897295138263</v>
      </c>
      <c r="C5" s="5">
        <v>-72.5308542723532</v>
      </c>
      <c r="D5" s="5">
        <v>49.2385026120091</v>
      </c>
      <c r="E5" s="5">
        <v>2.38897295138263</v>
      </c>
      <c r="F5" s="5">
        <v>2.38897295138263</v>
      </c>
      <c r="G5" s="5">
        <v>-12.5899259870618</v>
      </c>
      <c r="H5" s="5">
        <v>-12.5899259870618</v>
      </c>
      <c r="I5" s="5">
        <v>-12.5899259870618</v>
      </c>
      <c r="J5" s="5">
        <v>-1.59155056649302</v>
      </c>
      <c r="K5" s="5">
        <v>-1.59155056649302</v>
      </c>
      <c r="L5" s="5">
        <v>-1.59155056649302</v>
      </c>
      <c r="M5" s="5">
        <v>-10.9983754205688</v>
      </c>
      <c r="N5" s="5">
        <v>-10.9983754205688</v>
      </c>
      <c r="O5" s="5">
        <v>-10.9983754205688</v>
      </c>
      <c r="P5" s="5">
        <v>0.0</v>
      </c>
      <c r="Q5" s="5">
        <v>0.0</v>
      </c>
      <c r="R5" s="5">
        <v>0.0</v>
      </c>
      <c r="S5" s="5">
        <v>-10.2009530356792</v>
      </c>
    </row>
    <row r="6">
      <c r="A6" s="6">
        <v>40365.0</v>
      </c>
      <c r="B6" s="5">
        <v>2.42255196316578</v>
      </c>
      <c r="C6" s="5">
        <v>-69.8721289471895</v>
      </c>
      <c r="D6" s="5">
        <v>54.8378921908008</v>
      </c>
      <c r="E6" s="5">
        <v>2.42255196316578</v>
      </c>
      <c r="F6" s="5">
        <v>2.42255196316578</v>
      </c>
      <c r="G6" s="5">
        <v>-9.1040973702852</v>
      </c>
      <c r="H6" s="5">
        <v>-9.1040973702852</v>
      </c>
      <c r="I6" s="5">
        <v>-9.1040973702852</v>
      </c>
      <c r="J6" s="5">
        <v>-0.144118857244575</v>
      </c>
      <c r="K6" s="5">
        <v>-0.144118857244575</v>
      </c>
      <c r="L6" s="5">
        <v>-0.144118857244575</v>
      </c>
      <c r="M6" s="5">
        <v>-8.95997851304062</v>
      </c>
      <c r="N6" s="5">
        <v>-8.95997851304062</v>
      </c>
      <c r="O6" s="5">
        <v>-8.95997851304062</v>
      </c>
      <c r="P6" s="5">
        <v>0.0</v>
      </c>
      <c r="Q6" s="5">
        <v>0.0</v>
      </c>
      <c r="R6" s="5">
        <v>0.0</v>
      </c>
      <c r="S6" s="5">
        <v>-6.68154540711941</v>
      </c>
    </row>
    <row r="7">
      <c r="A7" s="6">
        <v>40366.0</v>
      </c>
      <c r="B7" s="5">
        <v>2.43094671611156</v>
      </c>
      <c r="C7" s="5">
        <v>-70.7848650129116</v>
      </c>
      <c r="D7" s="5">
        <v>54.1464419837747</v>
      </c>
      <c r="E7" s="5">
        <v>2.43094671611156</v>
      </c>
      <c r="F7" s="5">
        <v>2.43094671611156</v>
      </c>
      <c r="G7" s="5">
        <v>-8.56651210856834</v>
      </c>
      <c r="H7" s="5">
        <v>-8.56651210856834</v>
      </c>
      <c r="I7" s="5">
        <v>-8.56651210856834</v>
      </c>
      <c r="J7" s="5">
        <v>0.00703780528351075</v>
      </c>
      <c r="K7" s="5">
        <v>0.00703780528351075</v>
      </c>
      <c r="L7" s="5">
        <v>0.00703780528351075</v>
      </c>
      <c r="M7" s="5">
        <v>-8.57354991385186</v>
      </c>
      <c r="N7" s="5">
        <v>-8.57354991385186</v>
      </c>
      <c r="O7" s="5">
        <v>-8.57354991385186</v>
      </c>
      <c r="P7" s="5">
        <v>0.0</v>
      </c>
      <c r="Q7" s="5">
        <v>0.0</v>
      </c>
      <c r="R7" s="5">
        <v>0.0</v>
      </c>
      <c r="S7" s="5">
        <v>-6.13556539245678</v>
      </c>
    </row>
    <row r="8">
      <c r="A8" s="6">
        <v>40367.0</v>
      </c>
      <c r="B8" s="5">
        <v>2.43934146905735</v>
      </c>
      <c r="C8" s="5">
        <v>-70.4554746306511</v>
      </c>
      <c r="D8" s="5">
        <v>53.781914910617</v>
      </c>
      <c r="E8" s="5">
        <v>2.43934146905735</v>
      </c>
      <c r="F8" s="5">
        <v>2.43934146905735</v>
      </c>
      <c r="G8" s="5">
        <v>-9.02893685098452</v>
      </c>
      <c r="H8" s="5">
        <v>-9.02893685098452</v>
      </c>
      <c r="I8" s="5">
        <v>-9.02893685098452</v>
      </c>
      <c r="J8" s="5">
        <v>-0.77642252590531</v>
      </c>
      <c r="K8" s="5">
        <v>-0.77642252590531</v>
      </c>
      <c r="L8" s="5">
        <v>-0.77642252590531</v>
      </c>
      <c r="M8" s="5">
        <v>-8.25251432507921</v>
      </c>
      <c r="N8" s="5">
        <v>-8.25251432507921</v>
      </c>
      <c r="O8" s="5">
        <v>-8.25251432507921</v>
      </c>
      <c r="P8" s="5">
        <v>0.0</v>
      </c>
      <c r="Q8" s="5">
        <v>0.0</v>
      </c>
      <c r="R8" s="5">
        <v>0.0</v>
      </c>
      <c r="S8" s="5">
        <v>-6.58959538192716</v>
      </c>
    </row>
    <row r="9">
      <c r="A9" s="6">
        <v>40368.0</v>
      </c>
      <c r="B9" s="5">
        <v>2.44773622200314</v>
      </c>
      <c r="C9" s="5">
        <v>-69.6097238883274</v>
      </c>
      <c r="D9" s="5">
        <v>55.5408385937311</v>
      </c>
      <c r="E9" s="5">
        <v>2.44773622200314</v>
      </c>
      <c r="F9" s="5">
        <v>2.44773622200314</v>
      </c>
      <c r="G9" s="5">
        <v>-9.59397049203285</v>
      </c>
      <c r="H9" s="5">
        <v>-9.59397049203285</v>
      </c>
      <c r="I9" s="5">
        <v>-9.59397049203285</v>
      </c>
      <c r="J9" s="5">
        <v>-1.59155056649484</v>
      </c>
      <c r="K9" s="5">
        <v>-1.59155056649484</v>
      </c>
      <c r="L9" s="5">
        <v>-1.59155056649484</v>
      </c>
      <c r="M9" s="5">
        <v>-8.00241992553801</v>
      </c>
      <c r="N9" s="5">
        <v>-8.00241992553801</v>
      </c>
      <c r="O9" s="5">
        <v>-8.00241992553801</v>
      </c>
      <c r="P9" s="5">
        <v>0.0</v>
      </c>
      <c r="Q9" s="5">
        <v>0.0</v>
      </c>
      <c r="R9" s="5">
        <v>0.0</v>
      </c>
      <c r="S9" s="5">
        <v>-7.14623427002971</v>
      </c>
    </row>
    <row r="10">
      <c r="A10" s="6">
        <v>40371.0</v>
      </c>
      <c r="B10" s="5">
        <v>2.47292048084049</v>
      </c>
      <c r="C10" s="5">
        <v>-67.4861456496561</v>
      </c>
      <c r="D10" s="5">
        <v>53.9896020085163</v>
      </c>
      <c r="E10" s="5">
        <v>2.47292048084049</v>
      </c>
      <c r="F10" s="5">
        <v>2.47292048084049</v>
      </c>
      <c r="G10" s="5">
        <v>-7.61587482235204</v>
      </c>
      <c r="H10" s="5">
        <v>-7.61587482235204</v>
      </c>
      <c r="I10" s="5">
        <v>-7.61587482235204</v>
      </c>
      <c r="J10" s="5">
        <v>0.0905589421227802</v>
      </c>
      <c r="K10" s="5">
        <v>0.0905589421227802</v>
      </c>
      <c r="L10" s="5">
        <v>0.0905589421227802</v>
      </c>
      <c r="M10" s="5">
        <v>-7.70643376447482</v>
      </c>
      <c r="N10" s="5">
        <v>-7.70643376447482</v>
      </c>
      <c r="O10" s="5">
        <v>-7.70643376447482</v>
      </c>
      <c r="P10" s="5">
        <v>0.0</v>
      </c>
      <c r="Q10" s="5">
        <v>0.0</v>
      </c>
      <c r="R10" s="5">
        <v>0.0</v>
      </c>
      <c r="S10" s="5">
        <v>-5.14295434151154</v>
      </c>
    </row>
    <row r="11">
      <c r="A11" s="6">
        <v>40372.0</v>
      </c>
      <c r="B11" s="5">
        <v>2.48131523378628</v>
      </c>
      <c r="C11" s="5">
        <v>-64.8844005374736</v>
      </c>
      <c r="D11" s="5">
        <v>56.3645143749176</v>
      </c>
      <c r="E11" s="5">
        <v>2.48131523378628</v>
      </c>
      <c r="F11" s="5">
        <v>2.48131523378628</v>
      </c>
      <c r="G11" s="5">
        <v>-7.90332512817471</v>
      </c>
      <c r="H11" s="5">
        <v>-7.90332512817471</v>
      </c>
      <c r="I11" s="5">
        <v>-7.90332512817471</v>
      </c>
      <c r="J11" s="5">
        <v>-0.144118857243487</v>
      </c>
      <c r="K11" s="5">
        <v>-0.144118857243487</v>
      </c>
      <c r="L11" s="5">
        <v>-0.144118857243487</v>
      </c>
      <c r="M11" s="5">
        <v>-7.75920627093122</v>
      </c>
      <c r="N11" s="5">
        <v>-7.75920627093122</v>
      </c>
      <c r="O11" s="5">
        <v>-7.75920627093122</v>
      </c>
      <c r="P11" s="5">
        <v>0.0</v>
      </c>
      <c r="Q11" s="5">
        <v>0.0</v>
      </c>
      <c r="R11" s="5">
        <v>0.0</v>
      </c>
      <c r="S11" s="5">
        <v>-5.42200989438842</v>
      </c>
    </row>
    <row r="12">
      <c r="A12" s="6">
        <v>40373.0</v>
      </c>
      <c r="B12" s="5">
        <v>2.48970998673207</v>
      </c>
      <c r="C12" s="5">
        <v>-68.5807818633178</v>
      </c>
      <c r="D12" s="5">
        <v>60.5146070976075</v>
      </c>
      <c r="E12" s="5">
        <v>2.48970998673207</v>
      </c>
      <c r="F12" s="5">
        <v>2.48970998673207</v>
      </c>
      <c r="G12" s="5">
        <v>-7.87583634971391</v>
      </c>
      <c r="H12" s="5">
        <v>-7.87583634971391</v>
      </c>
      <c r="I12" s="5">
        <v>-7.87583634971391</v>
      </c>
      <c r="J12" s="5">
        <v>0.00703780528148598</v>
      </c>
      <c r="K12" s="5">
        <v>0.00703780528148598</v>
      </c>
      <c r="L12" s="5">
        <v>0.00703780528148598</v>
      </c>
      <c r="M12" s="5">
        <v>-7.8828741549954</v>
      </c>
      <c r="N12" s="5">
        <v>-7.8828741549954</v>
      </c>
      <c r="O12" s="5">
        <v>-7.8828741549954</v>
      </c>
      <c r="P12" s="5">
        <v>0.0</v>
      </c>
      <c r="Q12" s="5">
        <v>0.0</v>
      </c>
      <c r="R12" s="5">
        <v>0.0</v>
      </c>
      <c r="S12" s="5">
        <v>-5.38612636298184</v>
      </c>
    </row>
    <row r="13">
      <c r="A13" s="6">
        <v>40374.0</v>
      </c>
      <c r="B13" s="5">
        <v>2.49810473967785</v>
      </c>
      <c r="C13" s="5">
        <v>-67.3289514774836</v>
      </c>
      <c r="D13" s="5">
        <v>55.4098384272259</v>
      </c>
      <c r="E13" s="5">
        <v>2.49810473967785</v>
      </c>
      <c r="F13" s="5">
        <v>2.49810473967785</v>
      </c>
      <c r="G13" s="5">
        <v>-8.84819683610039</v>
      </c>
      <c r="H13" s="5">
        <v>-8.84819683610039</v>
      </c>
      <c r="I13" s="5">
        <v>-8.84819683610039</v>
      </c>
      <c r="J13" s="5">
        <v>-0.776422525900332</v>
      </c>
      <c r="K13" s="5">
        <v>-0.776422525900332</v>
      </c>
      <c r="L13" s="5">
        <v>-0.776422525900332</v>
      </c>
      <c r="M13" s="5">
        <v>-8.07177431020006</v>
      </c>
      <c r="N13" s="5">
        <v>-8.07177431020006</v>
      </c>
      <c r="O13" s="5">
        <v>-8.07177431020006</v>
      </c>
      <c r="P13" s="5">
        <v>0.0</v>
      </c>
      <c r="Q13" s="5">
        <v>0.0</v>
      </c>
      <c r="R13" s="5">
        <v>0.0</v>
      </c>
      <c r="S13" s="5">
        <v>-6.35009209642253</v>
      </c>
    </row>
    <row r="14">
      <c r="A14" s="6">
        <v>40375.0</v>
      </c>
      <c r="B14" s="5">
        <v>2.50649949262364</v>
      </c>
      <c r="C14" s="5">
        <v>-68.2643617005352</v>
      </c>
      <c r="D14" s="5">
        <v>54.4844455499343</v>
      </c>
      <c r="E14" s="5">
        <v>2.50649949262364</v>
      </c>
      <c r="F14" s="5">
        <v>2.50649949262364</v>
      </c>
      <c r="G14" s="5">
        <v>-9.91012858549739</v>
      </c>
      <c r="H14" s="5">
        <v>-9.91012858549739</v>
      </c>
      <c r="I14" s="5">
        <v>-9.91012858549739</v>
      </c>
      <c r="J14" s="5">
        <v>-1.5915505664936</v>
      </c>
      <c r="K14" s="5">
        <v>-1.5915505664936</v>
      </c>
      <c r="L14" s="5">
        <v>-1.5915505664936</v>
      </c>
      <c r="M14" s="5">
        <v>-8.31857801900379</v>
      </c>
      <c r="N14" s="5">
        <v>-8.31857801900379</v>
      </c>
      <c r="O14" s="5">
        <v>-8.31857801900379</v>
      </c>
      <c r="P14" s="5">
        <v>0.0</v>
      </c>
      <c r="Q14" s="5">
        <v>0.0</v>
      </c>
      <c r="R14" s="5">
        <v>0.0</v>
      </c>
      <c r="S14" s="5">
        <v>-7.40362909287374</v>
      </c>
    </row>
    <row r="15">
      <c r="A15" s="6">
        <v>40378.0</v>
      </c>
      <c r="B15" s="5">
        <v>2.531683751461</v>
      </c>
      <c r="C15" s="5">
        <v>-69.3258813398535</v>
      </c>
      <c r="D15" s="5">
        <v>52.3627232049124</v>
      </c>
      <c r="E15" s="5">
        <v>2.531683751461</v>
      </c>
      <c r="F15" s="5">
        <v>2.531683751461</v>
      </c>
      <c r="G15" s="5">
        <v>-9.22192946167668</v>
      </c>
      <c r="H15" s="5">
        <v>-9.22192946167668</v>
      </c>
      <c r="I15" s="5">
        <v>-9.22192946167668</v>
      </c>
      <c r="J15" s="5">
        <v>0.0905589421238068</v>
      </c>
      <c r="K15" s="5">
        <v>0.0905589421238068</v>
      </c>
      <c r="L15" s="5">
        <v>0.0905589421238068</v>
      </c>
      <c r="M15" s="5">
        <v>-9.31248840380049</v>
      </c>
      <c r="N15" s="5">
        <v>-9.31248840380049</v>
      </c>
      <c r="O15" s="5">
        <v>-9.31248840380049</v>
      </c>
      <c r="P15" s="5">
        <v>0.0</v>
      </c>
      <c r="Q15" s="5">
        <v>0.0</v>
      </c>
      <c r="R15" s="5">
        <v>0.0</v>
      </c>
      <c r="S15" s="5">
        <v>-6.69024571021568</v>
      </c>
    </row>
    <row r="16">
      <c r="A16" s="6">
        <v>40379.0</v>
      </c>
      <c r="B16" s="5">
        <v>2.54007850440678</v>
      </c>
      <c r="C16" s="5">
        <v>-70.6834433092608</v>
      </c>
      <c r="D16" s="5">
        <v>57.0347203960128</v>
      </c>
      <c r="E16" s="5">
        <v>2.54007850440678</v>
      </c>
      <c r="F16" s="5">
        <v>2.54007850440678</v>
      </c>
      <c r="G16" s="5">
        <v>-9.83602355446749</v>
      </c>
      <c r="H16" s="5">
        <v>-9.83602355446749</v>
      </c>
      <c r="I16" s="5">
        <v>-9.83602355446749</v>
      </c>
      <c r="J16" s="5">
        <v>-0.144118857243813</v>
      </c>
      <c r="K16" s="5">
        <v>-0.144118857243813</v>
      </c>
      <c r="L16" s="5">
        <v>-0.144118857243813</v>
      </c>
      <c r="M16" s="5">
        <v>-9.69190469722367</v>
      </c>
      <c r="N16" s="5">
        <v>-9.69190469722367</v>
      </c>
      <c r="O16" s="5">
        <v>-9.69190469722367</v>
      </c>
      <c r="P16" s="5">
        <v>0.0</v>
      </c>
      <c r="Q16" s="5">
        <v>0.0</v>
      </c>
      <c r="R16" s="5">
        <v>0.0</v>
      </c>
      <c r="S16" s="5">
        <v>-7.2959450500607</v>
      </c>
    </row>
    <row r="17">
      <c r="A17" s="6">
        <v>40380.0</v>
      </c>
      <c r="B17" s="5">
        <v>2.54847325735257</v>
      </c>
      <c r="C17" s="5">
        <v>-69.0012619347677</v>
      </c>
      <c r="D17" s="5">
        <v>53.6367888515653</v>
      </c>
      <c r="E17" s="5">
        <v>2.54847325735257</v>
      </c>
      <c r="F17" s="5">
        <v>2.54847325735257</v>
      </c>
      <c r="G17" s="5">
        <v>-10.0686347363349</v>
      </c>
      <c r="H17" s="5">
        <v>-10.0686347363349</v>
      </c>
      <c r="I17" s="5">
        <v>-10.0686347363349</v>
      </c>
      <c r="J17" s="5">
        <v>0.00703780528279705</v>
      </c>
      <c r="K17" s="5">
        <v>0.00703780528279705</v>
      </c>
      <c r="L17" s="5">
        <v>0.00703780528279705</v>
      </c>
      <c r="M17" s="5">
        <v>-10.0756725416177</v>
      </c>
      <c r="N17" s="5">
        <v>-10.0756725416177</v>
      </c>
      <c r="O17" s="5">
        <v>-10.0756725416177</v>
      </c>
      <c r="P17" s="5">
        <v>0.0</v>
      </c>
      <c r="Q17" s="5">
        <v>0.0</v>
      </c>
      <c r="R17" s="5">
        <v>0.0</v>
      </c>
      <c r="S17" s="5">
        <v>-7.52016147898239</v>
      </c>
    </row>
    <row r="18">
      <c r="A18" s="6">
        <v>40381.0</v>
      </c>
      <c r="B18" s="5">
        <v>2.55686801029836</v>
      </c>
      <c r="C18" s="5">
        <v>-73.1651396697507</v>
      </c>
      <c r="D18" s="5">
        <v>56.4879174705588</v>
      </c>
      <c r="E18" s="5">
        <v>2.55686801029836</v>
      </c>
      <c r="F18" s="5">
        <v>2.55686801029836</v>
      </c>
      <c r="G18" s="5">
        <v>-11.228148300902</v>
      </c>
      <c r="H18" s="5">
        <v>-11.228148300902</v>
      </c>
      <c r="I18" s="5">
        <v>-11.228148300902</v>
      </c>
      <c r="J18" s="5">
        <v>-0.776422525901054</v>
      </c>
      <c r="K18" s="5">
        <v>-0.776422525901054</v>
      </c>
      <c r="L18" s="5">
        <v>-0.776422525901054</v>
      </c>
      <c r="M18" s="5">
        <v>-10.451725775001</v>
      </c>
      <c r="N18" s="5">
        <v>-10.451725775001</v>
      </c>
      <c r="O18" s="5">
        <v>-10.451725775001</v>
      </c>
      <c r="P18" s="5">
        <v>0.0</v>
      </c>
      <c r="Q18" s="5">
        <v>0.0</v>
      </c>
      <c r="R18" s="5">
        <v>0.0</v>
      </c>
      <c r="S18" s="5">
        <v>-8.67128029060372</v>
      </c>
    </row>
    <row r="19">
      <c r="A19" s="6">
        <v>40382.0</v>
      </c>
      <c r="B19" s="5">
        <v>2.56526276324414</v>
      </c>
      <c r="C19" s="5">
        <v>-73.3214776355134</v>
      </c>
      <c r="D19" s="5">
        <v>51.3122958083614</v>
      </c>
      <c r="E19" s="5">
        <v>2.56526276324414</v>
      </c>
      <c r="F19" s="5">
        <v>2.56526276324414</v>
      </c>
      <c r="G19" s="5">
        <v>-12.3998381018082</v>
      </c>
      <c r="H19" s="5">
        <v>-12.3998381018082</v>
      </c>
      <c r="I19" s="5">
        <v>-12.3998381018082</v>
      </c>
      <c r="J19" s="5">
        <v>-1.59155056649236</v>
      </c>
      <c r="K19" s="5">
        <v>-1.59155056649236</v>
      </c>
      <c r="L19" s="5">
        <v>-1.59155056649236</v>
      </c>
      <c r="M19" s="5">
        <v>-10.8082875353159</v>
      </c>
      <c r="N19" s="5">
        <v>-10.8082875353159</v>
      </c>
      <c r="O19" s="5">
        <v>-10.8082875353159</v>
      </c>
      <c r="P19" s="5">
        <v>0.0</v>
      </c>
      <c r="Q19" s="5">
        <v>0.0</v>
      </c>
      <c r="R19" s="5">
        <v>0.0</v>
      </c>
      <c r="S19" s="5">
        <v>-9.83457533856412</v>
      </c>
    </row>
    <row r="20">
      <c r="A20" s="6">
        <v>40385.0</v>
      </c>
      <c r="B20" s="5">
        <v>2.5904470220815</v>
      </c>
      <c r="C20" s="5">
        <v>-71.3488168279519</v>
      </c>
      <c r="D20" s="5">
        <v>52.4780821565511</v>
      </c>
      <c r="E20" s="5">
        <v>2.5904470220815</v>
      </c>
      <c r="F20" s="5">
        <v>2.5904470220815</v>
      </c>
      <c r="G20" s="5">
        <v>-11.5634672713548</v>
      </c>
      <c r="H20" s="5">
        <v>-11.5634672713548</v>
      </c>
      <c r="I20" s="5">
        <v>-11.5634672713548</v>
      </c>
      <c r="J20" s="5">
        <v>0.0905589421223695</v>
      </c>
      <c r="K20" s="5">
        <v>0.0905589421223695</v>
      </c>
      <c r="L20" s="5">
        <v>0.0905589421223695</v>
      </c>
      <c r="M20" s="5">
        <v>-11.6540262134772</v>
      </c>
      <c r="N20" s="5">
        <v>-11.6540262134772</v>
      </c>
      <c r="O20" s="5">
        <v>-11.6540262134772</v>
      </c>
      <c r="P20" s="5">
        <v>0.0</v>
      </c>
      <c r="Q20" s="5">
        <v>0.0</v>
      </c>
      <c r="R20" s="5">
        <v>0.0</v>
      </c>
      <c r="S20" s="5">
        <v>-8.97302024927338</v>
      </c>
    </row>
    <row r="21">
      <c r="A21" s="6">
        <v>40386.0</v>
      </c>
      <c r="B21" s="5">
        <v>2.59884177502729</v>
      </c>
      <c r="C21" s="5">
        <v>-75.1584929986827</v>
      </c>
      <c r="D21" s="5">
        <v>53.0308069218356</v>
      </c>
      <c r="E21" s="5">
        <v>2.59884177502729</v>
      </c>
      <c r="F21" s="5">
        <v>2.59884177502729</v>
      </c>
      <c r="G21" s="5">
        <v>-11.9752572856926</v>
      </c>
      <c r="H21" s="5">
        <v>-11.9752572856926</v>
      </c>
      <c r="I21" s="5">
        <v>-11.9752572856926</v>
      </c>
      <c r="J21" s="5">
        <v>-0.144118857245249</v>
      </c>
      <c r="K21" s="5">
        <v>-0.144118857245249</v>
      </c>
      <c r="L21" s="5">
        <v>-0.144118857245249</v>
      </c>
      <c r="M21" s="5">
        <v>-11.8311384284473</v>
      </c>
      <c r="N21" s="5">
        <v>-11.8311384284473</v>
      </c>
      <c r="O21" s="5">
        <v>-11.8311384284473</v>
      </c>
      <c r="P21" s="5">
        <v>0.0</v>
      </c>
      <c r="Q21" s="5">
        <v>0.0</v>
      </c>
      <c r="R21" s="5">
        <v>0.0</v>
      </c>
      <c r="S21" s="5">
        <v>-9.37641551066532</v>
      </c>
    </row>
    <row r="22">
      <c r="A22" s="6">
        <v>40387.0</v>
      </c>
      <c r="B22" s="5">
        <v>2.60723652797307</v>
      </c>
      <c r="C22" s="5">
        <v>-66.7004883617715</v>
      </c>
      <c r="D22" s="5">
        <v>48.2929512930164</v>
      </c>
      <c r="E22" s="5">
        <v>2.60723652797307</v>
      </c>
      <c r="F22" s="5">
        <v>2.60723652797307</v>
      </c>
      <c r="G22" s="5">
        <v>-11.9372990133821</v>
      </c>
      <c r="H22" s="5">
        <v>-11.9372990133821</v>
      </c>
      <c r="I22" s="5">
        <v>-11.9372990133821</v>
      </c>
      <c r="J22" s="5">
        <v>0.00703780528194449</v>
      </c>
      <c r="K22" s="5">
        <v>0.00703780528194449</v>
      </c>
      <c r="L22" s="5">
        <v>0.00703780528194449</v>
      </c>
      <c r="M22" s="5">
        <v>-11.944336818664</v>
      </c>
      <c r="N22" s="5">
        <v>-11.944336818664</v>
      </c>
      <c r="O22" s="5">
        <v>-11.944336818664</v>
      </c>
      <c r="P22" s="5">
        <v>0.0</v>
      </c>
      <c r="Q22" s="5">
        <v>0.0</v>
      </c>
      <c r="R22" s="5">
        <v>0.0</v>
      </c>
      <c r="S22" s="5">
        <v>-9.33006248540904</v>
      </c>
    </row>
    <row r="23">
      <c r="A23" s="6">
        <v>40388.0</v>
      </c>
      <c r="B23" s="5">
        <v>2.61563128091886</v>
      </c>
      <c r="C23" s="5">
        <v>-73.5267513695588</v>
      </c>
      <c r="D23" s="5">
        <v>53.3876905282548</v>
      </c>
      <c r="E23" s="5">
        <v>2.61563128091886</v>
      </c>
      <c r="F23" s="5">
        <v>2.61563128091886</v>
      </c>
      <c r="G23" s="5">
        <v>-12.7656392593452</v>
      </c>
      <c r="H23" s="5">
        <v>-12.7656392593452</v>
      </c>
      <c r="I23" s="5">
        <v>-12.7656392593452</v>
      </c>
      <c r="J23" s="5">
        <v>-0.776422525903151</v>
      </c>
      <c r="K23" s="5">
        <v>-0.776422525903151</v>
      </c>
      <c r="L23" s="5">
        <v>-0.776422525903151</v>
      </c>
      <c r="M23" s="5">
        <v>-11.989216733442</v>
      </c>
      <c r="N23" s="5">
        <v>-11.989216733442</v>
      </c>
      <c r="O23" s="5">
        <v>-11.989216733442</v>
      </c>
      <c r="P23" s="5">
        <v>0.0</v>
      </c>
      <c r="Q23" s="5">
        <v>0.0</v>
      </c>
      <c r="R23" s="5">
        <v>0.0</v>
      </c>
      <c r="S23" s="5">
        <v>-10.1500079784263</v>
      </c>
    </row>
    <row r="24">
      <c r="A24" s="6">
        <v>40389.0</v>
      </c>
      <c r="B24" s="5">
        <v>2.62402603386465</v>
      </c>
      <c r="C24" s="5">
        <v>-72.980043260887</v>
      </c>
      <c r="D24" s="5">
        <v>51.8193693776002</v>
      </c>
      <c r="E24" s="5">
        <v>2.62402603386465</v>
      </c>
      <c r="F24" s="5">
        <v>2.62402603386465</v>
      </c>
      <c r="G24" s="5">
        <v>-13.5547471491772</v>
      </c>
      <c r="H24" s="5">
        <v>-13.5547471491772</v>
      </c>
      <c r="I24" s="5">
        <v>-13.5547471491772</v>
      </c>
      <c r="J24" s="5">
        <v>-1.59155056649418</v>
      </c>
      <c r="K24" s="5">
        <v>-1.59155056649418</v>
      </c>
      <c r="L24" s="5">
        <v>-1.59155056649418</v>
      </c>
      <c r="M24" s="5">
        <v>-11.963196582683</v>
      </c>
      <c r="N24" s="5">
        <v>-11.963196582683</v>
      </c>
      <c r="O24" s="5">
        <v>-11.963196582683</v>
      </c>
      <c r="P24" s="5">
        <v>0.0</v>
      </c>
      <c r="Q24" s="5">
        <v>0.0</v>
      </c>
      <c r="R24" s="5">
        <v>0.0</v>
      </c>
      <c r="S24" s="5">
        <v>-10.9307211153126</v>
      </c>
    </row>
    <row r="25">
      <c r="A25" s="6">
        <v>40392.0</v>
      </c>
      <c r="B25" s="5">
        <v>2.649210292702</v>
      </c>
      <c r="C25" s="5">
        <v>-72.1788949727856</v>
      </c>
      <c r="D25" s="5">
        <v>53.085003267908</v>
      </c>
      <c r="E25" s="5">
        <v>2.649210292702</v>
      </c>
      <c r="F25" s="5">
        <v>2.649210292702</v>
      </c>
      <c r="G25" s="5">
        <v>-11.3711842133638</v>
      </c>
      <c r="H25" s="5">
        <v>-11.3711842133638</v>
      </c>
      <c r="I25" s="5">
        <v>-11.3711842133638</v>
      </c>
      <c r="J25" s="5">
        <v>0.0905589421209319</v>
      </c>
      <c r="K25" s="5">
        <v>0.0905589421209319</v>
      </c>
      <c r="L25" s="5">
        <v>0.0905589421209319</v>
      </c>
      <c r="M25" s="5">
        <v>-11.4617431554847</v>
      </c>
      <c r="N25" s="5">
        <v>-11.4617431554847</v>
      </c>
      <c r="O25" s="5">
        <v>-11.4617431554847</v>
      </c>
      <c r="P25" s="5">
        <v>0.0</v>
      </c>
      <c r="Q25" s="5">
        <v>0.0</v>
      </c>
      <c r="R25" s="5">
        <v>0.0</v>
      </c>
      <c r="S25" s="5">
        <v>-8.7219739206618</v>
      </c>
    </row>
    <row r="26">
      <c r="A26" s="6">
        <v>40393.0</v>
      </c>
      <c r="B26" s="5">
        <v>2.65760504564779</v>
      </c>
      <c r="C26" s="5">
        <v>-70.4721003166213</v>
      </c>
      <c r="D26" s="5">
        <v>55.8600611823604</v>
      </c>
      <c r="E26" s="5">
        <v>2.65760504564779</v>
      </c>
      <c r="F26" s="5">
        <v>2.65760504564779</v>
      </c>
      <c r="G26" s="5">
        <v>-11.3071883334123</v>
      </c>
      <c r="H26" s="5">
        <v>-11.3071883334123</v>
      </c>
      <c r="I26" s="5">
        <v>-11.3071883334123</v>
      </c>
      <c r="J26" s="5">
        <v>-0.144118857246684</v>
      </c>
      <c r="K26" s="5">
        <v>-0.144118857246684</v>
      </c>
      <c r="L26" s="5">
        <v>-0.144118857246684</v>
      </c>
      <c r="M26" s="5">
        <v>-11.1630694761656</v>
      </c>
      <c r="N26" s="5">
        <v>-11.1630694761656</v>
      </c>
      <c r="O26" s="5">
        <v>-11.1630694761656</v>
      </c>
      <c r="P26" s="5">
        <v>0.0</v>
      </c>
      <c r="Q26" s="5">
        <v>0.0</v>
      </c>
      <c r="R26" s="5">
        <v>0.0</v>
      </c>
      <c r="S26" s="5">
        <v>-8.64958328776454</v>
      </c>
    </row>
    <row r="27">
      <c r="A27" s="6">
        <v>40394.0</v>
      </c>
      <c r="B27" s="5">
        <v>2.66599979859358</v>
      </c>
      <c r="C27" s="5">
        <v>-71.7416206340149</v>
      </c>
      <c r="D27" s="5">
        <v>53.1491173451738</v>
      </c>
      <c r="E27" s="5">
        <v>2.66599979859358</v>
      </c>
      <c r="F27" s="5">
        <v>2.66599979859358</v>
      </c>
      <c r="G27" s="5">
        <v>-10.8004679919346</v>
      </c>
      <c r="H27" s="5">
        <v>-10.8004679919346</v>
      </c>
      <c r="I27" s="5">
        <v>-10.8004679919346</v>
      </c>
      <c r="J27" s="5">
        <v>0.00703780528109197</v>
      </c>
      <c r="K27" s="5">
        <v>0.00703780528109197</v>
      </c>
      <c r="L27" s="5">
        <v>0.00703780528109197</v>
      </c>
      <c r="M27" s="5">
        <v>-10.8075057972157</v>
      </c>
      <c r="N27" s="5">
        <v>-10.8075057972157</v>
      </c>
      <c r="O27" s="5">
        <v>-10.8075057972157</v>
      </c>
      <c r="P27" s="5">
        <v>0.0</v>
      </c>
      <c r="Q27" s="5">
        <v>0.0</v>
      </c>
      <c r="R27" s="5">
        <v>0.0</v>
      </c>
      <c r="S27" s="5">
        <v>-8.13446819334103</v>
      </c>
    </row>
    <row r="28">
      <c r="A28" s="6">
        <v>40395.0</v>
      </c>
      <c r="B28" s="5">
        <v>2.67439455153936</v>
      </c>
      <c r="C28" s="5">
        <v>-70.1992586735148</v>
      </c>
      <c r="D28" s="5">
        <v>55.7782433434062</v>
      </c>
      <c r="E28" s="5">
        <v>2.67439455153936</v>
      </c>
      <c r="F28" s="5">
        <v>2.67439455153936</v>
      </c>
      <c r="G28" s="5">
        <v>-11.1788689865896</v>
      </c>
      <c r="H28" s="5">
        <v>-11.1788689865896</v>
      </c>
      <c r="I28" s="5">
        <v>-11.1788689865896</v>
      </c>
      <c r="J28" s="5">
        <v>-0.776422525899648</v>
      </c>
      <c r="K28" s="5">
        <v>-0.776422525899648</v>
      </c>
      <c r="L28" s="5">
        <v>-0.776422525899648</v>
      </c>
      <c r="M28" s="5">
        <v>-10.40244646069</v>
      </c>
      <c r="N28" s="5">
        <v>-10.40244646069</v>
      </c>
      <c r="O28" s="5">
        <v>-10.40244646069</v>
      </c>
      <c r="P28" s="5">
        <v>0.0</v>
      </c>
      <c r="Q28" s="5">
        <v>0.0</v>
      </c>
      <c r="R28" s="5">
        <v>0.0</v>
      </c>
      <c r="S28" s="5">
        <v>-8.50447443505033</v>
      </c>
    </row>
    <row r="29">
      <c r="A29" s="6">
        <v>40396.0</v>
      </c>
      <c r="B29" s="5">
        <v>2.68278930448515</v>
      </c>
      <c r="C29" s="5">
        <v>-72.3011648383362</v>
      </c>
      <c r="D29" s="5">
        <v>51.3346235590036</v>
      </c>
      <c r="E29" s="5">
        <v>2.68278930448515</v>
      </c>
      <c r="F29" s="5">
        <v>2.68278930448515</v>
      </c>
      <c r="G29" s="5">
        <v>-11.5479002812607</v>
      </c>
      <c r="H29" s="5">
        <v>-11.5479002812607</v>
      </c>
      <c r="I29" s="5">
        <v>-11.5479002812607</v>
      </c>
      <c r="J29" s="5">
        <v>-1.59155056649325</v>
      </c>
      <c r="K29" s="5">
        <v>-1.59155056649325</v>
      </c>
      <c r="L29" s="5">
        <v>-1.59155056649325</v>
      </c>
      <c r="M29" s="5">
        <v>-9.95634971476749</v>
      </c>
      <c r="N29" s="5">
        <v>-9.95634971476749</v>
      </c>
      <c r="O29" s="5">
        <v>-9.95634971476749</v>
      </c>
      <c r="P29" s="5">
        <v>0.0</v>
      </c>
      <c r="Q29" s="5">
        <v>0.0</v>
      </c>
      <c r="R29" s="5">
        <v>0.0</v>
      </c>
      <c r="S29" s="5">
        <v>-8.8651109767756</v>
      </c>
    </row>
    <row r="30">
      <c r="A30" s="6">
        <v>40399.0</v>
      </c>
      <c r="B30" s="5">
        <v>2.70797356332251</v>
      </c>
      <c r="C30" s="5">
        <v>-68.7208409881591</v>
      </c>
      <c r="D30" s="5">
        <v>60.5619019400703</v>
      </c>
      <c r="E30" s="5">
        <v>2.70797356332251</v>
      </c>
      <c r="F30" s="5">
        <v>2.70797356332251</v>
      </c>
      <c r="G30" s="5">
        <v>-8.37611653520017</v>
      </c>
      <c r="H30" s="5">
        <v>-8.37611653520017</v>
      </c>
      <c r="I30" s="5">
        <v>-8.37611653520017</v>
      </c>
      <c r="J30" s="5">
        <v>0.0905589421218785</v>
      </c>
      <c r="K30" s="5">
        <v>0.0905589421218785</v>
      </c>
      <c r="L30" s="5">
        <v>0.0905589421218785</v>
      </c>
      <c r="M30" s="5">
        <v>-8.46667547732205</v>
      </c>
      <c r="N30" s="5">
        <v>-8.46667547732205</v>
      </c>
      <c r="O30" s="5">
        <v>-8.46667547732205</v>
      </c>
      <c r="P30" s="5">
        <v>0.0</v>
      </c>
      <c r="Q30" s="5">
        <v>0.0</v>
      </c>
      <c r="R30" s="5">
        <v>0.0</v>
      </c>
      <c r="S30" s="5">
        <v>-5.66814297187766</v>
      </c>
    </row>
    <row r="31">
      <c r="A31" s="6">
        <v>40400.0</v>
      </c>
      <c r="B31" s="5">
        <v>2.71636831626829</v>
      </c>
      <c r="C31" s="5">
        <v>-70.1821892951164</v>
      </c>
      <c r="D31" s="5">
        <v>58.400558151887</v>
      </c>
      <c r="E31" s="5">
        <v>2.71636831626829</v>
      </c>
      <c r="F31" s="5">
        <v>2.71636831626829</v>
      </c>
      <c r="G31" s="5">
        <v>-8.09677812404591</v>
      </c>
      <c r="H31" s="5">
        <v>-8.09677812404591</v>
      </c>
      <c r="I31" s="5">
        <v>-8.09677812404591</v>
      </c>
      <c r="J31" s="5">
        <v>-0.144118857247011</v>
      </c>
      <c r="K31" s="5">
        <v>-0.144118857247011</v>
      </c>
      <c r="L31" s="5">
        <v>-0.144118857247011</v>
      </c>
      <c r="M31" s="5">
        <v>-7.9526592667989</v>
      </c>
      <c r="N31" s="5">
        <v>-7.9526592667989</v>
      </c>
      <c r="O31" s="5">
        <v>-7.9526592667989</v>
      </c>
      <c r="P31" s="5">
        <v>0.0</v>
      </c>
      <c r="Q31" s="5">
        <v>0.0</v>
      </c>
      <c r="R31" s="5">
        <v>0.0</v>
      </c>
      <c r="S31" s="5">
        <v>-5.38040980777761</v>
      </c>
    </row>
    <row r="32">
      <c r="A32" s="6">
        <v>40401.0</v>
      </c>
      <c r="B32" s="5">
        <v>2.72476306921408</v>
      </c>
      <c r="C32" s="5">
        <v>-75.0160274050949</v>
      </c>
      <c r="D32" s="5">
        <v>60.2293548738452</v>
      </c>
      <c r="E32" s="5">
        <v>2.72476306921408</v>
      </c>
      <c r="F32" s="5">
        <v>2.72476306921408</v>
      </c>
      <c r="G32" s="5">
        <v>-7.43904669609248</v>
      </c>
      <c r="H32" s="5">
        <v>-7.43904669609248</v>
      </c>
      <c r="I32" s="5">
        <v>-7.43904669609248</v>
      </c>
      <c r="J32" s="5">
        <v>0.00703780528222235</v>
      </c>
      <c r="K32" s="5">
        <v>0.00703780528222235</v>
      </c>
      <c r="L32" s="5">
        <v>0.00703780528222235</v>
      </c>
      <c r="M32" s="5">
        <v>-7.4460845013747</v>
      </c>
      <c r="N32" s="5">
        <v>-7.4460845013747</v>
      </c>
      <c r="O32" s="5">
        <v>-7.4460845013747</v>
      </c>
      <c r="P32" s="5">
        <v>0.0</v>
      </c>
      <c r="Q32" s="5">
        <v>0.0</v>
      </c>
      <c r="R32" s="5">
        <v>0.0</v>
      </c>
      <c r="S32" s="5">
        <v>-4.7142836268784</v>
      </c>
    </row>
    <row r="33">
      <c r="A33" s="6">
        <v>40402.0</v>
      </c>
      <c r="B33" s="5">
        <v>2.73315782215987</v>
      </c>
      <c r="C33" s="5">
        <v>-72.0641315288109</v>
      </c>
      <c r="D33" s="5">
        <v>58.2031386859366</v>
      </c>
      <c r="E33" s="5">
        <v>2.73315782215987</v>
      </c>
      <c r="F33" s="5">
        <v>2.73315782215987</v>
      </c>
      <c r="G33" s="5">
        <v>-7.73228726569562</v>
      </c>
      <c r="H33" s="5">
        <v>-7.73228726569562</v>
      </c>
      <c r="I33" s="5">
        <v>-7.73228726569562</v>
      </c>
      <c r="J33" s="5">
        <v>-0.776422525901745</v>
      </c>
      <c r="K33" s="5">
        <v>-0.776422525901745</v>
      </c>
      <c r="L33" s="5">
        <v>-0.776422525901745</v>
      </c>
      <c r="M33" s="5">
        <v>-6.95586473979387</v>
      </c>
      <c r="N33" s="5">
        <v>-6.95586473979387</v>
      </c>
      <c r="O33" s="5">
        <v>-6.95586473979387</v>
      </c>
      <c r="P33" s="5">
        <v>0.0</v>
      </c>
      <c r="Q33" s="5">
        <v>0.0</v>
      </c>
      <c r="R33" s="5">
        <v>0.0</v>
      </c>
      <c r="S33" s="5">
        <v>-4.99912944353575</v>
      </c>
    </row>
    <row r="34">
      <c r="A34" s="6">
        <v>40403.0</v>
      </c>
      <c r="B34" s="5">
        <v>2.74155257510565</v>
      </c>
      <c r="C34" s="5">
        <v>-70.3539593445941</v>
      </c>
      <c r="D34" s="5">
        <v>57.0012601089791</v>
      </c>
      <c r="E34" s="5">
        <v>2.74155257510565</v>
      </c>
      <c r="F34" s="5">
        <v>2.74155257510565</v>
      </c>
      <c r="G34" s="5">
        <v>-8.08158232310926</v>
      </c>
      <c r="H34" s="5">
        <v>-8.08158232310926</v>
      </c>
      <c r="I34" s="5">
        <v>-8.08158232310926</v>
      </c>
      <c r="J34" s="5">
        <v>-1.59155056649233</v>
      </c>
      <c r="K34" s="5">
        <v>-1.59155056649233</v>
      </c>
      <c r="L34" s="5">
        <v>-1.59155056649233</v>
      </c>
      <c r="M34" s="5">
        <v>-6.49003175661693</v>
      </c>
      <c r="N34" s="5">
        <v>-6.49003175661693</v>
      </c>
      <c r="O34" s="5">
        <v>-6.49003175661693</v>
      </c>
      <c r="P34" s="5">
        <v>0.0</v>
      </c>
      <c r="Q34" s="5">
        <v>0.0</v>
      </c>
      <c r="R34" s="5">
        <v>0.0</v>
      </c>
      <c r="S34" s="5">
        <v>-5.3400297480036</v>
      </c>
    </row>
    <row r="35">
      <c r="A35" s="6">
        <v>40406.0</v>
      </c>
      <c r="B35" s="5">
        <v>2.76673683394301</v>
      </c>
      <c r="C35" s="5">
        <v>-68.3157619847634</v>
      </c>
      <c r="D35" s="5">
        <v>62.5704582803116</v>
      </c>
      <c r="E35" s="5">
        <v>2.76673683394301</v>
      </c>
      <c r="F35" s="5">
        <v>2.76673683394301</v>
      </c>
      <c r="G35" s="5">
        <v>-5.21115964800563</v>
      </c>
      <c r="H35" s="5">
        <v>-5.21115964800563</v>
      </c>
      <c r="I35" s="5">
        <v>-5.21115964800563</v>
      </c>
      <c r="J35" s="5">
        <v>0.090558942120521</v>
      </c>
      <c r="K35" s="5">
        <v>0.090558942120521</v>
      </c>
      <c r="L35" s="5">
        <v>0.090558942120521</v>
      </c>
      <c r="M35" s="5">
        <v>-5.30171859012615</v>
      </c>
      <c r="N35" s="5">
        <v>-5.30171859012615</v>
      </c>
      <c r="O35" s="5">
        <v>-5.30171859012615</v>
      </c>
      <c r="P35" s="5">
        <v>0.0</v>
      </c>
      <c r="Q35" s="5">
        <v>0.0</v>
      </c>
      <c r="R35" s="5">
        <v>0.0</v>
      </c>
      <c r="S35" s="5">
        <v>-2.44442281406261</v>
      </c>
    </row>
    <row r="36">
      <c r="A36" s="6">
        <v>40407.0</v>
      </c>
      <c r="B36" s="5">
        <v>2.7751315868888</v>
      </c>
      <c r="C36" s="5">
        <v>-64.6654421569294</v>
      </c>
      <c r="D36" s="5">
        <v>60.7440102460522</v>
      </c>
      <c r="E36" s="5">
        <v>2.7751315868888</v>
      </c>
      <c r="F36" s="5">
        <v>2.7751315868888</v>
      </c>
      <c r="G36" s="5">
        <v>-5.13357463293586</v>
      </c>
      <c r="H36" s="5">
        <v>-5.13357463293586</v>
      </c>
      <c r="I36" s="5">
        <v>-5.13357463293586</v>
      </c>
      <c r="J36" s="5">
        <v>-0.144118857245923</v>
      </c>
      <c r="K36" s="5">
        <v>-0.144118857245923</v>
      </c>
      <c r="L36" s="5">
        <v>-0.144118857245923</v>
      </c>
      <c r="M36" s="5">
        <v>-4.98945577568994</v>
      </c>
      <c r="N36" s="5">
        <v>-4.98945577568994</v>
      </c>
      <c r="O36" s="5">
        <v>-4.98945577568994</v>
      </c>
      <c r="P36" s="5">
        <v>0.0</v>
      </c>
      <c r="Q36" s="5">
        <v>0.0</v>
      </c>
      <c r="R36" s="5">
        <v>0.0</v>
      </c>
      <c r="S36" s="5">
        <v>-2.35844304604706</v>
      </c>
    </row>
    <row r="37">
      <c r="A37" s="6">
        <v>40408.0</v>
      </c>
      <c r="B37" s="5">
        <v>2.78352633983458</v>
      </c>
      <c r="C37" s="5">
        <v>-65.5810717367612</v>
      </c>
      <c r="D37" s="5">
        <v>60.0600085559592</v>
      </c>
      <c r="E37" s="5">
        <v>2.78352633983458</v>
      </c>
      <c r="F37" s="5">
        <v>2.78352633983458</v>
      </c>
      <c r="G37" s="5">
        <v>-4.7154153182846</v>
      </c>
      <c r="H37" s="5">
        <v>-4.7154153182846</v>
      </c>
      <c r="I37" s="5">
        <v>-4.7154153182846</v>
      </c>
      <c r="J37" s="5">
        <v>0.00703780528136963</v>
      </c>
      <c r="K37" s="5">
        <v>0.00703780528136963</v>
      </c>
      <c r="L37" s="5">
        <v>0.00703780528136963</v>
      </c>
      <c r="M37" s="5">
        <v>-4.72245312356597</v>
      </c>
      <c r="N37" s="5">
        <v>-4.72245312356597</v>
      </c>
      <c r="O37" s="5">
        <v>-4.72245312356597</v>
      </c>
      <c r="P37" s="5">
        <v>0.0</v>
      </c>
      <c r="Q37" s="5">
        <v>0.0</v>
      </c>
      <c r="R37" s="5">
        <v>0.0</v>
      </c>
      <c r="S37" s="5">
        <v>-1.93188897845001</v>
      </c>
    </row>
    <row r="38">
      <c r="A38" s="6">
        <v>40409.0</v>
      </c>
      <c r="B38" s="5">
        <v>2.79192109278037</v>
      </c>
      <c r="C38" s="5">
        <v>-68.5947319690729</v>
      </c>
      <c r="D38" s="5">
        <v>61.6604160089327</v>
      </c>
      <c r="E38" s="5">
        <v>2.79192109278037</v>
      </c>
      <c r="F38" s="5">
        <v>2.79192109278037</v>
      </c>
      <c r="G38" s="5">
        <v>-5.27686643434682</v>
      </c>
      <c r="H38" s="5">
        <v>-5.27686643434682</v>
      </c>
      <c r="I38" s="5">
        <v>-5.27686643434682</v>
      </c>
      <c r="J38" s="5">
        <v>-0.776422525902466</v>
      </c>
      <c r="K38" s="5">
        <v>-0.776422525902466</v>
      </c>
      <c r="L38" s="5">
        <v>-0.776422525902466</v>
      </c>
      <c r="M38" s="5">
        <v>-4.50044390844435</v>
      </c>
      <c r="N38" s="5">
        <v>-4.50044390844435</v>
      </c>
      <c r="O38" s="5">
        <v>-4.50044390844435</v>
      </c>
      <c r="P38" s="5">
        <v>0.0</v>
      </c>
      <c r="Q38" s="5">
        <v>0.0</v>
      </c>
      <c r="R38" s="5">
        <v>0.0</v>
      </c>
      <c r="S38" s="5">
        <v>-2.48494534156645</v>
      </c>
    </row>
    <row r="39">
      <c r="A39" s="6">
        <v>40410.0</v>
      </c>
      <c r="B39" s="5">
        <v>2.80031584572615</v>
      </c>
      <c r="C39" s="5">
        <v>-66.0324709457659</v>
      </c>
      <c r="D39" s="5">
        <v>63.8114097690673</v>
      </c>
      <c r="E39" s="5">
        <v>2.80031584572615</v>
      </c>
      <c r="F39" s="5">
        <v>2.80031584572615</v>
      </c>
      <c r="G39" s="5">
        <v>-5.91326400574084</v>
      </c>
      <c r="H39" s="5">
        <v>-5.91326400574084</v>
      </c>
      <c r="I39" s="5">
        <v>-5.91326400574084</v>
      </c>
      <c r="J39" s="5">
        <v>-1.59155056649109</v>
      </c>
      <c r="K39" s="5">
        <v>-1.59155056649109</v>
      </c>
      <c r="L39" s="5">
        <v>-1.59155056649109</v>
      </c>
      <c r="M39" s="5">
        <v>-4.32171343924975</v>
      </c>
      <c r="N39" s="5">
        <v>-4.32171343924975</v>
      </c>
      <c r="O39" s="5">
        <v>-4.32171343924975</v>
      </c>
      <c r="P39" s="5">
        <v>0.0</v>
      </c>
      <c r="Q39" s="5">
        <v>0.0</v>
      </c>
      <c r="R39" s="5">
        <v>0.0</v>
      </c>
      <c r="S39" s="5">
        <v>-3.11294816001468</v>
      </c>
    </row>
    <row r="40">
      <c r="A40" s="6">
        <v>40413.0</v>
      </c>
      <c r="B40" s="5">
        <v>2.82550010456351</v>
      </c>
      <c r="C40" s="5">
        <v>-61.0344814019275</v>
      </c>
      <c r="D40" s="5">
        <v>65.3371906691282</v>
      </c>
      <c r="E40" s="5">
        <v>2.82550010456351</v>
      </c>
      <c r="F40" s="5">
        <v>2.82550010456351</v>
      </c>
      <c r="G40" s="5">
        <v>-3.91837090643694</v>
      </c>
      <c r="H40" s="5">
        <v>-3.91837090643694</v>
      </c>
      <c r="I40" s="5">
        <v>-3.91837090643694</v>
      </c>
      <c r="J40" s="5">
        <v>0.0905589421214674</v>
      </c>
      <c r="K40" s="5">
        <v>0.0905589421214674</v>
      </c>
      <c r="L40" s="5">
        <v>0.0905589421214674</v>
      </c>
      <c r="M40" s="5">
        <v>-4.00892984855841</v>
      </c>
      <c r="N40" s="5">
        <v>-4.00892984855841</v>
      </c>
      <c r="O40" s="5">
        <v>-4.00892984855841</v>
      </c>
      <c r="P40" s="5">
        <v>0.0</v>
      </c>
      <c r="Q40" s="5">
        <v>0.0</v>
      </c>
      <c r="R40" s="5">
        <v>0.0</v>
      </c>
      <c r="S40" s="5">
        <v>-1.09287080187342</v>
      </c>
    </row>
    <row r="41">
      <c r="A41" s="6">
        <v>40414.0</v>
      </c>
      <c r="B41" s="5">
        <v>2.8338948575093</v>
      </c>
      <c r="C41" s="5">
        <v>-64.1975462592463</v>
      </c>
      <c r="D41" s="5">
        <v>60.5608253795624</v>
      </c>
      <c r="E41" s="5">
        <v>2.8338948575093</v>
      </c>
      <c r="F41" s="5">
        <v>2.8338948575093</v>
      </c>
      <c r="G41" s="5">
        <v>-4.10603262810659</v>
      </c>
      <c r="H41" s="5">
        <v>-4.10603262810659</v>
      </c>
      <c r="I41" s="5">
        <v>-4.10603262810659</v>
      </c>
      <c r="J41" s="5">
        <v>-0.144118857244834</v>
      </c>
      <c r="K41" s="5">
        <v>-0.144118857244834</v>
      </c>
      <c r="L41" s="5">
        <v>-0.144118857244834</v>
      </c>
      <c r="M41" s="5">
        <v>-3.96191377086176</v>
      </c>
      <c r="N41" s="5">
        <v>-3.96191377086176</v>
      </c>
      <c r="O41" s="5">
        <v>-3.96191377086176</v>
      </c>
      <c r="P41" s="5">
        <v>0.0</v>
      </c>
      <c r="Q41" s="5">
        <v>0.0</v>
      </c>
      <c r="R41" s="5">
        <v>0.0</v>
      </c>
      <c r="S41" s="5">
        <v>-1.27213777059729</v>
      </c>
    </row>
    <row r="42">
      <c r="A42" s="6">
        <v>40415.0</v>
      </c>
      <c r="B42" s="5">
        <v>2.84228961045509</v>
      </c>
      <c r="C42" s="5">
        <v>-65.6799978340848</v>
      </c>
      <c r="D42" s="5">
        <v>61.0512313035476</v>
      </c>
      <c r="E42" s="5">
        <v>2.84228961045509</v>
      </c>
      <c r="F42" s="5">
        <v>2.84228961045509</v>
      </c>
      <c r="G42" s="5">
        <v>-3.92606876652292</v>
      </c>
      <c r="H42" s="5">
        <v>-3.92606876652292</v>
      </c>
      <c r="I42" s="5">
        <v>-3.92606876652292</v>
      </c>
      <c r="J42" s="5">
        <v>0.00703780528051711</v>
      </c>
      <c r="K42" s="5">
        <v>0.00703780528051711</v>
      </c>
      <c r="L42" s="5">
        <v>0.00703780528051711</v>
      </c>
      <c r="M42" s="5">
        <v>-3.93310657180344</v>
      </c>
      <c r="N42" s="5">
        <v>-3.93310657180344</v>
      </c>
      <c r="O42" s="5">
        <v>-3.93310657180344</v>
      </c>
      <c r="P42" s="5">
        <v>0.0</v>
      </c>
      <c r="Q42" s="5">
        <v>0.0</v>
      </c>
      <c r="R42" s="5">
        <v>0.0</v>
      </c>
      <c r="S42" s="5">
        <v>-1.08377915606783</v>
      </c>
    </row>
    <row r="43">
      <c r="A43" s="6">
        <v>40416.0</v>
      </c>
      <c r="B43" s="5">
        <v>2.85068436340087</v>
      </c>
      <c r="C43" s="5">
        <v>-66.531045663219</v>
      </c>
      <c r="D43" s="5">
        <v>62.3761971429882</v>
      </c>
      <c r="E43" s="5">
        <v>2.85068436340087</v>
      </c>
      <c r="F43" s="5">
        <v>2.85068436340087</v>
      </c>
      <c r="G43" s="5">
        <v>-4.69212379776893</v>
      </c>
      <c r="H43" s="5">
        <v>-4.69212379776893</v>
      </c>
      <c r="I43" s="5">
        <v>-4.69212379776893</v>
      </c>
      <c r="J43" s="5">
        <v>-0.776422525901714</v>
      </c>
      <c r="K43" s="5">
        <v>-0.776422525901714</v>
      </c>
      <c r="L43" s="5">
        <v>-0.776422525901714</v>
      </c>
      <c r="M43" s="5">
        <v>-3.91570127186722</v>
      </c>
      <c r="N43" s="5">
        <v>-3.91570127186722</v>
      </c>
      <c r="O43" s="5">
        <v>-3.91570127186722</v>
      </c>
      <c r="P43" s="5">
        <v>0.0</v>
      </c>
      <c r="Q43" s="5">
        <v>0.0</v>
      </c>
      <c r="R43" s="5">
        <v>0.0</v>
      </c>
      <c r="S43" s="5">
        <v>-1.84143943436805</v>
      </c>
    </row>
    <row r="44">
      <c r="A44" s="6">
        <v>40417.0</v>
      </c>
      <c r="B44" s="5">
        <v>2.85907911634666</v>
      </c>
      <c r="C44" s="5">
        <v>-66.2908375125504</v>
      </c>
      <c r="D44" s="5">
        <v>66.0358774978036</v>
      </c>
      <c r="E44" s="5">
        <v>2.85907911634666</v>
      </c>
      <c r="F44" s="5">
        <v>2.85907911634666</v>
      </c>
      <c r="G44" s="5">
        <v>-5.49443889576342</v>
      </c>
      <c r="H44" s="5">
        <v>-5.49443889576342</v>
      </c>
      <c r="I44" s="5">
        <v>-5.49443889576342</v>
      </c>
      <c r="J44" s="5">
        <v>-1.59155056649322</v>
      </c>
      <c r="K44" s="5">
        <v>-1.59155056649322</v>
      </c>
      <c r="L44" s="5">
        <v>-1.59155056649322</v>
      </c>
      <c r="M44" s="5">
        <v>-3.90288832927019</v>
      </c>
      <c r="N44" s="5">
        <v>-3.90288832927019</v>
      </c>
      <c r="O44" s="5">
        <v>-3.90288832927019</v>
      </c>
      <c r="P44" s="5">
        <v>0.0</v>
      </c>
      <c r="Q44" s="5">
        <v>0.0</v>
      </c>
      <c r="R44" s="5">
        <v>0.0</v>
      </c>
      <c r="S44" s="5">
        <v>-2.63535977941675</v>
      </c>
    </row>
    <row r="45">
      <c r="A45" s="6">
        <v>40420.0</v>
      </c>
      <c r="B45" s="5">
        <v>2.88426337518402</v>
      </c>
      <c r="C45" s="5">
        <v>-63.0586057550924</v>
      </c>
      <c r="D45" s="5">
        <v>58.618018605629</v>
      </c>
      <c r="E45" s="5">
        <v>2.88426337518402</v>
      </c>
      <c r="F45" s="5">
        <v>2.88426337518402</v>
      </c>
      <c r="G45" s="5">
        <v>-3.73878881624744</v>
      </c>
      <c r="H45" s="5">
        <v>-3.73878881624744</v>
      </c>
      <c r="I45" s="5">
        <v>-3.73878881624744</v>
      </c>
      <c r="J45" s="5">
        <v>0.0905589421200299</v>
      </c>
      <c r="K45" s="5">
        <v>0.0905589421200299</v>
      </c>
      <c r="L45" s="5">
        <v>0.0905589421200299</v>
      </c>
      <c r="M45" s="5">
        <v>-3.82934775836747</v>
      </c>
      <c r="N45" s="5">
        <v>-3.82934775836747</v>
      </c>
      <c r="O45" s="5">
        <v>-3.82934775836747</v>
      </c>
      <c r="P45" s="5">
        <v>0.0</v>
      </c>
      <c r="Q45" s="5">
        <v>0.0</v>
      </c>
      <c r="R45" s="5">
        <v>0.0</v>
      </c>
      <c r="S45" s="5">
        <v>-0.854525441063429</v>
      </c>
    </row>
    <row r="46">
      <c r="A46" s="6">
        <v>40421.0</v>
      </c>
      <c r="B46" s="5">
        <v>2.8926581281298</v>
      </c>
      <c r="C46" s="5">
        <v>-63.9581247254081</v>
      </c>
      <c r="D46" s="5">
        <v>62.795832705296</v>
      </c>
      <c r="E46" s="5">
        <v>2.8926581281298</v>
      </c>
      <c r="F46" s="5">
        <v>2.8926581281298</v>
      </c>
      <c r="G46" s="5">
        <v>-3.91986050216341</v>
      </c>
      <c r="H46" s="5">
        <v>-3.91986050216341</v>
      </c>
      <c r="I46" s="5">
        <v>-3.91986050216341</v>
      </c>
      <c r="J46" s="5">
        <v>-0.14411885724627</v>
      </c>
      <c r="K46" s="5">
        <v>-0.14411885724627</v>
      </c>
      <c r="L46" s="5">
        <v>-0.14411885724627</v>
      </c>
      <c r="M46" s="5">
        <v>-3.77574164491714</v>
      </c>
      <c r="N46" s="5">
        <v>-3.77574164491714</v>
      </c>
      <c r="O46" s="5">
        <v>-3.77574164491714</v>
      </c>
      <c r="P46" s="5">
        <v>0.0</v>
      </c>
      <c r="Q46" s="5">
        <v>0.0</v>
      </c>
      <c r="R46" s="5">
        <v>0.0</v>
      </c>
      <c r="S46" s="5">
        <v>-1.0272023740336</v>
      </c>
    </row>
    <row r="47">
      <c r="A47" s="6">
        <v>40422.0</v>
      </c>
      <c r="B47" s="5">
        <v>2.90105288107559</v>
      </c>
      <c r="C47" s="5">
        <v>-63.4575672706748</v>
      </c>
      <c r="D47" s="5">
        <v>59.0341923805255</v>
      </c>
      <c r="E47" s="5">
        <v>2.90105288107559</v>
      </c>
      <c r="F47" s="5">
        <v>2.90105288107559</v>
      </c>
      <c r="G47" s="5">
        <v>-3.6943213297265</v>
      </c>
      <c r="H47" s="5">
        <v>-3.6943213297265</v>
      </c>
      <c r="I47" s="5">
        <v>-3.6943213297265</v>
      </c>
      <c r="J47" s="5">
        <v>0.00703780528281951</v>
      </c>
      <c r="K47" s="5">
        <v>0.00703780528281951</v>
      </c>
      <c r="L47" s="5">
        <v>0.00703780528281951</v>
      </c>
      <c r="M47" s="5">
        <v>-3.70135913500932</v>
      </c>
      <c r="N47" s="5">
        <v>-3.70135913500932</v>
      </c>
      <c r="O47" s="5">
        <v>-3.70135913500932</v>
      </c>
      <c r="P47" s="5">
        <v>0.0</v>
      </c>
      <c r="Q47" s="5">
        <v>0.0</v>
      </c>
      <c r="R47" s="5">
        <v>0.0</v>
      </c>
      <c r="S47" s="5">
        <v>-0.793268448650916</v>
      </c>
    </row>
    <row r="48">
      <c r="A48" s="6">
        <v>40423.0</v>
      </c>
      <c r="B48" s="5">
        <v>2.90944763402137</v>
      </c>
      <c r="C48" s="5">
        <v>-63.9979440693224</v>
      </c>
      <c r="D48" s="5">
        <v>60.0553562710362</v>
      </c>
      <c r="E48" s="5">
        <v>2.90944763402137</v>
      </c>
      <c r="F48" s="5">
        <v>2.90944763402137</v>
      </c>
      <c r="G48" s="5">
        <v>-4.3806982668864</v>
      </c>
      <c r="H48" s="5">
        <v>-4.3806982668864</v>
      </c>
      <c r="I48" s="5">
        <v>-4.3806982668864</v>
      </c>
      <c r="J48" s="5">
        <v>-0.776422525902435</v>
      </c>
      <c r="K48" s="5">
        <v>-0.776422525902435</v>
      </c>
      <c r="L48" s="5">
        <v>-0.776422525902435</v>
      </c>
      <c r="M48" s="5">
        <v>-3.60427574098397</v>
      </c>
      <c r="N48" s="5">
        <v>-3.60427574098397</v>
      </c>
      <c r="O48" s="5">
        <v>-3.60427574098397</v>
      </c>
      <c r="P48" s="5">
        <v>0.0</v>
      </c>
      <c r="Q48" s="5">
        <v>0.0</v>
      </c>
      <c r="R48" s="5">
        <v>0.0</v>
      </c>
      <c r="S48" s="5">
        <v>-1.47125063286502</v>
      </c>
    </row>
    <row r="49">
      <c r="A49" s="6">
        <v>40424.0</v>
      </c>
      <c r="B49" s="5">
        <v>2.91784238696716</v>
      </c>
      <c r="C49" s="5">
        <v>-71.6506603818922</v>
      </c>
      <c r="D49" s="5">
        <v>62.4484122519285</v>
      </c>
      <c r="E49" s="5">
        <v>2.91784238696716</v>
      </c>
      <c r="F49" s="5">
        <v>2.91784238696716</v>
      </c>
      <c r="G49" s="5">
        <v>-5.07547081910789</v>
      </c>
      <c r="H49" s="5">
        <v>-5.07547081910789</v>
      </c>
      <c r="I49" s="5">
        <v>-5.07547081910789</v>
      </c>
      <c r="J49" s="5">
        <v>-1.59155056649198</v>
      </c>
      <c r="K49" s="5">
        <v>-1.59155056649198</v>
      </c>
      <c r="L49" s="5">
        <v>-1.59155056649198</v>
      </c>
      <c r="M49" s="5">
        <v>-3.4839202526159</v>
      </c>
      <c r="N49" s="5">
        <v>-3.4839202526159</v>
      </c>
      <c r="O49" s="5">
        <v>-3.4839202526159</v>
      </c>
      <c r="P49" s="5">
        <v>0.0</v>
      </c>
      <c r="Q49" s="5">
        <v>0.0</v>
      </c>
      <c r="R49" s="5">
        <v>0.0</v>
      </c>
      <c r="S49" s="5">
        <v>-2.15762843214072</v>
      </c>
    </row>
    <row r="50">
      <c r="A50" s="6">
        <v>40428.0</v>
      </c>
      <c r="B50" s="5">
        <v>2.9514213987503</v>
      </c>
      <c r="C50" s="5">
        <v>-63.0974630567747</v>
      </c>
      <c r="D50" s="5">
        <v>65.5748808621719</v>
      </c>
      <c r="E50" s="5">
        <v>2.9514213987503</v>
      </c>
      <c r="F50" s="5">
        <v>2.9514213987503</v>
      </c>
      <c r="G50" s="5">
        <v>-2.95069054894146</v>
      </c>
      <c r="H50" s="5">
        <v>-2.95069054894146</v>
      </c>
      <c r="I50" s="5">
        <v>-2.95069054894146</v>
      </c>
      <c r="J50" s="5">
        <v>-0.144118857244073</v>
      </c>
      <c r="K50" s="5">
        <v>-0.144118857244073</v>
      </c>
      <c r="L50" s="5">
        <v>-0.144118857244073</v>
      </c>
      <c r="M50" s="5">
        <v>-2.80657169169739</v>
      </c>
      <c r="N50" s="5">
        <v>-2.80657169169739</v>
      </c>
      <c r="O50" s="5">
        <v>-2.80657169169739</v>
      </c>
      <c r="P50" s="5">
        <v>0.0</v>
      </c>
      <c r="Q50" s="5">
        <v>0.0</v>
      </c>
      <c r="R50" s="5">
        <v>0.0</v>
      </c>
      <c r="S50" s="5">
        <v>7.30849808840972E-4</v>
      </c>
    </row>
    <row r="51">
      <c r="A51" s="6">
        <v>40429.0</v>
      </c>
      <c r="B51" s="5">
        <v>2.95981615169609</v>
      </c>
      <c r="C51" s="5">
        <v>-63.1258387966778</v>
      </c>
      <c r="D51" s="5">
        <v>65.0614618298499</v>
      </c>
      <c r="E51" s="5">
        <v>2.95981615169609</v>
      </c>
      <c r="F51" s="5">
        <v>2.95981615169609</v>
      </c>
      <c r="G51" s="5">
        <v>-2.60164230285669</v>
      </c>
      <c r="H51" s="5">
        <v>-2.60164230285669</v>
      </c>
      <c r="I51" s="5">
        <v>-2.60164230285669</v>
      </c>
      <c r="J51" s="5">
        <v>0.00703780527980334</v>
      </c>
      <c r="K51" s="5">
        <v>0.00703780527980334</v>
      </c>
      <c r="L51" s="5">
        <v>0.00703780527980334</v>
      </c>
      <c r="M51" s="5">
        <v>-2.60868010813649</v>
      </c>
      <c r="N51" s="5">
        <v>-2.60868010813649</v>
      </c>
      <c r="O51" s="5">
        <v>-2.60868010813649</v>
      </c>
      <c r="P51" s="5">
        <v>0.0</v>
      </c>
      <c r="Q51" s="5">
        <v>0.0</v>
      </c>
      <c r="R51" s="5">
        <v>0.0</v>
      </c>
      <c r="S51" s="5">
        <v>0.358173848839401</v>
      </c>
    </row>
    <row r="52">
      <c r="A52" s="6">
        <v>40430.0</v>
      </c>
      <c r="B52" s="5">
        <v>2.96821090464188</v>
      </c>
      <c r="C52" s="5">
        <v>-62.1001141970512</v>
      </c>
      <c r="D52" s="5">
        <v>62.5239461966528</v>
      </c>
      <c r="E52" s="5">
        <v>2.96821090464188</v>
      </c>
      <c r="F52" s="5">
        <v>2.96821090464188</v>
      </c>
      <c r="G52" s="5">
        <v>-3.18772476721959</v>
      </c>
      <c r="H52" s="5">
        <v>-3.18772476721959</v>
      </c>
      <c r="I52" s="5">
        <v>-3.18772476721959</v>
      </c>
      <c r="J52" s="5">
        <v>-0.776422525903157</v>
      </c>
      <c r="K52" s="5">
        <v>-0.776422525903157</v>
      </c>
      <c r="L52" s="5">
        <v>-0.776422525903157</v>
      </c>
      <c r="M52" s="5">
        <v>-2.41130224131643</v>
      </c>
      <c r="N52" s="5">
        <v>-2.41130224131643</v>
      </c>
      <c r="O52" s="5">
        <v>-2.41130224131643</v>
      </c>
      <c r="P52" s="5">
        <v>0.0</v>
      </c>
      <c r="Q52" s="5">
        <v>0.0</v>
      </c>
      <c r="R52" s="5">
        <v>0.0</v>
      </c>
      <c r="S52" s="5">
        <v>-0.219513862577715</v>
      </c>
    </row>
    <row r="53">
      <c r="A53" s="6">
        <v>40431.0</v>
      </c>
      <c r="B53" s="5">
        <v>2.97660565758766</v>
      </c>
      <c r="C53" s="5">
        <v>-63.4611264268602</v>
      </c>
      <c r="D53" s="5">
        <v>60.5370316514627</v>
      </c>
      <c r="E53" s="5">
        <v>2.97660565758766</v>
      </c>
      <c r="F53" s="5">
        <v>2.97660565758766</v>
      </c>
      <c r="G53" s="5">
        <v>-3.81329929681547</v>
      </c>
      <c r="H53" s="5">
        <v>-3.81329929681547</v>
      </c>
      <c r="I53" s="5">
        <v>-3.81329929681547</v>
      </c>
      <c r="J53" s="5">
        <v>-1.59155056649106</v>
      </c>
      <c r="K53" s="5">
        <v>-1.59155056649106</v>
      </c>
      <c r="L53" s="5">
        <v>-1.59155056649106</v>
      </c>
      <c r="M53" s="5">
        <v>-2.22174873032441</v>
      </c>
      <c r="N53" s="5">
        <v>-2.22174873032441</v>
      </c>
      <c r="O53" s="5">
        <v>-2.22174873032441</v>
      </c>
      <c r="P53" s="5">
        <v>0.0</v>
      </c>
      <c r="Q53" s="5">
        <v>0.0</v>
      </c>
      <c r="R53" s="5">
        <v>0.0</v>
      </c>
      <c r="S53" s="5">
        <v>-0.836693639227806</v>
      </c>
    </row>
    <row r="54">
      <c r="A54" s="6">
        <v>40434.0</v>
      </c>
      <c r="B54" s="5">
        <v>3.00178991642502</v>
      </c>
      <c r="C54" s="5">
        <v>-62.3549233627052</v>
      </c>
      <c r="D54" s="5">
        <v>63.5408204499502</v>
      </c>
      <c r="E54" s="5">
        <v>3.00178991642502</v>
      </c>
      <c r="F54" s="5">
        <v>3.00178991642502</v>
      </c>
      <c r="G54" s="5">
        <v>-1.68656327916847</v>
      </c>
      <c r="H54" s="5">
        <v>-1.68656327916847</v>
      </c>
      <c r="I54" s="5">
        <v>-1.68656327916847</v>
      </c>
      <c r="J54" s="5">
        <v>0.0905589421220028</v>
      </c>
      <c r="K54" s="5">
        <v>0.0905589421220028</v>
      </c>
      <c r="L54" s="5">
        <v>0.0905589421220028</v>
      </c>
      <c r="M54" s="5">
        <v>-1.77712222129047</v>
      </c>
      <c r="N54" s="5">
        <v>-1.77712222129047</v>
      </c>
      <c r="O54" s="5">
        <v>-1.77712222129047</v>
      </c>
      <c r="P54" s="5">
        <v>0.0</v>
      </c>
      <c r="Q54" s="5">
        <v>0.0</v>
      </c>
      <c r="R54" s="5">
        <v>0.0</v>
      </c>
      <c r="S54" s="5">
        <v>1.31522663725655</v>
      </c>
    </row>
    <row r="55">
      <c r="A55" s="6">
        <v>40435.0</v>
      </c>
      <c r="B55" s="5">
        <v>3.01018466937081</v>
      </c>
      <c r="C55" s="5">
        <v>-67.0074010295084</v>
      </c>
      <c r="D55" s="5">
        <v>65.5051270272063</v>
      </c>
      <c r="E55" s="5">
        <v>3.01018466937081</v>
      </c>
      <c r="F55" s="5">
        <v>3.01018466937081</v>
      </c>
      <c r="G55" s="5">
        <v>-1.83940281305061</v>
      </c>
      <c r="H55" s="5">
        <v>-1.83940281305061</v>
      </c>
      <c r="I55" s="5">
        <v>-1.83940281305061</v>
      </c>
      <c r="J55" s="5">
        <v>-0.144118857246922</v>
      </c>
      <c r="K55" s="5">
        <v>-0.144118857246922</v>
      </c>
      <c r="L55" s="5">
        <v>-0.144118857246922</v>
      </c>
      <c r="M55" s="5">
        <v>-1.69528395580369</v>
      </c>
      <c r="N55" s="5">
        <v>-1.69528395580369</v>
      </c>
      <c r="O55" s="5">
        <v>-1.69528395580369</v>
      </c>
      <c r="P55" s="5">
        <v>0.0</v>
      </c>
      <c r="Q55" s="5">
        <v>0.0</v>
      </c>
      <c r="R55" s="5">
        <v>0.0</v>
      </c>
      <c r="S55" s="5">
        <v>1.17078185632019</v>
      </c>
    </row>
    <row r="56">
      <c r="A56" s="6">
        <v>40436.0</v>
      </c>
      <c r="B56" s="5">
        <v>3.01857942231659</v>
      </c>
      <c r="C56" s="5">
        <v>-58.2137641817857</v>
      </c>
      <c r="D56" s="5">
        <v>66.4227226713331</v>
      </c>
      <c r="E56" s="5">
        <v>3.01857942231659</v>
      </c>
      <c r="F56" s="5">
        <v>3.01857942231659</v>
      </c>
      <c r="G56" s="5">
        <v>-1.65075535569092</v>
      </c>
      <c r="H56" s="5">
        <v>-1.65075535569092</v>
      </c>
      <c r="I56" s="5">
        <v>-1.65075535569092</v>
      </c>
      <c r="J56" s="5">
        <v>0.00703780528111457</v>
      </c>
      <c r="K56" s="5">
        <v>0.00703780528111457</v>
      </c>
      <c r="L56" s="5">
        <v>0.00703780528111457</v>
      </c>
      <c r="M56" s="5">
        <v>-1.65779316097203</v>
      </c>
      <c r="N56" s="5">
        <v>-1.65779316097203</v>
      </c>
      <c r="O56" s="5">
        <v>-1.65779316097203</v>
      </c>
      <c r="P56" s="5">
        <v>0.0</v>
      </c>
      <c r="Q56" s="5">
        <v>0.0</v>
      </c>
      <c r="R56" s="5">
        <v>0.0</v>
      </c>
      <c r="S56" s="5">
        <v>1.36782406662567</v>
      </c>
    </row>
    <row r="57">
      <c r="A57" s="6">
        <v>40437.0</v>
      </c>
      <c r="B57" s="5">
        <v>3.02697417526238</v>
      </c>
      <c r="C57" s="5">
        <v>-60.1918592629974</v>
      </c>
      <c r="D57" s="5">
        <v>61.0595580160443</v>
      </c>
      <c r="E57" s="5">
        <v>3.02697417526238</v>
      </c>
      <c r="F57" s="5">
        <v>3.02697417526238</v>
      </c>
      <c r="G57" s="5">
        <v>-2.4463729611768</v>
      </c>
      <c r="H57" s="5">
        <v>-2.4463729611768</v>
      </c>
      <c r="I57" s="5">
        <v>-2.4463729611768</v>
      </c>
      <c r="J57" s="5">
        <v>-0.776422525903879</v>
      </c>
      <c r="K57" s="5">
        <v>-0.776422525903879</v>
      </c>
      <c r="L57" s="5">
        <v>-0.776422525903879</v>
      </c>
      <c r="M57" s="5">
        <v>-1.66995043527292</v>
      </c>
      <c r="N57" s="5">
        <v>-1.66995043527292</v>
      </c>
      <c r="O57" s="5">
        <v>-1.66995043527292</v>
      </c>
      <c r="P57" s="5">
        <v>0.0</v>
      </c>
      <c r="Q57" s="5">
        <v>0.0</v>
      </c>
      <c r="R57" s="5">
        <v>0.0</v>
      </c>
      <c r="S57" s="5">
        <v>0.580601214085584</v>
      </c>
    </row>
    <row r="58">
      <c r="A58" s="6">
        <v>40438.0</v>
      </c>
      <c r="B58" s="5">
        <v>3.03536892820817</v>
      </c>
      <c r="C58" s="5">
        <v>-67.7156351564128</v>
      </c>
      <c r="D58" s="5">
        <v>63.5085715081885</v>
      </c>
      <c r="E58" s="5">
        <v>3.03536892820817</v>
      </c>
      <c r="F58" s="5">
        <v>3.03536892820817</v>
      </c>
      <c r="G58" s="5">
        <v>-3.32732232960514</v>
      </c>
      <c r="H58" s="5">
        <v>-3.32732232960514</v>
      </c>
      <c r="I58" s="5">
        <v>-3.32732232960514</v>
      </c>
      <c r="J58" s="5">
        <v>-1.59155056649256</v>
      </c>
      <c r="K58" s="5">
        <v>-1.59155056649256</v>
      </c>
      <c r="L58" s="5">
        <v>-1.59155056649256</v>
      </c>
      <c r="M58" s="5">
        <v>-1.73577176311258</v>
      </c>
      <c r="N58" s="5">
        <v>-1.73577176311258</v>
      </c>
      <c r="O58" s="5">
        <v>-1.73577176311258</v>
      </c>
      <c r="P58" s="5">
        <v>0.0</v>
      </c>
      <c r="Q58" s="5">
        <v>0.0</v>
      </c>
      <c r="R58" s="5">
        <v>0.0</v>
      </c>
      <c r="S58" s="5">
        <v>-0.291953401396976</v>
      </c>
    </row>
    <row r="59">
      <c r="A59" s="6">
        <v>40441.0</v>
      </c>
      <c r="B59" s="5">
        <v>3.06055318704552</v>
      </c>
      <c r="C59" s="5">
        <v>-62.1995025704385</v>
      </c>
      <c r="D59" s="5">
        <v>63.4354311972773</v>
      </c>
      <c r="E59" s="5">
        <v>3.06055318704552</v>
      </c>
      <c r="F59" s="5">
        <v>3.06055318704552</v>
      </c>
      <c r="G59" s="5">
        <v>-2.18140820925495</v>
      </c>
      <c r="H59" s="5">
        <v>-2.18140820925495</v>
      </c>
      <c r="I59" s="5">
        <v>-2.18140820925495</v>
      </c>
      <c r="J59" s="5">
        <v>0.0905589421205655</v>
      </c>
      <c r="K59" s="5">
        <v>0.0905589421205655</v>
      </c>
      <c r="L59" s="5">
        <v>0.0905589421205655</v>
      </c>
      <c r="M59" s="5">
        <v>-2.27196715137551</v>
      </c>
      <c r="N59" s="5">
        <v>-2.27196715137551</v>
      </c>
      <c r="O59" s="5">
        <v>-2.27196715137551</v>
      </c>
      <c r="P59" s="5">
        <v>0.0</v>
      </c>
      <c r="Q59" s="5">
        <v>0.0</v>
      </c>
      <c r="R59" s="5">
        <v>0.0</v>
      </c>
      <c r="S59" s="5">
        <v>0.879144977790575</v>
      </c>
    </row>
    <row r="60">
      <c r="A60" s="6">
        <v>40442.0</v>
      </c>
      <c r="B60" s="5">
        <v>3.06894793999131</v>
      </c>
      <c r="C60" s="5">
        <v>-58.815751766253</v>
      </c>
      <c r="D60" s="5">
        <v>59.4574578106961</v>
      </c>
      <c r="E60" s="5">
        <v>3.06894793999131</v>
      </c>
      <c r="F60" s="5">
        <v>3.06894793999131</v>
      </c>
      <c r="G60" s="5">
        <v>-2.70453626031982</v>
      </c>
      <c r="H60" s="5">
        <v>-2.70453626031982</v>
      </c>
      <c r="I60" s="5">
        <v>-2.70453626031982</v>
      </c>
      <c r="J60" s="5">
        <v>-0.144118857243311</v>
      </c>
      <c r="K60" s="5">
        <v>-0.144118857243311</v>
      </c>
      <c r="L60" s="5">
        <v>-0.144118857243311</v>
      </c>
      <c r="M60" s="5">
        <v>-2.56041740307651</v>
      </c>
      <c r="N60" s="5">
        <v>-2.56041740307651</v>
      </c>
      <c r="O60" s="5">
        <v>-2.56041740307651</v>
      </c>
      <c r="P60" s="5">
        <v>0.0</v>
      </c>
      <c r="Q60" s="5">
        <v>0.0</v>
      </c>
      <c r="R60" s="5">
        <v>0.0</v>
      </c>
      <c r="S60" s="5">
        <v>0.364411679671494</v>
      </c>
    </row>
    <row r="61">
      <c r="A61" s="6">
        <v>40443.0</v>
      </c>
      <c r="B61" s="5">
        <v>3.0773426929371</v>
      </c>
      <c r="C61" s="5">
        <v>-67.0838967630151</v>
      </c>
      <c r="D61" s="5">
        <v>65.5402920179064</v>
      </c>
      <c r="E61" s="5">
        <v>3.0773426929371</v>
      </c>
      <c r="F61" s="5">
        <v>3.0773426929371</v>
      </c>
      <c r="G61" s="5">
        <v>-2.89045705095297</v>
      </c>
      <c r="H61" s="5">
        <v>-2.89045705095297</v>
      </c>
      <c r="I61" s="5">
        <v>-2.89045705095297</v>
      </c>
      <c r="J61" s="5">
        <v>0.00703780528341691</v>
      </c>
      <c r="K61" s="5">
        <v>0.00703780528341691</v>
      </c>
      <c r="L61" s="5">
        <v>0.00703780528341691</v>
      </c>
      <c r="M61" s="5">
        <v>-2.89749485623639</v>
      </c>
      <c r="N61" s="5">
        <v>-2.89749485623639</v>
      </c>
      <c r="O61" s="5">
        <v>-2.89749485623639</v>
      </c>
      <c r="P61" s="5">
        <v>0.0</v>
      </c>
      <c r="Q61" s="5">
        <v>0.0</v>
      </c>
      <c r="R61" s="5">
        <v>0.0</v>
      </c>
      <c r="S61" s="5">
        <v>0.186885641984123</v>
      </c>
    </row>
    <row r="62">
      <c r="A62" s="6">
        <v>40444.0</v>
      </c>
      <c r="B62" s="5">
        <v>3.08573744588288</v>
      </c>
      <c r="C62" s="5">
        <v>-60.8119386551241</v>
      </c>
      <c r="D62" s="5">
        <v>61.1803963769259</v>
      </c>
      <c r="E62" s="5">
        <v>3.08573744588288</v>
      </c>
      <c r="F62" s="5">
        <v>3.08573744588288</v>
      </c>
      <c r="G62" s="5">
        <v>-4.05310539293077</v>
      </c>
      <c r="H62" s="5">
        <v>-4.05310539293077</v>
      </c>
      <c r="I62" s="5">
        <v>-4.05310539293077</v>
      </c>
      <c r="J62" s="5">
        <v>-0.776422525903126</v>
      </c>
      <c r="K62" s="5">
        <v>-0.776422525903126</v>
      </c>
      <c r="L62" s="5">
        <v>-0.776422525903126</v>
      </c>
      <c r="M62" s="5">
        <v>-3.27668286702764</v>
      </c>
      <c r="N62" s="5">
        <v>-3.27668286702764</v>
      </c>
      <c r="O62" s="5">
        <v>-3.27668286702764</v>
      </c>
      <c r="P62" s="5">
        <v>0.0</v>
      </c>
      <c r="Q62" s="5">
        <v>0.0</v>
      </c>
      <c r="R62" s="5">
        <v>0.0</v>
      </c>
      <c r="S62" s="5">
        <v>-0.967367947047887</v>
      </c>
    </row>
    <row r="63">
      <c r="A63" s="6">
        <v>40445.0</v>
      </c>
      <c r="B63" s="5">
        <v>3.09413219882867</v>
      </c>
      <c r="C63" s="5">
        <v>-61.5576228577477</v>
      </c>
      <c r="D63" s="5">
        <v>63.5918027937872</v>
      </c>
      <c r="E63" s="5">
        <v>3.09413219882867</v>
      </c>
      <c r="F63" s="5">
        <v>3.09413219882867</v>
      </c>
      <c r="G63" s="5">
        <v>-5.28127181933283</v>
      </c>
      <c r="H63" s="5">
        <v>-5.28127181933283</v>
      </c>
      <c r="I63" s="5">
        <v>-5.28127181933283</v>
      </c>
      <c r="J63" s="5">
        <v>-1.5915505664947</v>
      </c>
      <c r="K63" s="5">
        <v>-1.5915505664947</v>
      </c>
      <c r="L63" s="5">
        <v>-1.5915505664947</v>
      </c>
      <c r="M63" s="5">
        <v>-3.68972125283813</v>
      </c>
      <c r="N63" s="5">
        <v>-3.68972125283813</v>
      </c>
      <c r="O63" s="5">
        <v>-3.68972125283813</v>
      </c>
      <c r="P63" s="5">
        <v>0.0</v>
      </c>
      <c r="Q63" s="5">
        <v>0.0</v>
      </c>
      <c r="R63" s="5">
        <v>0.0</v>
      </c>
      <c r="S63" s="5">
        <v>-2.18713962050416</v>
      </c>
    </row>
    <row r="64">
      <c r="A64" s="6">
        <v>40448.0</v>
      </c>
      <c r="B64" s="5">
        <v>3.11931645766603</v>
      </c>
      <c r="C64" s="5">
        <v>-58.8717133466851</v>
      </c>
      <c r="D64" s="5">
        <v>58.8033821823873</v>
      </c>
      <c r="E64" s="5">
        <v>3.11931645766603</v>
      </c>
      <c r="F64" s="5">
        <v>3.11931645766603</v>
      </c>
      <c r="G64" s="5">
        <v>-4.93614898139584</v>
      </c>
      <c r="H64" s="5">
        <v>-4.93614898139584</v>
      </c>
      <c r="I64" s="5">
        <v>-4.93614898139584</v>
      </c>
      <c r="J64" s="5">
        <v>0.0905589421191281</v>
      </c>
      <c r="K64" s="5">
        <v>0.0905589421191281</v>
      </c>
      <c r="L64" s="5">
        <v>0.0905589421191281</v>
      </c>
      <c r="M64" s="5">
        <v>-5.02670792351496</v>
      </c>
      <c r="N64" s="5">
        <v>-5.02670792351496</v>
      </c>
      <c r="O64" s="5">
        <v>-5.02670792351496</v>
      </c>
      <c r="P64" s="5">
        <v>0.0</v>
      </c>
      <c r="Q64" s="5">
        <v>0.0</v>
      </c>
      <c r="R64" s="5">
        <v>0.0</v>
      </c>
      <c r="S64" s="5">
        <v>-1.8168325237298</v>
      </c>
    </row>
    <row r="65">
      <c r="A65" s="6">
        <v>40449.0</v>
      </c>
      <c r="B65" s="5">
        <v>3.12771121061181</v>
      </c>
      <c r="C65" s="5">
        <v>-63.7355320544187</v>
      </c>
      <c r="D65" s="5">
        <v>60.590622760209</v>
      </c>
      <c r="E65" s="5">
        <v>3.12771121061181</v>
      </c>
      <c r="F65" s="5">
        <v>3.12771121061181</v>
      </c>
      <c r="G65" s="5">
        <v>-5.60811980339769</v>
      </c>
      <c r="H65" s="5">
        <v>-5.60811980339769</v>
      </c>
      <c r="I65" s="5">
        <v>-5.60811980339769</v>
      </c>
      <c r="J65" s="5">
        <v>-0.144118857246161</v>
      </c>
      <c r="K65" s="5">
        <v>-0.144118857246161</v>
      </c>
      <c r="L65" s="5">
        <v>-0.144118857246161</v>
      </c>
      <c r="M65" s="5">
        <v>-5.46400094615153</v>
      </c>
      <c r="N65" s="5">
        <v>-5.46400094615153</v>
      </c>
      <c r="O65" s="5">
        <v>-5.46400094615153</v>
      </c>
      <c r="P65" s="5">
        <v>0.0</v>
      </c>
      <c r="Q65" s="5">
        <v>0.0</v>
      </c>
      <c r="R65" s="5">
        <v>0.0</v>
      </c>
      <c r="S65" s="5">
        <v>-2.48040859278587</v>
      </c>
    </row>
    <row r="66">
      <c r="A66" s="6">
        <v>40450.0</v>
      </c>
      <c r="B66" s="5">
        <v>3.1361059635576</v>
      </c>
      <c r="C66" s="5">
        <v>-64.649810537103</v>
      </c>
      <c r="D66" s="5">
        <v>63.0183065333524</v>
      </c>
      <c r="E66" s="5">
        <v>3.1361059635576</v>
      </c>
      <c r="F66" s="5">
        <v>3.1361059635576</v>
      </c>
      <c r="G66" s="5">
        <v>-5.86762018312823</v>
      </c>
      <c r="H66" s="5">
        <v>-5.86762018312823</v>
      </c>
      <c r="I66" s="5">
        <v>-5.86762018312823</v>
      </c>
      <c r="J66" s="5">
        <v>0.00703780528256445</v>
      </c>
      <c r="K66" s="5">
        <v>0.00703780528256445</v>
      </c>
      <c r="L66" s="5">
        <v>0.00703780528256445</v>
      </c>
      <c r="M66" s="5">
        <v>-5.8746579884108</v>
      </c>
      <c r="N66" s="5">
        <v>-5.8746579884108</v>
      </c>
      <c r="O66" s="5">
        <v>-5.8746579884108</v>
      </c>
      <c r="P66" s="5">
        <v>0.0</v>
      </c>
      <c r="Q66" s="5">
        <v>0.0</v>
      </c>
      <c r="R66" s="5">
        <v>0.0</v>
      </c>
      <c r="S66" s="5">
        <v>-2.73151421957063</v>
      </c>
    </row>
    <row r="67">
      <c r="A67" s="6">
        <v>40451.0</v>
      </c>
      <c r="B67" s="5">
        <v>3.14450071650339</v>
      </c>
      <c r="C67" s="5">
        <v>-68.0869380743735</v>
      </c>
      <c r="D67" s="5">
        <v>57.9699377608933</v>
      </c>
      <c r="E67" s="5">
        <v>3.14450071650339</v>
      </c>
      <c r="F67" s="5">
        <v>3.14450071650339</v>
      </c>
      <c r="G67" s="5">
        <v>-7.02114607074838</v>
      </c>
      <c r="H67" s="5">
        <v>-7.02114607074838</v>
      </c>
      <c r="I67" s="5">
        <v>-7.02114607074838</v>
      </c>
      <c r="J67" s="5">
        <v>-0.776422525902473</v>
      </c>
      <c r="K67" s="5">
        <v>-0.776422525902473</v>
      </c>
      <c r="L67" s="5">
        <v>-0.776422525902473</v>
      </c>
      <c r="M67" s="5">
        <v>-6.24472354484591</v>
      </c>
      <c r="N67" s="5">
        <v>-6.24472354484591</v>
      </c>
      <c r="O67" s="5">
        <v>-6.24472354484591</v>
      </c>
      <c r="P67" s="5">
        <v>0.0</v>
      </c>
      <c r="Q67" s="5">
        <v>0.0</v>
      </c>
      <c r="R67" s="5">
        <v>0.0</v>
      </c>
      <c r="S67" s="5">
        <v>-3.87664535424499</v>
      </c>
    </row>
    <row r="68">
      <c r="A68" s="6">
        <v>40452.0</v>
      </c>
      <c r="B68" s="5">
        <v>3.15289546944917</v>
      </c>
      <c r="C68" s="5">
        <v>-67.4280789513963</v>
      </c>
      <c r="D68" s="5">
        <v>54.4680675073353</v>
      </c>
      <c r="E68" s="5">
        <v>3.15289546944917</v>
      </c>
      <c r="F68" s="5">
        <v>3.15289546944917</v>
      </c>
      <c r="G68" s="5">
        <v>-8.15196449874482</v>
      </c>
      <c r="H68" s="5">
        <v>-8.15196449874482</v>
      </c>
      <c r="I68" s="5">
        <v>-8.15196449874482</v>
      </c>
      <c r="J68" s="5">
        <v>-1.59155056649377</v>
      </c>
      <c r="K68" s="5">
        <v>-1.59155056649377</v>
      </c>
      <c r="L68" s="5">
        <v>-1.59155056649377</v>
      </c>
      <c r="M68" s="5">
        <v>-6.56041393225105</v>
      </c>
      <c r="N68" s="5">
        <v>-6.56041393225105</v>
      </c>
      <c r="O68" s="5">
        <v>-6.56041393225105</v>
      </c>
      <c r="P68" s="5">
        <v>0.0</v>
      </c>
      <c r="Q68" s="5">
        <v>0.0</v>
      </c>
      <c r="R68" s="5">
        <v>0.0</v>
      </c>
      <c r="S68" s="5">
        <v>-4.99906902929565</v>
      </c>
    </row>
    <row r="69">
      <c r="A69" s="6">
        <v>40455.0</v>
      </c>
      <c r="B69" s="5">
        <v>3.17807972828653</v>
      </c>
      <c r="C69" s="5">
        <v>-63.846501096477</v>
      </c>
      <c r="D69" s="5">
        <v>62.103195975465</v>
      </c>
      <c r="E69" s="5">
        <v>3.17807972828653</v>
      </c>
      <c r="F69" s="5">
        <v>3.17807972828653</v>
      </c>
      <c r="G69" s="5">
        <v>-6.96297248574719</v>
      </c>
      <c r="H69" s="5">
        <v>-6.96297248574719</v>
      </c>
      <c r="I69" s="5">
        <v>-6.96297248574719</v>
      </c>
      <c r="J69" s="5">
        <v>0.0905589421225383</v>
      </c>
      <c r="K69" s="5">
        <v>0.0905589421225383</v>
      </c>
      <c r="L69" s="5">
        <v>0.0905589421225383</v>
      </c>
      <c r="M69" s="5">
        <v>-7.05353142786972</v>
      </c>
      <c r="N69" s="5">
        <v>-7.05353142786972</v>
      </c>
      <c r="O69" s="5">
        <v>-7.05353142786972</v>
      </c>
      <c r="P69" s="5">
        <v>0.0</v>
      </c>
      <c r="Q69" s="5">
        <v>0.0</v>
      </c>
      <c r="R69" s="5">
        <v>0.0</v>
      </c>
      <c r="S69" s="5">
        <v>-3.78489275746065</v>
      </c>
    </row>
    <row r="70">
      <c r="A70" s="6">
        <v>40456.0</v>
      </c>
      <c r="B70" s="5">
        <v>3.18647448123232</v>
      </c>
      <c r="C70" s="5">
        <v>-65.99791551805</v>
      </c>
      <c r="D70" s="5">
        <v>56.589736870885</v>
      </c>
      <c r="E70" s="5">
        <v>3.18647448123232</v>
      </c>
      <c r="F70" s="5">
        <v>3.18647448123232</v>
      </c>
      <c r="G70" s="5">
        <v>-7.17391951740443</v>
      </c>
      <c r="H70" s="5">
        <v>-7.17391951740443</v>
      </c>
      <c r="I70" s="5">
        <v>-7.17391951740443</v>
      </c>
      <c r="J70" s="5">
        <v>-0.144118857245073</v>
      </c>
      <c r="K70" s="5">
        <v>-0.144118857245073</v>
      </c>
      <c r="L70" s="5">
        <v>-0.144118857245073</v>
      </c>
      <c r="M70" s="5">
        <v>-7.02980066015935</v>
      </c>
      <c r="N70" s="5">
        <v>-7.02980066015935</v>
      </c>
      <c r="O70" s="5">
        <v>-7.02980066015935</v>
      </c>
      <c r="P70" s="5">
        <v>0.0</v>
      </c>
      <c r="Q70" s="5">
        <v>0.0</v>
      </c>
      <c r="R70" s="5">
        <v>0.0</v>
      </c>
      <c r="S70" s="5">
        <v>-3.98744503617211</v>
      </c>
    </row>
    <row r="71">
      <c r="A71" s="6">
        <v>40457.0</v>
      </c>
      <c r="B71" s="5">
        <v>3.1948692341781</v>
      </c>
      <c r="C71" s="5">
        <v>-65.8821258730975</v>
      </c>
      <c r="D71" s="5">
        <v>59.842608883749</v>
      </c>
      <c r="E71" s="5">
        <v>3.1948692341781</v>
      </c>
      <c r="F71" s="5">
        <v>3.1948692341781</v>
      </c>
      <c r="G71" s="5">
        <v>-6.89056387356334</v>
      </c>
      <c r="H71" s="5">
        <v>-6.89056387356334</v>
      </c>
      <c r="I71" s="5">
        <v>-6.89056387356334</v>
      </c>
      <c r="J71" s="5">
        <v>0.00703780528387552</v>
      </c>
      <c r="K71" s="5">
        <v>0.00703780528387552</v>
      </c>
      <c r="L71" s="5">
        <v>0.00703780528387552</v>
      </c>
      <c r="M71" s="5">
        <v>-6.89760167884722</v>
      </c>
      <c r="N71" s="5">
        <v>-6.89760167884722</v>
      </c>
      <c r="O71" s="5">
        <v>-6.89760167884722</v>
      </c>
      <c r="P71" s="5">
        <v>0.0</v>
      </c>
      <c r="Q71" s="5">
        <v>0.0</v>
      </c>
      <c r="R71" s="5">
        <v>0.0</v>
      </c>
      <c r="S71" s="5">
        <v>-3.69569463938523</v>
      </c>
    </row>
    <row r="72">
      <c r="A72" s="6">
        <v>40458.0</v>
      </c>
      <c r="B72" s="5">
        <v>3.20326398712389</v>
      </c>
      <c r="C72" s="5">
        <v>-75.5451820460625</v>
      </c>
      <c r="D72" s="5">
        <v>56.0005982736917</v>
      </c>
      <c r="E72" s="5">
        <v>3.20326398712389</v>
      </c>
      <c r="F72" s="5">
        <v>3.20326398712389</v>
      </c>
      <c r="G72" s="5">
        <v>-7.42764059322776</v>
      </c>
      <c r="H72" s="5">
        <v>-7.42764059322776</v>
      </c>
      <c r="I72" s="5">
        <v>-7.42764059322776</v>
      </c>
      <c r="J72" s="5">
        <v>-0.77642252590457</v>
      </c>
      <c r="K72" s="5">
        <v>-0.77642252590457</v>
      </c>
      <c r="L72" s="5">
        <v>-0.77642252590457</v>
      </c>
      <c r="M72" s="5">
        <v>-6.65121806732319</v>
      </c>
      <c r="N72" s="5">
        <v>-6.65121806732319</v>
      </c>
      <c r="O72" s="5">
        <v>-6.65121806732319</v>
      </c>
      <c r="P72" s="5">
        <v>0.0</v>
      </c>
      <c r="Q72" s="5">
        <v>0.0</v>
      </c>
      <c r="R72" s="5">
        <v>0.0</v>
      </c>
      <c r="S72" s="5">
        <v>-4.22437660610387</v>
      </c>
    </row>
    <row r="73">
      <c r="A73" s="6">
        <v>40459.0</v>
      </c>
      <c r="B73" s="5">
        <v>3.21165874006968</v>
      </c>
      <c r="C73" s="5">
        <v>-68.6622422728572</v>
      </c>
      <c r="D73" s="5">
        <v>59.1961930957308</v>
      </c>
      <c r="E73" s="5">
        <v>3.21165874006968</v>
      </c>
      <c r="F73" s="5">
        <v>3.21165874006968</v>
      </c>
      <c r="G73" s="5">
        <v>-7.87871709815414</v>
      </c>
      <c r="H73" s="5">
        <v>-7.87871709815414</v>
      </c>
      <c r="I73" s="5">
        <v>-7.87871709815414</v>
      </c>
      <c r="J73" s="5">
        <v>-1.59155056649559</v>
      </c>
      <c r="K73" s="5">
        <v>-1.59155056649559</v>
      </c>
      <c r="L73" s="5">
        <v>-1.59155056649559</v>
      </c>
      <c r="M73" s="5">
        <v>-6.28716653165855</v>
      </c>
      <c r="N73" s="5">
        <v>-6.28716653165855</v>
      </c>
      <c r="O73" s="5">
        <v>-6.28716653165855</v>
      </c>
      <c r="P73" s="5">
        <v>0.0</v>
      </c>
      <c r="Q73" s="5">
        <v>0.0</v>
      </c>
      <c r="R73" s="5">
        <v>0.0</v>
      </c>
      <c r="S73" s="5">
        <v>-4.66705835808446</v>
      </c>
    </row>
    <row r="74">
      <c r="A74" s="6">
        <v>40462.0</v>
      </c>
      <c r="B74" s="5">
        <v>3.23684299890703</v>
      </c>
      <c r="C74" s="5">
        <v>-61.7931882772004</v>
      </c>
      <c r="D74" s="5">
        <v>61.5450090142406</v>
      </c>
      <c r="E74" s="5">
        <v>3.23684299890703</v>
      </c>
      <c r="F74" s="5">
        <v>3.23684299890703</v>
      </c>
      <c r="G74" s="5">
        <v>-4.39929591447837</v>
      </c>
      <c r="H74" s="5">
        <v>-4.39929591447837</v>
      </c>
      <c r="I74" s="5">
        <v>-4.39929591447837</v>
      </c>
      <c r="J74" s="5">
        <v>0.090558942121181</v>
      </c>
      <c r="K74" s="5">
        <v>0.090558942121181</v>
      </c>
      <c r="L74" s="5">
        <v>0.090558942121181</v>
      </c>
      <c r="M74" s="5">
        <v>-4.48985485659955</v>
      </c>
      <c r="N74" s="5">
        <v>-4.48985485659955</v>
      </c>
      <c r="O74" s="5">
        <v>-4.48985485659955</v>
      </c>
      <c r="P74" s="5">
        <v>0.0</v>
      </c>
      <c r="Q74" s="5">
        <v>0.0</v>
      </c>
      <c r="R74" s="5">
        <v>0.0</v>
      </c>
      <c r="S74" s="5">
        <v>-1.16245291557133</v>
      </c>
    </row>
    <row r="75">
      <c r="A75" s="6">
        <v>40463.0</v>
      </c>
      <c r="B75" s="5">
        <v>3.24523775185282</v>
      </c>
      <c r="C75" s="5">
        <v>-62.1787695095429</v>
      </c>
      <c r="D75" s="5">
        <v>59.660650733424</v>
      </c>
      <c r="E75" s="5">
        <v>3.24523775185282</v>
      </c>
      <c r="F75" s="5">
        <v>3.24523775185282</v>
      </c>
      <c r="G75" s="5">
        <v>-3.81214462654841</v>
      </c>
      <c r="H75" s="5">
        <v>-3.81214462654841</v>
      </c>
      <c r="I75" s="5">
        <v>-3.81214462654841</v>
      </c>
      <c r="J75" s="5">
        <v>-0.144118857243984</v>
      </c>
      <c r="K75" s="5">
        <v>-0.144118857243984</v>
      </c>
      <c r="L75" s="5">
        <v>-0.144118857243984</v>
      </c>
      <c r="M75" s="5">
        <v>-3.66802576930443</v>
      </c>
      <c r="N75" s="5">
        <v>-3.66802576930443</v>
      </c>
      <c r="O75" s="5">
        <v>-3.66802576930443</v>
      </c>
      <c r="P75" s="5">
        <v>0.0</v>
      </c>
      <c r="Q75" s="5">
        <v>0.0</v>
      </c>
      <c r="R75" s="5">
        <v>0.0</v>
      </c>
      <c r="S75" s="5">
        <v>-0.566906874695592</v>
      </c>
    </row>
    <row r="76">
      <c r="A76" s="6">
        <v>40464.0</v>
      </c>
      <c r="B76" s="5">
        <v>3.25363250479861</v>
      </c>
      <c r="C76" s="5">
        <v>-64.5329040841542</v>
      </c>
      <c r="D76" s="5">
        <v>60.4015745815474</v>
      </c>
      <c r="E76" s="5">
        <v>3.25363250479861</v>
      </c>
      <c r="F76" s="5">
        <v>3.25363250479861</v>
      </c>
      <c r="G76" s="5">
        <v>-2.73976047980334</v>
      </c>
      <c r="H76" s="5">
        <v>-2.73976047980334</v>
      </c>
      <c r="I76" s="5">
        <v>-2.73976047980334</v>
      </c>
      <c r="J76" s="5">
        <v>0.00703780528085935</v>
      </c>
      <c r="K76" s="5">
        <v>0.00703780528085935</v>
      </c>
      <c r="L76" s="5">
        <v>0.00703780528085935</v>
      </c>
      <c r="M76" s="5">
        <v>-2.7467982850842</v>
      </c>
      <c r="N76" s="5">
        <v>-2.7467982850842</v>
      </c>
      <c r="O76" s="5">
        <v>-2.7467982850842</v>
      </c>
      <c r="P76" s="5">
        <v>0.0</v>
      </c>
      <c r="Q76" s="5">
        <v>0.0</v>
      </c>
      <c r="R76" s="5">
        <v>0.0</v>
      </c>
      <c r="S76" s="5">
        <v>0.513872024995262</v>
      </c>
    </row>
    <row r="77">
      <c r="A77" s="6">
        <v>40465.0</v>
      </c>
      <c r="B77" s="5">
        <v>3.26202725774439</v>
      </c>
      <c r="C77" s="5">
        <v>-59.8804547191092</v>
      </c>
      <c r="D77" s="5">
        <v>66.1630956896185</v>
      </c>
      <c r="E77" s="5">
        <v>3.26202725774439</v>
      </c>
      <c r="F77" s="5">
        <v>3.26202725774439</v>
      </c>
      <c r="G77" s="5">
        <v>-2.51294818951463</v>
      </c>
      <c r="H77" s="5">
        <v>-2.51294818951463</v>
      </c>
      <c r="I77" s="5">
        <v>-2.51294818951463</v>
      </c>
      <c r="J77" s="5">
        <v>-0.776422525903817</v>
      </c>
      <c r="K77" s="5">
        <v>-0.776422525903817</v>
      </c>
      <c r="L77" s="5">
        <v>-0.776422525903817</v>
      </c>
      <c r="M77" s="5">
        <v>-1.73652566361081</v>
      </c>
      <c r="N77" s="5">
        <v>-1.73652566361081</v>
      </c>
      <c r="O77" s="5">
        <v>-1.73652566361081</v>
      </c>
      <c r="P77" s="5">
        <v>0.0</v>
      </c>
      <c r="Q77" s="5">
        <v>0.0</v>
      </c>
      <c r="R77" s="5">
        <v>0.0</v>
      </c>
      <c r="S77" s="5">
        <v>0.749079068229762</v>
      </c>
    </row>
    <row r="78">
      <c r="A78" s="6">
        <v>40466.0</v>
      </c>
      <c r="B78" s="5">
        <v>3.27042201069018</v>
      </c>
      <c r="C78" s="5">
        <v>-61.3513480592453</v>
      </c>
      <c r="D78" s="5">
        <v>65.9671280509094</v>
      </c>
      <c r="E78" s="5">
        <v>3.27042201069018</v>
      </c>
      <c r="F78" s="5">
        <v>3.27042201069018</v>
      </c>
      <c r="G78" s="5">
        <v>-2.24091760556724</v>
      </c>
      <c r="H78" s="5">
        <v>-2.24091760556724</v>
      </c>
      <c r="I78" s="5">
        <v>-2.24091760556724</v>
      </c>
      <c r="J78" s="5">
        <v>-1.59155056649435</v>
      </c>
      <c r="K78" s="5">
        <v>-1.59155056649435</v>
      </c>
      <c r="L78" s="5">
        <v>-1.59155056649435</v>
      </c>
      <c r="M78" s="5">
        <v>-0.649367039072891</v>
      </c>
      <c r="N78" s="5">
        <v>-0.649367039072891</v>
      </c>
      <c r="O78" s="5">
        <v>-0.649367039072891</v>
      </c>
      <c r="P78" s="5">
        <v>0.0</v>
      </c>
      <c r="Q78" s="5">
        <v>0.0</v>
      </c>
      <c r="R78" s="5">
        <v>0.0</v>
      </c>
      <c r="S78" s="5">
        <v>1.02950440512293</v>
      </c>
    </row>
    <row r="79">
      <c r="A79" s="6">
        <v>40469.0</v>
      </c>
      <c r="B79" s="5">
        <v>3.29560626952754</v>
      </c>
      <c r="C79" s="5">
        <v>-58.9962324022051</v>
      </c>
      <c r="D79" s="5">
        <v>69.5313831406414</v>
      </c>
      <c r="E79" s="5">
        <v>3.29560626952754</v>
      </c>
      <c r="F79" s="5">
        <v>3.29560626952754</v>
      </c>
      <c r="G79" s="5">
        <v>3.02163918031287</v>
      </c>
      <c r="H79" s="5">
        <v>3.02163918031287</v>
      </c>
      <c r="I79" s="5">
        <v>3.02163918031287</v>
      </c>
      <c r="J79" s="5">
        <v>0.0905589421221274</v>
      </c>
      <c r="K79" s="5">
        <v>0.0905589421221274</v>
      </c>
      <c r="L79" s="5">
        <v>0.0905589421221274</v>
      </c>
      <c r="M79" s="5">
        <v>2.93108023819074</v>
      </c>
      <c r="N79" s="5">
        <v>2.93108023819074</v>
      </c>
      <c r="O79" s="5">
        <v>2.93108023819074</v>
      </c>
      <c r="P79" s="5">
        <v>0.0</v>
      </c>
      <c r="Q79" s="5">
        <v>0.0</v>
      </c>
      <c r="R79" s="5">
        <v>0.0</v>
      </c>
      <c r="S79" s="5">
        <v>6.31724544984041</v>
      </c>
    </row>
    <row r="80">
      <c r="A80" s="6">
        <v>40470.0</v>
      </c>
      <c r="B80" s="5">
        <v>3.30400102247332</v>
      </c>
      <c r="C80" s="5">
        <v>-51.8260058582589</v>
      </c>
      <c r="D80" s="5">
        <v>70.0057649055215</v>
      </c>
      <c r="E80" s="5">
        <v>3.30400102247332</v>
      </c>
      <c r="F80" s="5">
        <v>3.30400102247332</v>
      </c>
      <c r="G80" s="5">
        <v>4.0348417662908</v>
      </c>
      <c r="H80" s="5">
        <v>4.0348417662908</v>
      </c>
      <c r="I80" s="5">
        <v>4.0348417662908</v>
      </c>
      <c r="J80" s="5">
        <v>-0.144118857244311</v>
      </c>
      <c r="K80" s="5">
        <v>-0.144118857244311</v>
      </c>
      <c r="L80" s="5">
        <v>-0.144118857244311</v>
      </c>
      <c r="M80" s="5">
        <v>4.17896062353511</v>
      </c>
      <c r="N80" s="5">
        <v>4.17896062353511</v>
      </c>
      <c r="O80" s="5">
        <v>4.17896062353511</v>
      </c>
      <c r="P80" s="5">
        <v>0.0</v>
      </c>
      <c r="Q80" s="5">
        <v>0.0</v>
      </c>
      <c r="R80" s="5">
        <v>0.0</v>
      </c>
      <c r="S80" s="5">
        <v>7.33884278876412</v>
      </c>
    </row>
    <row r="81">
      <c r="A81" s="6">
        <v>40471.0</v>
      </c>
      <c r="B81" s="5">
        <v>3.31239577541911</v>
      </c>
      <c r="C81" s="5">
        <v>-56.8297566470418</v>
      </c>
      <c r="D81" s="5">
        <v>68.4806213586513</v>
      </c>
      <c r="E81" s="5">
        <v>3.31239577541911</v>
      </c>
      <c r="F81" s="5">
        <v>3.31239577541911</v>
      </c>
      <c r="G81" s="5">
        <v>5.43420229317748</v>
      </c>
      <c r="H81" s="5">
        <v>5.43420229317748</v>
      </c>
      <c r="I81" s="5">
        <v>5.43420229317748</v>
      </c>
      <c r="J81" s="5">
        <v>0.00703780528316168</v>
      </c>
      <c r="K81" s="5">
        <v>0.00703780528316168</v>
      </c>
      <c r="L81" s="5">
        <v>0.00703780528316168</v>
      </c>
      <c r="M81" s="5">
        <v>5.42716448789432</v>
      </c>
      <c r="N81" s="5">
        <v>5.42716448789432</v>
      </c>
      <c r="O81" s="5">
        <v>5.42716448789432</v>
      </c>
      <c r="P81" s="5">
        <v>0.0</v>
      </c>
      <c r="Q81" s="5">
        <v>0.0</v>
      </c>
      <c r="R81" s="5">
        <v>0.0</v>
      </c>
      <c r="S81" s="5">
        <v>8.74659806859659</v>
      </c>
    </row>
    <row r="82">
      <c r="A82" s="6">
        <v>40472.0</v>
      </c>
      <c r="B82" s="5">
        <v>3.3207905283649</v>
      </c>
      <c r="C82" s="5">
        <v>-57.0674916815484</v>
      </c>
      <c r="D82" s="5">
        <v>74.6292419874669</v>
      </c>
      <c r="E82" s="5">
        <v>3.3207905283649</v>
      </c>
      <c r="F82" s="5">
        <v>3.3207905283649</v>
      </c>
      <c r="G82" s="5">
        <v>5.8834179945272</v>
      </c>
      <c r="H82" s="5">
        <v>5.8834179945272</v>
      </c>
      <c r="I82" s="5">
        <v>5.8834179945272</v>
      </c>
      <c r="J82" s="5">
        <v>-0.776422525904539</v>
      </c>
      <c r="K82" s="5">
        <v>-0.776422525904539</v>
      </c>
      <c r="L82" s="5">
        <v>-0.776422525904539</v>
      </c>
      <c r="M82" s="5">
        <v>6.65984052043174</v>
      </c>
      <c r="N82" s="5">
        <v>6.65984052043174</v>
      </c>
      <c r="O82" s="5">
        <v>6.65984052043174</v>
      </c>
      <c r="P82" s="5">
        <v>0.0</v>
      </c>
      <c r="Q82" s="5">
        <v>0.0</v>
      </c>
      <c r="R82" s="5">
        <v>0.0</v>
      </c>
      <c r="S82" s="5">
        <v>9.2042085228921</v>
      </c>
    </row>
    <row r="83">
      <c r="A83" s="6">
        <v>40473.0</v>
      </c>
      <c r="B83" s="5">
        <v>3.32918528131068</v>
      </c>
      <c r="C83" s="5">
        <v>-50.608517288612</v>
      </c>
      <c r="D83" s="5">
        <v>75.7369812001283</v>
      </c>
      <c r="E83" s="5">
        <v>3.32918528131068</v>
      </c>
      <c r="F83" s="5">
        <v>3.32918528131068</v>
      </c>
      <c r="G83" s="5">
        <v>6.27030818727353</v>
      </c>
      <c r="H83" s="5">
        <v>6.27030818727353</v>
      </c>
      <c r="I83" s="5">
        <v>6.27030818727353</v>
      </c>
      <c r="J83" s="5">
        <v>-1.59155056649342</v>
      </c>
      <c r="K83" s="5">
        <v>-1.59155056649342</v>
      </c>
      <c r="L83" s="5">
        <v>-1.59155056649342</v>
      </c>
      <c r="M83" s="5">
        <v>7.86185875376696</v>
      </c>
      <c r="N83" s="5">
        <v>7.86185875376696</v>
      </c>
      <c r="O83" s="5">
        <v>7.86185875376696</v>
      </c>
      <c r="P83" s="5">
        <v>0.0</v>
      </c>
      <c r="Q83" s="5">
        <v>0.0</v>
      </c>
      <c r="R83" s="5">
        <v>0.0</v>
      </c>
      <c r="S83" s="5">
        <v>9.59949346858422</v>
      </c>
    </row>
    <row r="84">
      <c r="A84" s="6">
        <v>40476.0</v>
      </c>
      <c r="B84" s="5">
        <v>3.35436954014804</v>
      </c>
      <c r="C84" s="5">
        <v>-50.571310425409</v>
      </c>
      <c r="D84" s="5">
        <v>76.968240903481</v>
      </c>
      <c r="E84" s="5">
        <v>3.35436954014804</v>
      </c>
      <c r="F84" s="5">
        <v>3.35436954014804</v>
      </c>
      <c r="G84" s="5">
        <v>11.2413691057368</v>
      </c>
      <c r="H84" s="5">
        <v>11.2413691057368</v>
      </c>
      <c r="I84" s="5">
        <v>11.2413691057368</v>
      </c>
      <c r="J84" s="5">
        <v>0.0905589421207702</v>
      </c>
      <c r="K84" s="5">
        <v>0.0905589421207702</v>
      </c>
      <c r="L84" s="5">
        <v>0.0905589421207702</v>
      </c>
      <c r="M84" s="5">
        <v>11.150810163616</v>
      </c>
      <c r="N84" s="5">
        <v>11.150810163616</v>
      </c>
      <c r="O84" s="5">
        <v>11.150810163616</v>
      </c>
      <c r="P84" s="5">
        <v>0.0</v>
      </c>
      <c r="Q84" s="5">
        <v>0.0</v>
      </c>
      <c r="R84" s="5">
        <v>0.0</v>
      </c>
      <c r="S84" s="5">
        <v>14.5957386458848</v>
      </c>
    </row>
    <row r="85">
      <c r="A85" s="6">
        <v>40477.0</v>
      </c>
      <c r="B85" s="5">
        <v>3.36276429309383</v>
      </c>
      <c r="C85" s="5">
        <v>-45.5395973840951</v>
      </c>
      <c r="D85" s="5">
        <v>79.8295269550212</v>
      </c>
      <c r="E85" s="5">
        <v>3.36276429309383</v>
      </c>
      <c r="F85" s="5">
        <v>3.36276429309383</v>
      </c>
      <c r="G85" s="5">
        <v>11.9610649268006</v>
      </c>
      <c r="H85" s="5">
        <v>11.9610649268006</v>
      </c>
      <c r="I85" s="5">
        <v>11.9610649268006</v>
      </c>
      <c r="J85" s="5">
        <v>-0.144118857245746</v>
      </c>
      <c r="K85" s="5">
        <v>-0.144118857245746</v>
      </c>
      <c r="L85" s="5">
        <v>-0.144118857245746</v>
      </c>
      <c r="M85" s="5">
        <v>12.1051837840464</v>
      </c>
      <c r="N85" s="5">
        <v>12.1051837840464</v>
      </c>
      <c r="O85" s="5">
        <v>12.1051837840464</v>
      </c>
      <c r="P85" s="5">
        <v>0.0</v>
      </c>
      <c r="Q85" s="5">
        <v>0.0</v>
      </c>
      <c r="R85" s="5">
        <v>0.0</v>
      </c>
      <c r="S85" s="5">
        <v>15.3238292198945</v>
      </c>
    </row>
    <row r="86">
      <c r="A86" s="6">
        <v>40478.0</v>
      </c>
      <c r="B86" s="5">
        <v>3.37115904603961</v>
      </c>
      <c r="C86" s="5">
        <v>-43.9877259887983</v>
      </c>
      <c r="D86" s="5">
        <v>79.1086754729515</v>
      </c>
      <c r="E86" s="5">
        <v>3.37115904603961</v>
      </c>
      <c r="F86" s="5">
        <v>3.37115904603961</v>
      </c>
      <c r="G86" s="5">
        <v>12.982398973158</v>
      </c>
      <c r="H86" s="5">
        <v>12.982398973158</v>
      </c>
      <c r="I86" s="5">
        <v>12.982398973158</v>
      </c>
      <c r="J86" s="5">
        <v>0.00703780528230926</v>
      </c>
      <c r="K86" s="5">
        <v>0.00703780528230926</v>
      </c>
      <c r="L86" s="5">
        <v>0.00703780528230926</v>
      </c>
      <c r="M86" s="5">
        <v>12.9753611678757</v>
      </c>
      <c r="N86" s="5">
        <v>12.9753611678757</v>
      </c>
      <c r="O86" s="5">
        <v>12.9753611678757</v>
      </c>
      <c r="P86" s="5">
        <v>0.0</v>
      </c>
      <c r="Q86" s="5">
        <v>0.0</v>
      </c>
      <c r="R86" s="5">
        <v>0.0</v>
      </c>
      <c r="S86" s="5">
        <v>16.3535580191977</v>
      </c>
    </row>
    <row r="87">
      <c r="A87" s="6">
        <v>40479.0</v>
      </c>
      <c r="B87" s="5">
        <v>3.3795537989854</v>
      </c>
      <c r="C87" s="5">
        <v>-45.5955108761425</v>
      </c>
      <c r="D87" s="5">
        <v>78.2134418486515</v>
      </c>
      <c r="E87" s="5">
        <v>3.3795537989854</v>
      </c>
      <c r="F87" s="5">
        <v>3.3795537989854</v>
      </c>
      <c r="G87" s="5">
        <v>12.9802611678593</v>
      </c>
      <c r="H87" s="5">
        <v>12.9802611678593</v>
      </c>
      <c r="I87" s="5">
        <v>12.9802611678593</v>
      </c>
      <c r="J87" s="5">
        <v>-0.776422525902411</v>
      </c>
      <c r="K87" s="5">
        <v>-0.776422525902411</v>
      </c>
      <c r="L87" s="5">
        <v>-0.776422525902411</v>
      </c>
      <c r="M87" s="5">
        <v>13.7566836937617</v>
      </c>
      <c r="N87" s="5">
        <v>13.7566836937617</v>
      </c>
      <c r="O87" s="5">
        <v>13.7566836937617</v>
      </c>
      <c r="P87" s="5">
        <v>0.0</v>
      </c>
      <c r="Q87" s="5">
        <v>0.0</v>
      </c>
      <c r="R87" s="5">
        <v>0.0</v>
      </c>
      <c r="S87" s="5">
        <v>16.3598149668447</v>
      </c>
    </row>
    <row r="88">
      <c r="A88" s="6">
        <v>40480.0</v>
      </c>
      <c r="B88" s="5">
        <v>3.38794855193118</v>
      </c>
      <c r="C88" s="5">
        <v>-48.0453581029605</v>
      </c>
      <c r="D88" s="5">
        <v>76.9957635714151</v>
      </c>
      <c r="E88" s="5">
        <v>3.38794855193118</v>
      </c>
      <c r="F88" s="5">
        <v>3.38794855193118</v>
      </c>
      <c r="G88" s="5">
        <v>12.8552359634715</v>
      </c>
      <c r="H88" s="5">
        <v>12.8552359634715</v>
      </c>
      <c r="I88" s="5">
        <v>12.8552359634715</v>
      </c>
      <c r="J88" s="5">
        <v>-1.59155056649219</v>
      </c>
      <c r="K88" s="5">
        <v>-1.59155056649219</v>
      </c>
      <c r="L88" s="5">
        <v>-1.59155056649219</v>
      </c>
      <c r="M88" s="5">
        <v>14.4467865299637</v>
      </c>
      <c r="N88" s="5">
        <v>14.4467865299637</v>
      </c>
      <c r="O88" s="5">
        <v>14.4467865299637</v>
      </c>
      <c r="P88" s="5">
        <v>0.0</v>
      </c>
      <c r="Q88" s="5">
        <v>0.0</v>
      </c>
      <c r="R88" s="5">
        <v>0.0</v>
      </c>
      <c r="S88" s="5">
        <v>16.2431845154027</v>
      </c>
    </row>
    <row r="89">
      <c r="A89" s="6">
        <v>40483.0</v>
      </c>
      <c r="B89" s="5">
        <v>3.41313281076854</v>
      </c>
      <c r="C89" s="5">
        <v>-42.0794677502857</v>
      </c>
      <c r="D89" s="5">
        <v>80.6076279996349</v>
      </c>
      <c r="E89" s="5">
        <v>3.41313281076854</v>
      </c>
      <c r="F89" s="5">
        <v>3.41313281076854</v>
      </c>
      <c r="G89" s="5">
        <v>16.0704725211754</v>
      </c>
      <c r="H89" s="5">
        <v>16.0704725211754</v>
      </c>
      <c r="I89" s="5">
        <v>16.0704725211754</v>
      </c>
      <c r="J89" s="5">
        <v>0.0905589421217167</v>
      </c>
      <c r="K89" s="5">
        <v>0.0905589421217167</v>
      </c>
      <c r="L89" s="5">
        <v>0.0905589421217167</v>
      </c>
      <c r="M89" s="5">
        <v>15.9799135790537</v>
      </c>
      <c r="N89" s="5">
        <v>15.9799135790537</v>
      </c>
      <c r="O89" s="5">
        <v>15.9799135790537</v>
      </c>
      <c r="P89" s="5">
        <v>0.0</v>
      </c>
      <c r="Q89" s="5">
        <v>0.0</v>
      </c>
      <c r="R89" s="5">
        <v>0.0</v>
      </c>
      <c r="S89" s="5">
        <v>19.483605331944</v>
      </c>
    </row>
    <row r="90">
      <c r="A90" s="6">
        <v>40484.0</v>
      </c>
      <c r="B90" s="5">
        <v>3.42152756371433</v>
      </c>
      <c r="C90" s="5">
        <v>-40.5611688319976</v>
      </c>
      <c r="D90" s="5">
        <v>78.7796856440719</v>
      </c>
      <c r="E90" s="5">
        <v>3.42152756371433</v>
      </c>
      <c r="F90" s="5">
        <v>3.42152756371433</v>
      </c>
      <c r="G90" s="5">
        <v>16.1816197640265</v>
      </c>
      <c r="H90" s="5">
        <v>16.1816197640265</v>
      </c>
      <c r="I90" s="5">
        <v>16.1816197640265</v>
      </c>
      <c r="J90" s="5">
        <v>-0.144118857244658</v>
      </c>
      <c r="K90" s="5">
        <v>-0.144118857244658</v>
      </c>
      <c r="L90" s="5">
        <v>-0.144118857244658</v>
      </c>
      <c r="M90" s="5">
        <v>16.3257386212711</v>
      </c>
      <c r="N90" s="5">
        <v>16.3257386212711</v>
      </c>
      <c r="O90" s="5">
        <v>16.3257386212711</v>
      </c>
      <c r="P90" s="5">
        <v>0.0</v>
      </c>
      <c r="Q90" s="5">
        <v>0.0</v>
      </c>
      <c r="R90" s="5">
        <v>0.0</v>
      </c>
      <c r="S90" s="5">
        <v>19.6031473277408</v>
      </c>
    </row>
    <row r="91">
      <c r="A91" s="6">
        <v>40485.0</v>
      </c>
      <c r="B91" s="5">
        <v>3.42992231666012</v>
      </c>
      <c r="C91" s="5">
        <v>-40.355412385929</v>
      </c>
      <c r="D91" s="5">
        <v>83.3097856623013</v>
      </c>
      <c r="E91" s="5">
        <v>3.42992231666012</v>
      </c>
      <c r="F91" s="5">
        <v>3.42992231666012</v>
      </c>
      <c r="G91" s="5">
        <v>16.6074755274612</v>
      </c>
      <c r="H91" s="5">
        <v>16.6074755274612</v>
      </c>
      <c r="I91" s="5">
        <v>16.6074755274612</v>
      </c>
      <c r="J91" s="5">
        <v>0.00703780528145667</v>
      </c>
      <c r="K91" s="5">
        <v>0.00703780528145667</v>
      </c>
      <c r="L91" s="5">
        <v>0.00703780528145667</v>
      </c>
      <c r="M91" s="5">
        <v>16.6004377221798</v>
      </c>
      <c r="N91" s="5">
        <v>16.6004377221798</v>
      </c>
      <c r="O91" s="5">
        <v>16.6004377221798</v>
      </c>
      <c r="P91" s="5">
        <v>0.0</v>
      </c>
      <c r="Q91" s="5">
        <v>0.0</v>
      </c>
      <c r="R91" s="5">
        <v>0.0</v>
      </c>
      <c r="S91" s="5">
        <v>20.0373978441214</v>
      </c>
    </row>
    <row r="92">
      <c r="A92" s="6">
        <v>40486.0</v>
      </c>
      <c r="B92" s="5">
        <v>3.4383170696059</v>
      </c>
      <c r="C92" s="5">
        <v>-40.6118069711512</v>
      </c>
      <c r="D92" s="5">
        <v>82.6400833577484</v>
      </c>
      <c r="E92" s="5">
        <v>3.4383170696059</v>
      </c>
      <c r="F92" s="5">
        <v>3.4383170696059</v>
      </c>
      <c r="G92" s="5">
        <v>16.0366699897663</v>
      </c>
      <c r="H92" s="5">
        <v>16.0366699897663</v>
      </c>
      <c r="I92" s="5">
        <v>16.0366699897663</v>
      </c>
      <c r="J92" s="5">
        <v>-0.776422525898908</v>
      </c>
      <c r="K92" s="5">
        <v>-0.776422525898908</v>
      </c>
      <c r="L92" s="5">
        <v>-0.776422525898908</v>
      </c>
      <c r="M92" s="5">
        <v>16.8130925156652</v>
      </c>
      <c r="N92" s="5">
        <v>16.8130925156652</v>
      </c>
      <c r="O92" s="5">
        <v>16.8130925156652</v>
      </c>
      <c r="P92" s="5">
        <v>0.0</v>
      </c>
      <c r="Q92" s="5">
        <v>0.0</v>
      </c>
      <c r="R92" s="5">
        <v>0.0</v>
      </c>
      <c r="S92" s="5">
        <v>19.4749870593722</v>
      </c>
    </row>
    <row r="93">
      <c r="A93" s="6">
        <v>40487.0</v>
      </c>
      <c r="B93" s="5">
        <v>3.44671182255169</v>
      </c>
      <c r="C93" s="5">
        <v>-42.8085825610215</v>
      </c>
      <c r="D93" s="5">
        <v>80.7101007173633</v>
      </c>
      <c r="E93" s="5">
        <v>3.44671182255169</v>
      </c>
      <c r="F93" s="5">
        <v>3.44671182255169</v>
      </c>
      <c r="G93" s="5">
        <v>15.3822563387529</v>
      </c>
      <c r="H93" s="5">
        <v>15.3822563387529</v>
      </c>
      <c r="I93" s="5">
        <v>15.3822563387529</v>
      </c>
      <c r="J93" s="5">
        <v>-1.59155056649432</v>
      </c>
      <c r="K93" s="5">
        <v>-1.59155056649432</v>
      </c>
      <c r="L93" s="5">
        <v>-1.59155056649432</v>
      </c>
      <c r="M93" s="5">
        <v>16.9738069052473</v>
      </c>
      <c r="N93" s="5">
        <v>16.9738069052473</v>
      </c>
      <c r="O93" s="5">
        <v>16.9738069052473</v>
      </c>
      <c r="P93" s="5">
        <v>0.0</v>
      </c>
      <c r="Q93" s="5">
        <v>0.0</v>
      </c>
      <c r="R93" s="5">
        <v>0.0</v>
      </c>
      <c r="S93" s="5">
        <v>18.8289681613046</v>
      </c>
    </row>
    <row r="94">
      <c r="A94" s="6">
        <v>40490.0</v>
      </c>
      <c r="B94" s="5">
        <v>3.47189608138905</v>
      </c>
      <c r="C94" s="5">
        <v>-43.6021434481234</v>
      </c>
      <c r="D94" s="5">
        <v>82.262740142841</v>
      </c>
      <c r="E94" s="5">
        <v>3.47189608138905</v>
      </c>
      <c r="F94" s="5">
        <v>3.47189608138905</v>
      </c>
      <c r="G94" s="5">
        <v>17.3437557286267</v>
      </c>
      <c r="H94" s="5">
        <v>17.3437557286267</v>
      </c>
      <c r="I94" s="5">
        <v>17.3437557286267</v>
      </c>
      <c r="J94" s="5">
        <v>0.0905589421226631</v>
      </c>
      <c r="K94" s="5">
        <v>0.0905589421226631</v>
      </c>
      <c r="L94" s="5">
        <v>0.0905589421226631</v>
      </c>
      <c r="M94" s="5">
        <v>17.253196786504</v>
      </c>
      <c r="N94" s="5">
        <v>17.253196786504</v>
      </c>
      <c r="O94" s="5">
        <v>17.253196786504</v>
      </c>
      <c r="P94" s="5">
        <v>0.0</v>
      </c>
      <c r="Q94" s="5">
        <v>0.0</v>
      </c>
      <c r="R94" s="5">
        <v>0.0</v>
      </c>
      <c r="S94" s="5">
        <v>20.8156518100157</v>
      </c>
    </row>
    <row r="95">
      <c r="A95" s="6">
        <v>40491.0</v>
      </c>
      <c r="B95" s="5">
        <v>3.48029083433483</v>
      </c>
      <c r="C95" s="5">
        <v>-44.7284857845351</v>
      </c>
      <c r="D95" s="5">
        <v>84.5519884447306</v>
      </c>
      <c r="E95" s="5">
        <v>3.48029083433483</v>
      </c>
      <c r="F95" s="5">
        <v>3.48029083433483</v>
      </c>
      <c r="G95" s="5">
        <v>17.1709596357865</v>
      </c>
      <c r="H95" s="5">
        <v>17.1709596357865</v>
      </c>
      <c r="I95" s="5">
        <v>17.1709596357865</v>
      </c>
      <c r="J95" s="5">
        <v>-0.144118857246094</v>
      </c>
      <c r="K95" s="5">
        <v>-0.144118857246094</v>
      </c>
      <c r="L95" s="5">
        <v>-0.144118857246094</v>
      </c>
      <c r="M95" s="5">
        <v>17.3150784930326</v>
      </c>
      <c r="N95" s="5">
        <v>17.3150784930326</v>
      </c>
      <c r="O95" s="5">
        <v>17.3150784930326</v>
      </c>
      <c r="P95" s="5">
        <v>0.0</v>
      </c>
      <c r="Q95" s="5">
        <v>0.0</v>
      </c>
      <c r="R95" s="5">
        <v>0.0</v>
      </c>
      <c r="S95" s="5">
        <v>20.6512504701213</v>
      </c>
    </row>
    <row r="96">
      <c r="A96" s="6">
        <v>40492.0</v>
      </c>
      <c r="B96" s="5">
        <v>3.48868558728062</v>
      </c>
      <c r="C96" s="5">
        <v>-43.2517549058377</v>
      </c>
      <c r="D96" s="5">
        <v>84.4951762177492</v>
      </c>
      <c r="E96" s="5">
        <v>3.48868558728062</v>
      </c>
      <c r="F96" s="5">
        <v>3.48868558728062</v>
      </c>
      <c r="G96" s="5">
        <v>17.385299404627</v>
      </c>
      <c r="H96" s="5">
        <v>17.385299404627</v>
      </c>
      <c r="I96" s="5">
        <v>17.385299404627</v>
      </c>
      <c r="J96" s="5">
        <v>0.00703780528159542</v>
      </c>
      <c r="K96" s="5">
        <v>0.00703780528159542</v>
      </c>
      <c r="L96" s="5">
        <v>0.00703780528159542</v>
      </c>
      <c r="M96" s="5">
        <v>17.3782615993454</v>
      </c>
      <c r="N96" s="5">
        <v>17.3782615993454</v>
      </c>
      <c r="O96" s="5">
        <v>17.3782615993454</v>
      </c>
      <c r="P96" s="5">
        <v>0.0</v>
      </c>
      <c r="Q96" s="5">
        <v>0.0</v>
      </c>
      <c r="R96" s="5">
        <v>0.0</v>
      </c>
      <c r="S96" s="5">
        <v>20.8739849919076</v>
      </c>
    </row>
    <row r="97">
      <c r="A97" s="6">
        <v>40493.0</v>
      </c>
      <c r="B97" s="5">
        <v>3.4970803402264</v>
      </c>
      <c r="C97" s="5">
        <v>-45.4744068534398</v>
      </c>
      <c r="D97" s="5">
        <v>77.9635464381209</v>
      </c>
      <c r="E97" s="5">
        <v>3.4970803402264</v>
      </c>
      <c r="F97" s="5">
        <v>3.4970803402264</v>
      </c>
      <c r="G97" s="5">
        <v>16.6750310157256</v>
      </c>
      <c r="H97" s="5">
        <v>16.6750310157256</v>
      </c>
      <c r="I97" s="5">
        <v>16.6750310157256</v>
      </c>
      <c r="J97" s="5">
        <v>-0.776422525901005</v>
      </c>
      <c r="K97" s="5">
        <v>-0.776422525901005</v>
      </c>
      <c r="L97" s="5">
        <v>-0.776422525901005</v>
      </c>
      <c r="M97" s="5">
        <v>17.4514535416266</v>
      </c>
      <c r="N97" s="5">
        <v>17.4514535416266</v>
      </c>
      <c r="O97" s="5">
        <v>17.4514535416266</v>
      </c>
      <c r="P97" s="5">
        <v>0.0</v>
      </c>
      <c r="Q97" s="5">
        <v>0.0</v>
      </c>
      <c r="R97" s="5">
        <v>0.0</v>
      </c>
      <c r="S97" s="5">
        <v>20.172111355952</v>
      </c>
    </row>
    <row r="98">
      <c r="A98" s="6">
        <v>40494.0</v>
      </c>
      <c r="B98" s="5">
        <v>3.50547550162514</v>
      </c>
      <c r="C98" s="5">
        <v>-45.8903480500288</v>
      </c>
      <c r="D98" s="5">
        <v>79.5026838775662</v>
      </c>
      <c r="E98" s="5">
        <v>3.50547550162514</v>
      </c>
      <c r="F98" s="5">
        <v>3.50547550162514</v>
      </c>
      <c r="G98" s="5">
        <v>15.9504391300216</v>
      </c>
      <c r="H98" s="5">
        <v>15.9504391300216</v>
      </c>
      <c r="I98" s="5">
        <v>15.9504391300216</v>
      </c>
      <c r="J98" s="5">
        <v>-1.59155056649308</v>
      </c>
      <c r="K98" s="5">
        <v>-1.59155056649308</v>
      </c>
      <c r="L98" s="5">
        <v>-1.59155056649308</v>
      </c>
      <c r="M98" s="5">
        <v>17.5419896965146</v>
      </c>
      <c r="N98" s="5">
        <v>17.5419896965146</v>
      </c>
      <c r="O98" s="5">
        <v>17.5419896965146</v>
      </c>
      <c r="P98" s="5">
        <v>0.0</v>
      </c>
      <c r="Q98" s="5">
        <v>0.0</v>
      </c>
      <c r="R98" s="5">
        <v>0.0</v>
      </c>
      <c r="S98" s="5">
        <v>19.4559146316467</v>
      </c>
    </row>
    <row r="99">
      <c r="A99" s="6">
        <v>40497.0</v>
      </c>
      <c r="B99" s="5">
        <v>3.53066098582135</v>
      </c>
      <c r="C99" s="5">
        <v>-44.6150058987906</v>
      </c>
      <c r="D99" s="5">
        <v>83.0968403717036</v>
      </c>
      <c r="E99" s="5">
        <v>3.53066098582135</v>
      </c>
      <c r="F99" s="5">
        <v>3.53066098582135</v>
      </c>
      <c r="G99" s="5">
        <v>18.0565274502096</v>
      </c>
      <c r="H99" s="5">
        <v>18.0565274502096</v>
      </c>
      <c r="I99" s="5">
        <v>18.0565274502096</v>
      </c>
      <c r="J99" s="5">
        <v>0.0905589421213057</v>
      </c>
      <c r="K99" s="5">
        <v>0.0905589421213057</v>
      </c>
      <c r="L99" s="5">
        <v>0.0905589421213057</v>
      </c>
      <c r="M99" s="5">
        <v>17.9659685080883</v>
      </c>
      <c r="N99" s="5">
        <v>17.9659685080883</v>
      </c>
      <c r="O99" s="5">
        <v>17.9659685080883</v>
      </c>
      <c r="P99" s="5">
        <v>0.0</v>
      </c>
      <c r="Q99" s="5">
        <v>0.0</v>
      </c>
      <c r="R99" s="5">
        <v>0.0</v>
      </c>
      <c r="S99" s="5">
        <v>21.587188436031</v>
      </c>
    </row>
    <row r="100">
      <c r="A100" s="6">
        <v>40498.0</v>
      </c>
      <c r="B100" s="5">
        <v>3.53905614722009</v>
      </c>
      <c r="C100" s="5">
        <v>-40.9199767295716</v>
      </c>
      <c r="D100" s="5">
        <v>85.2451505771782</v>
      </c>
      <c r="E100" s="5">
        <v>3.53905614722009</v>
      </c>
      <c r="F100" s="5">
        <v>3.53905614722009</v>
      </c>
      <c r="G100" s="5">
        <v>18.0207629866936</v>
      </c>
      <c r="H100" s="5">
        <v>18.0207629866936</v>
      </c>
      <c r="I100" s="5">
        <v>18.0207629866936</v>
      </c>
      <c r="J100" s="5">
        <v>-0.144118857243896</v>
      </c>
      <c r="K100" s="5">
        <v>-0.144118857243896</v>
      </c>
      <c r="L100" s="5">
        <v>-0.144118857243896</v>
      </c>
      <c r="M100" s="5">
        <v>18.1648818439375</v>
      </c>
      <c r="N100" s="5">
        <v>18.1648818439375</v>
      </c>
      <c r="O100" s="5">
        <v>18.1648818439375</v>
      </c>
      <c r="P100" s="5">
        <v>0.0</v>
      </c>
      <c r="Q100" s="5">
        <v>0.0</v>
      </c>
      <c r="R100" s="5">
        <v>0.0</v>
      </c>
      <c r="S100" s="5">
        <v>21.5598191339137</v>
      </c>
    </row>
    <row r="101">
      <c r="A101" s="6">
        <v>40499.0</v>
      </c>
      <c r="B101" s="5">
        <v>3.54745130861882</v>
      </c>
      <c r="C101" s="5">
        <v>-40.2659459254022</v>
      </c>
      <c r="D101" s="5">
        <v>79.6484892294304</v>
      </c>
      <c r="E101" s="5">
        <v>3.54745130861882</v>
      </c>
      <c r="F101" s="5">
        <v>3.54745130861882</v>
      </c>
      <c r="G101" s="5">
        <v>18.398187138895</v>
      </c>
      <c r="H101" s="5">
        <v>18.398187138895</v>
      </c>
      <c r="I101" s="5">
        <v>18.398187138895</v>
      </c>
      <c r="J101" s="5">
        <v>0.00703780528290659</v>
      </c>
      <c r="K101" s="5">
        <v>0.00703780528290659</v>
      </c>
      <c r="L101" s="5">
        <v>0.00703780528290659</v>
      </c>
      <c r="M101" s="5">
        <v>18.3911493336121</v>
      </c>
      <c r="N101" s="5">
        <v>18.3911493336121</v>
      </c>
      <c r="O101" s="5">
        <v>18.3911493336121</v>
      </c>
      <c r="P101" s="5">
        <v>0.0</v>
      </c>
      <c r="Q101" s="5">
        <v>0.0</v>
      </c>
      <c r="R101" s="5">
        <v>0.0</v>
      </c>
      <c r="S101" s="5">
        <v>21.9456384475138</v>
      </c>
    </row>
    <row r="102">
      <c r="A102" s="6">
        <v>40500.0</v>
      </c>
      <c r="B102" s="5">
        <v>3.55584647001756</v>
      </c>
      <c r="C102" s="5">
        <v>-39.0912898164305</v>
      </c>
      <c r="D102" s="5">
        <v>85.5288603549092</v>
      </c>
      <c r="E102" s="5">
        <v>3.55584647001756</v>
      </c>
      <c r="F102" s="5">
        <v>3.55584647001756</v>
      </c>
      <c r="G102" s="5">
        <v>17.8646526342852</v>
      </c>
      <c r="H102" s="5">
        <v>17.8646526342852</v>
      </c>
      <c r="I102" s="5">
        <v>17.8646526342852</v>
      </c>
      <c r="J102" s="5">
        <v>-0.776422525901727</v>
      </c>
      <c r="K102" s="5">
        <v>-0.776422525901727</v>
      </c>
      <c r="L102" s="5">
        <v>-0.776422525901727</v>
      </c>
      <c r="M102" s="5">
        <v>18.6410751601869</v>
      </c>
      <c r="N102" s="5">
        <v>18.6410751601869</v>
      </c>
      <c r="O102" s="5">
        <v>18.6410751601869</v>
      </c>
      <c r="P102" s="5">
        <v>0.0</v>
      </c>
      <c r="Q102" s="5">
        <v>0.0</v>
      </c>
      <c r="R102" s="5">
        <v>0.0</v>
      </c>
      <c r="S102" s="5">
        <v>21.4204991043028</v>
      </c>
    </row>
    <row r="103">
      <c r="A103" s="6">
        <v>40501.0</v>
      </c>
      <c r="B103" s="5">
        <v>3.56424163141629</v>
      </c>
      <c r="C103" s="5">
        <v>-41.4795136859492</v>
      </c>
      <c r="D103" s="5">
        <v>83.0948921835358</v>
      </c>
      <c r="E103" s="5">
        <v>3.56424163141629</v>
      </c>
      <c r="F103" s="5">
        <v>3.56424163141629</v>
      </c>
      <c r="G103" s="5">
        <v>17.317691511993</v>
      </c>
      <c r="H103" s="5">
        <v>17.317691511993</v>
      </c>
      <c r="I103" s="5">
        <v>17.317691511993</v>
      </c>
      <c r="J103" s="5">
        <v>-1.59155056649184</v>
      </c>
      <c r="K103" s="5">
        <v>-1.59155056649184</v>
      </c>
      <c r="L103" s="5">
        <v>-1.59155056649184</v>
      </c>
      <c r="M103" s="5">
        <v>18.9092420784849</v>
      </c>
      <c r="N103" s="5">
        <v>18.9092420784849</v>
      </c>
      <c r="O103" s="5">
        <v>18.9092420784849</v>
      </c>
      <c r="P103" s="5">
        <v>0.0</v>
      </c>
      <c r="Q103" s="5">
        <v>0.0</v>
      </c>
      <c r="R103" s="5">
        <v>0.0</v>
      </c>
      <c r="S103" s="5">
        <v>20.8819331434093</v>
      </c>
    </row>
    <row r="104">
      <c r="A104" s="6">
        <v>40504.0</v>
      </c>
      <c r="B104" s="5">
        <v>3.5894271156125</v>
      </c>
      <c r="C104" s="5">
        <v>-38.5938784103068</v>
      </c>
      <c r="D104" s="5">
        <v>85.6610531745762</v>
      </c>
      <c r="E104" s="5">
        <v>3.5894271156125</v>
      </c>
      <c r="F104" s="5">
        <v>3.5894271156125</v>
      </c>
      <c r="G104" s="5">
        <v>19.8383040058611</v>
      </c>
      <c r="H104" s="5">
        <v>19.8383040058611</v>
      </c>
      <c r="I104" s="5">
        <v>19.8383040058611</v>
      </c>
      <c r="J104" s="5">
        <v>0.090558942122252</v>
      </c>
      <c r="K104" s="5">
        <v>0.090558942122252</v>
      </c>
      <c r="L104" s="5">
        <v>0.090558942122252</v>
      </c>
      <c r="M104" s="5">
        <v>19.7477450637388</v>
      </c>
      <c r="N104" s="5">
        <v>19.7477450637388</v>
      </c>
      <c r="O104" s="5">
        <v>19.7477450637388</v>
      </c>
      <c r="P104" s="5">
        <v>0.0</v>
      </c>
      <c r="Q104" s="5">
        <v>0.0</v>
      </c>
      <c r="R104" s="5">
        <v>0.0</v>
      </c>
      <c r="S104" s="5">
        <v>23.4277311214736</v>
      </c>
    </row>
    <row r="105">
      <c r="A105" s="6">
        <v>40505.0</v>
      </c>
      <c r="B105" s="5">
        <v>3.59782227701124</v>
      </c>
      <c r="C105" s="5">
        <v>-38.2857588083276</v>
      </c>
      <c r="D105" s="5">
        <v>90.4852169343624</v>
      </c>
      <c r="E105" s="5">
        <v>3.59782227701124</v>
      </c>
      <c r="F105" s="5">
        <v>3.59782227701124</v>
      </c>
      <c r="G105" s="5">
        <v>19.8641939074</v>
      </c>
      <c r="H105" s="5">
        <v>19.8641939074</v>
      </c>
      <c r="I105" s="5">
        <v>19.8641939074</v>
      </c>
      <c r="J105" s="5">
        <v>-0.144118857245332</v>
      </c>
      <c r="K105" s="5">
        <v>-0.144118857245332</v>
      </c>
      <c r="L105" s="5">
        <v>-0.144118857245332</v>
      </c>
      <c r="M105" s="5">
        <v>20.0083127646453</v>
      </c>
      <c r="N105" s="5">
        <v>20.0083127646453</v>
      </c>
      <c r="O105" s="5">
        <v>20.0083127646453</v>
      </c>
      <c r="P105" s="5">
        <v>0.0</v>
      </c>
      <c r="Q105" s="5">
        <v>0.0</v>
      </c>
      <c r="R105" s="5">
        <v>0.0</v>
      </c>
      <c r="S105" s="5">
        <v>23.4620161844112</v>
      </c>
    </row>
    <row r="106">
      <c r="A106" s="6">
        <v>40506.0</v>
      </c>
      <c r="B106" s="5">
        <v>3.60621743840998</v>
      </c>
      <c r="C106" s="5">
        <v>-39.1240278481755</v>
      </c>
      <c r="D106" s="5">
        <v>95.5357903687829</v>
      </c>
      <c r="E106" s="5">
        <v>3.60621743840998</v>
      </c>
      <c r="F106" s="5">
        <v>3.60621743840998</v>
      </c>
      <c r="G106" s="5">
        <v>20.2499199833855</v>
      </c>
      <c r="H106" s="5">
        <v>20.2499199833855</v>
      </c>
      <c r="I106" s="5">
        <v>20.2499199833855</v>
      </c>
      <c r="J106" s="5">
        <v>0.00703780528088168</v>
      </c>
      <c r="K106" s="5">
        <v>0.00703780528088168</v>
      </c>
      <c r="L106" s="5">
        <v>0.00703780528088168</v>
      </c>
      <c r="M106" s="5">
        <v>20.2428821781046</v>
      </c>
      <c r="N106" s="5">
        <v>20.2428821781046</v>
      </c>
      <c r="O106" s="5">
        <v>20.2428821781046</v>
      </c>
      <c r="P106" s="5">
        <v>0.0</v>
      </c>
      <c r="Q106" s="5">
        <v>0.0</v>
      </c>
      <c r="R106" s="5">
        <v>0.0</v>
      </c>
      <c r="S106" s="5">
        <v>23.8561374217955</v>
      </c>
    </row>
    <row r="107">
      <c r="A107" s="6">
        <v>40508.0</v>
      </c>
      <c r="B107" s="5">
        <v>3.62300776120745</v>
      </c>
      <c r="C107" s="5">
        <v>-37.2305047890434</v>
      </c>
      <c r="D107" s="5">
        <v>90.1482919656108</v>
      </c>
      <c r="E107" s="5">
        <v>3.62300776120745</v>
      </c>
      <c r="F107" s="5">
        <v>3.62300776120745</v>
      </c>
      <c r="G107" s="5">
        <v>19.0029919014816</v>
      </c>
      <c r="H107" s="5">
        <v>19.0029919014816</v>
      </c>
      <c r="I107" s="5">
        <v>19.0029919014816</v>
      </c>
      <c r="J107" s="5">
        <v>-1.59155056649397</v>
      </c>
      <c r="K107" s="5">
        <v>-1.59155056649397</v>
      </c>
      <c r="L107" s="5">
        <v>-1.59155056649397</v>
      </c>
      <c r="M107" s="5">
        <v>20.5945424679756</v>
      </c>
      <c r="N107" s="5">
        <v>20.5945424679756</v>
      </c>
      <c r="O107" s="5">
        <v>20.5945424679756</v>
      </c>
      <c r="P107" s="5">
        <v>0.0</v>
      </c>
      <c r="Q107" s="5">
        <v>0.0</v>
      </c>
      <c r="R107" s="5">
        <v>0.0</v>
      </c>
      <c r="S107" s="5">
        <v>22.625999662689</v>
      </c>
    </row>
    <row r="108">
      <c r="A108" s="6">
        <v>40511.0</v>
      </c>
      <c r="B108" s="5">
        <v>3.64819324540366</v>
      </c>
      <c r="C108" s="5">
        <v>-38.4067738403188</v>
      </c>
      <c r="D108" s="5">
        <v>87.6698364111336</v>
      </c>
      <c r="E108" s="5">
        <v>3.64819324540366</v>
      </c>
      <c r="F108" s="5">
        <v>3.64819324540366</v>
      </c>
      <c r="G108" s="5">
        <v>20.7911625726014</v>
      </c>
      <c r="H108" s="5">
        <v>20.7911625726014</v>
      </c>
      <c r="I108" s="5">
        <v>20.7911625726014</v>
      </c>
      <c r="J108" s="5">
        <v>0.0905589421208146</v>
      </c>
      <c r="K108" s="5">
        <v>0.0905589421208146</v>
      </c>
      <c r="L108" s="5">
        <v>0.0905589421208146</v>
      </c>
      <c r="M108" s="5">
        <v>20.7006036304805</v>
      </c>
      <c r="N108" s="5">
        <v>20.7006036304805</v>
      </c>
      <c r="O108" s="5">
        <v>20.7006036304805</v>
      </c>
      <c r="P108" s="5">
        <v>0.0</v>
      </c>
      <c r="Q108" s="5">
        <v>0.0</v>
      </c>
      <c r="R108" s="5">
        <v>0.0</v>
      </c>
      <c r="S108" s="5">
        <v>24.439355818005</v>
      </c>
    </row>
    <row r="109">
      <c r="A109" s="6">
        <v>40512.0</v>
      </c>
      <c r="B109" s="5">
        <v>3.65658840680239</v>
      </c>
      <c r="C109" s="5">
        <v>-39.8287614122246</v>
      </c>
      <c r="D109" s="5">
        <v>85.6543324337299</v>
      </c>
      <c r="E109" s="5">
        <v>3.65658840680239</v>
      </c>
      <c r="F109" s="5">
        <v>3.65658840680239</v>
      </c>
      <c r="G109" s="5">
        <v>20.4546678332514</v>
      </c>
      <c r="H109" s="5">
        <v>20.4546678332514</v>
      </c>
      <c r="I109" s="5">
        <v>20.4546678332514</v>
      </c>
      <c r="J109" s="5">
        <v>-0.144118857246767</v>
      </c>
      <c r="K109" s="5">
        <v>-0.144118857246767</v>
      </c>
      <c r="L109" s="5">
        <v>-0.144118857246767</v>
      </c>
      <c r="M109" s="5">
        <v>20.5987866904982</v>
      </c>
      <c r="N109" s="5">
        <v>20.5987866904982</v>
      </c>
      <c r="O109" s="5">
        <v>20.5987866904982</v>
      </c>
      <c r="P109" s="5">
        <v>0.0</v>
      </c>
      <c r="Q109" s="5">
        <v>0.0</v>
      </c>
      <c r="R109" s="5">
        <v>0.0</v>
      </c>
      <c r="S109" s="5">
        <v>24.1112562400538</v>
      </c>
    </row>
    <row r="110">
      <c r="A110" s="6">
        <v>40513.0</v>
      </c>
      <c r="B110" s="5">
        <v>3.66498356820113</v>
      </c>
      <c r="C110" s="5">
        <v>-35.4895327992349</v>
      </c>
      <c r="D110" s="5">
        <v>91.6363511015827</v>
      </c>
      <c r="E110" s="5">
        <v>3.66498356820113</v>
      </c>
      <c r="F110" s="5">
        <v>3.66498356820113</v>
      </c>
      <c r="G110" s="5">
        <v>20.4303154187379</v>
      </c>
      <c r="H110" s="5">
        <v>20.4303154187379</v>
      </c>
      <c r="I110" s="5">
        <v>20.4303154187379</v>
      </c>
      <c r="J110" s="5">
        <v>0.00703780528318425</v>
      </c>
      <c r="K110" s="5">
        <v>0.00703780528318425</v>
      </c>
      <c r="L110" s="5">
        <v>0.00703780528318425</v>
      </c>
      <c r="M110" s="5">
        <v>20.4232776134547</v>
      </c>
      <c r="N110" s="5">
        <v>20.4232776134547</v>
      </c>
      <c r="O110" s="5">
        <v>20.4232776134547</v>
      </c>
      <c r="P110" s="5">
        <v>0.0</v>
      </c>
      <c r="Q110" s="5">
        <v>0.0</v>
      </c>
      <c r="R110" s="5">
        <v>0.0</v>
      </c>
      <c r="S110" s="5">
        <v>24.095298986939</v>
      </c>
    </row>
    <row r="111">
      <c r="A111" s="6">
        <v>40514.0</v>
      </c>
      <c r="B111" s="5">
        <v>3.67337872959987</v>
      </c>
      <c r="C111" s="5">
        <v>-39.0592502377613</v>
      </c>
      <c r="D111" s="5">
        <v>84.9710854362921</v>
      </c>
      <c r="E111" s="5">
        <v>3.67337872959987</v>
      </c>
      <c r="F111" s="5">
        <v>3.67337872959987</v>
      </c>
      <c r="G111" s="5">
        <v>19.397798033651</v>
      </c>
      <c r="H111" s="5">
        <v>19.397798033651</v>
      </c>
      <c r="I111" s="5">
        <v>19.397798033651</v>
      </c>
      <c r="J111" s="5">
        <v>-0.776422525901696</v>
      </c>
      <c r="K111" s="5">
        <v>-0.776422525901696</v>
      </c>
      <c r="L111" s="5">
        <v>-0.776422525901696</v>
      </c>
      <c r="M111" s="5">
        <v>20.1742205595527</v>
      </c>
      <c r="N111" s="5">
        <v>20.1742205595527</v>
      </c>
      <c r="O111" s="5">
        <v>20.1742205595527</v>
      </c>
      <c r="P111" s="5">
        <v>0.0</v>
      </c>
      <c r="Q111" s="5">
        <v>0.0</v>
      </c>
      <c r="R111" s="5">
        <v>0.0</v>
      </c>
      <c r="S111" s="5">
        <v>23.0711767632508</v>
      </c>
    </row>
    <row r="112">
      <c r="A112" s="6">
        <v>40515.0</v>
      </c>
      <c r="B112" s="5">
        <v>3.6817738909986</v>
      </c>
      <c r="C112" s="5">
        <v>-43.50642130512</v>
      </c>
      <c r="D112" s="5">
        <v>83.6517059254502</v>
      </c>
      <c r="E112" s="5">
        <v>3.6817738909986</v>
      </c>
      <c r="F112" s="5">
        <v>3.6817738909986</v>
      </c>
      <c r="G112" s="5">
        <v>18.2625265965963</v>
      </c>
      <c r="H112" s="5">
        <v>18.2625265965963</v>
      </c>
      <c r="I112" s="5">
        <v>18.2625265965963</v>
      </c>
      <c r="J112" s="5">
        <v>-1.59155056649273</v>
      </c>
      <c r="K112" s="5">
        <v>-1.59155056649273</v>
      </c>
      <c r="L112" s="5">
        <v>-1.59155056649273</v>
      </c>
      <c r="M112" s="5">
        <v>19.854077163089</v>
      </c>
      <c r="N112" s="5">
        <v>19.854077163089</v>
      </c>
      <c r="O112" s="5">
        <v>19.854077163089</v>
      </c>
      <c r="P112" s="5">
        <v>0.0</v>
      </c>
      <c r="Q112" s="5">
        <v>0.0</v>
      </c>
      <c r="R112" s="5">
        <v>0.0</v>
      </c>
      <c r="S112" s="5">
        <v>21.9443004875949</v>
      </c>
    </row>
    <row r="113">
      <c r="A113" s="6">
        <v>40518.0</v>
      </c>
      <c r="B113" s="5">
        <v>3.70695937519481</v>
      </c>
      <c r="C113" s="5">
        <v>-40.9703625493612</v>
      </c>
      <c r="D113" s="5">
        <v>86.3096356220916</v>
      </c>
      <c r="E113" s="5">
        <v>3.70695937519481</v>
      </c>
      <c r="F113" s="5">
        <v>3.70695937519481</v>
      </c>
      <c r="G113" s="5">
        <v>18.617340392665</v>
      </c>
      <c r="H113" s="5">
        <v>18.617340392665</v>
      </c>
      <c r="I113" s="5">
        <v>18.617340392665</v>
      </c>
      <c r="J113" s="5">
        <v>0.0905589421217609</v>
      </c>
      <c r="K113" s="5">
        <v>0.0905589421217609</v>
      </c>
      <c r="L113" s="5">
        <v>0.0905589421217609</v>
      </c>
      <c r="M113" s="5">
        <v>18.5267814505432</v>
      </c>
      <c r="N113" s="5">
        <v>18.5267814505432</v>
      </c>
      <c r="O113" s="5">
        <v>18.5267814505432</v>
      </c>
      <c r="P113" s="5">
        <v>0.0</v>
      </c>
      <c r="Q113" s="5">
        <v>0.0</v>
      </c>
      <c r="R113" s="5">
        <v>0.0</v>
      </c>
      <c r="S113" s="5">
        <v>22.3242997678598</v>
      </c>
    </row>
    <row r="114">
      <c r="A114" s="6">
        <v>40519.0</v>
      </c>
      <c r="B114" s="5">
        <v>3.71535453659355</v>
      </c>
      <c r="C114" s="5">
        <v>-40.4270562130996</v>
      </c>
      <c r="D114" s="5">
        <v>85.1748493177734</v>
      </c>
      <c r="E114" s="5">
        <v>3.71535453659355</v>
      </c>
      <c r="F114" s="5">
        <v>3.71535453659355</v>
      </c>
      <c r="G114" s="5">
        <v>17.8489277561321</v>
      </c>
      <c r="H114" s="5">
        <v>17.8489277561321</v>
      </c>
      <c r="I114" s="5">
        <v>17.8489277561321</v>
      </c>
      <c r="J114" s="5">
        <v>-0.14411885724457</v>
      </c>
      <c r="K114" s="5">
        <v>-0.14411885724457</v>
      </c>
      <c r="L114" s="5">
        <v>-0.14411885724457</v>
      </c>
      <c r="M114" s="5">
        <v>17.9930466133766</v>
      </c>
      <c r="N114" s="5">
        <v>17.9930466133766</v>
      </c>
      <c r="O114" s="5">
        <v>17.9930466133766</v>
      </c>
      <c r="P114" s="5">
        <v>0.0</v>
      </c>
      <c r="Q114" s="5">
        <v>0.0</v>
      </c>
      <c r="R114" s="5">
        <v>0.0</v>
      </c>
      <c r="S114" s="5">
        <v>21.5642822927256</v>
      </c>
    </row>
    <row r="115">
      <c r="A115" s="6">
        <v>40520.0</v>
      </c>
      <c r="B115" s="5">
        <v>3.72374969799228</v>
      </c>
      <c r="C115" s="5">
        <v>-41.227466761139</v>
      </c>
      <c r="D115" s="5">
        <v>85.765089881827</v>
      </c>
      <c r="E115" s="5">
        <v>3.72374969799228</v>
      </c>
      <c r="F115" s="5">
        <v>3.72374969799228</v>
      </c>
      <c r="G115" s="5">
        <v>17.4411262609663</v>
      </c>
      <c r="H115" s="5">
        <v>17.4411262609663</v>
      </c>
      <c r="I115" s="5">
        <v>17.4411262609663</v>
      </c>
      <c r="J115" s="5">
        <v>0.00703780528016814</v>
      </c>
      <c r="K115" s="5">
        <v>0.00703780528016814</v>
      </c>
      <c r="L115" s="5">
        <v>0.00703780528016814</v>
      </c>
      <c r="M115" s="5">
        <v>17.4340884556861</v>
      </c>
      <c r="N115" s="5">
        <v>17.4340884556861</v>
      </c>
      <c r="O115" s="5">
        <v>17.4340884556861</v>
      </c>
      <c r="P115" s="5">
        <v>0.0</v>
      </c>
      <c r="Q115" s="5">
        <v>0.0</v>
      </c>
      <c r="R115" s="5">
        <v>0.0</v>
      </c>
      <c r="S115" s="5">
        <v>21.1648759589586</v>
      </c>
    </row>
    <row r="116">
      <c r="A116" s="6">
        <v>40521.0</v>
      </c>
      <c r="B116" s="5">
        <v>3.73214485939102</v>
      </c>
      <c r="C116" s="5">
        <v>-47.3106475958418</v>
      </c>
      <c r="D116" s="5">
        <v>81.9958075177265</v>
      </c>
      <c r="E116" s="5">
        <v>3.73214485939102</v>
      </c>
      <c r="F116" s="5">
        <v>3.73214485939102</v>
      </c>
      <c r="G116" s="5">
        <v>16.088151295415</v>
      </c>
      <c r="H116" s="5">
        <v>16.088151295415</v>
      </c>
      <c r="I116" s="5">
        <v>16.088151295415</v>
      </c>
      <c r="J116" s="5">
        <v>-0.776422525902418</v>
      </c>
      <c r="K116" s="5">
        <v>-0.776422525902418</v>
      </c>
      <c r="L116" s="5">
        <v>-0.776422525902418</v>
      </c>
      <c r="M116" s="5">
        <v>16.8645738213175</v>
      </c>
      <c r="N116" s="5">
        <v>16.8645738213175</v>
      </c>
      <c r="O116" s="5">
        <v>16.8645738213175</v>
      </c>
      <c r="P116" s="5">
        <v>0.0</v>
      </c>
      <c r="Q116" s="5">
        <v>0.0</v>
      </c>
      <c r="R116" s="5">
        <v>0.0</v>
      </c>
      <c r="S116" s="5">
        <v>19.8202961548061</v>
      </c>
    </row>
    <row r="117">
      <c r="A117" s="6">
        <v>40522.0</v>
      </c>
      <c r="B117" s="5">
        <v>3.74054002078976</v>
      </c>
      <c r="C117" s="5">
        <v>-42.9351060802068</v>
      </c>
      <c r="D117" s="5">
        <v>80.8598427691633</v>
      </c>
      <c r="E117" s="5">
        <v>3.74054002078976</v>
      </c>
      <c r="F117" s="5">
        <v>3.74054002078976</v>
      </c>
      <c r="G117" s="5">
        <v>14.7087519386284</v>
      </c>
      <c r="H117" s="5">
        <v>14.7087519386284</v>
      </c>
      <c r="I117" s="5">
        <v>14.7087519386284</v>
      </c>
      <c r="J117" s="5">
        <v>-1.59155056649181</v>
      </c>
      <c r="K117" s="5">
        <v>-1.59155056649181</v>
      </c>
      <c r="L117" s="5">
        <v>-1.59155056649181</v>
      </c>
      <c r="M117" s="5">
        <v>16.3003025051202</v>
      </c>
      <c r="N117" s="5">
        <v>16.3003025051202</v>
      </c>
      <c r="O117" s="5">
        <v>16.3003025051202</v>
      </c>
      <c r="P117" s="5">
        <v>0.0</v>
      </c>
      <c r="Q117" s="5">
        <v>0.0</v>
      </c>
      <c r="R117" s="5">
        <v>0.0</v>
      </c>
      <c r="S117" s="5">
        <v>18.4492919594181</v>
      </c>
    </row>
    <row r="118">
      <c r="A118" s="6">
        <v>40525.0</v>
      </c>
      <c r="B118" s="5">
        <v>3.76572550498596</v>
      </c>
      <c r="C118" s="5">
        <v>-43.2340335053399</v>
      </c>
      <c r="D118" s="5">
        <v>80.7893833463318</v>
      </c>
      <c r="E118" s="5">
        <v>3.76572550498596</v>
      </c>
      <c r="F118" s="5">
        <v>3.76572550498596</v>
      </c>
      <c r="G118" s="5">
        <v>14.8958928899522</v>
      </c>
      <c r="H118" s="5">
        <v>14.8958928899522</v>
      </c>
      <c r="I118" s="5">
        <v>14.8958928899522</v>
      </c>
      <c r="J118" s="5">
        <v>0.0905589421227874</v>
      </c>
      <c r="K118" s="5">
        <v>0.0905589421227874</v>
      </c>
      <c r="L118" s="5">
        <v>0.0905589421227874</v>
      </c>
      <c r="M118" s="5">
        <v>14.8053339478294</v>
      </c>
      <c r="N118" s="5">
        <v>14.8053339478294</v>
      </c>
      <c r="O118" s="5">
        <v>14.8053339478294</v>
      </c>
      <c r="P118" s="5">
        <v>0.0</v>
      </c>
      <c r="Q118" s="5">
        <v>0.0</v>
      </c>
      <c r="R118" s="5">
        <v>0.0</v>
      </c>
      <c r="S118" s="5">
        <v>18.6616183949382</v>
      </c>
    </row>
    <row r="119">
      <c r="A119" s="6">
        <v>40526.0</v>
      </c>
      <c r="B119" s="5">
        <v>3.7741206663847</v>
      </c>
      <c r="C119" s="5">
        <v>-49.0630487192173</v>
      </c>
      <c r="D119" s="5">
        <v>82.8809674080248</v>
      </c>
      <c r="E119" s="5">
        <v>3.7741206663847</v>
      </c>
      <c r="F119" s="5">
        <v>3.7741206663847</v>
      </c>
      <c r="G119" s="5">
        <v>14.2839895626179</v>
      </c>
      <c r="H119" s="5">
        <v>14.2839895626179</v>
      </c>
      <c r="I119" s="5">
        <v>14.2839895626179</v>
      </c>
      <c r="J119" s="5">
        <v>-0.144118857246006</v>
      </c>
      <c r="K119" s="5">
        <v>-0.144118857246006</v>
      </c>
      <c r="L119" s="5">
        <v>-0.144118857246006</v>
      </c>
      <c r="M119" s="5">
        <v>14.4281084198639</v>
      </c>
      <c r="N119" s="5">
        <v>14.4281084198639</v>
      </c>
      <c r="O119" s="5">
        <v>14.4281084198639</v>
      </c>
      <c r="P119" s="5">
        <v>0.0</v>
      </c>
      <c r="Q119" s="5">
        <v>0.0</v>
      </c>
      <c r="R119" s="5">
        <v>0.0</v>
      </c>
      <c r="S119" s="5">
        <v>18.0581102290026</v>
      </c>
    </row>
    <row r="120">
      <c r="A120" s="6">
        <v>40527.0</v>
      </c>
      <c r="B120" s="5">
        <v>3.78251582778344</v>
      </c>
      <c r="C120" s="5">
        <v>-43.7835174052473</v>
      </c>
      <c r="D120" s="5">
        <v>80.9720346270575</v>
      </c>
      <c r="E120" s="5">
        <v>3.78251582778344</v>
      </c>
      <c r="F120" s="5">
        <v>3.78251582778344</v>
      </c>
      <c r="G120" s="5">
        <v>14.1442869437681</v>
      </c>
      <c r="H120" s="5">
        <v>14.1442869437681</v>
      </c>
      <c r="I120" s="5">
        <v>14.1442869437681</v>
      </c>
      <c r="J120" s="5">
        <v>0.00703780528147934</v>
      </c>
      <c r="K120" s="5">
        <v>0.00703780528147934</v>
      </c>
      <c r="L120" s="5">
        <v>0.00703780528147934</v>
      </c>
      <c r="M120" s="5">
        <v>14.1372491384866</v>
      </c>
      <c r="N120" s="5">
        <v>14.1372491384866</v>
      </c>
      <c r="O120" s="5">
        <v>14.1372491384866</v>
      </c>
      <c r="P120" s="5">
        <v>0.0</v>
      </c>
      <c r="Q120" s="5">
        <v>0.0</v>
      </c>
      <c r="R120" s="5">
        <v>0.0</v>
      </c>
      <c r="S120" s="5">
        <v>17.9268027715516</v>
      </c>
    </row>
    <row r="121">
      <c r="A121" s="6">
        <v>40528.0</v>
      </c>
      <c r="B121" s="5">
        <v>3.79091098918217</v>
      </c>
      <c r="C121" s="5">
        <v>-52.2012478132291</v>
      </c>
      <c r="D121" s="5">
        <v>79.1667563151877</v>
      </c>
      <c r="E121" s="5">
        <v>3.79091098918217</v>
      </c>
      <c r="F121" s="5">
        <v>3.79091098918217</v>
      </c>
      <c r="G121" s="5">
        <v>13.1698285687773</v>
      </c>
      <c r="H121" s="5">
        <v>13.1698285687773</v>
      </c>
      <c r="I121" s="5">
        <v>13.1698285687773</v>
      </c>
      <c r="J121" s="5">
        <v>-0.77642252590314</v>
      </c>
      <c r="K121" s="5">
        <v>-0.77642252590314</v>
      </c>
      <c r="L121" s="5">
        <v>-0.77642252590314</v>
      </c>
      <c r="M121" s="5">
        <v>13.9462510946804</v>
      </c>
      <c r="N121" s="5">
        <v>13.9462510946804</v>
      </c>
      <c r="O121" s="5">
        <v>13.9462510946804</v>
      </c>
      <c r="P121" s="5">
        <v>0.0</v>
      </c>
      <c r="Q121" s="5">
        <v>0.0</v>
      </c>
      <c r="R121" s="5">
        <v>0.0</v>
      </c>
      <c r="S121" s="5">
        <v>16.9607395579595</v>
      </c>
    </row>
    <row r="122">
      <c r="A122" s="6">
        <v>40529.0</v>
      </c>
      <c r="B122" s="5">
        <v>3.79930615058091</v>
      </c>
      <c r="C122" s="5">
        <v>-48.3500650978226</v>
      </c>
      <c r="D122" s="5">
        <v>80.5544904686332</v>
      </c>
      <c r="E122" s="5">
        <v>3.79930615058091</v>
      </c>
      <c r="F122" s="5">
        <v>3.79930615058091</v>
      </c>
      <c r="G122" s="5">
        <v>12.2751440629819</v>
      </c>
      <c r="H122" s="5">
        <v>12.2751440629819</v>
      </c>
      <c r="I122" s="5">
        <v>12.2751440629819</v>
      </c>
      <c r="J122" s="5">
        <v>-1.59155056649057</v>
      </c>
      <c r="K122" s="5">
        <v>-1.59155056649057</v>
      </c>
      <c r="L122" s="5">
        <v>-1.59155056649057</v>
      </c>
      <c r="M122" s="5">
        <v>13.8666946294725</v>
      </c>
      <c r="N122" s="5">
        <v>13.8666946294725</v>
      </c>
      <c r="O122" s="5">
        <v>13.8666946294725</v>
      </c>
      <c r="P122" s="5">
        <v>0.0</v>
      </c>
      <c r="Q122" s="5">
        <v>0.0</v>
      </c>
      <c r="R122" s="5">
        <v>0.0</v>
      </c>
      <c r="S122" s="5">
        <v>16.0744502135628</v>
      </c>
    </row>
    <row r="123">
      <c r="A123" s="6">
        <v>40532.0</v>
      </c>
      <c r="B123" s="5">
        <v>3.82449163477712</v>
      </c>
      <c r="C123" s="5">
        <v>-42.4704733395713</v>
      </c>
      <c r="D123" s="5">
        <v>82.7479095026228</v>
      </c>
      <c r="E123" s="5">
        <v>3.82449163477712</v>
      </c>
      <c r="F123" s="5">
        <v>3.82449163477712</v>
      </c>
      <c r="G123" s="5">
        <v>14.4670280976101</v>
      </c>
      <c r="H123" s="5">
        <v>14.4670280976101</v>
      </c>
      <c r="I123" s="5">
        <v>14.4670280976101</v>
      </c>
      <c r="J123" s="5">
        <v>0.0905589421213502</v>
      </c>
      <c r="K123" s="5">
        <v>0.0905589421213502</v>
      </c>
      <c r="L123" s="5">
        <v>0.0905589421213502</v>
      </c>
      <c r="M123" s="5">
        <v>14.3764691554887</v>
      </c>
      <c r="N123" s="5">
        <v>14.3764691554887</v>
      </c>
      <c r="O123" s="5">
        <v>14.3764691554887</v>
      </c>
      <c r="P123" s="5">
        <v>0.0</v>
      </c>
      <c r="Q123" s="5">
        <v>0.0</v>
      </c>
      <c r="R123" s="5">
        <v>0.0</v>
      </c>
      <c r="S123" s="5">
        <v>18.2915197323872</v>
      </c>
    </row>
    <row r="124">
      <c r="A124" s="6">
        <v>40533.0</v>
      </c>
      <c r="B124" s="5">
        <v>3.83288679617585</v>
      </c>
      <c r="C124" s="5">
        <v>-42.977683040672</v>
      </c>
      <c r="D124" s="5">
        <v>83.5158678157654</v>
      </c>
      <c r="E124" s="5">
        <v>3.83288679617585</v>
      </c>
      <c r="F124" s="5">
        <v>3.83288679617585</v>
      </c>
      <c r="G124" s="5">
        <v>14.6644687065349</v>
      </c>
      <c r="H124" s="5">
        <v>14.6644687065349</v>
      </c>
      <c r="I124" s="5">
        <v>14.6644687065349</v>
      </c>
      <c r="J124" s="5">
        <v>-0.144118857243808</v>
      </c>
      <c r="K124" s="5">
        <v>-0.144118857243808</v>
      </c>
      <c r="L124" s="5">
        <v>-0.144118857243808</v>
      </c>
      <c r="M124" s="5">
        <v>14.8085875637787</v>
      </c>
      <c r="N124" s="5">
        <v>14.8085875637787</v>
      </c>
      <c r="O124" s="5">
        <v>14.8085875637787</v>
      </c>
      <c r="P124" s="5">
        <v>0.0</v>
      </c>
      <c r="Q124" s="5">
        <v>0.0</v>
      </c>
      <c r="R124" s="5">
        <v>0.0</v>
      </c>
      <c r="S124" s="5">
        <v>18.4973555027108</v>
      </c>
    </row>
    <row r="125">
      <c r="A125" s="6">
        <v>40534.0</v>
      </c>
      <c r="B125" s="5">
        <v>3.84128195757459</v>
      </c>
      <c r="C125" s="5">
        <v>-42.6470140378588</v>
      </c>
      <c r="D125" s="5">
        <v>83.1730025576399</v>
      </c>
      <c r="E125" s="5">
        <v>3.84128195757459</v>
      </c>
      <c r="F125" s="5">
        <v>3.84128195757459</v>
      </c>
      <c r="G125" s="5">
        <v>15.3776350829701</v>
      </c>
      <c r="H125" s="5">
        <v>15.3776350829701</v>
      </c>
      <c r="I125" s="5">
        <v>15.3776350829701</v>
      </c>
      <c r="J125" s="5">
        <v>0.00703780528062665</v>
      </c>
      <c r="K125" s="5">
        <v>0.00703780528062665</v>
      </c>
      <c r="L125" s="5">
        <v>0.00703780528062665</v>
      </c>
      <c r="M125" s="5">
        <v>15.3705972776895</v>
      </c>
      <c r="N125" s="5">
        <v>15.3705972776895</v>
      </c>
      <c r="O125" s="5">
        <v>15.3705972776895</v>
      </c>
      <c r="P125" s="5">
        <v>0.0</v>
      </c>
      <c r="Q125" s="5">
        <v>0.0</v>
      </c>
      <c r="R125" s="5">
        <v>0.0</v>
      </c>
      <c r="S125" s="5">
        <v>19.2189170405447</v>
      </c>
    </row>
    <row r="126">
      <c r="A126" s="6">
        <v>40535.0</v>
      </c>
      <c r="B126" s="5">
        <v>3.84967711897333</v>
      </c>
      <c r="C126" s="5">
        <v>-43.0976853756108</v>
      </c>
      <c r="D126" s="5">
        <v>80.0077797364292</v>
      </c>
      <c r="E126" s="5">
        <v>3.84967711897333</v>
      </c>
      <c r="F126" s="5">
        <v>3.84967711897333</v>
      </c>
      <c r="G126" s="5">
        <v>15.2806592651277</v>
      </c>
      <c r="H126" s="5">
        <v>15.2806592651277</v>
      </c>
      <c r="I126" s="5">
        <v>15.2806592651277</v>
      </c>
      <c r="J126" s="5">
        <v>-0.776422525902387</v>
      </c>
      <c r="K126" s="5">
        <v>-0.776422525902387</v>
      </c>
      <c r="L126" s="5">
        <v>-0.776422525902387</v>
      </c>
      <c r="M126" s="5">
        <v>16.0570817910301</v>
      </c>
      <c r="N126" s="5">
        <v>16.0570817910301</v>
      </c>
      <c r="O126" s="5">
        <v>16.0570817910301</v>
      </c>
      <c r="P126" s="5">
        <v>0.0</v>
      </c>
      <c r="Q126" s="5">
        <v>0.0</v>
      </c>
      <c r="R126" s="5">
        <v>0.0</v>
      </c>
      <c r="S126" s="5">
        <v>19.1303363841011</v>
      </c>
    </row>
    <row r="127">
      <c r="A127" s="6">
        <v>40539.0</v>
      </c>
      <c r="B127" s="5">
        <v>3.88325776456827</v>
      </c>
      <c r="C127" s="5">
        <v>-39.2578568842671</v>
      </c>
      <c r="D127" s="5">
        <v>86.6081897472029</v>
      </c>
      <c r="E127" s="5">
        <v>3.88325776456827</v>
      </c>
      <c r="F127" s="5">
        <v>3.88325776456827</v>
      </c>
      <c r="G127" s="5">
        <v>19.9256750601507</v>
      </c>
      <c r="H127" s="5">
        <v>19.9256750601507</v>
      </c>
      <c r="I127" s="5">
        <v>19.9256750601507</v>
      </c>
      <c r="J127" s="5">
        <v>0.0905589421199127</v>
      </c>
      <c r="K127" s="5">
        <v>0.0905589421199127</v>
      </c>
      <c r="L127" s="5">
        <v>0.0905589421199127</v>
      </c>
      <c r="M127" s="5">
        <v>19.8351161180308</v>
      </c>
      <c r="N127" s="5">
        <v>19.8351161180308</v>
      </c>
      <c r="O127" s="5">
        <v>19.8351161180308</v>
      </c>
      <c r="P127" s="5">
        <v>0.0</v>
      </c>
      <c r="Q127" s="5">
        <v>0.0</v>
      </c>
      <c r="R127" s="5">
        <v>0.0</v>
      </c>
      <c r="S127" s="5">
        <v>23.808932824719</v>
      </c>
    </row>
    <row r="128">
      <c r="A128" s="6">
        <v>40540.0</v>
      </c>
      <c r="B128" s="5">
        <v>3.89165292596701</v>
      </c>
      <c r="C128" s="5">
        <v>-37.7877203509595</v>
      </c>
      <c r="D128" s="5">
        <v>84.1552876344509</v>
      </c>
      <c r="E128" s="5">
        <v>3.89165292596701</v>
      </c>
      <c r="F128" s="5">
        <v>3.89165292596701</v>
      </c>
      <c r="G128" s="5">
        <v>20.8173522399627</v>
      </c>
      <c r="H128" s="5">
        <v>20.8173522399627</v>
      </c>
      <c r="I128" s="5">
        <v>20.8173522399627</v>
      </c>
      <c r="J128" s="5">
        <v>-0.144118857246658</v>
      </c>
      <c r="K128" s="5">
        <v>-0.144118857246658</v>
      </c>
      <c r="L128" s="5">
        <v>-0.144118857246658</v>
      </c>
      <c r="M128" s="5">
        <v>20.9614710972094</v>
      </c>
      <c r="N128" s="5">
        <v>20.9614710972094</v>
      </c>
      <c r="O128" s="5">
        <v>20.9614710972094</v>
      </c>
      <c r="P128" s="5">
        <v>0.0</v>
      </c>
      <c r="Q128" s="5">
        <v>0.0</v>
      </c>
      <c r="R128" s="5">
        <v>0.0</v>
      </c>
      <c r="S128" s="5">
        <v>24.7090051659297</v>
      </c>
    </row>
    <row r="129">
      <c r="A129" s="6">
        <v>40541.0</v>
      </c>
      <c r="B129" s="5">
        <v>3.90004808736574</v>
      </c>
      <c r="C129" s="5">
        <v>-36.2738742839702</v>
      </c>
      <c r="D129" s="5">
        <v>88.2742075007111</v>
      </c>
      <c r="E129" s="5">
        <v>3.90004808736574</v>
      </c>
      <c r="F129" s="5">
        <v>3.90004808736574</v>
      </c>
      <c r="G129" s="5">
        <v>22.1297473793509</v>
      </c>
      <c r="H129" s="5">
        <v>22.1297473793509</v>
      </c>
      <c r="I129" s="5">
        <v>22.1297473793509</v>
      </c>
      <c r="J129" s="5">
        <v>0.00703780528292909</v>
      </c>
      <c r="K129" s="5">
        <v>0.00703780528292909</v>
      </c>
      <c r="L129" s="5">
        <v>0.00703780528292909</v>
      </c>
      <c r="M129" s="5">
        <v>22.122709574068</v>
      </c>
      <c r="N129" s="5">
        <v>22.122709574068</v>
      </c>
      <c r="O129" s="5">
        <v>22.122709574068</v>
      </c>
      <c r="P129" s="5">
        <v>0.0</v>
      </c>
      <c r="Q129" s="5">
        <v>0.0</v>
      </c>
      <c r="R129" s="5">
        <v>0.0</v>
      </c>
      <c r="S129" s="5">
        <v>26.0297954667167</v>
      </c>
    </row>
    <row r="130">
      <c r="A130" s="6">
        <v>40542.0</v>
      </c>
      <c r="B130" s="5">
        <v>3.90844324876448</v>
      </c>
      <c r="C130" s="5">
        <v>-36.1496547287716</v>
      </c>
      <c r="D130" s="5">
        <v>90.571841647758</v>
      </c>
      <c r="E130" s="5">
        <v>3.90844324876448</v>
      </c>
      <c r="F130" s="5">
        <v>3.90844324876448</v>
      </c>
      <c r="G130" s="5">
        <v>22.5209500962183</v>
      </c>
      <c r="H130" s="5">
        <v>22.5209500962183</v>
      </c>
      <c r="I130" s="5">
        <v>22.5209500962183</v>
      </c>
      <c r="J130" s="5">
        <v>-0.776422525901734</v>
      </c>
      <c r="K130" s="5">
        <v>-0.776422525901734</v>
      </c>
      <c r="L130" s="5">
        <v>-0.776422525901734</v>
      </c>
      <c r="M130" s="5">
        <v>23.29737262212</v>
      </c>
      <c r="N130" s="5">
        <v>23.29737262212</v>
      </c>
      <c r="O130" s="5">
        <v>23.29737262212</v>
      </c>
      <c r="P130" s="5">
        <v>0.0</v>
      </c>
      <c r="Q130" s="5">
        <v>0.0</v>
      </c>
      <c r="R130" s="5">
        <v>0.0</v>
      </c>
      <c r="S130" s="5">
        <v>26.4293933449827</v>
      </c>
    </row>
    <row r="131">
      <c r="A131" s="6">
        <v>40543.0</v>
      </c>
      <c r="B131" s="5">
        <v>3.91683841016322</v>
      </c>
      <c r="C131" s="5">
        <v>-39.9247260043354</v>
      </c>
      <c r="D131" s="5">
        <v>86.4164334603854</v>
      </c>
      <c r="E131" s="5">
        <v>3.91683841016322</v>
      </c>
      <c r="F131" s="5">
        <v>3.91683841016322</v>
      </c>
      <c r="G131" s="5">
        <v>22.8717744743012</v>
      </c>
      <c r="H131" s="5">
        <v>22.8717744743012</v>
      </c>
      <c r="I131" s="5">
        <v>22.8717744743012</v>
      </c>
      <c r="J131" s="5">
        <v>-1.59155056649146</v>
      </c>
      <c r="K131" s="5">
        <v>-1.59155056649146</v>
      </c>
      <c r="L131" s="5">
        <v>-1.59155056649146</v>
      </c>
      <c r="M131" s="5">
        <v>24.4633250407927</v>
      </c>
      <c r="N131" s="5">
        <v>24.4633250407927</v>
      </c>
      <c r="O131" s="5">
        <v>24.4633250407927</v>
      </c>
      <c r="P131" s="5">
        <v>0.0</v>
      </c>
      <c r="Q131" s="5">
        <v>0.0</v>
      </c>
      <c r="R131" s="5">
        <v>0.0</v>
      </c>
      <c r="S131" s="5">
        <v>26.7886128844645</v>
      </c>
    </row>
    <row r="132">
      <c r="A132" s="6">
        <v>40546.0</v>
      </c>
      <c r="B132" s="5">
        <v>3.94202389435943</v>
      </c>
      <c r="C132" s="5">
        <v>-34.4149614424358</v>
      </c>
      <c r="D132" s="5">
        <v>100.025131356673</v>
      </c>
      <c r="E132" s="5">
        <v>3.94202389435943</v>
      </c>
      <c r="F132" s="5">
        <v>3.94202389435943</v>
      </c>
      <c r="G132" s="5">
        <v>27.7789853762208</v>
      </c>
      <c r="H132" s="5">
        <v>27.7789853762208</v>
      </c>
      <c r="I132" s="5">
        <v>27.7789853762208</v>
      </c>
      <c r="J132" s="5">
        <v>0.0905589421233231</v>
      </c>
      <c r="K132" s="5">
        <v>0.0905589421233231</v>
      </c>
      <c r="L132" s="5">
        <v>0.0905589421233231</v>
      </c>
      <c r="M132" s="5">
        <v>27.6884264340975</v>
      </c>
      <c r="N132" s="5">
        <v>27.6884264340975</v>
      </c>
      <c r="O132" s="5">
        <v>27.6884264340975</v>
      </c>
      <c r="P132" s="5">
        <v>0.0</v>
      </c>
      <c r="Q132" s="5">
        <v>0.0</v>
      </c>
      <c r="R132" s="5">
        <v>0.0</v>
      </c>
      <c r="S132" s="5">
        <v>31.7210092705802</v>
      </c>
    </row>
    <row r="133">
      <c r="A133" s="6">
        <v>40547.0</v>
      </c>
      <c r="B133" s="5">
        <v>3.95041905575816</v>
      </c>
      <c r="C133" s="5">
        <v>-28.2058485439085</v>
      </c>
      <c r="D133" s="5">
        <v>92.2808797986495</v>
      </c>
      <c r="E133" s="5">
        <v>3.95041905575816</v>
      </c>
      <c r="F133" s="5">
        <v>3.95041905575816</v>
      </c>
      <c r="G133" s="5">
        <v>28.4588781273897</v>
      </c>
      <c r="H133" s="5">
        <v>28.4588781273897</v>
      </c>
      <c r="I133" s="5">
        <v>28.4588781273897</v>
      </c>
      <c r="J133" s="5">
        <v>-0.14411885724557</v>
      </c>
      <c r="K133" s="5">
        <v>-0.14411885724557</v>
      </c>
      <c r="L133" s="5">
        <v>-0.14411885724557</v>
      </c>
      <c r="M133" s="5">
        <v>28.6029969846353</v>
      </c>
      <c r="N133" s="5">
        <v>28.6029969846353</v>
      </c>
      <c r="O133" s="5">
        <v>28.6029969846353</v>
      </c>
      <c r="P133" s="5">
        <v>0.0</v>
      </c>
      <c r="Q133" s="5">
        <v>0.0</v>
      </c>
      <c r="R133" s="5">
        <v>0.0</v>
      </c>
      <c r="S133" s="5">
        <v>32.4092971831479</v>
      </c>
    </row>
    <row r="134">
      <c r="A134" s="6">
        <v>40548.0</v>
      </c>
      <c r="B134" s="5">
        <v>3.9588142171569</v>
      </c>
      <c r="C134" s="5">
        <v>-33.0651756775994</v>
      </c>
      <c r="D134" s="5">
        <v>93.5371998566388</v>
      </c>
      <c r="E134" s="5">
        <v>3.9588142171569</v>
      </c>
      <c r="F134" s="5">
        <v>3.9588142171569</v>
      </c>
      <c r="G134" s="5">
        <v>29.4133261922975</v>
      </c>
      <c r="H134" s="5">
        <v>29.4133261922975</v>
      </c>
      <c r="I134" s="5">
        <v>29.4133261922975</v>
      </c>
      <c r="J134" s="5">
        <v>0.00703780528424009</v>
      </c>
      <c r="K134" s="5">
        <v>0.00703780528424009</v>
      </c>
      <c r="L134" s="5">
        <v>0.00703780528424009</v>
      </c>
      <c r="M134" s="5">
        <v>29.4062883870133</v>
      </c>
      <c r="N134" s="5">
        <v>29.4062883870133</v>
      </c>
      <c r="O134" s="5">
        <v>29.4062883870133</v>
      </c>
      <c r="P134" s="5">
        <v>0.0</v>
      </c>
      <c r="Q134" s="5">
        <v>0.0</v>
      </c>
      <c r="R134" s="5">
        <v>0.0</v>
      </c>
      <c r="S134" s="5">
        <v>33.3721404094544</v>
      </c>
    </row>
    <row r="135">
      <c r="A135" s="6">
        <v>40549.0</v>
      </c>
      <c r="B135" s="5">
        <v>3.96720937855563</v>
      </c>
      <c r="C135" s="5">
        <v>-24.2227634585846</v>
      </c>
      <c r="D135" s="5">
        <v>102.064032428793</v>
      </c>
      <c r="E135" s="5">
        <v>3.96720937855563</v>
      </c>
      <c r="F135" s="5">
        <v>3.96720937855563</v>
      </c>
      <c r="G135" s="5">
        <v>29.3064344976662</v>
      </c>
      <c r="H135" s="5">
        <v>29.3064344976662</v>
      </c>
      <c r="I135" s="5">
        <v>29.3064344976662</v>
      </c>
      <c r="J135" s="5">
        <v>-0.776422525903831</v>
      </c>
      <c r="K135" s="5">
        <v>-0.776422525903831</v>
      </c>
      <c r="L135" s="5">
        <v>-0.776422525903831</v>
      </c>
      <c r="M135" s="5">
        <v>30.08285702357</v>
      </c>
      <c r="N135" s="5">
        <v>30.08285702357</v>
      </c>
      <c r="O135" s="5">
        <v>30.08285702357</v>
      </c>
      <c r="P135" s="5">
        <v>0.0</v>
      </c>
      <c r="Q135" s="5">
        <v>0.0</v>
      </c>
      <c r="R135" s="5">
        <v>0.0</v>
      </c>
      <c r="S135" s="5">
        <v>33.2736438762219</v>
      </c>
    </row>
    <row r="136">
      <c r="A136" s="6">
        <v>40550.0</v>
      </c>
      <c r="B136" s="5">
        <v>3.97560453995437</v>
      </c>
      <c r="C136" s="5">
        <v>-30.3641085102167</v>
      </c>
      <c r="D136" s="5">
        <v>96.0363336577248</v>
      </c>
      <c r="E136" s="5">
        <v>3.97560453995437</v>
      </c>
      <c r="F136" s="5">
        <v>3.97560453995437</v>
      </c>
      <c r="G136" s="5">
        <v>29.028369806463</v>
      </c>
      <c r="H136" s="5">
        <v>29.028369806463</v>
      </c>
      <c r="I136" s="5">
        <v>29.028369806463</v>
      </c>
      <c r="J136" s="5">
        <v>-1.5915505664936</v>
      </c>
      <c r="K136" s="5">
        <v>-1.5915505664936</v>
      </c>
      <c r="L136" s="5">
        <v>-1.5915505664936</v>
      </c>
      <c r="M136" s="5">
        <v>30.6199203729566</v>
      </c>
      <c r="N136" s="5">
        <v>30.6199203729566</v>
      </c>
      <c r="O136" s="5">
        <v>30.6199203729566</v>
      </c>
      <c r="P136" s="5">
        <v>0.0</v>
      </c>
      <c r="Q136" s="5">
        <v>0.0</v>
      </c>
      <c r="R136" s="5">
        <v>0.0</v>
      </c>
      <c r="S136" s="5">
        <v>33.0039743464174</v>
      </c>
    </row>
    <row r="137">
      <c r="A137" s="6">
        <v>40553.0</v>
      </c>
      <c r="B137" s="5">
        <v>4.00079002415058</v>
      </c>
      <c r="C137" s="5">
        <v>-26.5488373619149</v>
      </c>
      <c r="D137" s="5">
        <v>98.8627141245337</v>
      </c>
      <c r="E137" s="5">
        <v>4.00079002415058</v>
      </c>
      <c r="F137" s="5">
        <v>4.00079002415058</v>
      </c>
      <c r="G137" s="5">
        <v>31.4024430887059</v>
      </c>
      <c r="H137" s="5">
        <v>31.4024430887059</v>
      </c>
      <c r="I137" s="5">
        <v>31.4024430887059</v>
      </c>
      <c r="J137" s="5">
        <v>0.0905589421195018</v>
      </c>
      <c r="K137" s="5">
        <v>0.0905589421195018</v>
      </c>
      <c r="L137" s="5">
        <v>0.0905589421195018</v>
      </c>
      <c r="M137" s="5">
        <v>31.3118841465864</v>
      </c>
      <c r="N137" s="5">
        <v>31.3118841465864</v>
      </c>
      <c r="O137" s="5">
        <v>31.3118841465864</v>
      </c>
      <c r="P137" s="5">
        <v>0.0</v>
      </c>
      <c r="Q137" s="5">
        <v>0.0</v>
      </c>
      <c r="R137" s="5">
        <v>0.0</v>
      </c>
      <c r="S137" s="5">
        <v>35.4032331128565</v>
      </c>
    </row>
    <row r="138">
      <c r="A138" s="6">
        <v>40554.0</v>
      </c>
      <c r="B138" s="5">
        <v>4.00918518554932</v>
      </c>
      <c r="C138" s="5">
        <v>-30.553802501052</v>
      </c>
      <c r="D138" s="5">
        <v>98.6060252590283</v>
      </c>
      <c r="E138" s="5">
        <v>4.00918518554932</v>
      </c>
      <c r="F138" s="5">
        <v>4.00918518554932</v>
      </c>
      <c r="G138" s="5">
        <v>31.0809897896597</v>
      </c>
      <c r="H138" s="5">
        <v>31.0809897896597</v>
      </c>
      <c r="I138" s="5">
        <v>31.0809897896597</v>
      </c>
      <c r="J138" s="5">
        <v>-0.144118857244482</v>
      </c>
      <c r="K138" s="5">
        <v>-0.144118857244482</v>
      </c>
      <c r="L138" s="5">
        <v>-0.144118857244482</v>
      </c>
      <c r="M138" s="5">
        <v>31.2251086469042</v>
      </c>
      <c r="N138" s="5">
        <v>31.2251086469042</v>
      </c>
      <c r="O138" s="5">
        <v>31.2251086469042</v>
      </c>
      <c r="P138" s="5">
        <v>0.0</v>
      </c>
      <c r="Q138" s="5">
        <v>0.0</v>
      </c>
      <c r="R138" s="5">
        <v>0.0</v>
      </c>
      <c r="S138" s="5">
        <v>35.0901749752091</v>
      </c>
    </row>
    <row r="139">
      <c r="A139" s="6">
        <v>40555.0</v>
      </c>
      <c r="B139" s="5">
        <v>4.01758034694805</v>
      </c>
      <c r="C139" s="5">
        <v>-30.9545579991978</v>
      </c>
      <c r="D139" s="5">
        <v>98.9843399243791</v>
      </c>
      <c r="E139" s="5">
        <v>4.01758034694805</v>
      </c>
      <c r="F139" s="5">
        <v>4.01758034694805</v>
      </c>
      <c r="G139" s="5">
        <v>30.9895216077793</v>
      </c>
      <c r="H139" s="5">
        <v>30.9895216077793</v>
      </c>
      <c r="I139" s="5">
        <v>30.9895216077793</v>
      </c>
      <c r="J139" s="5">
        <v>0.00703780528122395</v>
      </c>
      <c r="K139" s="5">
        <v>0.00703780528122395</v>
      </c>
      <c r="L139" s="5">
        <v>0.00703780528122395</v>
      </c>
      <c r="M139" s="5">
        <v>30.9824838024981</v>
      </c>
      <c r="N139" s="5">
        <v>30.9824838024981</v>
      </c>
      <c r="O139" s="5">
        <v>30.9824838024981</v>
      </c>
      <c r="P139" s="5">
        <v>0.0</v>
      </c>
      <c r="Q139" s="5">
        <v>0.0</v>
      </c>
      <c r="R139" s="5">
        <v>0.0</v>
      </c>
      <c r="S139" s="5">
        <v>35.0071019547274</v>
      </c>
    </row>
    <row r="140">
      <c r="A140" s="6">
        <v>40556.0</v>
      </c>
      <c r="B140" s="5">
        <v>4.02597550834679</v>
      </c>
      <c r="C140" s="5">
        <v>-27.0100534236103</v>
      </c>
      <c r="D140" s="5">
        <v>92.0410759077454</v>
      </c>
      <c r="E140" s="5">
        <v>4.02597550834679</v>
      </c>
      <c r="F140" s="5">
        <v>4.02597550834679</v>
      </c>
      <c r="G140" s="5">
        <v>29.8142024143153</v>
      </c>
      <c r="H140" s="5">
        <v>29.8142024143153</v>
      </c>
      <c r="I140" s="5">
        <v>29.8142024143153</v>
      </c>
      <c r="J140" s="5">
        <v>-0.776422525904553</v>
      </c>
      <c r="K140" s="5">
        <v>-0.776422525904553</v>
      </c>
      <c r="L140" s="5">
        <v>-0.776422525904553</v>
      </c>
      <c r="M140" s="5">
        <v>30.5906249402198</v>
      </c>
      <c r="N140" s="5">
        <v>30.5906249402198</v>
      </c>
      <c r="O140" s="5">
        <v>30.5906249402198</v>
      </c>
      <c r="P140" s="5">
        <v>0.0</v>
      </c>
      <c r="Q140" s="5">
        <v>0.0</v>
      </c>
      <c r="R140" s="5">
        <v>0.0</v>
      </c>
      <c r="S140" s="5">
        <v>33.8401779226621</v>
      </c>
    </row>
    <row r="141">
      <c r="A141" s="6">
        <v>40557.0</v>
      </c>
      <c r="B141" s="5">
        <v>4.03437066974552</v>
      </c>
      <c r="C141" s="5">
        <v>-30.6296653717538</v>
      </c>
      <c r="D141" s="5">
        <v>97.3875081999536</v>
      </c>
      <c r="E141" s="5">
        <v>4.03437066974552</v>
      </c>
      <c r="F141" s="5">
        <v>4.03437066974552</v>
      </c>
      <c r="G141" s="5">
        <v>28.4676157898278</v>
      </c>
      <c r="H141" s="5">
        <v>28.4676157898278</v>
      </c>
      <c r="I141" s="5">
        <v>28.4676157898278</v>
      </c>
      <c r="J141" s="5">
        <v>-1.5915505664951</v>
      </c>
      <c r="K141" s="5">
        <v>-1.5915505664951</v>
      </c>
      <c r="L141" s="5">
        <v>-1.5915505664951</v>
      </c>
      <c r="M141" s="5">
        <v>30.0591663563229</v>
      </c>
      <c r="N141" s="5">
        <v>30.0591663563229</v>
      </c>
      <c r="O141" s="5">
        <v>30.0591663563229</v>
      </c>
      <c r="P141" s="5">
        <v>0.0</v>
      </c>
      <c r="Q141" s="5">
        <v>0.0</v>
      </c>
      <c r="R141" s="5">
        <v>0.0</v>
      </c>
      <c r="S141" s="5">
        <v>32.5019864595733</v>
      </c>
    </row>
    <row r="142">
      <c r="A142" s="6">
        <v>40561.0</v>
      </c>
      <c r="B142" s="5">
        <v>4.06795131534047</v>
      </c>
      <c r="C142" s="5">
        <v>-29.3503283714078</v>
      </c>
      <c r="D142" s="5">
        <v>93.5743072054556</v>
      </c>
      <c r="E142" s="5">
        <v>4.06795131534047</v>
      </c>
      <c r="F142" s="5">
        <v>4.06795131534047</v>
      </c>
      <c r="G142" s="5">
        <v>26.6739592797915</v>
      </c>
      <c r="H142" s="5">
        <v>26.6739592797915</v>
      </c>
      <c r="I142" s="5">
        <v>26.6739592797915</v>
      </c>
      <c r="J142" s="5">
        <v>-0.144118857243394</v>
      </c>
      <c r="K142" s="5">
        <v>-0.144118857243394</v>
      </c>
      <c r="L142" s="5">
        <v>-0.144118857243394</v>
      </c>
      <c r="M142" s="5">
        <v>26.8180781370349</v>
      </c>
      <c r="N142" s="5">
        <v>26.8180781370349</v>
      </c>
      <c r="O142" s="5">
        <v>26.8180781370349</v>
      </c>
      <c r="P142" s="5">
        <v>0.0</v>
      </c>
      <c r="Q142" s="5">
        <v>0.0</v>
      </c>
      <c r="R142" s="5">
        <v>0.0</v>
      </c>
      <c r="S142" s="5">
        <v>30.7419105951319</v>
      </c>
    </row>
    <row r="143">
      <c r="A143" s="6">
        <v>40562.0</v>
      </c>
      <c r="B143" s="5">
        <v>4.07634647673921</v>
      </c>
      <c r="C143" s="5">
        <v>-32.5092470479385</v>
      </c>
      <c r="D143" s="5">
        <v>92.1792877705775</v>
      </c>
      <c r="E143" s="5">
        <v>4.07634647673921</v>
      </c>
      <c r="F143" s="5">
        <v>4.07634647673921</v>
      </c>
      <c r="G143" s="5">
        <v>25.8225362791687</v>
      </c>
      <c r="H143" s="5">
        <v>25.8225362791687</v>
      </c>
      <c r="I143" s="5">
        <v>25.8225362791687</v>
      </c>
      <c r="J143" s="5">
        <v>0.00703780528352645</v>
      </c>
      <c r="K143" s="5">
        <v>0.00703780528352645</v>
      </c>
      <c r="L143" s="5">
        <v>0.00703780528352645</v>
      </c>
      <c r="M143" s="5">
        <v>25.8154984738852</v>
      </c>
      <c r="N143" s="5">
        <v>25.8154984738852</v>
      </c>
      <c r="O143" s="5">
        <v>25.8154984738852</v>
      </c>
      <c r="P143" s="5">
        <v>0.0</v>
      </c>
      <c r="Q143" s="5">
        <v>0.0</v>
      </c>
      <c r="R143" s="5">
        <v>0.0</v>
      </c>
      <c r="S143" s="5">
        <v>29.8988827559079</v>
      </c>
    </row>
    <row r="144">
      <c r="A144" s="6">
        <v>40563.0</v>
      </c>
      <c r="B144" s="5">
        <v>4.08474163813794</v>
      </c>
      <c r="C144" s="5">
        <v>-33.5707787309638</v>
      </c>
      <c r="D144" s="5">
        <v>91.5181700837716</v>
      </c>
      <c r="E144" s="5">
        <v>4.08474163813794</v>
      </c>
      <c r="F144" s="5">
        <v>4.08474163813794</v>
      </c>
      <c r="G144" s="5">
        <v>23.9980432085498</v>
      </c>
      <c r="H144" s="5">
        <v>23.9980432085498</v>
      </c>
      <c r="I144" s="5">
        <v>23.9980432085498</v>
      </c>
      <c r="J144" s="5">
        <v>-0.7764225259038</v>
      </c>
      <c r="K144" s="5">
        <v>-0.7764225259038</v>
      </c>
      <c r="L144" s="5">
        <v>-0.7764225259038</v>
      </c>
      <c r="M144" s="5">
        <v>24.7744657344536</v>
      </c>
      <c r="N144" s="5">
        <v>24.7744657344536</v>
      </c>
      <c r="O144" s="5">
        <v>24.7744657344536</v>
      </c>
      <c r="P144" s="5">
        <v>0.0</v>
      </c>
      <c r="Q144" s="5">
        <v>0.0</v>
      </c>
      <c r="R144" s="5">
        <v>0.0</v>
      </c>
      <c r="S144" s="5">
        <v>28.0827848466878</v>
      </c>
    </row>
    <row r="145">
      <c r="A145" s="6">
        <v>40564.0</v>
      </c>
      <c r="B145" s="5">
        <v>4.09313679953668</v>
      </c>
      <c r="C145" s="5">
        <v>-35.4324092274038</v>
      </c>
      <c r="D145" s="5">
        <v>90.4977841345428</v>
      </c>
      <c r="E145" s="5">
        <v>4.09313679953668</v>
      </c>
      <c r="F145" s="5">
        <v>4.09313679953668</v>
      </c>
      <c r="G145" s="5">
        <v>22.123153904315</v>
      </c>
      <c r="H145" s="5">
        <v>22.123153904315</v>
      </c>
      <c r="I145" s="5">
        <v>22.123153904315</v>
      </c>
      <c r="J145" s="5">
        <v>-1.59155056649418</v>
      </c>
      <c r="K145" s="5">
        <v>-1.59155056649418</v>
      </c>
      <c r="L145" s="5">
        <v>-1.59155056649418</v>
      </c>
      <c r="M145" s="5">
        <v>23.7147044708092</v>
      </c>
      <c r="N145" s="5">
        <v>23.7147044708092</v>
      </c>
      <c r="O145" s="5">
        <v>23.7147044708092</v>
      </c>
      <c r="P145" s="5">
        <v>0.0</v>
      </c>
      <c r="Q145" s="5">
        <v>0.0</v>
      </c>
      <c r="R145" s="5">
        <v>0.0</v>
      </c>
      <c r="S145" s="5">
        <v>26.2162907038517</v>
      </c>
    </row>
    <row r="146">
      <c r="A146" s="6">
        <v>40567.0</v>
      </c>
      <c r="B146" s="5">
        <v>4.11832228373289</v>
      </c>
      <c r="C146" s="5">
        <v>-40.7606175320539</v>
      </c>
      <c r="D146" s="5">
        <v>88.7802796915454</v>
      </c>
      <c r="E146" s="5">
        <v>4.11832228373289</v>
      </c>
      <c r="F146" s="5">
        <v>4.11832228373289</v>
      </c>
      <c r="G146" s="5">
        <v>20.6993988531175</v>
      </c>
      <c r="H146" s="5">
        <v>20.6993988531175</v>
      </c>
      <c r="I146" s="5">
        <v>20.6993988531175</v>
      </c>
      <c r="J146" s="5">
        <v>0.0905589421215548</v>
      </c>
      <c r="K146" s="5">
        <v>0.0905589421215548</v>
      </c>
      <c r="L146" s="5">
        <v>0.0905589421215548</v>
      </c>
      <c r="M146" s="5">
        <v>20.608839910996</v>
      </c>
      <c r="N146" s="5">
        <v>20.608839910996</v>
      </c>
      <c r="O146" s="5">
        <v>20.608839910996</v>
      </c>
      <c r="P146" s="5">
        <v>0.0</v>
      </c>
      <c r="Q146" s="5">
        <v>0.0</v>
      </c>
      <c r="R146" s="5">
        <v>0.0</v>
      </c>
      <c r="S146" s="5">
        <v>24.8177211368504</v>
      </c>
    </row>
    <row r="147">
      <c r="A147" s="6">
        <v>40568.0</v>
      </c>
      <c r="B147" s="5">
        <v>4.12671744513162</v>
      </c>
      <c r="C147" s="5">
        <v>-41.8647491078548</v>
      </c>
      <c r="D147" s="5">
        <v>85.0032166850116</v>
      </c>
      <c r="E147" s="5">
        <v>4.12671744513162</v>
      </c>
      <c r="F147" s="5">
        <v>4.12671744513162</v>
      </c>
      <c r="G147" s="5">
        <v>19.508633695258</v>
      </c>
      <c r="H147" s="5">
        <v>19.508633695258</v>
      </c>
      <c r="I147" s="5">
        <v>19.508633695258</v>
      </c>
      <c r="J147" s="5">
        <v>-0.144118857246244</v>
      </c>
      <c r="K147" s="5">
        <v>-0.144118857246244</v>
      </c>
      <c r="L147" s="5">
        <v>-0.144118857246244</v>
      </c>
      <c r="M147" s="5">
        <v>19.6527525525043</v>
      </c>
      <c r="N147" s="5">
        <v>19.6527525525043</v>
      </c>
      <c r="O147" s="5">
        <v>19.6527525525043</v>
      </c>
      <c r="P147" s="5">
        <v>0.0</v>
      </c>
      <c r="Q147" s="5">
        <v>0.0</v>
      </c>
      <c r="R147" s="5">
        <v>0.0</v>
      </c>
      <c r="S147" s="5">
        <v>23.6353511403896</v>
      </c>
    </row>
    <row r="148">
      <c r="A148" s="6">
        <v>40569.0</v>
      </c>
      <c r="B148" s="5">
        <v>4.13511260653036</v>
      </c>
      <c r="C148" s="5">
        <v>-37.6465690076771</v>
      </c>
      <c r="D148" s="5">
        <v>87.635071978663</v>
      </c>
      <c r="E148" s="5">
        <v>4.13511260653036</v>
      </c>
      <c r="F148" s="5">
        <v>4.13511260653036</v>
      </c>
      <c r="G148" s="5">
        <v>18.7655771016163</v>
      </c>
      <c r="H148" s="5">
        <v>18.7655771016163</v>
      </c>
      <c r="I148" s="5">
        <v>18.7655771016163</v>
      </c>
      <c r="J148" s="5">
        <v>0.00703780528267393</v>
      </c>
      <c r="K148" s="5">
        <v>0.00703780528267393</v>
      </c>
      <c r="L148" s="5">
        <v>0.00703780528267393</v>
      </c>
      <c r="M148" s="5">
        <v>18.7585392963336</v>
      </c>
      <c r="N148" s="5">
        <v>18.7585392963336</v>
      </c>
      <c r="O148" s="5">
        <v>18.7585392963336</v>
      </c>
      <c r="P148" s="5">
        <v>0.0</v>
      </c>
      <c r="Q148" s="5">
        <v>0.0</v>
      </c>
      <c r="R148" s="5">
        <v>0.0</v>
      </c>
      <c r="S148" s="5">
        <v>22.9006897081467</v>
      </c>
    </row>
    <row r="149">
      <c r="A149" s="6">
        <v>40570.0</v>
      </c>
      <c r="B149" s="5">
        <v>4.1435077679291</v>
      </c>
      <c r="C149" s="5">
        <v>-42.7305544234509</v>
      </c>
      <c r="D149" s="5">
        <v>84.3202302616642</v>
      </c>
      <c r="E149" s="5">
        <v>4.1435077679291</v>
      </c>
      <c r="F149" s="5">
        <v>4.1435077679291</v>
      </c>
      <c r="G149" s="5">
        <v>17.1593571432954</v>
      </c>
      <c r="H149" s="5">
        <v>17.1593571432954</v>
      </c>
      <c r="I149" s="5">
        <v>17.1593571432954</v>
      </c>
      <c r="J149" s="5">
        <v>-0.776422525905897</v>
      </c>
      <c r="K149" s="5">
        <v>-0.776422525905897</v>
      </c>
      <c r="L149" s="5">
        <v>-0.776422525905897</v>
      </c>
      <c r="M149" s="5">
        <v>17.9357796692013</v>
      </c>
      <c r="N149" s="5">
        <v>17.9357796692013</v>
      </c>
      <c r="O149" s="5">
        <v>17.9357796692013</v>
      </c>
      <c r="P149" s="5">
        <v>0.0</v>
      </c>
      <c r="Q149" s="5">
        <v>0.0</v>
      </c>
      <c r="R149" s="5">
        <v>0.0</v>
      </c>
      <c r="S149" s="5">
        <v>21.3028649112245</v>
      </c>
    </row>
    <row r="150">
      <c r="A150" s="6">
        <v>40571.0</v>
      </c>
      <c r="B150" s="5">
        <v>4.15190292932783</v>
      </c>
      <c r="C150" s="5">
        <v>-45.0288033165563</v>
      </c>
      <c r="D150" s="5">
        <v>82.843527084055</v>
      </c>
      <c r="E150" s="5">
        <v>4.15190292932783</v>
      </c>
      <c r="F150" s="5">
        <v>4.15190292932783</v>
      </c>
      <c r="G150" s="5">
        <v>15.5996235453485</v>
      </c>
      <c r="H150" s="5">
        <v>15.5996235453485</v>
      </c>
      <c r="I150" s="5">
        <v>15.5996235453485</v>
      </c>
      <c r="J150" s="5">
        <v>-1.59155056649294</v>
      </c>
      <c r="K150" s="5">
        <v>-1.59155056649294</v>
      </c>
      <c r="L150" s="5">
        <v>-1.59155056649294</v>
      </c>
      <c r="M150" s="5">
        <v>17.1911741118414</v>
      </c>
      <c r="N150" s="5">
        <v>17.1911741118414</v>
      </c>
      <c r="O150" s="5">
        <v>17.1911741118414</v>
      </c>
      <c r="P150" s="5">
        <v>0.0</v>
      </c>
      <c r="Q150" s="5">
        <v>0.0</v>
      </c>
      <c r="R150" s="5">
        <v>0.0</v>
      </c>
      <c r="S150" s="5">
        <v>19.7515264746763</v>
      </c>
    </row>
    <row r="151">
      <c r="A151" s="6">
        <v>40574.0</v>
      </c>
      <c r="B151" s="5">
        <v>4.17708841352404</v>
      </c>
      <c r="C151" s="5">
        <v>-44.4827081583049</v>
      </c>
      <c r="D151" s="5">
        <v>82.1921169141364</v>
      </c>
      <c r="E151" s="5">
        <v>4.17708841352404</v>
      </c>
      <c r="F151" s="5">
        <v>4.17708841352404</v>
      </c>
      <c r="G151" s="5">
        <v>15.5381319746122</v>
      </c>
      <c r="H151" s="5">
        <v>15.5381319746122</v>
      </c>
      <c r="I151" s="5">
        <v>15.5381319746122</v>
      </c>
      <c r="J151" s="5">
        <v>0.0905589421225012</v>
      </c>
      <c r="K151" s="5">
        <v>0.0905589421225012</v>
      </c>
      <c r="L151" s="5">
        <v>0.0905589421225012</v>
      </c>
      <c r="M151" s="5">
        <v>15.4475730324897</v>
      </c>
      <c r="N151" s="5">
        <v>15.4475730324897</v>
      </c>
      <c r="O151" s="5">
        <v>15.4475730324897</v>
      </c>
      <c r="P151" s="5">
        <v>0.0</v>
      </c>
      <c r="Q151" s="5">
        <v>0.0</v>
      </c>
      <c r="R151" s="5">
        <v>0.0</v>
      </c>
      <c r="S151" s="5">
        <v>19.7152203881362</v>
      </c>
    </row>
    <row r="152">
      <c r="A152" s="6">
        <v>40575.0</v>
      </c>
      <c r="B152" s="5">
        <v>4.18548357492278</v>
      </c>
      <c r="C152" s="5">
        <v>-43.2650975086614</v>
      </c>
      <c r="D152" s="5">
        <v>84.2444607522956</v>
      </c>
      <c r="E152" s="5">
        <v>4.18548357492278</v>
      </c>
      <c r="F152" s="5">
        <v>4.18548357492278</v>
      </c>
      <c r="G152" s="5">
        <v>14.8774720105067</v>
      </c>
      <c r="H152" s="5">
        <v>14.8774720105067</v>
      </c>
      <c r="I152" s="5">
        <v>14.8774720105067</v>
      </c>
      <c r="J152" s="5">
        <v>-0.144118857245156</v>
      </c>
      <c r="K152" s="5">
        <v>-0.144118857245156</v>
      </c>
      <c r="L152" s="5">
        <v>-0.144118857245156</v>
      </c>
      <c r="M152" s="5">
        <v>15.0215908677519</v>
      </c>
      <c r="N152" s="5">
        <v>15.0215908677519</v>
      </c>
      <c r="O152" s="5">
        <v>15.0215908677519</v>
      </c>
      <c r="P152" s="5">
        <v>0.0</v>
      </c>
      <c r="Q152" s="5">
        <v>0.0</v>
      </c>
      <c r="R152" s="5">
        <v>0.0</v>
      </c>
      <c r="S152" s="5">
        <v>19.0629555854295</v>
      </c>
    </row>
    <row r="153">
      <c r="A153" s="6">
        <v>40576.0</v>
      </c>
      <c r="B153" s="5">
        <v>4.19387873632151</v>
      </c>
      <c r="C153" s="5">
        <v>-40.9890492096119</v>
      </c>
      <c r="D153" s="5">
        <v>81.0080104470633</v>
      </c>
      <c r="E153" s="5">
        <v>4.19387873632151</v>
      </c>
      <c r="F153" s="5">
        <v>4.19387873632151</v>
      </c>
      <c r="G153" s="5">
        <v>14.6688927863575</v>
      </c>
      <c r="H153" s="5">
        <v>14.6688927863575</v>
      </c>
      <c r="I153" s="5">
        <v>14.6688927863575</v>
      </c>
      <c r="J153" s="5">
        <v>0.00703780528182148</v>
      </c>
      <c r="K153" s="5">
        <v>0.00703780528182148</v>
      </c>
      <c r="L153" s="5">
        <v>0.00703780528182148</v>
      </c>
      <c r="M153" s="5">
        <v>14.6618549810757</v>
      </c>
      <c r="N153" s="5">
        <v>14.6618549810757</v>
      </c>
      <c r="O153" s="5">
        <v>14.6618549810757</v>
      </c>
      <c r="P153" s="5">
        <v>0.0</v>
      </c>
      <c r="Q153" s="5">
        <v>0.0</v>
      </c>
      <c r="R153" s="5">
        <v>0.0</v>
      </c>
      <c r="S153" s="5">
        <v>18.862771522679</v>
      </c>
    </row>
    <row r="154">
      <c r="A154" s="6">
        <v>40577.0</v>
      </c>
      <c r="B154" s="5">
        <v>4.20227389772025</v>
      </c>
      <c r="C154" s="5">
        <v>-45.1119833837083</v>
      </c>
      <c r="D154" s="5">
        <v>79.6414363345154</v>
      </c>
      <c r="E154" s="5">
        <v>4.20227389772025</v>
      </c>
      <c r="F154" s="5">
        <v>4.20227389772025</v>
      </c>
      <c r="G154" s="5">
        <v>13.5812130077057</v>
      </c>
      <c r="H154" s="5">
        <v>13.5812130077057</v>
      </c>
      <c r="I154" s="5">
        <v>13.5812130077057</v>
      </c>
      <c r="J154" s="5">
        <v>-0.776422525901019</v>
      </c>
      <c r="K154" s="5">
        <v>-0.776422525901019</v>
      </c>
      <c r="L154" s="5">
        <v>-0.776422525901019</v>
      </c>
      <c r="M154" s="5">
        <v>14.3576355336067</v>
      </c>
      <c r="N154" s="5">
        <v>14.3576355336067</v>
      </c>
      <c r="O154" s="5">
        <v>14.3576355336067</v>
      </c>
      <c r="P154" s="5">
        <v>0.0</v>
      </c>
      <c r="Q154" s="5">
        <v>0.0</v>
      </c>
      <c r="R154" s="5">
        <v>0.0</v>
      </c>
      <c r="S154" s="5">
        <v>17.7834869054259</v>
      </c>
    </row>
    <row r="155">
      <c r="A155" s="6">
        <v>40578.0</v>
      </c>
      <c r="B155" s="5">
        <v>4.21066905911899</v>
      </c>
      <c r="C155" s="5">
        <v>-46.664060448875</v>
      </c>
      <c r="D155" s="5">
        <v>78.3358572620686</v>
      </c>
      <c r="E155" s="5">
        <v>4.21066905911899</v>
      </c>
      <c r="F155" s="5">
        <v>4.21066905911899</v>
      </c>
      <c r="G155" s="5">
        <v>12.5044797960562</v>
      </c>
      <c r="H155" s="5">
        <v>12.5044797960562</v>
      </c>
      <c r="I155" s="5">
        <v>12.5044797960562</v>
      </c>
      <c r="J155" s="5">
        <v>-1.59155056649507</v>
      </c>
      <c r="K155" s="5">
        <v>-1.59155056649507</v>
      </c>
      <c r="L155" s="5">
        <v>-1.59155056649507</v>
      </c>
      <c r="M155" s="5">
        <v>14.0960303625513</v>
      </c>
      <c r="N155" s="5">
        <v>14.0960303625513</v>
      </c>
      <c r="O155" s="5">
        <v>14.0960303625513</v>
      </c>
      <c r="P155" s="5">
        <v>0.0</v>
      </c>
      <c r="Q155" s="5">
        <v>0.0</v>
      </c>
      <c r="R155" s="5">
        <v>0.0</v>
      </c>
      <c r="S155" s="5">
        <v>16.7151488551752</v>
      </c>
    </row>
    <row r="156">
      <c r="A156" s="6">
        <v>40581.0</v>
      </c>
      <c r="B156" s="5">
        <v>4.2358545433152</v>
      </c>
      <c r="C156" s="5">
        <v>-44.216522037656</v>
      </c>
      <c r="D156" s="5">
        <v>82.4118980877054</v>
      </c>
      <c r="E156" s="5">
        <v>4.2358545433152</v>
      </c>
      <c r="F156" s="5">
        <v>4.2358545433152</v>
      </c>
      <c r="G156" s="5">
        <v>13.5044525183789</v>
      </c>
      <c r="H156" s="5">
        <v>13.5044525183789</v>
      </c>
      <c r="I156" s="5">
        <v>13.5044525183789</v>
      </c>
      <c r="J156" s="5">
        <v>0.0905589421210638</v>
      </c>
      <c r="K156" s="5">
        <v>0.0905589421210638</v>
      </c>
      <c r="L156" s="5">
        <v>0.0905589421210638</v>
      </c>
      <c r="M156" s="5">
        <v>13.4138935762578</v>
      </c>
      <c r="N156" s="5">
        <v>13.4138935762578</v>
      </c>
      <c r="O156" s="5">
        <v>13.4138935762578</v>
      </c>
      <c r="P156" s="5">
        <v>0.0</v>
      </c>
      <c r="Q156" s="5">
        <v>0.0</v>
      </c>
      <c r="R156" s="5">
        <v>0.0</v>
      </c>
      <c r="S156" s="5">
        <v>17.7403070616941</v>
      </c>
    </row>
    <row r="157">
      <c r="A157" s="6">
        <v>40582.0</v>
      </c>
      <c r="B157" s="5">
        <v>4.24424970471393</v>
      </c>
      <c r="C157" s="5">
        <v>-48.654724271901</v>
      </c>
      <c r="D157" s="5">
        <v>80.0253939935442</v>
      </c>
      <c r="E157" s="5">
        <v>4.24424970471393</v>
      </c>
      <c r="F157" s="5">
        <v>4.24424970471393</v>
      </c>
      <c r="G157" s="5">
        <v>13.0208761343956</v>
      </c>
      <c r="H157" s="5">
        <v>13.0208761343956</v>
      </c>
      <c r="I157" s="5">
        <v>13.0208761343956</v>
      </c>
      <c r="J157" s="5">
        <v>-0.144118857246591</v>
      </c>
      <c r="K157" s="5">
        <v>-0.144118857246591</v>
      </c>
      <c r="L157" s="5">
        <v>-0.144118857246591</v>
      </c>
      <c r="M157" s="5">
        <v>13.1649949916422</v>
      </c>
      <c r="N157" s="5">
        <v>13.1649949916422</v>
      </c>
      <c r="O157" s="5">
        <v>13.1649949916422</v>
      </c>
      <c r="P157" s="5">
        <v>0.0</v>
      </c>
      <c r="Q157" s="5">
        <v>0.0</v>
      </c>
      <c r="R157" s="5">
        <v>0.0</v>
      </c>
      <c r="S157" s="5">
        <v>17.2651258391095</v>
      </c>
    </row>
    <row r="158">
      <c r="A158" s="6">
        <v>40583.0</v>
      </c>
      <c r="B158" s="5">
        <v>4.25264486611267</v>
      </c>
      <c r="C158" s="5">
        <v>-46.2560475157001</v>
      </c>
      <c r="D158" s="5">
        <v>78.896039801127</v>
      </c>
      <c r="E158" s="5">
        <v>4.25264486611267</v>
      </c>
      <c r="F158" s="5">
        <v>4.25264486611267</v>
      </c>
      <c r="G158" s="5">
        <v>12.8838703110059</v>
      </c>
      <c r="H158" s="5">
        <v>12.8838703110059</v>
      </c>
      <c r="I158" s="5">
        <v>12.8838703110059</v>
      </c>
      <c r="J158" s="5">
        <v>0.00703780528096889</v>
      </c>
      <c r="K158" s="5">
        <v>0.00703780528096889</v>
      </c>
      <c r="L158" s="5">
        <v>0.00703780528096889</v>
      </c>
      <c r="M158" s="5">
        <v>12.8768325057249</v>
      </c>
      <c r="N158" s="5">
        <v>12.8768325057249</v>
      </c>
      <c r="O158" s="5">
        <v>12.8768325057249</v>
      </c>
      <c r="P158" s="5">
        <v>0.0</v>
      </c>
      <c r="Q158" s="5">
        <v>0.0</v>
      </c>
      <c r="R158" s="5">
        <v>0.0</v>
      </c>
      <c r="S158" s="5">
        <v>17.1365151771186</v>
      </c>
    </row>
    <row r="159">
      <c r="A159" s="6">
        <v>40584.0</v>
      </c>
      <c r="B159" s="5">
        <v>4.2610400275114</v>
      </c>
      <c r="C159" s="5">
        <v>-48.401098565599</v>
      </c>
      <c r="D159" s="5">
        <v>73.04363011853</v>
      </c>
      <c r="E159" s="5">
        <v>4.2610400275114</v>
      </c>
      <c r="F159" s="5">
        <v>4.2610400275114</v>
      </c>
      <c r="G159" s="5">
        <v>11.7565665743831</v>
      </c>
      <c r="H159" s="5">
        <v>11.7565665743831</v>
      </c>
      <c r="I159" s="5">
        <v>11.7565665743831</v>
      </c>
      <c r="J159" s="5">
        <v>-0.776422525898891</v>
      </c>
      <c r="K159" s="5">
        <v>-0.776422525898891</v>
      </c>
      <c r="L159" s="5">
        <v>-0.776422525898891</v>
      </c>
      <c r="M159" s="5">
        <v>12.532989100282</v>
      </c>
      <c r="N159" s="5">
        <v>12.532989100282</v>
      </c>
      <c r="O159" s="5">
        <v>12.532989100282</v>
      </c>
      <c r="P159" s="5">
        <v>0.0</v>
      </c>
      <c r="Q159" s="5">
        <v>0.0</v>
      </c>
      <c r="R159" s="5">
        <v>0.0</v>
      </c>
      <c r="S159" s="5">
        <v>16.0176066018945</v>
      </c>
    </row>
    <row r="160">
      <c r="A160" s="6">
        <v>40585.0</v>
      </c>
      <c r="B160" s="5">
        <v>4.26943518891014</v>
      </c>
      <c r="C160" s="5">
        <v>-47.9703943066169</v>
      </c>
      <c r="D160" s="5">
        <v>76.5722451035383</v>
      </c>
      <c r="E160" s="5">
        <v>4.26943518891014</v>
      </c>
      <c r="F160" s="5">
        <v>4.26943518891014</v>
      </c>
      <c r="G160" s="5">
        <v>10.5266434364131</v>
      </c>
      <c r="H160" s="5">
        <v>10.5266434364131</v>
      </c>
      <c r="I160" s="5">
        <v>10.5266434364131</v>
      </c>
      <c r="J160" s="5">
        <v>-1.59155056649383</v>
      </c>
      <c r="K160" s="5">
        <v>-1.59155056649383</v>
      </c>
      <c r="L160" s="5">
        <v>-1.59155056649383</v>
      </c>
      <c r="M160" s="5">
        <v>12.118194002907</v>
      </c>
      <c r="N160" s="5">
        <v>12.118194002907</v>
      </c>
      <c r="O160" s="5">
        <v>12.118194002907</v>
      </c>
      <c r="P160" s="5">
        <v>0.0</v>
      </c>
      <c r="Q160" s="5">
        <v>0.0</v>
      </c>
      <c r="R160" s="5">
        <v>0.0</v>
      </c>
      <c r="S160" s="5">
        <v>14.7960786253233</v>
      </c>
    </row>
    <row r="161">
      <c r="A161" s="6">
        <v>40588.0</v>
      </c>
      <c r="B161" s="5">
        <v>4.29462067310635</v>
      </c>
      <c r="C161" s="5">
        <v>-45.1083470974073</v>
      </c>
      <c r="D161" s="5">
        <v>76.0125053418975</v>
      </c>
      <c r="E161" s="5">
        <v>4.29462067310635</v>
      </c>
      <c r="F161" s="5">
        <v>4.29462067310635</v>
      </c>
      <c r="G161" s="5">
        <v>10.4123784333136</v>
      </c>
      <c r="H161" s="5">
        <v>10.4123784333136</v>
      </c>
      <c r="I161" s="5">
        <v>10.4123784333136</v>
      </c>
      <c r="J161" s="5">
        <v>0.0905589421196263</v>
      </c>
      <c r="K161" s="5">
        <v>0.0905589421196263</v>
      </c>
      <c r="L161" s="5">
        <v>0.0905589421196263</v>
      </c>
      <c r="M161" s="5">
        <v>10.321819491194</v>
      </c>
      <c r="N161" s="5">
        <v>10.321819491194</v>
      </c>
      <c r="O161" s="5">
        <v>10.321819491194</v>
      </c>
      <c r="P161" s="5">
        <v>0.0</v>
      </c>
      <c r="Q161" s="5">
        <v>0.0</v>
      </c>
      <c r="R161" s="5">
        <v>0.0</v>
      </c>
      <c r="S161" s="5">
        <v>14.7069991064199</v>
      </c>
    </row>
    <row r="162">
      <c r="A162" s="6">
        <v>40589.0</v>
      </c>
      <c r="B162" s="5">
        <v>4.30301583450508</v>
      </c>
      <c r="C162" s="5">
        <v>-45.08274538956</v>
      </c>
      <c r="D162" s="5">
        <v>78.939122383933</v>
      </c>
      <c r="E162" s="5">
        <v>4.30301583450508</v>
      </c>
      <c r="F162" s="5">
        <v>4.30301583450508</v>
      </c>
      <c r="G162" s="5">
        <v>9.3642396256464</v>
      </c>
      <c r="H162" s="5">
        <v>9.3642396256464</v>
      </c>
      <c r="I162" s="5">
        <v>9.3642396256464</v>
      </c>
      <c r="J162" s="5">
        <v>-0.144118857244394</v>
      </c>
      <c r="K162" s="5">
        <v>-0.144118857244394</v>
      </c>
      <c r="L162" s="5">
        <v>-0.144118857244394</v>
      </c>
      <c r="M162" s="5">
        <v>9.5083584828908</v>
      </c>
      <c r="N162" s="5">
        <v>9.5083584828908</v>
      </c>
      <c r="O162" s="5">
        <v>9.5083584828908</v>
      </c>
      <c r="P162" s="5">
        <v>0.0</v>
      </c>
      <c r="Q162" s="5">
        <v>0.0</v>
      </c>
      <c r="R162" s="5">
        <v>0.0</v>
      </c>
      <c r="S162" s="5">
        <v>13.6672554601514</v>
      </c>
    </row>
    <row r="163">
      <c r="A163" s="6">
        <v>40590.0</v>
      </c>
      <c r="B163" s="5">
        <v>4.31141099590382</v>
      </c>
      <c r="C163" s="5">
        <v>-51.5143974816862</v>
      </c>
      <c r="D163" s="5">
        <v>83.025826171433</v>
      </c>
      <c r="E163" s="5">
        <v>4.31141099590382</v>
      </c>
      <c r="F163" s="5">
        <v>4.31141099590382</v>
      </c>
      <c r="G163" s="5">
        <v>8.58598679522712</v>
      </c>
      <c r="H163" s="5">
        <v>8.58598679522712</v>
      </c>
      <c r="I163" s="5">
        <v>8.58598679522712</v>
      </c>
      <c r="J163" s="5">
        <v>0.00703780528327136</v>
      </c>
      <c r="K163" s="5">
        <v>0.00703780528327136</v>
      </c>
      <c r="L163" s="5">
        <v>0.00703780528327136</v>
      </c>
      <c r="M163" s="5">
        <v>8.57894898994384</v>
      </c>
      <c r="N163" s="5">
        <v>8.57894898994384</v>
      </c>
      <c r="O163" s="5">
        <v>8.57894898994384</v>
      </c>
      <c r="P163" s="5">
        <v>0.0</v>
      </c>
      <c r="Q163" s="5">
        <v>0.0</v>
      </c>
      <c r="R163" s="5">
        <v>0.0</v>
      </c>
      <c r="S163" s="5">
        <v>12.8973977911309</v>
      </c>
    </row>
    <row r="164">
      <c r="A164" s="6">
        <v>40591.0</v>
      </c>
      <c r="B164" s="5">
        <v>4.31980615730256</v>
      </c>
      <c r="C164" s="5">
        <v>-58.3508606329961</v>
      </c>
      <c r="D164" s="5">
        <v>68.3822008589063</v>
      </c>
      <c r="E164" s="5">
        <v>4.31980615730256</v>
      </c>
      <c r="F164" s="5">
        <v>4.31980615730256</v>
      </c>
      <c r="G164" s="5">
        <v>6.75643925320394</v>
      </c>
      <c r="H164" s="5">
        <v>6.75643925320394</v>
      </c>
      <c r="I164" s="5">
        <v>6.75643925320394</v>
      </c>
      <c r="J164" s="5">
        <v>-0.776422525900987</v>
      </c>
      <c r="K164" s="5">
        <v>-0.776422525900987</v>
      </c>
      <c r="L164" s="5">
        <v>-0.776422525900987</v>
      </c>
      <c r="M164" s="5">
        <v>7.53286177910493</v>
      </c>
      <c r="N164" s="5">
        <v>7.53286177910493</v>
      </c>
      <c r="O164" s="5">
        <v>7.53286177910493</v>
      </c>
      <c r="P164" s="5">
        <v>0.0</v>
      </c>
      <c r="Q164" s="5">
        <v>0.0</v>
      </c>
      <c r="R164" s="5">
        <v>0.0</v>
      </c>
      <c r="S164" s="5">
        <v>11.0762454105065</v>
      </c>
    </row>
    <row r="165">
      <c r="A165" s="6">
        <v>40592.0</v>
      </c>
      <c r="B165" s="5">
        <v>4.32820131870129</v>
      </c>
      <c r="C165" s="5">
        <v>-53.2723712445348</v>
      </c>
      <c r="D165" s="5">
        <v>72.2538927598154</v>
      </c>
      <c r="E165" s="5">
        <v>4.32820131870129</v>
      </c>
      <c r="F165" s="5">
        <v>4.32820131870129</v>
      </c>
      <c r="G165" s="5">
        <v>4.78089972963518</v>
      </c>
      <c r="H165" s="5">
        <v>4.78089972963518</v>
      </c>
      <c r="I165" s="5">
        <v>4.78089972963518</v>
      </c>
      <c r="J165" s="5">
        <v>-1.59155056649291</v>
      </c>
      <c r="K165" s="5">
        <v>-1.59155056649291</v>
      </c>
      <c r="L165" s="5">
        <v>-1.59155056649291</v>
      </c>
      <c r="M165" s="5">
        <v>6.37245029612809</v>
      </c>
      <c r="N165" s="5">
        <v>6.37245029612809</v>
      </c>
      <c r="O165" s="5">
        <v>6.37245029612809</v>
      </c>
      <c r="P165" s="5">
        <v>0.0</v>
      </c>
      <c r="Q165" s="5">
        <v>0.0</v>
      </c>
      <c r="R165" s="5">
        <v>0.0</v>
      </c>
      <c r="S165" s="5">
        <v>9.10910104833648</v>
      </c>
    </row>
    <row r="166">
      <c r="A166" s="6">
        <v>40596.0</v>
      </c>
      <c r="B166" s="5">
        <v>4.36178196429624</v>
      </c>
      <c r="C166" s="5">
        <v>-56.5203132263202</v>
      </c>
      <c r="D166" s="5">
        <v>68.0105290151535</v>
      </c>
      <c r="E166" s="5">
        <v>4.36178196429624</v>
      </c>
      <c r="F166" s="5">
        <v>4.36178196429624</v>
      </c>
      <c r="G166" s="5">
        <v>0.595011162334087</v>
      </c>
      <c r="H166" s="5">
        <v>0.595011162334087</v>
      </c>
      <c r="I166" s="5">
        <v>0.595011162334087</v>
      </c>
      <c r="J166" s="5">
        <v>-0.144118857245829</v>
      </c>
      <c r="K166" s="5">
        <v>-0.144118857245829</v>
      </c>
      <c r="L166" s="5">
        <v>-0.144118857245829</v>
      </c>
      <c r="M166" s="5">
        <v>0.739130019579917</v>
      </c>
      <c r="N166" s="5">
        <v>0.739130019579917</v>
      </c>
      <c r="O166" s="5">
        <v>0.739130019579917</v>
      </c>
      <c r="P166" s="5">
        <v>0.0</v>
      </c>
      <c r="Q166" s="5">
        <v>0.0</v>
      </c>
      <c r="R166" s="5">
        <v>0.0</v>
      </c>
      <c r="S166" s="5">
        <v>4.95679312663033</v>
      </c>
    </row>
    <row r="167">
      <c r="A167" s="6">
        <v>40597.0</v>
      </c>
      <c r="B167" s="5">
        <v>4.37017712569498</v>
      </c>
      <c r="C167" s="5">
        <v>-57.6032466260647</v>
      </c>
      <c r="D167" s="5">
        <v>68.8286548104511</v>
      </c>
      <c r="E167" s="5">
        <v>4.37017712569498</v>
      </c>
      <c r="F167" s="5">
        <v>4.37017712569498</v>
      </c>
      <c r="G167" s="5">
        <v>-0.848537831495299</v>
      </c>
      <c r="H167" s="5">
        <v>-0.848537831495299</v>
      </c>
      <c r="I167" s="5">
        <v>-0.848537831495299</v>
      </c>
      <c r="J167" s="5">
        <v>0.00703780528241877</v>
      </c>
      <c r="K167" s="5">
        <v>0.00703780528241877</v>
      </c>
      <c r="L167" s="5">
        <v>0.00703780528241877</v>
      </c>
      <c r="M167" s="5">
        <v>-0.855575636777718</v>
      </c>
      <c r="N167" s="5">
        <v>-0.855575636777718</v>
      </c>
      <c r="O167" s="5">
        <v>-0.855575636777718</v>
      </c>
      <c r="P167" s="5">
        <v>0.0</v>
      </c>
      <c r="Q167" s="5">
        <v>0.0</v>
      </c>
      <c r="R167" s="5">
        <v>0.0</v>
      </c>
      <c r="S167" s="5">
        <v>3.52163929419968</v>
      </c>
    </row>
    <row r="168">
      <c r="A168" s="6">
        <v>40598.0</v>
      </c>
      <c r="B168" s="5">
        <v>4.37857228709371</v>
      </c>
      <c r="C168" s="5">
        <v>-65.3779049020398</v>
      </c>
      <c r="D168" s="5">
        <v>63.6260785871507</v>
      </c>
      <c r="E168" s="5">
        <v>4.37857228709371</v>
      </c>
      <c r="F168" s="5">
        <v>4.37857228709371</v>
      </c>
      <c r="G168" s="5">
        <v>-3.26874949852093</v>
      </c>
      <c r="H168" s="5">
        <v>-3.26874949852093</v>
      </c>
      <c r="I168" s="5">
        <v>-3.26874949852093</v>
      </c>
      <c r="J168" s="5">
        <v>-0.776422525903085</v>
      </c>
      <c r="K168" s="5">
        <v>-0.776422525903085</v>
      </c>
      <c r="L168" s="5">
        <v>-0.776422525903085</v>
      </c>
      <c r="M168" s="5">
        <v>-2.49232697261785</v>
      </c>
      <c r="N168" s="5">
        <v>-2.49232697261785</v>
      </c>
      <c r="O168" s="5">
        <v>-2.49232697261785</v>
      </c>
      <c r="P168" s="5">
        <v>0.0</v>
      </c>
      <c r="Q168" s="5">
        <v>0.0</v>
      </c>
      <c r="R168" s="5">
        <v>0.0</v>
      </c>
      <c r="S168" s="5">
        <v>1.10982278857277</v>
      </c>
    </row>
    <row r="169">
      <c r="A169" s="6">
        <v>40599.0</v>
      </c>
      <c r="B169" s="5">
        <v>4.38696744849245</v>
      </c>
      <c r="C169" s="5">
        <v>-65.2115968348351</v>
      </c>
      <c r="D169" s="5">
        <v>63.1247198970076</v>
      </c>
      <c r="E169" s="5">
        <v>4.38696744849245</v>
      </c>
      <c r="F169" s="5">
        <v>4.38696744849245</v>
      </c>
      <c r="G169" s="5">
        <v>-5.74350833688361</v>
      </c>
      <c r="H169" s="5">
        <v>-5.74350833688361</v>
      </c>
      <c r="I169" s="5">
        <v>-5.74350833688361</v>
      </c>
      <c r="J169" s="5">
        <v>-1.59155056649198</v>
      </c>
      <c r="K169" s="5">
        <v>-1.59155056649198</v>
      </c>
      <c r="L169" s="5">
        <v>-1.59155056649198</v>
      </c>
      <c r="M169" s="5">
        <v>-4.15195777039162</v>
      </c>
      <c r="N169" s="5">
        <v>-4.15195777039162</v>
      </c>
      <c r="O169" s="5">
        <v>-4.15195777039162</v>
      </c>
      <c r="P169" s="5">
        <v>0.0</v>
      </c>
      <c r="Q169" s="5">
        <v>0.0</v>
      </c>
      <c r="R169" s="5">
        <v>0.0</v>
      </c>
      <c r="S169" s="5">
        <v>-1.35654088839116</v>
      </c>
    </row>
    <row r="170">
      <c r="A170" s="6">
        <v>40602.0</v>
      </c>
      <c r="B170" s="5">
        <v>4.41215293268866</v>
      </c>
      <c r="C170" s="5">
        <v>-64.8807541613359</v>
      </c>
      <c r="D170" s="5">
        <v>61.1762250443276</v>
      </c>
      <c r="E170" s="5">
        <v>4.41215293268866</v>
      </c>
      <c r="F170" s="5">
        <v>4.41215293268866</v>
      </c>
      <c r="G170" s="5">
        <v>-8.97416422755866</v>
      </c>
      <c r="H170" s="5">
        <v>-8.97416422755866</v>
      </c>
      <c r="I170" s="5">
        <v>-8.97416422755866</v>
      </c>
      <c r="J170" s="5">
        <v>0.0905589421215994</v>
      </c>
      <c r="K170" s="5">
        <v>0.0905589421215994</v>
      </c>
      <c r="L170" s="5">
        <v>0.0905589421215994</v>
      </c>
      <c r="M170" s="5">
        <v>-9.06472316968026</v>
      </c>
      <c r="N170" s="5">
        <v>-9.06472316968026</v>
      </c>
      <c r="O170" s="5">
        <v>-9.06472316968026</v>
      </c>
      <c r="P170" s="5">
        <v>0.0</v>
      </c>
      <c r="Q170" s="5">
        <v>0.0</v>
      </c>
      <c r="R170" s="5">
        <v>0.0</v>
      </c>
      <c r="S170" s="5">
        <v>-4.56201129487</v>
      </c>
    </row>
    <row r="171">
      <c r="A171" s="6">
        <v>40603.0</v>
      </c>
      <c r="B171" s="5">
        <v>4.42054809408739</v>
      </c>
      <c r="C171" s="5">
        <v>-68.6905272194622</v>
      </c>
      <c r="D171" s="5">
        <v>56.6710366096204</v>
      </c>
      <c r="E171" s="5">
        <v>4.42054809408739</v>
      </c>
      <c r="F171" s="5">
        <v>4.42054809408739</v>
      </c>
      <c r="G171" s="5">
        <v>-10.7560109734711</v>
      </c>
      <c r="H171" s="5">
        <v>-10.7560109734711</v>
      </c>
      <c r="I171" s="5">
        <v>-10.7560109734711</v>
      </c>
      <c r="J171" s="5">
        <v>-0.144118857244741</v>
      </c>
      <c r="K171" s="5">
        <v>-0.144118857244741</v>
      </c>
      <c r="L171" s="5">
        <v>-0.144118857244741</v>
      </c>
      <c r="M171" s="5">
        <v>-10.6118921162264</v>
      </c>
      <c r="N171" s="5">
        <v>-10.6118921162264</v>
      </c>
      <c r="O171" s="5">
        <v>-10.6118921162264</v>
      </c>
      <c r="P171" s="5">
        <v>0.0</v>
      </c>
      <c r="Q171" s="5">
        <v>0.0</v>
      </c>
      <c r="R171" s="5">
        <v>0.0</v>
      </c>
      <c r="S171" s="5">
        <v>-6.33546287938377</v>
      </c>
    </row>
    <row r="172">
      <c r="A172" s="6">
        <v>40604.0</v>
      </c>
      <c r="B172" s="5">
        <v>4.42894325548613</v>
      </c>
      <c r="C172" s="5">
        <v>-69.4058923358575</v>
      </c>
      <c r="D172" s="5">
        <v>55.9792558194336</v>
      </c>
      <c r="E172" s="5">
        <v>4.42894325548613</v>
      </c>
      <c r="F172" s="5">
        <v>4.42894325548613</v>
      </c>
      <c r="G172" s="5">
        <v>-12.073994986513</v>
      </c>
      <c r="H172" s="5">
        <v>-12.073994986513</v>
      </c>
      <c r="I172" s="5">
        <v>-12.073994986513</v>
      </c>
      <c r="J172" s="5">
        <v>0.00703780528372984</v>
      </c>
      <c r="K172" s="5">
        <v>0.00703780528372984</v>
      </c>
      <c r="L172" s="5">
        <v>0.00703780528372984</v>
      </c>
      <c r="M172" s="5">
        <v>-12.0810327917967</v>
      </c>
      <c r="N172" s="5">
        <v>-12.0810327917967</v>
      </c>
      <c r="O172" s="5">
        <v>-12.0810327917967</v>
      </c>
      <c r="P172" s="5">
        <v>0.0</v>
      </c>
      <c r="Q172" s="5">
        <v>0.0</v>
      </c>
      <c r="R172" s="5">
        <v>0.0</v>
      </c>
      <c r="S172" s="5">
        <v>-7.64505173102691</v>
      </c>
    </row>
    <row r="173">
      <c r="A173" s="6">
        <v>40605.0</v>
      </c>
      <c r="B173" s="5">
        <v>4.43733841688487</v>
      </c>
      <c r="C173" s="5">
        <v>-71.4955054451877</v>
      </c>
      <c r="D173" s="5">
        <v>54.7477614414099</v>
      </c>
      <c r="E173" s="5">
        <v>4.43733841688487</v>
      </c>
      <c r="F173" s="5">
        <v>4.43733841688487</v>
      </c>
      <c r="G173" s="5">
        <v>-14.2306418425845</v>
      </c>
      <c r="H173" s="5">
        <v>-14.2306418425845</v>
      </c>
      <c r="I173" s="5">
        <v>-14.2306418425845</v>
      </c>
      <c r="J173" s="5">
        <v>-0.776422525900956</v>
      </c>
      <c r="K173" s="5">
        <v>-0.776422525900956</v>
      </c>
      <c r="L173" s="5">
        <v>-0.776422525900956</v>
      </c>
      <c r="M173" s="5">
        <v>-13.4542193166836</v>
      </c>
      <c r="N173" s="5">
        <v>-13.4542193166836</v>
      </c>
      <c r="O173" s="5">
        <v>-13.4542193166836</v>
      </c>
      <c r="P173" s="5">
        <v>0.0</v>
      </c>
      <c r="Q173" s="5">
        <v>0.0</v>
      </c>
      <c r="R173" s="5">
        <v>0.0</v>
      </c>
      <c r="S173" s="5">
        <v>-9.79330342569971</v>
      </c>
    </row>
    <row r="174">
      <c r="A174" s="6">
        <v>40606.0</v>
      </c>
      <c r="B174" s="5">
        <v>4.4457335782836</v>
      </c>
      <c r="C174" s="5">
        <v>-75.0577672597896</v>
      </c>
      <c r="D174" s="5">
        <v>54.1532618179878</v>
      </c>
      <c r="E174" s="5">
        <v>4.4457335782836</v>
      </c>
      <c r="F174" s="5">
        <v>4.4457335782836</v>
      </c>
      <c r="G174" s="5">
        <v>-16.3068194537046</v>
      </c>
      <c r="H174" s="5">
        <v>-16.3068194537046</v>
      </c>
      <c r="I174" s="5">
        <v>-16.3068194537046</v>
      </c>
      <c r="J174" s="5">
        <v>-1.5915505664938</v>
      </c>
      <c r="K174" s="5">
        <v>-1.5915505664938</v>
      </c>
      <c r="L174" s="5">
        <v>-1.5915505664938</v>
      </c>
      <c r="M174" s="5">
        <v>-14.7152688872107</v>
      </c>
      <c r="N174" s="5">
        <v>-14.7152688872107</v>
      </c>
      <c r="O174" s="5">
        <v>-14.7152688872107</v>
      </c>
      <c r="P174" s="5">
        <v>0.0</v>
      </c>
      <c r="Q174" s="5">
        <v>0.0</v>
      </c>
      <c r="R174" s="5">
        <v>0.0</v>
      </c>
      <c r="S174" s="5">
        <v>-11.8610858754209</v>
      </c>
    </row>
    <row r="175">
      <c r="A175" s="6">
        <v>40609.0</v>
      </c>
      <c r="B175" s="5">
        <v>4.47091906247981</v>
      </c>
      <c r="C175" s="5">
        <v>-73.2390251535496</v>
      </c>
      <c r="D175" s="5">
        <v>51.0731927031771</v>
      </c>
      <c r="E175" s="5">
        <v>4.47091906247981</v>
      </c>
      <c r="F175" s="5">
        <v>4.47091906247981</v>
      </c>
      <c r="G175" s="5">
        <v>-17.6061245817585</v>
      </c>
      <c r="H175" s="5">
        <v>-17.6061245817585</v>
      </c>
      <c r="I175" s="5">
        <v>-17.6061245817585</v>
      </c>
      <c r="J175" s="5">
        <v>0.0905589421225457</v>
      </c>
      <c r="K175" s="5">
        <v>0.0905589421225457</v>
      </c>
      <c r="L175" s="5">
        <v>0.0905589421225457</v>
      </c>
      <c r="M175" s="5">
        <v>-17.696683523881</v>
      </c>
      <c r="N175" s="5">
        <v>-17.696683523881</v>
      </c>
      <c r="O175" s="5">
        <v>-17.696683523881</v>
      </c>
      <c r="P175" s="5">
        <v>0.0</v>
      </c>
      <c r="Q175" s="5">
        <v>0.0</v>
      </c>
      <c r="R175" s="5">
        <v>0.0</v>
      </c>
      <c r="S175" s="5">
        <v>-13.1352055192787</v>
      </c>
    </row>
    <row r="176">
      <c r="A176" s="6">
        <v>40610.0</v>
      </c>
      <c r="B176" s="5">
        <v>4.47931422387855</v>
      </c>
      <c r="C176" s="5">
        <v>-79.7414315463175</v>
      </c>
      <c r="D176" s="5">
        <v>48.4223426113814</v>
      </c>
      <c r="E176" s="5">
        <v>4.47931422387855</v>
      </c>
      <c r="F176" s="5">
        <v>4.47931422387855</v>
      </c>
      <c r="G176" s="5">
        <v>-18.5370460774202</v>
      </c>
      <c r="H176" s="5">
        <v>-18.5370460774202</v>
      </c>
      <c r="I176" s="5">
        <v>-18.5370460774202</v>
      </c>
      <c r="J176" s="5">
        <v>-0.144118857243653</v>
      </c>
      <c r="K176" s="5">
        <v>-0.144118857243653</v>
      </c>
      <c r="L176" s="5">
        <v>-0.144118857243653</v>
      </c>
      <c r="M176" s="5">
        <v>-18.3929272201765</v>
      </c>
      <c r="N176" s="5">
        <v>-18.3929272201765</v>
      </c>
      <c r="O176" s="5">
        <v>-18.3929272201765</v>
      </c>
      <c r="P176" s="5">
        <v>0.0</v>
      </c>
      <c r="Q176" s="5">
        <v>0.0</v>
      </c>
      <c r="R176" s="5">
        <v>0.0</v>
      </c>
      <c r="S176" s="5">
        <v>-14.0577318535416</v>
      </c>
    </row>
    <row r="177">
      <c r="A177" s="6">
        <v>40611.0</v>
      </c>
      <c r="B177" s="5">
        <v>4.48770938527728</v>
      </c>
      <c r="C177" s="5">
        <v>-77.3460911829886</v>
      </c>
      <c r="D177" s="5">
        <v>42.791549489366</v>
      </c>
      <c r="E177" s="5">
        <v>4.48770938527728</v>
      </c>
      <c r="F177" s="5">
        <v>4.48770938527728</v>
      </c>
      <c r="G177" s="5">
        <v>-18.9250448680297</v>
      </c>
      <c r="H177" s="5">
        <v>-18.9250448680297</v>
      </c>
      <c r="I177" s="5">
        <v>-18.9250448680297</v>
      </c>
      <c r="J177" s="5">
        <v>0.00703780528053274</v>
      </c>
      <c r="K177" s="5">
        <v>0.00703780528053274</v>
      </c>
      <c r="L177" s="5">
        <v>0.00703780528053274</v>
      </c>
      <c r="M177" s="5">
        <v>-18.9320826733102</v>
      </c>
      <c r="N177" s="5">
        <v>-18.9320826733102</v>
      </c>
      <c r="O177" s="5">
        <v>-18.9320826733102</v>
      </c>
      <c r="P177" s="5">
        <v>0.0</v>
      </c>
      <c r="Q177" s="5">
        <v>0.0</v>
      </c>
      <c r="R177" s="5">
        <v>0.0</v>
      </c>
      <c r="S177" s="5">
        <v>-14.4373354827524</v>
      </c>
    </row>
    <row r="178">
      <c r="A178" s="6">
        <v>40612.0</v>
      </c>
      <c r="B178" s="5">
        <v>4.49610454667602</v>
      </c>
      <c r="C178" s="5">
        <v>-80.8876792978527</v>
      </c>
      <c r="D178" s="5">
        <v>48.3565514143118</v>
      </c>
      <c r="E178" s="5">
        <v>4.49610454667602</v>
      </c>
      <c r="F178" s="5">
        <v>4.49610454667602</v>
      </c>
      <c r="G178" s="5">
        <v>-20.0898120427085</v>
      </c>
      <c r="H178" s="5">
        <v>-20.0898120427085</v>
      </c>
      <c r="I178" s="5">
        <v>-20.0898120427085</v>
      </c>
      <c r="J178" s="5">
        <v>-0.776422525901678</v>
      </c>
      <c r="K178" s="5">
        <v>-0.776422525901678</v>
      </c>
      <c r="L178" s="5">
        <v>-0.776422525901678</v>
      </c>
      <c r="M178" s="5">
        <v>-19.3133895168068</v>
      </c>
      <c r="N178" s="5">
        <v>-19.3133895168068</v>
      </c>
      <c r="O178" s="5">
        <v>-19.3133895168068</v>
      </c>
      <c r="P178" s="5">
        <v>0.0</v>
      </c>
      <c r="Q178" s="5">
        <v>0.0</v>
      </c>
      <c r="R178" s="5">
        <v>0.0</v>
      </c>
      <c r="S178" s="5">
        <v>-15.5937074960324</v>
      </c>
    </row>
    <row r="179">
      <c r="A179" s="6">
        <v>40613.0</v>
      </c>
      <c r="B179" s="5">
        <v>4.50449970807476</v>
      </c>
      <c r="C179" s="5">
        <v>-81.7376775816514</v>
      </c>
      <c r="D179" s="5">
        <v>47.5294213837103</v>
      </c>
      <c r="E179" s="5">
        <v>4.50449970807476</v>
      </c>
      <c r="F179" s="5">
        <v>4.50449970807476</v>
      </c>
      <c r="G179" s="5">
        <v>-21.1303962638872</v>
      </c>
      <c r="H179" s="5">
        <v>-21.1303962638872</v>
      </c>
      <c r="I179" s="5">
        <v>-21.1303962638872</v>
      </c>
      <c r="J179" s="5">
        <v>-1.59155056649256</v>
      </c>
      <c r="K179" s="5">
        <v>-1.59155056649256</v>
      </c>
      <c r="L179" s="5">
        <v>-1.59155056649256</v>
      </c>
      <c r="M179" s="5">
        <v>-19.5388456973946</v>
      </c>
      <c r="N179" s="5">
        <v>-19.5388456973946</v>
      </c>
      <c r="O179" s="5">
        <v>-19.5388456973946</v>
      </c>
      <c r="P179" s="5">
        <v>0.0</v>
      </c>
      <c r="Q179" s="5">
        <v>0.0</v>
      </c>
      <c r="R179" s="5">
        <v>0.0</v>
      </c>
      <c r="S179" s="5">
        <v>-16.6258965558124</v>
      </c>
    </row>
    <row r="180">
      <c r="A180" s="6">
        <v>40616.0</v>
      </c>
      <c r="B180" s="5">
        <v>4.52968519227096</v>
      </c>
      <c r="C180" s="5">
        <v>-77.3116497351113</v>
      </c>
      <c r="D180" s="5">
        <v>47.3849478327481</v>
      </c>
      <c r="E180" s="5">
        <v>4.52968519227096</v>
      </c>
      <c r="F180" s="5">
        <v>4.52968519227096</v>
      </c>
      <c r="G180" s="5">
        <v>-19.2476869513125</v>
      </c>
      <c r="H180" s="5">
        <v>-19.2476869513125</v>
      </c>
      <c r="I180" s="5">
        <v>-19.2476869513125</v>
      </c>
      <c r="J180" s="5">
        <v>0.0905589421235722</v>
      </c>
      <c r="K180" s="5">
        <v>0.0905589421235722</v>
      </c>
      <c r="L180" s="5">
        <v>0.0905589421235722</v>
      </c>
      <c r="M180" s="5">
        <v>-19.3382458934361</v>
      </c>
      <c r="N180" s="5">
        <v>-19.3382458934361</v>
      </c>
      <c r="O180" s="5">
        <v>-19.3382458934361</v>
      </c>
      <c r="P180" s="5">
        <v>0.0</v>
      </c>
      <c r="Q180" s="5">
        <v>0.0</v>
      </c>
      <c r="R180" s="5">
        <v>0.0</v>
      </c>
      <c r="S180" s="5">
        <v>-14.7180017590416</v>
      </c>
    </row>
    <row r="181">
      <c r="A181" s="6">
        <v>40617.0</v>
      </c>
      <c r="B181" s="5">
        <v>4.5380803536697</v>
      </c>
      <c r="C181" s="5">
        <v>-78.602766859951</v>
      </c>
      <c r="D181" s="5">
        <v>42.2499187771578</v>
      </c>
      <c r="E181" s="5">
        <v>4.5380803536697</v>
      </c>
      <c r="F181" s="5">
        <v>4.5380803536697</v>
      </c>
      <c r="G181" s="5">
        <v>-19.1536546386258</v>
      </c>
      <c r="H181" s="5">
        <v>-19.1536546386258</v>
      </c>
      <c r="I181" s="5">
        <v>-19.1536546386258</v>
      </c>
      <c r="J181" s="5">
        <v>-0.144118857243979</v>
      </c>
      <c r="K181" s="5">
        <v>-0.144118857243979</v>
      </c>
      <c r="L181" s="5">
        <v>-0.144118857243979</v>
      </c>
      <c r="M181" s="5">
        <v>-19.0095357813818</v>
      </c>
      <c r="N181" s="5">
        <v>-19.0095357813818</v>
      </c>
      <c r="O181" s="5">
        <v>-19.0095357813818</v>
      </c>
      <c r="P181" s="5">
        <v>0.0</v>
      </c>
      <c r="Q181" s="5">
        <v>0.0</v>
      </c>
      <c r="R181" s="5">
        <v>0.0</v>
      </c>
      <c r="S181" s="5">
        <v>-14.6155742849561</v>
      </c>
    </row>
    <row r="182">
      <c r="A182" s="6">
        <v>40618.0</v>
      </c>
      <c r="B182" s="5">
        <v>4.54647551506844</v>
      </c>
      <c r="C182" s="5">
        <v>-75.7112487530747</v>
      </c>
      <c r="D182" s="5">
        <v>47.7861643553055</v>
      </c>
      <c r="E182" s="5">
        <v>4.54647551506844</v>
      </c>
      <c r="F182" s="5">
        <v>4.54647551506844</v>
      </c>
      <c r="G182" s="5">
        <v>-18.5626219531538</v>
      </c>
      <c r="H182" s="5">
        <v>-18.5626219531538</v>
      </c>
      <c r="I182" s="5">
        <v>-18.5626219531538</v>
      </c>
      <c r="J182" s="5">
        <v>0.00703780528184391</v>
      </c>
      <c r="K182" s="5">
        <v>0.00703780528184391</v>
      </c>
      <c r="L182" s="5">
        <v>0.00703780528184391</v>
      </c>
      <c r="M182" s="5">
        <v>-18.5696597584357</v>
      </c>
      <c r="N182" s="5">
        <v>-18.5696597584357</v>
      </c>
      <c r="O182" s="5">
        <v>-18.5696597584357</v>
      </c>
      <c r="P182" s="5">
        <v>0.0</v>
      </c>
      <c r="Q182" s="5">
        <v>0.0</v>
      </c>
      <c r="R182" s="5">
        <v>0.0</v>
      </c>
      <c r="S182" s="5">
        <v>-14.0161464380854</v>
      </c>
    </row>
    <row r="183">
      <c r="A183" s="6">
        <v>40619.0</v>
      </c>
      <c r="B183" s="5">
        <v>4.55487067646717</v>
      </c>
      <c r="C183" s="5">
        <v>-76.8575797121402</v>
      </c>
      <c r="D183" s="5">
        <v>45.3641217964452</v>
      </c>
      <c r="E183" s="5">
        <v>4.55487067646717</v>
      </c>
      <c r="F183" s="5">
        <v>4.55487067646717</v>
      </c>
      <c r="G183" s="5">
        <v>-18.808881841707</v>
      </c>
      <c r="H183" s="5">
        <v>-18.808881841707</v>
      </c>
      <c r="I183" s="5">
        <v>-18.808881841707</v>
      </c>
      <c r="J183" s="5">
        <v>-0.7764225259024</v>
      </c>
      <c r="K183" s="5">
        <v>-0.7764225259024</v>
      </c>
      <c r="L183" s="5">
        <v>-0.7764225259024</v>
      </c>
      <c r="M183" s="5">
        <v>-18.0324593158046</v>
      </c>
      <c r="N183" s="5">
        <v>-18.0324593158046</v>
      </c>
      <c r="O183" s="5">
        <v>-18.0324593158046</v>
      </c>
      <c r="P183" s="5">
        <v>0.0</v>
      </c>
      <c r="Q183" s="5">
        <v>0.0</v>
      </c>
      <c r="R183" s="5">
        <v>0.0</v>
      </c>
      <c r="S183" s="5">
        <v>-14.2540111652398</v>
      </c>
    </row>
    <row r="184">
      <c r="A184" s="6">
        <v>40620.0</v>
      </c>
      <c r="B184" s="5">
        <v>4.56326583786591</v>
      </c>
      <c r="C184" s="5">
        <v>-77.9322143193272</v>
      </c>
      <c r="D184" s="5">
        <v>45.7407674742149</v>
      </c>
      <c r="E184" s="5">
        <v>4.56326583786591</v>
      </c>
      <c r="F184" s="5">
        <v>4.56326583786591</v>
      </c>
      <c r="G184" s="5">
        <v>-19.0041282741851</v>
      </c>
      <c r="H184" s="5">
        <v>-19.0041282741851</v>
      </c>
      <c r="I184" s="5">
        <v>-19.0041282741851</v>
      </c>
      <c r="J184" s="5">
        <v>-1.59155056649132</v>
      </c>
      <c r="K184" s="5">
        <v>-1.59155056649132</v>
      </c>
      <c r="L184" s="5">
        <v>-1.59155056649132</v>
      </c>
      <c r="M184" s="5">
        <v>-17.4125777076938</v>
      </c>
      <c r="N184" s="5">
        <v>-17.4125777076938</v>
      </c>
      <c r="O184" s="5">
        <v>-17.4125777076938</v>
      </c>
      <c r="P184" s="5">
        <v>0.0</v>
      </c>
      <c r="Q184" s="5">
        <v>0.0</v>
      </c>
      <c r="R184" s="5">
        <v>0.0</v>
      </c>
      <c r="S184" s="5">
        <v>-14.4408624363192</v>
      </c>
    </row>
    <row r="185">
      <c r="A185" s="6">
        <v>40623.0</v>
      </c>
      <c r="B185" s="5">
        <v>4.58845132206212</v>
      </c>
      <c r="C185" s="5">
        <v>-71.0903066494376</v>
      </c>
      <c r="D185" s="5">
        <v>50.3498629619554</v>
      </c>
      <c r="E185" s="5">
        <v>4.58845132206212</v>
      </c>
      <c r="F185" s="5">
        <v>4.58845132206212</v>
      </c>
      <c r="G185" s="5">
        <v>-15.1167046514591</v>
      </c>
      <c r="H185" s="5">
        <v>-15.1167046514591</v>
      </c>
      <c r="I185" s="5">
        <v>-15.1167046514591</v>
      </c>
      <c r="J185" s="5">
        <v>0.0905589421221347</v>
      </c>
      <c r="K185" s="5">
        <v>0.0905589421221347</v>
      </c>
      <c r="L185" s="5">
        <v>0.0905589421221347</v>
      </c>
      <c r="M185" s="5">
        <v>-15.2072635935813</v>
      </c>
      <c r="N185" s="5">
        <v>-15.2072635935813</v>
      </c>
      <c r="O185" s="5">
        <v>-15.2072635935813</v>
      </c>
      <c r="P185" s="5">
        <v>0.0</v>
      </c>
      <c r="Q185" s="5">
        <v>0.0</v>
      </c>
      <c r="R185" s="5">
        <v>0.0</v>
      </c>
      <c r="S185" s="5">
        <v>-10.528253329397</v>
      </c>
    </row>
    <row r="186">
      <c r="A186" s="6">
        <v>40624.0</v>
      </c>
      <c r="B186" s="5">
        <v>4.59684648346085</v>
      </c>
      <c r="C186" s="5">
        <v>-73.2583690774552</v>
      </c>
      <c r="D186" s="5">
        <v>52.5336513664103</v>
      </c>
      <c r="E186" s="5">
        <v>4.59684648346085</v>
      </c>
      <c r="F186" s="5">
        <v>4.59684648346085</v>
      </c>
      <c r="G186" s="5">
        <v>-14.5499517806384</v>
      </c>
      <c r="H186" s="5">
        <v>-14.5499517806384</v>
      </c>
      <c r="I186" s="5">
        <v>-14.5499517806384</v>
      </c>
      <c r="J186" s="5">
        <v>-0.144118857245415</v>
      </c>
      <c r="K186" s="5">
        <v>-0.144118857245415</v>
      </c>
      <c r="L186" s="5">
        <v>-0.144118857245415</v>
      </c>
      <c r="M186" s="5">
        <v>-14.405832923393</v>
      </c>
      <c r="N186" s="5">
        <v>-14.405832923393</v>
      </c>
      <c r="O186" s="5">
        <v>-14.405832923393</v>
      </c>
      <c r="P186" s="5">
        <v>0.0</v>
      </c>
      <c r="Q186" s="5">
        <v>0.0</v>
      </c>
      <c r="R186" s="5">
        <v>0.0</v>
      </c>
      <c r="S186" s="5">
        <v>-9.95310529717764</v>
      </c>
    </row>
    <row r="187">
      <c r="A187" s="6">
        <v>40625.0</v>
      </c>
      <c r="B187" s="5">
        <v>4.60524164485959</v>
      </c>
      <c r="C187" s="5">
        <v>-73.234268038122</v>
      </c>
      <c r="D187" s="5">
        <v>53.624637578371</v>
      </c>
      <c r="E187" s="5">
        <v>4.60524164485959</v>
      </c>
      <c r="F187" s="5">
        <v>4.60524164485959</v>
      </c>
      <c r="G187" s="5">
        <v>-13.5868592925451</v>
      </c>
      <c r="H187" s="5">
        <v>-13.5868592925451</v>
      </c>
      <c r="I187" s="5">
        <v>-13.5868592925451</v>
      </c>
      <c r="J187" s="5">
        <v>0.00703780528099129</v>
      </c>
      <c r="K187" s="5">
        <v>0.00703780528099129</v>
      </c>
      <c r="L187" s="5">
        <v>0.00703780528099129</v>
      </c>
      <c r="M187" s="5">
        <v>-13.5938970978261</v>
      </c>
      <c r="N187" s="5">
        <v>-13.5938970978261</v>
      </c>
      <c r="O187" s="5">
        <v>-13.5938970978261</v>
      </c>
      <c r="P187" s="5">
        <v>0.0</v>
      </c>
      <c r="Q187" s="5">
        <v>0.0</v>
      </c>
      <c r="R187" s="5">
        <v>0.0</v>
      </c>
      <c r="S187" s="5">
        <v>-8.98161764768558</v>
      </c>
    </row>
    <row r="188">
      <c r="A188" s="6">
        <v>40626.0</v>
      </c>
      <c r="B188" s="5">
        <v>4.61363680625833</v>
      </c>
      <c r="C188" s="5">
        <v>-69.9208685730025</v>
      </c>
      <c r="D188" s="5">
        <v>54.1398437557716</v>
      </c>
      <c r="E188" s="5">
        <v>4.61363680625833</v>
      </c>
      <c r="F188" s="5">
        <v>4.61363680625833</v>
      </c>
      <c r="G188" s="5">
        <v>-13.5597984460464</v>
      </c>
      <c r="H188" s="5">
        <v>-13.5597984460464</v>
      </c>
      <c r="I188" s="5">
        <v>-13.5597984460464</v>
      </c>
      <c r="J188" s="5">
        <v>-0.776422525904497</v>
      </c>
      <c r="K188" s="5">
        <v>-0.776422525904497</v>
      </c>
      <c r="L188" s="5">
        <v>-0.776422525904497</v>
      </c>
      <c r="M188" s="5">
        <v>-12.7833759201419</v>
      </c>
      <c r="N188" s="5">
        <v>-12.7833759201419</v>
      </c>
      <c r="O188" s="5">
        <v>-12.7833759201419</v>
      </c>
      <c r="P188" s="5">
        <v>0.0</v>
      </c>
      <c r="Q188" s="5">
        <v>0.0</v>
      </c>
      <c r="R188" s="5">
        <v>0.0</v>
      </c>
      <c r="S188" s="5">
        <v>-8.94616163978809</v>
      </c>
    </row>
    <row r="189">
      <c r="A189" s="6">
        <v>40627.0</v>
      </c>
      <c r="B189" s="5">
        <v>4.62203196765706</v>
      </c>
      <c r="C189" s="5">
        <v>-70.958420097905</v>
      </c>
      <c r="D189" s="5">
        <v>56.2704774592606</v>
      </c>
      <c r="E189" s="5">
        <v>4.62203196765706</v>
      </c>
      <c r="F189" s="5">
        <v>4.62203196765706</v>
      </c>
      <c r="G189" s="5">
        <v>-13.5763079979539</v>
      </c>
      <c r="H189" s="5">
        <v>-13.5763079979539</v>
      </c>
      <c r="I189" s="5">
        <v>-13.5763079979539</v>
      </c>
      <c r="J189" s="5">
        <v>-1.59155056649314</v>
      </c>
      <c r="K189" s="5">
        <v>-1.59155056649314</v>
      </c>
      <c r="L189" s="5">
        <v>-1.59155056649314</v>
      </c>
      <c r="M189" s="5">
        <v>-11.9847574314608</v>
      </c>
      <c r="N189" s="5">
        <v>-11.9847574314608</v>
      </c>
      <c r="O189" s="5">
        <v>-11.9847574314608</v>
      </c>
      <c r="P189" s="5">
        <v>0.0</v>
      </c>
      <c r="Q189" s="5">
        <v>0.0</v>
      </c>
      <c r="R189" s="5">
        <v>0.0</v>
      </c>
      <c r="S189" s="5">
        <v>-8.95427603029689</v>
      </c>
    </row>
    <row r="190">
      <c r="A190" s="6">
        <v>40630.0</v>
      </c>
      <c r="B190" s="5">
        <v>4.64721745185327</v>
      </c>
      <c r="C190" s="5">
        <v>-64.4050195361067</v>
      </c>
      <c r="D190" s="5">
        <v>59.2846297913636</v>
      </c>
      <c r="E190" s="5">
        <v>4.64721745185327</v>
      </c>
      <c r="F190" s="5">
        <v>4.64721745185327</v>
      </c>
      <c r="G190" s="5">
        <v>-9.6503074118526</v>
      </c>
      <c r="H190" s="5">
        <v>-9.6503074118526</v>
      </c>
      <c r="I190" s="5">
        <v>-9.6503074118526</v>
      </c>
      <c r="J190" s="5">
        <v>0.0905589421206973</v>
      </c>
      <c r="K190" s="5">
        <v>0.0905589421206973</v>
      </c>
      <c r="L190" s="5">
        <v>0.0905589421206973</v>
      </c>
      <c r="M190" s="5">
        <v>-9.7408663539733</v>
      </c>
      <c r="N190" s="5">
        <v>-9.7408663539733</v>
      </c>
      <c r="O190" s="5">
        <v>-9.7408663539733</v>
      </c>
      <c r="P190" s="5">
        <v>0.0</v>
      </c>
      <c r="Q190" s="5">
        <v>0.0</v>
      </c>
      <c r="R190" s="5">
        <v>0.0</v>
      </c>
      <c r="S190" s="5">
        <v>-5.00308995999932</v>
      </c>
    </row>
    <row r="191">
      <c r="A191" s="6">
        <v>40631.0</v>
      </c>
      <c r="B191" s="5">
        <v>4.65561261325201</v>
      </c>
      <c r="C191" s="5">
        <v>-65.4772342996109</v>
      </c>
      <c r="D191" s="5">
        <v>61.1684478829267</v>
      </c>
      <c r="E191" s="5">
        <v>4.65561261325201</v>
      </c>
      <c r="F191" s="5">
        <v>4.65561261325201</v>
      </c>
      <c r="G191" s="5">
        <v>-9.20599801166086</v>
      </c>
      <c r="H191" s="5">
        <v>-9.20599801166086</v>
      </c>
      <c r="I191" s="5">
        <v>-9.20599801166086</v>
      </c>
      <c r="J191" s="5">
        <v>-0.14411885724685</v>
      </c>
      <c r="K191" s="5">
        <v>-0.14411885724685</v>
      </c>
      <c r="L191" s="5">
        <v>-0.14411885724685</v>
      </c>
      <c r="M191" s="5">
        <v>-9.06187915441401</v>
      </c>
      <c r="N191" s="5">
        <v>-9.06187915441401</v>
      </c>
      <c r="O191" s="5">
        <v>-9.06187915441401</v>
      </c>
      <c r="P191" s="5">
        <v>0.0</v>
      </c>
      <c r="Q191" s="5">
        <v>0.0</v>
      </c>
      <c r="R191" s="5">
        <v>0.0</v>
      </c>
      <c r="S191" s="5">
        <v>-4.55038539840884</v>
      </c>
    </row>
    <row r="192">
      <c r="A192" s="6">
        <v>40632.0</v>
      </c>
      <c r="B192" s="5">
        <v>4.66400777980337</v>
      </c>
      <c r="C192" s="5">
        <v>-68.5152429555242</v>
      </c>
      <c r="D192" s="5">
        <v>56.6255143676286</v>
      </c>
      <c r="E192" s="5">
        <v>4.66400777980337</v>
      </c>
      <c r="F192" s="5">
        <v>4.66400777980337</v>
      </c>
      <c r="G192" s="5">
        <v>-8.41529690945107</v>
      </c>
      <c r="H192" s="5">
        <v>-8.41529690945107</v>
      </c>
      <c r="I192" s="5">
        <v>-8.41529690945107</v>
      </c>
      <c r="J192" s="5">
        <v>0.00703780528329386</v>
      </c>
      <c r="K192" s="5">
        <v>0.00703780528329386</v>
      </c>
      <c r="L192" s="5">
        <v>0.00703780528329386</v>
      </c>
      <c r="M192" s="5">
        <v>-8.42233471473437</v>
      </c>
      <c r="N192" s="5">
        <v>-8.42233471473437</v>
      </c>
      <c r="O192" s="5">
        <v>-8.42233471473437</v>
      </c>
      <c r="P192" s="5">
        <v>0.0</v>
      </c>
      <c r="Q192" s="5">
        <v>0.0</v>
      </c>
      <c r="R192" s="5">
        <v>0.0</v>
      </c>
      <c r="S192" s="5">
        <v>-3.7512891296477</v>
      </c>
    </row>
    <row r="193">
      <c r="A193" s="6">
        <v>40633.0</v>
      </c>
      <c r="B193" s="5">
        <v>4.67240294635473</v>
      </c>
      <c r="C193" s="5">
        <v>-65.6614096977976</v>
      </c>
      <c r="D193" s="5">
        <v>57.381485147345</v>
      </c>
      <c r="E193" s="5">
        <v>4.67240294635473</v>
      </c>
      <c r="F193" s="5">
        <v>4.67240294635473</v>
      </c>
      <c r="G193" s="5">
        <v>-8.59928988997944</v>
      </c>
      <c r="H193" s="5">
        <v>-8.59928988997944</v>
      </c>
      <c r="I193" s="5">
        <v>-8.59928988997944</v>
      </c>
      <c r="J193" s="5">
        <v>-0.776422525900994</v>
      </c>
      <c r="K193" s="5">
        <v>-0.776422525900994</v>
      </c>
      <c r="L193" s="5">
        <v>-0.776422525900994</v>
      </c>
      <c r="M193" s="5">
        <v>-7.82286736407845</v>
      </c>
      <c r="N193" s="5">
        <v>-7.82286736407845</v>
      </c>
      <c r="O193" s="5">
        <v>-7.82286736407845</v>
      </c>
      <c r="P193" s="5">
        <v>0.0</v>
      </c>
      <c r="Q193" s="5">
        <v>0.0</v>
      </c>
      <c r="R193" s="5">
        <v>0.0</v>
      </c>
      <c r="S193" s="5">
        <v>-3.92688694362471</v>
      </c>
    </row>
    <row r="194">
      <c r="A194" s="6">
        <v>40634.0</v>
      </c>
      <c r="B194" s="5">
        <v>4.68079811290608</v>
      </c>
      <c r="C194" s="5">
        <v>-67.4495654964908</v>
      </c>
      <c r="D194" s="5">
        <v>58.4648642679098</v>
      </c>
      <c r="E194" s="5">
        <v>4.68079811290608</v>
      </c>
      <c r="F194" s="5">
        <v>4.68079811290608</v>
      </c>
      <c r="G194" s="5">
        <v>-8.85431662216311</v>
      </c>
      <c r="H194" s="5">
        <v>-8.85431662216311</v>
      </c>
      <c r="I194" s="5">
        <v>-8.85431662216311</v>
      </c>
      <c r="J194" s="5">
        <v>-1.59155056649222</v>
      </c>
      <c r="K194" s="5">
        <v>-1.59155056649222</v>
      </c>
      <c r="L194" s="5">
        <v>-1.59155056649222</v>
      </c>
      <c r="M194" s="5">
        <v>-7.26276605567089</v>
      </c>
      <c r="N194" s="5">
        <v>-7.26276605567089</v>
      </c>
      <c r="O194" s="5">
        <v>-7.26276605567089</v>
      </c>
      <c r="P194" s="5">
        <v>0.0</v>
      </c>
      <c r="Q194" s="5">
        <v>0.0</v>
      </c>
      <c r="R194" s="5">
        <v>0.0</v>
      </c>
      <c r="S194" s="5">
        <v>-4.17351850925702</v>
      </c>
    </row>
    <row r="195">
      <c r="A195" s="6">
        <v>40637.0</v>
      </c>
      <c r="B195" s="5">
        <v>4.70598361256016</v>
      </c>
      <c r="C195" s="5">
        <v>-65.5509088668149</v>
      </c>
      <c r="D195" s="5">
        <v>67.2219335998731</v>
      </c>
      <c r="E195" s="5">
        <v>4.70598361256016</v>
      </c>
      <c r="F195" s="5">
        <v>4.70598361256016</v>
      </c>
      <c r="G195" s="5">
        <v>-5.70533883480241</v>
      </c>
      <c r="H195" s="5">
        <v>-5.70533883480241</v>
      </c>
      <c r="I195" s="5">
        <v>-5.70533883480241</v>
      </c>
      <c r="J195" s="5">
        <v>0.0905589421216438</v>
      </c>
      <c r="K195" s="5">
        <v>0.0905589421216438</v>
      </c>
      <c r="L195" s="5">
        <v>0.0905589421216438</v>
      </c>
      <c r="M195" s="5">
        <v>-5.79589777692405</v>
      </c>
      <c r="N195" s="5">
        <v>-5.79589777692405</v>
      </c>
      <c r="O195" s="5">
        <v>-5.79589777692405</v>
      </c>
      <c r="P195" s="5">
        <v>0.0</v>
      </c>
      <c r="Q195" s="5">
        <v>0.0</v>
      </c>
      <c r="R195" s="5">
        <v>0.0</v>
      </c>
      <c r="S195" s="5">
        <v>-0.999355222242242</v>
      </c>
    </row>
    <row r="196">
      <c r="A196" s="6">
        <v>40638.0</v>
      </c>
      <c r="B196" s="5">
        <v>4.71437877911152</v>
      </c>
      <c r="C196" s="5">
        <v>-62.0278661095625</v>
      </c>
      <c r="D196" s="5">
        <v>65.4636555075426</v>
      </c>
      <c r="E196" s="5">
        <v>4.71437877911152</v>
      </c>
      <c r="F196" s="5">
        <v>4.71437877911152</v>
      </c>
      <c r="G196" s="5">
        <v>-5.5111471974856</v>
      </c>
      <c r="H196" s="5">
        <v>-5.5111471974856</v>
      </c>
      <c r="I196" s="5">
        <v>-5.5111471974856</v>
      </c>
      <c r="J196" s="5">
        <v>-0.144118857246067</v>
      </c>
      <c r="K196" s="5">
        <v>-0.144118857246067</v>
      </c>
      <c r="L196" s="5">
        <v>-0.144118857246067</v>
      </c>
      <c r="M196" s="5">
        <v>-5.36702834023954</v>
      </c>
      <c r="N196" s="5">
        <v>-5.36702834023954</v>
      </c>
      <c r="O196" s="5">
        <v>-5.36702834023954</v>
      </c>
      <c r="P196" s="5">
        <v>0.0</v>
      </c>
      <c r="Q196" s="5">
        <v>0.0</v>
      </c>
      <c r="R196" s="5">
        <v>0.0</v>
      </c>
      <c r="S196" s="5">
        <v>-0.796768418374082</v>
      </c>
    </row>
    <row r="197">
      <c r="A197" s="6">
        <v>40639.0</v>
      </c>
      <c r="B197" s="5">
        <v>4.72277394566288</v>
      </c>
      <c r="C197" s="5">
        <v>-58.9462186406618</v>
      </c>
      <c r="D197" s="5">
        <v>63.3987068632461</v>
      </c>
      <c r="E197" s="5">
        <v>4.72277394566288</v>
      </c>
      <c r="F197" s="5">
        <v>4.72277394566288</v>
      </c>
      <c r="G197" s="5">
        <v>-4.95483435309487</v>
      </c>
      <c r="H197" s="5">
        <v>-4.95483435309487</v>
      </c>
      <c r="I197" s="5">
        <v>-4.95483435309487</v>
      </c>
      <c r="J197" s="5">
        <v>0.00703780528244128</v>
      </c>
      <c r="K197" s="5">
        <v>0.00703780528244128</v>
      </c>
      <c r="L197" s="5">
        <v>0.00703780528244128</v>
      </c>
      <c r="M197" s="5">
        <v>-4.96187215837732</v>
      </c>
      <c r="N197" s="5">
        <v>-4.96187215837732</v>
      </c>
      <c r="O197" s="5">
        <v>-4.96187215837732</v>
      </c>
      <c r="P197" s="5">
        <v>0.0</v>
      </c>
      <c r="Q197" s="5">
        <v>0.0</v>
      </c>
      <c r="R197" s="5">
        <v>0.0</v>
      </c>
      <c r="S197" s="5">
        <v>-0.232060407431994</v>
      </c>
    </row>
    <row r="198">
      <c r="A198" s="6">
        <v>40640.0</v>
      </c>
      <c r="B198" s="5">
        <v>4.73116911221424</v>
      </c>
      <c r="C198" s="5">
        <v>-63.0448611530721</v>
      </c>
      <c r="D198" s="5">
        <v>62.5531931296862</v>
      </c>
      <c r="E198" s="5">
        <v>4.73116911221424</v>
      </c>
      <c r="F198" s="5">
        <v>4.73116911221424</v>
      </c>
      <c r="G198" s="5">
        <v>-5.35313765709176</v>
      </c>
      <c r="H198" s="5">
        <v>-5.35313765709176</v>
      </c>
      <c r="I198" s="5">
        <v>-5.35313765709176</v>
      </c>
      <c r="J198" s="5">
        <v>-0.776422525903091</v>
      </c>
      <c r="K198" s="5">
        <v>-0.776422525903091</v>
      </c>
      <c r="L198" s="5">
        <v>-0.776422525903091</v>
      </c>
      <c r="M198" s="5">
        <v>-4.57671513118867</v>
      </c>
      <c r="N198" s="5">
        <v>-4.57671513118867</v>
      </c>
      <c r="O198" s="5">
        <v>-4.57671513118867</v>
      </c>
      <c r="P198" s="5">
        <v>0.0</v>
      </c>
      <c r="Q198" s="5">
        <v>0.0</v>
      </c>
      <c r="R198" s="5">
        <v>0.0</v>
      </c>
      <c r="S198" s="5">
        <v>-0.621968544877517</v>
      </c>
    </row>
    <row r="199">
      <c r="A199" s="6">
        <v>40641.0</v>
      </c>
      <c r="B199" s="5">
        <v>4.7395642787656</v>
      </c>
      <c r="C199" s="5">
        <v>-67.5784853142839</v>
      </c>
      <c r="D199" s="5">
        <v>62.0829105464774</v>
      </c>
      <c r="E199" s="5">
        <v>4.7395642787656</v>
      </c>
      <c r="F199" s="5">
        <v>4.7395642787656</v>
      </c>
      <c r="G199" s="5">
        <v>-5.79980576450769</v>
      </c>
      <c r="H199" s="5">
        <v>-5.79980576450769</v>
      </c>
      <c r="I199" s="5">
        <v>-5.79980576450769</v>
      </c>
      <c r="J199" s="5">
        <v>-1.59155056649129</v>
      </c>
      <c r="K199" s="5">
        <v>-1.59155056649129</v>
      </c>
      <c r="L199" s="5">
        <v>-1.59155056649129</v>
      </c>
      <c r="M199" s="5">
        <v>-4.20825519801639</v>
      </c>
      <c r="N199" s="5">
        <v>-4.20825519801639</v>
      </c>
      <c r="O199" s="5">
        <v>-4.20825519801639</v>
      </c>
      <c r="P199" s="5">
        <v>0.0</v>
      </c>
      <c r="Q199" s="5">
        <v>0.0</v>
      </c>
      <c r="R199" s="5">
        <v>0.0</v>
      </c>
      <c r="S199" s="5">
        <v>-1.06024148574209</v>
      </c>
    </row>
    <row r="200">
      <c r="A200" s="6">
        <v>40644.0</v>
      </c>
      <c r="B200" s="5">
        <v>4.76474977841968</v>
      </c>
      <c r="C200" s="5">
        <v>-59.6321887969139</v>
      </c>
      <c r="D200" s="5">
        <v>63.8972928615421</v>
      </c>
      <c r="E200" s="5">
        <v>4.76474977841968</v>
      </c>
      <c r="F200" s="5">
        <v>4.76474977841968</v>
      </c>
      <c r="G200" s="5">
        <v>-3.09014908818277</v>
      </c>
      <c r="H200" s="5">
        <v>-3.09014908818277</v>
      </c>
      <c r="I200" s="5">
        <v>-3.09014908818277</v>
      </c>
      <c r="J200" s="5">
        <v>0.0905589421202865</v>
      </c>
      <c r="K200" s="5">
        <v>0.0905589421202865</v>
      </c>
      <c r="L200" s="5">
        <v>0.0905589421202865</v>
      </c>
      <c r="M200" s="5">
        <v>-3.18070803030305</v>
      </c>
      <c r="N200" s="5">
        <v>-3.18070803030305</v>
      </c>
      <c r="O200" s="5">
        <v>-3.18070803030305</v>
      </c>
      <c r="P200" s="5">
        <v>0.0</v>
      </c>
      <c r="Q200" s="5">
        <v>0.0</v>
      </c>
      <c r="R200" s="5">
        <v>0.0</v>
      </c>
      <c r="S200" s="5">
        <v>1.6746006902369</v>
      </c>
    </row>
    <row r="201">
      <c r="A201" s="6">
        <v>40645.0</v>
      </c>
      <c r="B201" s="5">
        <v>4.77314494497104</v>
      </c>
      <c r="C201" s="5">
        <v>-57.721260784064</v>
      </c>
      <c r="D201" s="5">
        <v>64.3394446473134</v>
      </c>
      <c r="E201" s="5">
        <v>4.77314494497104</v>
      </c>
      <c r="F201" s="5">
        <v>4.77314494497104</v>
      </c>
      <c r="G201" s="5">
        <v>-3.0055257631895</v>
      </c>
      <c r="H201" s="5">
        <v>-3.0055257631895</v>
      </c>
      <c r="I201" s="5">
        <v>-3.0055257631895</v>
      </c>
      <c r="J201" s="5">
        <v>-0.144118857242456</v>
      </c>
      <c r="K201" s="5">
        <v>-0.144118857242456</v>
      </c>
      <c r="L201" s="5">
        <v>-0.144118857242456</v>
      </c>
      <c r="M201" s="5">
        <v>-2.86140690594704</v>
      </c>
      <c r="N201" s="5">
        <v>-2.86140690594704</v>
      </c>
      <c r="O201" s="5">
        <v>-2.86140690594704</v>
      </c>
      <c r="P201" s="5">
        <v>0.0</v>
      </c>
      <c r="Q201" s="5">
        <v>0.0</v>
      </c>
      <c r="R201" s="5">
        <v>0.0</v>
      </c>
      <c r="S201" s="5">
        <v>1.76761918178153</v>
      </c>
    </row>
    <row r="202">
      <c r="A202" s="6">
        <v>40646.0</v>
      </c>
      <c r="B202" s="5">
        <v>4.78154011152239</v>
      </c>
      <c r="C202" s="5">
        <v>-59.5074486274809</v>
      </c>
      <c r="D202" s="5">
        <v>65.5808368781736</v>
      </c>
      <c r="E202" s="5">
        <v>4.78154011152239</v>
      </c>
      <c r="F202" s="5">
        <v>4.78154011152239</v>
      </c>
      <c r="G202" s="5">
        <v>-2.54805322496091</v>
      </c>
      <c r="H202" s="5">
        <v>-2.54805322496091</v>
      </c>
      <c r="I202" s="5">
        <v>-2.54805322496091</v>
      </c>
      <c r="J202" s="5">
        <v>0.00703780528158875</v>
      </c>
      <c r="K202" s="5">
        <v>0.00703780528158875</v>
      </c>
      <c r="L202" s="5">
        <v>0.00703780528158875</v>
      </c>
      <c r="M202" s="5">
        <v>-2.5550910302425</v>
      </c>
      <c r="N202" s="5">
        <v>-2.5550910302425</v>
      </c>
      <c r="O202" s="5">
        <v>-2.5550910302425</v>
      </c>
      <c r="P202" s="5">
        <v>0.0</v>
      </c>
      <c r="Q202" s="5">
        <v>0.0</v>
      </c>
      <c r="R202" s="5">
        <v>0.0</v>
      </c>
      <c r="S202" s="5">
        <v>2.23348688656148</v>
      </c>
    </row>
    <row r="203">
      <c r="A203" s="6">
        <v>40647.0</v>
      </c>
      <c r="B203" s="5">
        <v>4.78993527807375</v>
      </c>
      <c r="C203" s="5">
        <v>-61.5211118520976</v>
      </c>
      <c r="D203" s="5">
        <v>62.9597772943055</v>
      </c>
      <c r="E203" s="5">
        <v>4.78993527807375</v>
      </c>
      <c r="F203" s="5">
        <v>4.78993527807375</v>
      </c>
      <c r="G203" s="5">
        <v>-3.04075241259195</v>
      </c>
      <c r="H203" s="5">
        <v>-3.04075241259195</v>
      </c>
      <c r="I203" s="5">
        <v>-3.04075241259195</v>
      </c>
      <c r="J203" s="5">
        <v>-0.776422525903813</v>
      </c>
      <c r="K203" s="5">
        <v>-0.776422525903813</v>
      </c>
      <c r="L203" s="5">
        <v>-0.776422525903813</v>
      </c>
      <c r="M203" s="5">
        <v>-2.26432988668814</v>
      </c>
      <c r="N203" s="5">
        <v>-2.26432988668814</v>
      </c>
      <c r="O203" s="5">
        <v>-2.26432988668814</v>
      </c>
      <c r="P203" s="5">
        <v>0.0</v>
      </c>
      <c r="Q203" s="5">
        <v>0.0</v>
      </c>
      <c r="R203" s="5">
        <v>0.0</v>
      </c>
      <c r="S203" s="5">
        <v>1.7491828654818</v>
      </c>
    </row>
    <row r="204">
      <c r="A204" s="6">
        <v>40648.0</v>
      </c>
      <c r="B204" s="5">
        <v>4.79833044462511</v>
      </c>
      <c r="C204" s="5">
        <v>-56.5188819642802</v>
      </c>
      <c r="D204" s="5">
        <v>61.7559015846178</v>
      </c>
      <c r="E204" s="5">
        <v>4.79833044462511</v>
      </c>
      <c r="F204" s="5">
        <v>4.79833044462511</v>
      </c>
      <c r="G204" s="5">
        <v>-3.58437780738932</v>
      </c>
      <c r="H204" s="5">
        <v>-3.58437780738932</v>
      </c>
      <c r="I204" s="5">
        <v>-3.58437780738932</v>
      </c>
      <c r="J204" s="5">
        <v>-1.59155056649005</v>
      </c>
      <c r="K204" s="5">
        <v>-1.59155056649005</v>
      </c>
      <c r="L204" s="5">
        <v>-1.59155056649005</v>
      </c>
      <c r="M204" s="5">
        <v>-1.99282724089927</v>
      </c>
      <c r="N204" s="5">
        <v>-1.99282724089927</v>
      </c>
      <c r="O204" s="5">
        <v>-1.99282724089927</v>
      </c>
      <c r="P204" s="5">
        <v>0.0</v>
      </c>
      <c r="Q204" s="5">
        <v>0.0</v>
      </c>
      <c r="R204" s="5">
        <v>0.0</v>
      </c>
      <c r="S204" s="5">
        <v>1.21395263723578</v>
      </c>
    </row>
    <row r="205">
      <c r="A205" s="6">
        <v>40651.0</v>
      </c>
      <c r="B205" s="5">
        <v>4.82351594427919</v>
      </c>
      <c r="C205" s="5">
        <v>-56.5477417186169</v>
      </c>
      <c r="D205" s="5">
        <v>64.7390520688293</v>
      </c>
      <c r="E205" s="5">
        <v>4.82351594427919</v>
      </c>
      <c r="F205" s="5">
        <v>4.82351594427919</v>
      </c>
      <c r="G205" s="5">
        <v>-1.25526589892315</v>
      </c>
      <c r="H205" s="5">
        <v>-1.25526589892315</v>
      </c>
      <c r="I205" s="5">
        <v>-1.25526589892315</v>
      </c>
      <c r="J205" s="5">
        <v>0.0905589421212328</v>
      </c>
      <c r="K205" s="5">
        <v>0.0905589421212328</v>
      </c>
      <c r="L205" s="5">
        <v>0.0905589421212328</v>
      </c>
      <c r="M205" s="5">
        <v>-1.34582484104438</v>
      </c>
      <c r="N205" s="5">
        <v>-1.34582484104438</v>
      </c>
      <c r="O205" s="5">
        <v>-1.34582484104438</v>
      </c>
      <c r="P205" s="5">
        <v>0.0</v>
      </c>
      <c r="Q205" s="5">
        <v>0.0</v>
      </c>
      <c r="R205" s="5">
        <v>0.0</v>
      </c>
      <c r="S205" s="5">
        <v>3.56825004535603</v>
      </c>
    </row>
    <row r="206">
      <c r="A206" s="6">
        <v>40652.0</v>
      </c>
      <c r="B206" s="5">
        <v>4.83191111083055</v>
      </c>
      <c r="C206" s="5">
        <v>-59.6387109762919</v>
      </c>
      <c r="D206" s="5">
        <v>64.8335015044126</v>
      </c>
      <c r="E206" s="5">
        <v>4.83191111083055</v>
      </c>
      <c r="F206" s="5">
        <v>4.83191111083055</v>
      </c>
      <c r="G206" s="5">
        <v>-1.35130032435886</v>
      </c>
      <c r="H206" s="5">
        <v>-1.35130032435886</v>
      </c>
      <c r="I206" s="5">
        <v>-1.35130032435886</v>
      </c>
      <c r="J206" s="5">
        <v>-0.144118857243891</v>
      </c>
      <c r="K206" s="5">
        <v>-0.144118857243891</v>
      </c>
      <c r="L206" s="5">
        <v>-0.144118857243891</v>
      </c>
      <c r="M206" s="5">
        <v>-1.20718146711497</v>
      </c>
      <c r="N206" s="5">
        <v>-1.20718146711497</v>
      </c>
      <c r="O206" s="5">
        <v>-1.20718146711497</v>
      </c>
      <c r="P206" s="5">
        <v>0.0</v>
      </c>
      <c r="Q206" s="5">
        <v>0.0</v>
      </c>
      <c r="R206" s="5">
        <v>0.0</v>
      </c>
      <c r="S206" s="5">
        <v>3.48061078647168</v>
      </c>
    </row>
    <row r="207">
      <c r="A207" s="6">
        <v>40653.0</v>
      </c>
      <c r="B207" s="5">
        <v>4.84030627738191</v>
      </c>
      <c r="C207" s="5">
        <v>-64.8826973127837</v>
      </c>
      <c r="D207" s="5">
        <v>68.6352760431247</v>
      </c>
      <c r="E207" s="5">
        <v>4.84030627738191</v>
      </c>
      <c r="F207" s="5">
        <v>4.84030627738191</v>
      </c>
      <c r="G207" s="5">
        <v>-1.11182211241475</v>
      </c>
      <c r="H207" s="5">
        <v>-1.11182211241475</v>
      </c>
      <c r="I207" s="5">
        <v>-1.11182211241475</v>
      </c>
      <c r="J207" s="5">
        <v>0.00703780528073627</v>
      </c>
      <c r="K207" s="5">
        <v>0.00703780528073627</v>
      </c>
      <c r="L207" s="5">
        <v>0.00703780528073627</v>
      </c>
      <c r="M207" s="5">
        <v>-1.11885991769549</v>
      </c>
      <c r="N207" s="5">
        <v>-1.11885991769549</v>
      </c>
      <c r="O207" s="5">
        <v>-1.11885991769549</v>
      </c>
      <c r="P207" s="5">
        <v>0.0</v>
      </c>
      <c r="Q207" s="5">
        <v>0.0</v>
      </c>
      <c r="R207" s="5">
        <v>0.0</v>
      </c>
      <c r="S207" s="5">
        <v>3.72848416496715</v>
      </c>
    </row>
    <row r="208">
      <c r="A208" s="6">
        <v>40654.0</v>
      </c>
      <c r="B208" s="5">
        <v>4.84870144393327</v>
      </c>
      <c r="C208" s="5">
        <v>-59.9793290104273</v>
      </c>
      <c r="D208" s="5">
        <v>66.9829331943873</v>
      </c>
      <c r="E208" s="5">
        <v>4.84870144393327</v>
      </c>
      <c r="F208" s="5">
        <v>4.84870144393327</v>
      </c>
      <c r="G208" s="5">
        <v>-1.86458872573759</v>
      </c>
      <c r="H208" s="5">
        <v>-1.86458872573759</v>
      </c>
      <c r="I208" s="5">
        <v>-1.86458872573759</v>
      </c>
      <c r="J208" s="5">
        <v>-0.77642252590306</v>
      </c>
      <c r="K208" s="5">
        <v>-0.77642252590306</v>
      </c>
      <c r="L208" s="5">
        <v>-0.77642252590306</v>
      </c>
      <c r="M208" s="5">
        <v>-1.08816619983453</v>
      </c>
      <c r="N208" s="5">
        <v>-1.08816619983453</v>
      </c>
      <c r="O208" s="5">
        <v>-1.08816619983453</v>
      </c>
      <c r="P208" s="5">
        <v>0.0</v>
      </c>
      <c r="Q208" s="5">
        <v>0.0</v>
      </c>
      <c r="R208" s="5">
        <v>0.0</v>
      </c>
      <c r="S208" s="5">
        <v>2.98411271819567</v>
      </c>
    </row>
    <row r="209">
      <c r="A209" s="6">
        <v>40658.0</v>
      </c>
      <c r="B209" s="5">
        <v>4.8822821101387</v>
      </c>
      <c r="C209" s="5">
        <v>-54.7204512873523</v>
      </c>
      <c r="D209" s="5">
        <v>67.3280716343392</v>
      </c>
      <c r="E209" s="5">
        <v>4.8822821101387</v>
      </c>
      <c r="F209" s="5">
        <v>4.8822821101387</v>
      </c>
      <c r="G209" s="5">
        <v>-1.5836668889362</v>
      </c>
      <c r="H209" s="5">
        <v>-1.5836668889362</v>
      </c>
      <c r="I209" s="5">
        <v>-1.5836668889362</v>
      </c>
      <c r="J209" s="5">
        <v>0.0905589421197953</v>
      </c>
      <c r="K209" s="5">
        <v>0.0905589421197953</v>
      </c>
      <c r="L209" s="5">
        <v>0.0905589421197953</v>
      </c>
      <c r="M209" s="5">
        <v>-1.67422583105599</v>
      </c>
      <c r="N209" s="5">
        <v>-1.67422583105599</v>
      </c>
      <c r="O209" s="5">
        <v>-1.67422583105599</v>
      </c>
      <c r="P209" s="5">
        <v>0.0</v>
      </c>
      <c r="Q209" s="5">
        <v>0.0</v>
      </c>
      <c r="R209" s="5">
        <v>0.0</v>
      </c>
      <c r="S209" s="5">
        <v>3.2986152212025</v>
      </c>
    </row>
    <row r="210">
      <c r="A210" s="6">
        <v>40659.0</v>
      </c>
      <c r="B210" s="5">
        <v>4.89067727669006</v>
      </c>
      <c r="C210" s="5">
        <v>-60.8632682126241</v>
      </c>
      <c r="D210" s="5">
        <v>63.7127049112133</v>
      </c>
      <c r="E210" s="5">
        <v>4.89067727669006</v>
      </c>
      <c r="F210" s="5">
        <v>4.89067727669006</v>
      </c>
      <c r="G210" s="5">
        <v>-2.16812016506248</v>
      </c>
      <c r="H210" s="5">
        <v>-2.16812016506248</v>
      </c>
      <c r="I210" s="5">
        <v>-2.16812016506248</v>
      </c>
      <c r="J210" s="5">
        <v>-0.144118857246741</v>
      </c>
      <c r="K210" s="5">
        <v>-0.144118857246741</v>
      </c>
      <c r="L210" s="5">
        <v>-0.144118857246741</v>
      </c>
      <c r="M210" s="5">
        <v>-2.02400130781574</v>
      </c>
      <c r="N210" s="5">
        <v>-2.02400130781574</v>
      </c>
      <c r="O210" s="5">
        <v>-2.02400130781574</v>
      </c>
      <c r="P210" s="5">
        <v>0.0</v>
      </c>
      <c r="Q210" s="5">
        <v>0.0</v>
      </c>
      <c r="R210" s="5">
        <v>0.0</v>
      </c>
      <c r="S210" s="5">
        <v>2.72255711162758</v>
      </c>
    </row>
    <row r="211">
      <c r="A211" s="6">
        <v>40660.0</v>
      </c>
      <c r="B211" s="5">
        <v>4.89907244324142</v>
      </c>
      <c r="C211" s="5">
        <v>-62.7619406565724</v>
      </c>
      <c r="D211" s="5">
        <v>61.5377851247457</v>
      </c>
      <c r="E211" s="5">
        <v>4.89907244324142</v>
      </c>
      <c r="F211" s="5">
        <v>4.89907244324142</v>
      </c>
      <c r="G211" s="5">
        <v>-2.45429277428606</v>
      </c>
      <c r="H211" s="5">
        <v>-2.45429277428606</v>
      </c>
      <c r="I211" s="5">
        <v>-2.45429277428606</v>
      </c>
      <c r="J211" s="5">
        <v>0.00703780528303864</v>
      </c>
      <c r="K211" s="5">
        <v>0.00703780528303864</v>
      </c>
      <c r="L211" s="5">
        <v>0.00703780528303864</v>
      </c>
      <c r="M211" s="5">
        <v>-2.4613305795691</v>
      </c>
      <c r="N211" s="5">
        <v>-2.4613305795691</v>
      </c>
      <c r="O211" s="5">
        <v>-2.4613305795691</v>
      </c>
      <c r="P211" s="5">
        <v>0.0</v>
      </c>
      <c r="Q211" s="5">
        <v>0.0</v>
      </c>
      <c r="R211" s="5">
        <v>0.0</v>
      </c>
      <c r="S211" s="5">
        <v>2.44477966895535</v>
      </c>
    </row>
    <row r="212">
      <c r="A212" s="6">
        <v>40661.0</v>
      </c>
      <c r="B212" s="5">
        <v>4.90746760979278</v>
      </c>
      <c r="C212" s="5">
        <v>-59.9213041449034</v>
      </c>
      <c r="D212" s="5">
        <v>58.1455229799039</v>
      </c>
      <c r="E212" s="5">
        <v>4.90746760979278</v>
      </c>
      <c r="F212" s="5">
        <v>4.90746760979278</v>
      </c>
      <c r="G212" s="5">
        <v>-3.76312714036245</v>
      </c>
      <c r="H212" s="5">
        <v>-3.76312714036245</v>
      </c>
      <c r="I212" s="5">
        <v>-3.76312714036245</v>
      </c>
      <c r="J212" s="5">
        <v>-0.776422525903782</v>
      </c>
      <c r="K212" s="5">
        <v>-0.776422525903782</v>
      </c>
      <c r="L212" s="5">
        <v>-0.776422525903782</v>
      </c>
      <c r="M212" s="5">
        <v>-2.98670461445867</v>
      </c>
      <c r="N212" s="5">
        <v>-2.98670461445867</v>
      </c>
      <c r="O212" s="5">
        <v>-2.98670461445867</v>
      </c>
      <c r="P212" s="5">
        <v>0.0</v>
      </c>
      <c r="Q212" s="5">
        <v>0.0</v>
      </c>
      <c r="R212" s="5">
        <v>0.0</v>
      </c>
      <c r="S212" s="5">
        <v>1.14434046943032</v>
      </c>
    </row>
    <row r="213">
      <c r="A213" s="6">
        <v>40662.0</v>
      </c>
      <c r="B213" s="5">
        <v>4.91586277634414</v>
      </c>
      <c r="C213" s="5">
        <v>-61.8813283021018</v>
      </c>
      <c r="D213" s="5">
        <v>61.9530828770073</v>
      </c>
      <c r="E213" s="5">
        <v>4.91586277634414</v>
      </c>
      <c r="F213" s="5">
        <v>4.91586277634414</v>
      </c>
      <c r="G213" s="5">
        <v>-5.19043920296439</v>
      </c>
      <c r="H213" s="5">
        <v>-5.19043920296439</v>
      </c>
      <c r="I213" s="5">
        <v>-5.19043920296439</v>
      </c>
      <c r="J213" s="5">
        <v>-1.59155056649369</v>
      </c>
      <c r="K213" s="5">
        <v>-1.59155056649369</v>
      </c>
      <c r="L213" s="5">
        <v>-1.59155056649369</v>
      </c>
      <c r="M213" s="5">
        <v>-3.59888863647069</v>
      </c>
      <c r="N213" s="5">
        <v>-3.59888863647069</v>
      </c>
      <c r="O213" s="5">
        <v>-3.59888863647069</v>
      </c>
      <c r="P213" s="5">
        <v>0.0</v>
      </c>
      <c r="Q213" s="5">
        <v>0.0</v>
      </c>
      <c r="R213" s="5">
        <v>0.0</v>
      </c>
      <c r="S213" s="5">
        <v>-0.274576426620246</v>
      </c>
    </row>
    <row r="214">
      <c r="A214" s="6">
        <v>40665.0</v>
      </c>
      <c r="B214" s="5">
        <v>4.94104827599822</v>
      </c>
      <c r="C214" s="5">
        <v>-66.5741153008849</v>
      </c>
      <c r="D214" s="5">
        <v>60.7626733706919</v>
      </c>
      <c r="E214" s="5">
        <v>4.94104827599822</v>
      </c>
      <c r="F214" s="5">
        <v>4.94104827599822</v>
      </c>
      <c r="G214" s="5">
        <v>-5.82643164509612</v>
      </c>
      <c r="H214" s="5">
        <v>-5.82643164509612</v>
      </c>
      <c r="I214" s="5">
        <v>-5.82643164509612</v>
      </c>
      <c r="J214" s="5">
        <v>0.0905589421232859</v>
      </c>
      <c r="K214" s="5">
        <v>0.0905589421232859</v>
      </c>
      <c r="L214" s="5">
        <v>0.0905589421232859</v>
      </c>
      <c r="M214" s="5">
        <v>-5.9169905872194</v>
      </c>
      <c r="N214" s="5">
        <v>-5.9169905872194</v>
      </c>
      <c r="O214" s="5">
        <v>-5.9169905872194</v>
      </c>
      <c r="P214" s="5">
        <v>0.0</v>
      </c>
      <c r="Q214" s="5">
        <v>0.0</v>
      </c>
      <c r="R214" s="5">
        <v>0.0</v>
      </c>
      <c r="S214" s="5">
        <v>-0.885383369097899</v>
      </c>
    </row>
    <row r="215">
      <c r="A215" s="6">
        <v>40666.0</v>
      </c>
      <c r="B215" s="5">
        <v>4.94944344254958</v>
      </c>
      <c r="C215" s="5">
        <v>-66.9246973013072</v>
      </c>
      <c r="D215" s="5">
        <v>60.7149381611388</v>
      </c>
      <c r="E215" s="5">
        <v>4.94944344254958</v>
      </c>
      <c r="F215" s="5">
        <v>4.94944344254958</v>
      </c>
      <c r="G215" s="5">
        <v>-6.97236297298322</v>
      </c>
      <c r="H215" s="5">
        <v>-6.97236297298322</v>
      </c>
      <c r="I215" s="5">
        <v>-6.97236297298322</v>
      </c>
      <c r="J215" s="5">
        <v>-0.144118857245653</v>
      </c>
      <c r="K215" s="5">
        <v>-0.144118857245653</v>
      </c>
      <c r="L215" s="5">
        <v>-0.144118857245653</v>
      </c>
      <c r="M215" s="5">
        <v>-6.82824411573756</v>
      </c>
      <c r="N215" s="5">
        <v>-6.82824411573756</v>
      </c>
      <c r="O215" s="5">
        <v>-6.82824411573756</v>
      </c>
      <c r="P215" s="5">
        <v>0.0</v>
      </c>
      <c r="Q215" s="5">
        <v>0.0</v>
      </c>
      <c r="R215" s="5">
        <v>0.0</v>
      </c>
      <c r="S215" s="5">
        <v>-2.02291953043363</v>
      </c>
    </row>
    <row r="216">
      <c r="A216" s="6">
        <v>40667.0</v>
      </c>
      <c r="B216" s="5">
        <v>4.95783860910094</v>
      </c>
      <c r="C216" s="5">
        <v>-64.4299599597207</v>
      </c>
      <c r="D216" s="5">
        <v>61.0452850438584</v>
      </c>
      <c r="E216" s="5">
        <v>4.95783860910094</v>
      </c>
      <c r="F216" s="5">
        <v>4.95783860910094</v>
      </c>
      <c r="G216" s="5">
        <v>-7.78663185587129</v>
      </c>
      <c r="H216" s="5">
        <v>-7.78663185587129</v>
      </c>
      <c r="I216" s="5">
        <v>-7.78663185587129</v>
      </c>
      <c r="J216" s="5">
        <v>0.00703780528002246</v>
      </c>
      <c r="K216" s="5">
        <v>0.00703780528002246</v>
      </c>
      <c r="L216" s="5">
        <v>0.00703780528002246</v>
      </c>
      <c r="M216" s="5">
        <v>-7.79366966115132</v>
      </c>
      <c r="N216" s="5">
        <v>-7.79366966115132</v>
      </c>
      <c r="O216" s="5">
        <v>-7.79366966115132</v>
      </c>
      <c r="P216" s="5">
        <v>0.0</v>
      </c>
      <c r="Q216" s="5">
        <v>0.0</v>
      </c>
      <c r="R216" s="5">
        <v>0.0</v>
      </c>
      <c r="S216" s="5">
        <v>-2.82879324677035</v>
      </c>
    </row>
    <row r="217">
      <c r="A217" s="6">
        <v>40668.0</v>
      </c>
      <c r="B217" s="5">
        <v>4.96623377565229</v>
      </c>
      <c r="C217" s="5">
        <v>-70.1604947444414</v>
      </c>
      <c r="D217" s="5">
        <v>55.3525359416258</v>
      </c>
      <c r="E217" s="5">
        <v>4.96623377565229</v>
      </c>
      <c r="F217" s="5">
        <v>4.96623377565229</v>
      </c>
      <c r="G217" s="5">
        <v>-9.57847816162066</v>
      </c>
      <c r="H217" s="5">
        <v>-9.57847816162066</v>
      </c>
      <c r="I217" s="5">
        <v>-9.57847816162066</v>
      </c>
      <c r="J217" s="5">
        <v>-0.776422525904504</v>
      </c>
      <c r="K217" s="5">
        <v>-0.776422525904504</v>
      </c>
      <c r="L217" s="5">
        <v>-0.776422525904504</v>
      </c>
      <c r="M217" s="5">
        <v>-8.80205563571615</v>
      </c>
      <c r="N217" s="5">
        <v>-8.80205563571615</v>
      </c>
      <c r="O217" s="5">
        <v>-8.80205563571615</v>
      </c>
      <c r="P217" s="5">
        <v>0.0</v>
      </c>
      <c r="Q217" s="5">
        <v>0.0</v>
      </c>
      <c r="R217" s="5">
        <v>0.0</v>
      </c>
      <c r="S217" s="5">
        <v>-4.61224438596836</v>
      </c>
    </row>
    <row r="218">
      <c r="A218" s="6">
        <v>40669.0</v>
      </c>
      <c r="B218" s="5">
        <v>4.97462894220365</v>
      </c>
      <c r="C218" s="5">
        <v>-68.4173448911406</v>
      </c>
      <c r="D218" s="5">
        <v>53.4795633462525</v>
      </c>
      <c r="E218" s="5">
        <v>4.97462894220365</v>
      </c>
      <c r="F218" s="5">
        <v>4.97462894220365</v>
      </c>
      <c r="G218" s="5">
        <v>-11.4326091491882</v>
      </c>
      <c r="H218" s="5">
        <v>-11.4326091491882</v>
      </c>
      <c r="I218" s="5">
        <v>-11.4326091491882</v>
      </c>
      <c r="J218" s="5">
        <v>-1.59155056649308</v>
      </c>
      <c r="K218" s="5">
        <v>-1.59155056649308</v>
      </c>
      <c r="L218" s="5">
        <v>-1.59155056649308</v>
      </c>
      <c r="M218" s="5">
        <v>-9.84105858269515</v>
      </c>
      <c r="N218" s="5">
        <v>-9.84105858269515</v>
      </c>
      <c r="O218" s="5">
        <v>-9.84105858269515</v>
      </c>
      <c r="P218" s="5">
        <v>0.0</v>
      </c>
      <c r="Q218" s="5">
        <v>0.0</v>
      </c>
      <c r="R218" s="5">
        <v>0.0</v>
      </c>
      <c r="S218" s="5">
        <v>-6.45798020698457</v>
      </c>
    </row>
    <row r="219">
      <c r="A219" s="6">
        <v>40672.0</v>
      </c>
      <c r="B219" s="5">
        <v>4.99981444185773</v>
      </c>
      <c r="C219" s="5">
        <v>-75.2831617519407</v>
      </c>
      <c r="D219" s="5">
        <v>58.1814413657762</v>
      </c>
      <c r="E219" s="5">
        <v>4.99981444185773</v>
      </c>
      <c r="F219" s="5">
        <v>4.99981444185773</v>
      </c>
      <c r="G219" s="5">
        <v>-12.9165708354557</v>
      </c>
      <c r="H219" s="5">
        <v>-12.9165708354557</v>
      </c>
      <c r="I219" s="5">
        <v>-12.9165708354557</v>
      </c>
      <c r="J219" s="5">
        <v>0.0905589421218486</v>
      </c>
      <c r="K219" s="5">
        <v>0.0905589421218486</v>
      </c>
      <c r="L219" s="5">
        <v>0.0905589421218486</v>
      </c>
      <c r="M219" s="5">
        <v>-13.0071297775776</v>
      </c>
      <c r="N219" s="5">
        <v>-13.0071297775776</v>
      </c>
      <c r="O219" s="5">
        <v>-13.0071297775776</v>
      </c>
      <c r="P219" s="5">
        <v>0.0</v>
      </c>
      <c r="Q219" s="5">
        <v>0.0</v>
      </c>
      <c r="R219" s="5">
        <v>0.0</v>
      </c>
      <c r="S219" s="5">
        <v>-7.91675639359805</v>
      </c>
    </row>
    <row r="220">
      <c r="A220" s="6">
        <v>40673.0</v>
      </c>
      <c r="B220" s="5">
        <v>5.00820960840909</v>
      </c>
      <c r="C220" s="5">
        <v>-68.4557523916043</v>
      </c>
      <c r="D220" s="5">
        <v>55.8876253847694</v>
      </c>
      <c r="E220" s="5">
        <v>5.00820960840909</v>
      </c>
      <c r="F220" s="5">
        <v>5.00820960840909</v>
      </c>
      <c r="G220" s="5">
        <v>-14.1764956471053</v>
      </c>
      <c r="H220" s="5">
        <v>-14.1764956471053</v>
      </c>
      <c r="I220" s="5">
        <v>-14.1764956471053</v>
      </c>
      <c r="J220" s="5">
        <v>-0.144118857247089</v>
      </c>
      <c r="K220" s="5">
        <v>-0.144118857247089</v>
      </c>
      <c r="L220" s="5">
        <v>-0.144118857247089</v>
      </c>
      <c r="M220" s="5">
        <v>-14.0323767898582</v>
      </c>
      <c r="N220" s="5">
        <v>-14.0323767898582</v>
      </c>
      <c r="O220" s="5">
        <v>-14.0323767898582</v>
      </c>
      <c r="P220" s="5">
        <v>0.0</v>
      </c>
      <c r="Q220" s="5">
        <v>0.0</v>
      </c>
      <c r="R220" s="5">
        <v>0.0</v>
      </c>
      <c r="S220" s="5">
        <v>-9.16828603869627</v>
      </c>
    </row>
    <row r="221">
      <c r="A221" s="6">
        <v>40674.0</v>
      </c>
      <c r="B221" s="5">
        <v>5.01660477496045</v>
      </c>
      <c r="C221" s="5">
        <v>-71.5879453700425</v>
      </c>
      <c r="D221" s="5">
        <v>57.1023403127037</v>
      </c>
      <c r="E221" s="5">
        <v>5.01660477496045</v>
      </c>
      <c r="F221" s="5">
        <v>5.01660477496045</v>
      </c>
      <c r="G221" s="5">
        <v>-15.0126427548484</v>
      </c>
      <c r="H221" s="5">
        <v>-15.0126427548484</v>
      </c>
      <c r="I221" s="5">
        <v>-15.0126427548484</v>
      </c>
      <c r="J221" s="5">
        <v>0.00703780528133366</v>
      </c>
      <c r="K221" s="5">
        <v>0.00703780528133366</v>
      </c>
      <c r="L221" s="5">
        <v>0.00703780528133366</v>
      </c>
      <c r="M221" s="5">
        <v>-15.0196805601297</v>
      </c>
      <c r="N221" s="5">
        <v>-15.0196805601297</v>
      </c>
      <c r="O221" s="5">
        <v>-15.0196805601297</v>
      </c>
      <c r="P221" s="5">
        <v>0.0</v>
      </c>
      <c r="Q221" s="5">
        <v>0.0</v>
      </c>
      <c r="R221" s="5">
        <v>0.0</v>
      </c>
      <c r="S221" s="5">
        <v>-9.996037979888</v>
      </c>
    </row>
    <row r="222">
      <c r="A222" s="6">
        <v>40675.0</v>
      </c>
      <c r="B222" s="5">
        <v>5.02499994151181</v>
      </c>
      <c r="C222" s="5">
        <v>-76.3858175770794</v>
      </c>
      <c r="D222" s="5">
        <v>49.9421808690186</v>
      </c>
      <c r="E222" s="5">
        <v>5.02499994151181</v>
      </c>
      <c r="F222" s="5">
        <v>5.02499994151181</v>
      </c>
      <c r="G222" s="5">
        <v>-16.7326216539566</v>
      </c>
      <c r="H222" s="5">
        <v>-16.7326216539566</v>
      </c>
      <c r="I222" s="5">
        <v>-16.7326216539566</v>
      </c>
      <c r="J222" s="5">
        <v>-0.776422525905226</v>
      </c>
      <c r="K222" s="5">
        <v>-0.776422525905226</v>
      </c>
      <c r="L222" s="5">
        <v>-0.776422525905226</v>
      </c>
      <c r="M222" s="5">
        <v>-15.9561991280514</v>
      </c>
      <c r="N222" s="5">
        <v>-15.9561991280514</v>
      </c>
      <c r="O222" s="5">
        <v>-15.9561991280514</v>
      </c>
      <c r="P222" s="5">
        <v>0.0</v>
      </c>
      <c r="Q222" s="5">
        <v>0.0</v>
      </c>
      <c r="R222" s="5">
        <v>0.0</v>
      </c>
      <c r="S222" s="5">
        <v>-11.7076217124448</v>
      </c>
    </row>
    <row r="223">
      <c r="A223" s="6">
        <v>40676.0</v>
      </c>
      <c r="B223" s="5">
        <v>5.03339510806317</v>
      </c>
      <c r="C223" s="5">
        <v>-71.4548029244182</v>
      </c>
      <c r="D223" s="5">
        <v>50.284394640485</v>
      </c>
      <c r="E223" s="5">
        <v>5.03339510806317</v>
      </c>
      <c r="F223" s="5">
        <v>5.03339510806317</v>
      </c>
      <c r="G223" s="5">
        <v>-18.4216709550212</v>
      </c>
      <c r="H223" s="5">
        <v>-18.4216709550212</v>
      </c>
      <c r="I223" s="5">
        <v>-18.4216709550212</v>
      </c>
      <c r="J223" s="5">
        <v>-1.59155056649459</v>
      </c>
      <c r="K223" s="5">
        <v>-1.59155056649459</v>
      </c>
      <c r="L223" s="5">
        <v>-1.59155056649459</v>
      </c>
      <c r="M223" s="5">
        <v>-16.8301203885266</v>
      </c>
      <c r="N223" s="5">
        <v>-16.8301203885266</v>
      </c>
      <c r="O223" s="5">
        <v>-16.8301203885266</v>
      </c>
      <c r="P223" s="5">
        <v>0.0</v>
      </c>
      <c r="Q223" s="5">
        <v>0.0</v>
      </c>
      <c r="R223" s="5">
        <v>0.0</v>
      </c>
      <c r="S223" s="5">
        <v>-13.388275846958</v>
      </c>
    </row>
    <row r="224">
      <c r="A224" s="6">
        <v>40679.0</v>
      </c>
      <c r="B224" s="5">
        <v>5.05858060771725</v>
      </c>
      <c r="C224" s="5">
        <v>-76.9217490383729</v>
      </c>
      <c r="D224" s="5">
        <v>50.941968287665</v>
      </c>
      <c r="E224" s="5">
        <v>5.05858060771725</v>
      </c>
      <c r="F224" s="5">
        <v>5.05858060771725</v>
      </c>
      <c r="G224" s="5">
        <v>-18.8887291018378</v>
      </c>
      <c r="H224" s="5">
        <v>-18.8887291018378</v>
      </c>
      <c r="I224" s="5">
        <v>-18.8887291018378</v>
      </c>
      <c r="J224" s="5">
        <v>0.0905589421204109</v>
      </c>
      <c r="K224" s="5">
        <v>0.0905589421204109</v>
      </c>
      <c r="L224" s="5">
        <v>0.0905589421204109</v>
      </c>
      <c r="M224" s="5">
        <v>-18.9792880439582</v>
      </c>
      <c r="N224" s="5">
        <v>-18.9792880439582</v>
      </c>
      <c r="O224" s="5">
        <v>-18.9792880439582</v>
      </c>
      <c r="P224" s="5">
        <v>0.0</v>
      </c>
      <c r="Q224" s="5">
        <v>0.0</v>
      </c>
      <c r="R224" s="5">
        <v>0.0</v>
      </c>
      <c r="S224" s="5">
        <v>-13.8301484941206</v>
      </c>
    </row>
    <row r="225">
      <c r="A225" s="6">
        <v>40680.0</v>
      </c>
      <c r="B225" s="5">
        <v>5.0669757742686</v>
      </c>
      <c r="C225" s="5">
        <v>-75.6294156220938</v>
      </c>
      <c r="D225" s="5">
        <v>45.2800347866451</v>
      </c>
      <c r="E225" s="5">
        <v>5.0669757742686</v>
      </c>
      <c r="F225" s="5">
        <v>5.0669757742686</v>
      </c>
      <c r="G225" s="5">
        <v>-19.6585001380357</v>
      </c>
      <c r="H225" s="5">
        <v>-19.6585001380357</v>
      </c>
      <c r="I225" s="5">
        <v>-19.6585001380357</v>
      </c>
      <c r="J225" s="5">
        <v>-0.144118857243477</v>
      </c>
      <c r="K225" s="5">
        <v>-0.144118857243477</v>
      </c>
      <c r="L225" s="5">
        <v>-0.144118857243477</v>
      </c>
      <c r="M225" s="5">
        <v>-19.5143812807922</v>
      </c>
      <c r="N225" s="5">
        <v>-19.5143812807922</v>
      </c>
      <c r="O225" s="5">
        <v>-19.5143812807922</v>
      </c>
      <c r="P225" s="5">
        <v>0.0</v>
      </c>
      <c r="Q225" s="5">
        <v>0.0</v>
      </c>
      <c r="R225" s="5">
        <v>0.0</v>
      </c>
      <c r="S225" s="5">
        <v>-14.591524363767</v>
      </c>
    </row>
    <row r="226">
      <c r="A226" s="6">
        <v>40681.0</v>
      </c>
      <c r="B226" s="5">
        <v>5.07537094081996</v>
      </c>
      <c r="C226" s="5">
        <v>-78.3871436250861</v>
      </c>
      <c r="D226" s="5">
        <v>44.5464301511844</v>
      </c>
      <c r="E226" s="5">
        <v>5.07537094081996</v>
      </c>
      <c r="F226" s="5">
        <v>5.07537094081996</v>
      </c>
      <c r="G226" s="5">
        <v>-19.9447492249196</v>
      </c>
      <c r="H226" s="5">
        <v>-19.9447492249196</v>
      </c>
      <c r="I226" s="5">
        <v>-19.9447492249196</v>
      </c>
      <c r="J226" s="5">
        <v>0.007037805283636</v>
      </c>
      <c r="K226" s="5">
        <v>0.007037805283636</v>
      </c>
      <c r="L226" s="5">
        <v>0.007037805283636</v>
      </c>
      <c r="M226" s="5">
        <v>-19.9517870302032</v>
      </c>
      <c r="N226" s="5">
        <v>-19.9517870302032</v>
      </c>
      <c r="O226" s="5">
        <v>-19.9517870302032</v>
      </c>
      <c r="P226" s="5">
        <v>0.0</v>
      </c>
      <c r="Q226" s="5">
        <v>0.0</v>
      </c>
      <c r="R226" s="5">
        <v>0.0</v>
      </c>
      <c r="S226" s="5">
        <v>-14.8693782840996</v>
      </c>
    </row>
    <row r="227">
      <c r="A227" s="6">
        <v>40682.0</v>
      </c>
      <c r="B227" s="5">
        <v>5.08376610737132</v>
      </c>
      <c r="C227" s="5">
        <v>-76.9437861686502</v>
      </c>
      <c r="D227" s="5">
        <v>43.8953479731896</v>
      </c>
      <c r="E227" s="5">
        <v>5.08376610737132</v>
      </c>
      <c r="F227" s="5">
        <v>5.08376610737132</v>
      </c>
      <c r="G227" s="5">
        <v>-21.0667984683978</v>
      </c>
      <c r="H227" s="5">
        <v>-21.0667984683978</v>
      </c>
      <c r="I227" s="5">
        <v>-21.0667984683978</v>
      </c>
      <c r="J227" s="5">
        <v>-0.776422525900248</v>
      </c>
      <c r="K227" s="5">
        <v>-0.776422525900248</v>
      </c>
      <c r="L227" s="5">
        <v>-0.776422525900248</v>
      </c>
      <c r="M227" s="5">
        <v>-20.2903759424976</v>
      </c>
      <c r="N227" s="5">
        <v>-20.2903759424976</v>
      </c>
      <c r="O227" s="5">
        <v>-20.2903759424976</v>
      </c>
      <c r="P227" s="5">
        <v>0.0</v>
      </c>
      <c r="Q227" s="5">
        <v>0.0</v>
      </c>
      <c r="R227" s="5">
        <v>0.0</v>
      </c>
      <c r="S227" s="5">
        <v>-15.9830323610265</v>
      </c>
    </row>
    <row r="228">
      <c r="A228" s="6">
        <v>40683.0</v>
      </c>
      <c r="B228" s="5">
        <v>5.09216127392268</v>
      </c>
      <c r="C228" s="5">
        <v>-80.6796017206339</v>
      </c>
      <c r="D228" s="5">
        <v>44.4925925962249</v>
      </c>
      <c r="E228" s="5">
        <v>5.09216127392268</v>
      </c>
      <c r="F228" s="5">
        <v>5.09216127392268</v>
      </c>
      <c r="G228" s="5">
        <v>-22.1226549318259</v>
      </c>
      <c r="H228" s="5">
        <v>-22.1226549318259</v>
      </c>
      <c r="I228" s="5">
        <v>-22.1226549318259</v>
      </c>
      <c r="J228" s="5">
        <v>-1.59155056649366</v>
      </c>
      <c r="K228" s="5">
        <v>-1.59155056649366</v>
      </c>
      <c r="L228" s="5">
        <v>-1.59155056649366</v>
      </c>
      <c r="M228" s="5">
        <v>-20.5311043653322</v>
      </c>
      <c r="N228" s="5">
        <v>-20.5311043653322</v>
      </c>
      <c r="O228" s="5">
        <v>-20.5311043653322</v>
      </c>
      <c r="P228" s="5">
        <v>0.0</v>
      </c>
      <c r="Q228" s="5">
        <v>0.0</v>
      </c>
      <c r="R228" s="5">
        <v>0.0</v>
      </c>
      <c r="S228" s="5">
        <v>-17.0304936579032</v>
      </c>
    </row>
    <row r="229">
      <c r="A229" s="6">
        <v>40686.0</v>
      </c>
      <c r="B229" s="5">
        <v>5.11734677357676</v>
      </c>
      <c r="C229" s="5">
        <v>-80.9261768916026</v>
      </c>
      <c r="D229" s="5">
        <v>41.284704565402</v>
      </c>
      <c r="E229" s="5">
        <v>5.11734677357676</v>
      </c>
      <c r="F229" s="5">
        <v>5.11734677357676</v>
      </c>
      <c r="G229" s="5">
        <v>-20.6148042868755</v>
      </c>
      <c r="H229" s="5">
        <v>-20.6148042868755</v>
      </c>
      <c r="I229" s="5">
        <v>-20.6148042868755</v>
      </c>
      <c r="J229" s="5">
        <v>0.0905589421214375</v>
      </c>
      <c r="K229" s="5">
        <v>0.0905589421214375</v>
      </c>
      <c r="L229" s="5">
        <v>0.0905589421214375</v>
      </c>
      <c r="M229" s="5">
        <v>-20.7053632289969</v>
      </c>
      <c r="N229" s="5">
        <v>-20.7053632289969</v>
      </c>
      <c r="O229" s="5">
        <v>-20.7053632289969</v>
      </c>
      <c r="P229" s="5">
        <v>0.0</v>
      </c>
      <c r="Q229" s="5">
        <v>0.0</v>
      </c>
      <c r="R229" s="5">
        <v>0.0</v>
      </c>
      <c r="S229" s="5">
        <v>-15.4974575132987</v>
      </c>
    </row>
    <row r="230">
      <c r="A230" s="6">
        <v>40687.0</v>
      </c>
      <c r="B230" s="5">
        <v>5.12574194012812</v>
      </c>
      <c r="C230" s="5">
        <v>-80.0957242956276</v>
      </c>
      <c r="D230" s="5">
        <v>47.9970390790498</v>
      </c>
      <c r="E230" s="5">
        <v>5.12574194012812</v>
      </c>
      <c r="F230" s="5">
        <v>5.12574194012812</v>
      </c>
      <c r="G230" s="5">
        <v>-20.7468677226119</v>
      </c>
      <c r="H230" s="5">
        <v>-20.7468677226119</v>
      </c>
      <c r="I230" s="5">
        <v>-20.7468677226119</v>
      </c>
      <c r="J230" s="5">
        <v>-0.144118857246327</v>
      </c>
      <c r="K230" s="5">
        <v>-0.144118857246327</v>
      </c>
      <c r="L230" s="5">
        <v>-0.144118857246327</v>
      </c>
      <c r="M230" s="5">
        <v>-20.6027488653656</v>
      </c>
      <c r="N230" s="5">
        <v>-20.6027488653656</v>
      </c>
      <c r="O230" s="5">
        <v>-20.6027488653656</v>
      </c>
      <c r="P230" s="5">
        <v>0.0</v>
      </c>
      <c r="Q230" s="5">
        <v>0.0</v>
      </c>
      <c r="R230" s="5">
        <v>0.0</v>
      </c>
      <c r="S230" s="5">
        <v>-15.6211257824838</v>
      </c>
    </row>
    <row r="231">
      <c r="A231" s="6">
        <v>40688.0</v>
      </c>
      <c r="B231" s="5">
        <v>5.13413710667948</v>
      </c>
      <c r="C231" s="5">
        <v>-80.2199215871511</v>
      </c>
      <c r="D231" s="5">
        <v>43.6825370471015</v>
      </c>
      <c r="E231" s="5">
        <v>5.13413710667948</v>
      </c>
      <c r="F231" s="5">
        <v>5.13413710667948</v>
      </c>
      <c r="G231" s="5">
        <v>-20.4274151024926</v>
      </c>
      <c r="H231" s="5">
        <v>-20.4274151024926</v>
      </c>
      <c r="I231" s="5">
        <v>-20.4274151024926</v>
      </c>
      <c r="J231" s="5">
        <v>0.00703780528278341</v>
      </c>
      <c r="K231" s="5">
        <v>0.00703780528278341</v>
      </c>
      <c r="L231" s="5">
        <v>0.00703780528278341</v>
      </c>
      <c r="M231" s="5">
        <v>-20.4344529077753</v>
      </c>
      <c r="N231" s="5">
        <v>-20.4344529077753</v>
      </c>
      <c r="O231" s="5">
        <v>-20.4344529077753</v>
      </c>
      <c r="P231" s="5">
        <v>0.0</v>
      </c>
      <c r="Q231" s="5">
        <v>0.0</v>
      </c>
      <c r="R231" s="5">
        <v>0.0</v>
      </c>
      <c r="S231" s="5">
        <v>-15.2932779958131</v>
      </c>
    </row>
    <row r="232">
      <c r="A232" s="6">
        <v>40689.0</v>
      </c>
      <c r="B232" s="5">
        <v>5.14253227323084</v>
      </c>
      <c r="C232" s="5">
        <v>-78.6663855659172</v>
      </c>
      <c r="D232" s="5">
        <v>47.7522196183943</v>
      </c>
      <c r="E232" s="5">
        <v>5.14253227323084</v>
      </c>
      <c r="F232" s="5">
        <v>5.14253227323084</v>
      </c>
      <c r="G232" s="5">
        <v>-20.9873683991805</v>
      </c>
      <c r="H232" s="5">
        <v>-20.9873683991805</v>
      </c>
      <c r="I232" s="5">
        <v>-20.9873683991805</v>
      </c>
      <c r="J232" s="5">
        <v>-0.77642252590097</v>
      </c>
      <c r="K232" s="5">
        <v>-0.77642252590097</v>
      </c>
      <c r="L232" s="5">
        <v>-0.77642252590097</v>
      </c>
      <c r="M232" s="5">
        <v>-20.2109458732796</v>
      </c>
      <c r="N232" s="5">
        <v>-20.2109458732796</v>
      </c>
      <c r="O232" s="5">
        <v>-20.2109458732796</v>
      </c>
      <c r="P232" s="5">
        <v>0.0</v>
      </c>
      <c r="Q232" s="5">
        <v>0.0</v>
      </c>
      <c r="R232" s="5">
        <v>0.0</v>
      </c>
      <c r="S232" s="5">
        <v>-15.8448361259497</v>
      </c>
    </row>
    <row r="233">
      <c r="A233" s="6">
        <v>40690.0</v>
      </c>
      <c r="B233" s="5">
        <v>5.1509274397822</v>
      </c>
      <c r="C233" s="5">
        <v>-83.1424076162907</v>
      </c>
      <c r="D233" s="5">
        <v>44.7187660658024</v>
      </c>
      <c r="E233" s="5">
        <v>5.1509274397822</v>
      </c>
      <c r="F233" s="5">
        <v>5.1509274397822</v>
      </c>
      <c r="G233" s="5">
        <v>-21.5349404420127</v>
      </c>
      <c r="H233" s="5">
        <v>-21.5349404420127</v>
      </c>
      <c r="I233" s="5">
        <v>-21.5349404420127</v>
      </c>
      <c r="J233" s="5">
        <v>-1.59155056649274</v>
      </c>
      <c r="K233" s="5">
        <v>-1.59155056649274</v>
      </c>
      <c r="L233" s="5">
        <v>-1.59155056649274</v>
      </c>
      <c r="M233" s="5">
        <v>-19.94338987552</v>
      </c>
      <c r="N233" s="5">
        <v>-19.94338987552</v>
      </c>
      <c r="O233" s="5">
        <v>-19.94338987552</v>
      </c>
      <c r="P233" s="5">
        <v>0.0</v>
      </c>
      <c r="Q233" s="5">
        <v>0.0</v>
      </c>
      <c r="R233" s="5">
        <v>0.0</v>
      </c>
      <c r="S233" s="5">
        <v>-16.3840130022305</v>
      </c>
    </row>
    <row r="234">
      <c r="A234" s="6">
        <v>40694.0</v>
      </c>
      <c r="B234" s="5">
        <v>5.18450810598763</v>
      </c>
      <c r="C234" s="5">
        <v>-80.8107644595563</v>
      </c>
      <c r="D234" s="5">
        <v>49.7954774913765</v>
      </c>
      <c r="E234" s="5">
        <v>5.18450810598763</v>
      </c>
      <c r="F234" s="5">
        <v>5.18450810598763</v>
      </c>
      <c r="G234" s="5">
        <v>-18.8059278528386</v>
      </c>
      <c r="H234" s="5">
        <v>-18.8059278528386</v>
      </c>
      <c r="I234" s="5">
        <v>-18.8059278528386</v>
      </c>
      <c r="J234" s="5">
        <v>-0.144118857245239</v>
      </c>
      <c r="K234" s="5">
        <v>-0.144118857245239</v>
      </c>
      <c r="L234" s="5">
        <v>-0.144118857245239</v>
      </c>
      <c r="M234" s="5">
        <v>-18.6618089955934</v>
      </c>
      <c r="N234" s="5">
        <v>-18.6618089955934</v>
      </c>
      <c r="O234" s="5">
        <v>-18.6618089955934</v>
      </c>
      <c r="P234" s="5">
        <v>0.0</v>
      </c>
      <c r="Q234" s="5">
        <v>0.0</v>
      </c>
      <c r="R234" s="5">
        <v>0.0</v>
      </c>
      <c r="S234" s="5">
        <v>-13.621419746851</v>
      </c>
    </row>
    <row r="235">
      <c r="A235" s="6">
        <v>40695.0</v>
      </c>
      <c r="B235" s="5">
        <v>5.19290327253899</v>
      </c>
      <c r="C235" s="5">
        <v>-72.4529186893837</v>
      </c>
      <c r="D235" s="5">
        <v>50.6407814194943</v>
      </c>
      <c r="E235" s="5">
        <v>5.19290327253899</v>
      </c>
      <c r="F235" s="5">
        <v>5.19290327253899</v>
      </c>
      <c r="G235" s="5">
        <v>-18.3357546346246</v>
      </c>
      <c r="H235" s="5">
        <v>-18.3357546346246</v>
      </c>
      <c r="I235" s="5">
        <v>-18.3357546346246</v>
      </c>
      <c r="J235" s="5">
        <v>0.00703780528409451</v>
      </c>
      <c r="K235" s="5">
        <v>0.00703780528409451</v>
      </c>
      <c r="L235" s="5">
        <v>0.00703780528409451</v>
      </c>
      <c r="M235" s="5">
        <v>-18.3427924399087</v>
      </c>
      <c r="N235" s="5">
        <v>-18.3427924399087</v>
      </c>
      <c r="O235" s="5">
        <v>-18.3427924399087</v>
      </c>
      <c r="P235" s="5">
        <v>0.0</v>
      </c>
      <c r="Q235" s="5">
        <v>0.0</v>
      </c>
      <c r="R235" s="5">
        <v>0.0</v>
      </c>
      <c r="S235" s="5">
        <v>-13.1428513620856</v>
      </c>
    </row>
    <row r="236">
      <c r="A236" s="6">
        <v>40696.0</v>
      </c>
      <c r="B236" s="5">
        <v>5.20129843909035</v>
      </c>
      <c r="C236" s="5">
        <v>-79.3570924752629</v>
      </c>
      <c r="D236" s="5">
        <v>42.8726656831163</v>
      </c>
      <c r="E236" s="5">
        <v>5.20129843909035</v>
      </c>
      <c r="F236" s="5">
        <v>5.20129843909035</v>
      </c>
      <c r="G236" s="5">
        <v>-18.8195246975873</v>
      </c>
      <c r="H236" s="5">
        <v>-18.8195246975873</v>
      </c>
      <c r="I236" s="5">
        <v>-18.8195246975873</v>
      </c>
      <c r="J236" s="5">
        <v>-0.776422525903067</v>
      </c>
      <c r="K236" s="5">
        <v>-0.776422525903067</v>
      </c>
      <c r="L236" s="5">
        <v>-0.776422525903067</v>
      </c>
      <c r="M236" s="5">
        <v>-18.0431021716842</v>
      </c>
      <c r="N236" s="5">
        <v>-18.0431021716842</v>
      </c>
      <c r="O236" s="5">
        <v>-18.0431021716842</v>
      </c>
      <c r="P236" s="5">
        <v>0.0</v>
      </c>
      <c r="Q236" s="5">
        <v>0.0</v>
      </c>
      <c r="R236" s="5">
        <v>0.0</v>
      </c>
      <c r="S236" s="5">
        <v>-13.6182262584969</v>
      </c>
    </row>
    <row r="237">
      <c r="A237" s="6">
        <v>40697.0</v>
      </c>
      <c r="B237" s="5">
        <v>5.20969360564171</v>
      </c>
      <c r="C237" s="5">
        <v>-72.7829628096619</v>
      </c>
      <c r="D237" s="5">
        <v>51.9251320107881</v>
      </c>
      <c r="E237" s="5">
        <v>5.20969360564171</v>
      </c>
      <c r="F237" s="5">
        <v>5.20969360564171</v>
      </c>
      <c r="G237" s="5">
        <v>-19.3614936809695</v>
      </c>
      <c r="H237" s="5">
        <v>-19.3614936809695</v>
      </c>
      <c r="I237" s="5">
        <v>-19.3614936809695</v>
      </c>
      <c r="J237" s="5">
        <v>-1.59155056649456</v>
      </c>
      <c r="K237" s="5">
        <v>-1.59155056649456</v>
      </c>
      <c r="L237" s="5">
        <v>-1.59155056649456</v>
      </c>
      <c r="M237" s="5">
        <v>-17.7699431144749</v>
      </c>
      <c r="N237" s="5">
        <v>-17.7699431144749</v>
      </c>
      <c r="O237" s="5">
        <v>-17.7699431144749</v>
      </c>
      <c r="P237" s="5">
        <v>0.0</v>
      </c>
      <c r="Q237" s="5">
        <v>0.0</v>
      </c>
      <c r="R237" s="5">
        <v>0.0</v>
      </c>
      <c r="S237" s="5">
        <v>-14.1518000753278</v>
      </c>
    </row>
    <row r="238">
      <c r="A238" s="6">
        <v>40700.0</v>
      </c>
      <c r="B238" s="5">
        <v>5.23487910529579</v>
      </c>
      <c r="C238" s="5">
        <v>-75.5565860659201</v>
      </c>
      <c r="D238" s="5">
        <v>49.3859182004368</v>
      </c>
      <c r="E238" s="5">
        <v>5.23487910529579</v>
      </c>
      <c r="F238" s="5">
        <v>5.23487910529579</v>
      </c>
      <c r="G238" s="5">
        <v>-17.066871410288</v>
      </c>
      <c r="H238" s="5">
        <v>-17.066871410288</v>
      </c>
      <c r="I238" s="5">
        <v>-17.066871410288</v>
      </c>
      <c r="J238" s="5">
        <v>0.0905589421209465</v>
      </c>
      <c r="K238" s="5">
        <v>0.0905589421209465</v>
      </c>
      <c r="L238" s="5">
        <v>0.0905589421209465</v>
      </c>
      <c r="M238" s="5">
        <v>-17.157430352409</v>
      </c>
      <c r="N238" s="5">
        <v>-17.157430352409</v>
      </c>
      <c r="O238" s="5">
        <v>-17.157430352409</v>
      </c>
      <c r="P238" s="5">
        <v>0.0</v>
      </c>
      <c r="Q238" s="5">
        <v>0.0</v>
      </c>
      <c r="R238" s="5">
        <v>0.0</v>
      </c>
      <c r="S238" s="5">
        <v>-11.8319923049923</v>
      </c>
    </row>
    <row r="239">
      <c r="A239" s="6">
        <v>40701.0</v>
      </c>
      <c r="B239" s="5">
        <v>5.24327427184715</v>
      </c>
      <c r="C239" s="5">
        <v>-72.2744120605078</v>
      </c>
      <c r="D239" s="5">
        <v>54.8895672512903</v>
      </c>
      <c r="E239" s="5">
        <v>5.24327427184715</v>
      </c>
      <c r="F239" s="5">
        <v>5.24327427184715</v>
      </c>
      <c r="G239" s="5">
        <v>-17.1735374486133</v>
      </c>
      <c r="H239" s="5">
        <v>-17.1735374486133</v>
      </c>
      <c r="I239" s="5">
        <v>-17.1735374486133</v>
      </c>
      <c r="J239" s="5">
        <v>-0.144118857244151</v>
      </c>
      <c r="K239" s="5">
        <v>-0.144118857244151</v>
      </c>
      <c r="L239" s="5">
        <v>-0.144118857244151</v>
      </c>
      <c r="M239" s="5">
        <v>-17.0294185913692</v>
      </c>
      <c r="N239" s="5">
        <v>-17.0294185913692</v>
      </c>
      <c r="O239" s="5">
        <v>-17.0294185913692</v>
      </c>
      <c r="P239" s="5">
        <v>0.0</v>
      </c>
      <c r="Q239" s="5">
        <v>0.0</v>
      </c>
      <c r="R239" s="5">
        <v>0.0</v>
      </c>
      <c r="S239" s="5">
        <v>-11.9302631767662</v>
      </c>
    </row>
    <row r="240">
      <c r="A240" s="6">
        <v>40702.0</v>
      </c>
      <c r="B240" s="5">
        <v>5.25166943839851</v>
      </c>
      <c r="C240" s="5">
        <v>-72.7885249737935</v>
      </c>
      <c r="D240" s="5">
        <v>48.0508387028425</v>
      </c>
      <c r="E240" s="5">
        <v>5.25166943839851</v>
      </c>
      <c r="F240" s="5">
        <v>5.25166943839851</v>
      </c>
      <c r="G240" s="5">
        <v>-16.9315792075719</v>
      </c>
      <c r="H240" s="5">
        <v>-16.9315792075719</v>
      </c>
      <c r="I240" s="5">
        <v>-16.9315792075719</v>
      </c>
      <c r="J240" s="5">
        <v>0.00703780528107833</v>
      </c>
      <c r="K240" s="5">
        <v>0.00703780528107833</v>
      </c>
      <c r="L240" s="5">
        <v>0.00703780528107833</v>
      </c>
      <c r="M240" s="5">
        <v>-16.938617012853</v>
      </c>
      <c r="N240" s="5">
        <v>-16.938617012853</v>
      </c>
      <c r="O240" s="5">
        <v>-16.938617012853</v>
      </c>
      <c r="P240" s="5">
        <v>0.0</v>
      </c>
      <c r="Q240" s="5">
        <v>0.0</v>
      </c>
      <c r="R240" s="5">
        <v>0.0</v>
      </c>
      <c r="S240" s="5">
        <v>-11.6799097691734</v>
      </c>
    </row>
    <row r="241">
      <c r="A241" s="6">
        <v>40703.0</v>
      </c>
      <c r="B241" s="5">
        <v>5.26006460494987</v>
      </c>
      <c r="C241" s="5">
        <v>-73.8196786731617</v>
      </c>
      <c r="D241" s="5">
        <v>47.0048857031192</v>
      </c>
      <c r="E241" s="5">
        <v>5.26006460494987</v>
      </c>
      <c r="F241" s="5">
        <v>5.26006460494987</v>
      </c>
      <c r="G241" s="5">
        <v>-17.6583609681358</v>
      </c>
      <c r="H241" s="5">
        <v>-17.6583609681358</v>
      </c>
      <c r="I241" s="5">
        <v>-17.6583609681358</v>
      </c>
      <c r="J241" s="5">
        <v>-0.776422525899564</v>
      </c>
      <c r="K241" s="5">
        <v>-0.776422525899564</v>
      </c>
      <c r="L241" s="5">
        <v>-0.776422525899564</v>
      </c>
      <c r="M241" s="5">
        <v>-16.8819384422363</v>
      </c>
      <c r="N241" s="5">
        <v>-16.8819384422363</v>
      </c>
      <c r="O241" s="5">
        <v>-16.8819384422363</v>
      </c>
      <c r="P241" s="5">
        <v>0.0</v>
      </c>
      <c r="Q241" s="5">
        <v>0.0</v>
      </c>
      <c r="R241" s="5">
        <v>0.0</v>
      </c>
      <c r="S241" s="5">
        <v>-12.3982963631859</v>
      </c>
    </row>
    <row r="242">
      <c r="A242" s="6">
        <v>40704.0</v>
      </c>
      <c r="B242" s="5">
        <v>5.26845977150122</v>
      </c>
      <c r="C242" s="5">
        <v>-76.3556213121819</v>
      </c>
      <c r="D242" s="5">
        <v>44.356589432561</v>
      </c>
      <c r="E242" s="5">
        <v>5.26845977150122</v>
      </c>
      <c r="F242" s="5">
        <v>5.26845977150122</v>
      </c>
      <c r="G242" s="5">
        <v>-18.446306090593</v>
      </c>
      <c r="H242" s="5">
        <v>-18.446306090593</v>
      </c>
      <c r="I242" s="5">
        <v>-18.446306090593</v>
      </c>
      <c r="J242" s="5">
        <v>-1.59155056649332</v>
      </c>
      <c r="K242" s="5">
        <v>-1.59155056649332</v>
      </c>
      <c r="L242" s="5">
        <v>-1.59155056649332</v>
      </c>
      <c r="M242" s="5">
        <v>-16.8547555240997</v>
      </c>
      <c r="N242" s="5">
        <v>-16.8547555240997</v>
      </c>
      <c r="O242" s="5">
        <v>-16.8547555240997</v>
      </c>
      <c r="P242" s="5">
        <v>0.0</v>
      </c>
      <c r="Q242" s="5">
        <v>0.0</v>
      </c>
      <c r="R242" s="5">
        <v>0.0</v>
      </c>
      <c r="S242" s="5">
        <v>-13.1778463190918</v>
      </c>
    </row>
    <row r="243">
      <c r="A243" s="6">
        <v>40707.0</v>
      </c>
      <c r="B243" s="5">
        <v>5.2936452711553</v>
      </c>
      <c r="C243" s="5">
        <v>-70.7648158083521</v>
      </c>
      <c r="D243" s="5">
        <v>54.8059734143582</v>
      </c>
      <c r="E243" s="5">
        <v>5.2936452711553</v>
      </c>
      <c r="F243" s="5">
        <v>5.2936452711553</v>
      </c>
      <c r="G243" s="5">
        <v>-16.7944250579477</v>
      </c>
      <c r="H243" s="5">
        <v>-16.7944250579477</v>
      </c>
      <c r="I243" s="5">
        <v>-16.7944250579477</v>
      </c>
      <c r="J243" s="5">
        <v>0.0905589421218928</v>
      </c>
      <c r="K243" s="5">
        <v>0.0905589421218928</v>
      </c>
      <c r="L243" s="5">
        <v>0.0905589421218928</v>
      </c>
      <c r="M243" s="5">
        <v>-16.8849840000696</v>
      </c>
      <c r="N243" s="5">
        <v>-16.8849840000696</v>
      </c>
      <c r="O243" s="5">
        <v>-16.8849840000696</v>
      </c>
      <c r="P243" s="5">
        <v>0.0</v>
      </c>
      <c r="Q243" s="5">
        <v>0.0</v>
      </c>
      <c r="R243" s="5">
        <v>0.0</v>
      </c>
      <c r="S243" s="5">
        <v>-11.5007797867924</v>
      </c>
    </row>
    <row r="244">
      <c r="A244" s="6">
        <v>40708.0</v>
      </c>
      <c r="B244" s="5">
        <v>5.30204043770666</v>
      </c>
      <c r="C244" s="5">
        <v>-75.6539831390055</v>
      </c>
      <c r="D244" s="5">
        <v>54.0936993315036</v>
      </c>
      <c r="E244" s="5">
        <v>5.30204043770666</v>
      </c>
      <c r="F244" s="5">
        <v>5.30204043770666</v>
      </c>
      <c r="G244" s="5">
        <v>-17.0501359270541</v>
      </c>
      <c r="H244" s="5">
        <v>-17.0501359270541</v>
      </c>
      <c r="I244" s="5">
        <v>-17.0501359270541</v>
      </c>
      <c r="J244" s="5">
        <v>-0.144118857244477</v>
      </c>
      <c r="K244" s="5">
        <v>-0.144118857244477</v>
      </c>
      <c r="L244" s="5">
        <v>-0.144118857244477</v>
      </c>
      <c r="M244" s="5">
        <v>-16.9060170698096</v>
      </c>
      <c r="N244" s="5">
        <v>-16.9060170698096</v>
      </c>
      <c r="O244" s="5">
        <v>-16.9060170698096</v>
      </c>
      <c r="P244" s="5">
        <v>0.0</v>
      </c>
      <c r="Q244" s="5">
        <v>0.0</v>
      </c>
      <c r="R244" s="5">
        <v>0.0</v>
      </c>
      <c r="S244" s="5">
        <v>-11.7480954893474</v>
      </c>
    </row>
    <row r="245">
      <c r="A245" s="6">
        <v>40709.0</v>
      </c>
      <c r="B245" s="5">
        <v>5.31043560425802</v>
      </c>
      <c r="C245" s="5">
        <v>-74.593373244606</v>
      </c>
      <c r="D245" s="5">
        <v>52.4202266150036</v>
      </c>
      <c r="E245" s="5">
        <v>5.31043560425802</v>
      </c>
      <c r="F245" s="5">
        <v>5.31043560425802</v>
      </c>
      <c r="G245" s="5">
        <v>-16.9110493632732</v>
      </c>
      <c r="H245" s="5">
        <v>-16.9110493632732</v>
      </c>
      <c r="I245" s="5">
        <v>-16.9110493632732</v>
      </c>
      <c r="J245" s="5">
        <v>0.00703780528220858</v>
      </c>
      <c r="K245" s="5">
        <v>0.00703780528220858</v>
      </c>
      <c r="L245" s="5">
        <v>0.00703780528220858</v>
      </c>
      <c r="M245" s="5">
        <v>-16.9180871685554</v>
      </c>
      <c r="N245" s="5">
        <v>-16.9180871685554</v>
      </c>
      <c r="O245" s="5">
        <v>-16.9180871685554</v>
      </c>
      <c r="P245" s="5">
        <v>0.0</v>
      </c>
      <c r="Q245" s="5">
        <v>0.0</v>
      </c>
      <c r="R245" s="5">
        <v>0.0</v>
      </c>
      <c r="S245" s="5">
        <v>-11.6006137590152</v>
      </c>
    </row>
    <row r="246">
      <c r="A246" s="6">
        <v>40710.0</v>
      </c>
      <c r="B246" s="5">
        <v>5.31883077080938</v>
      </c>
      <c r="C246" s="5">
        <v>-75.1361050242287</v>
      </c>
      <c r="D246" s="5">
        <v>46.4851097721339</v>
      </c>
      <c r="E246" s="5">
        <v>5.31883077080938</v>
      </c>
      <c r="F246" s="5">
        <v>5.31883077080938</v>
      </c>
      <c r="G246" s="5">
        <v>-17.6888185127082</v>
      </c>
      <c r="H246" s="5">
        <v>-17.6888185127082</v>
      </c>
      <c r="I246" s="5">
        <v>-17.6888185127082</v>
      </c>
      <c r="J246" s="5">
        <v>-0.776422525901661</v>
      </c>
      <c r="K246" s="5">
        <v>-0.776422525901661</v>
      </c>
      <c r="L246" s="5">
        <v>-0.776422525901661</v>
      </c>
      <c r="M246" s="5">
        <v>-16.9123959868066</v>
      </c>
      <c r="N246" s="5">
        <v>-16.9123959868066</v>
      </c>
      <c r="O246" s="5">
        <v>-16.9123959868066</v>
      </c>
      <c r="P246" s="5">
        <v>0.0</v>
      </c>
      <c r="Q246" s="5">
        <v>0.0</v>
      </c>
      <c r="R246" s="5">
        <v>0.0</v>
      </c>
      <c r="S246" s="5">
        <v>-12.3699877418989</v>
      </c>
    </row>
    <row r="247">
      <c r="A247" s="6">
        <v>40711.0</v>
      </c>
      <c r="B247" s="5">
        <v>5.32722593736074</v>
      </c>
      <c r="C247" s="5">
        <v>-75.8186818507048</v>
      </c>
      <c r="D247" s="5">
        <v>50.8967613615381</v>
      </c>
      <c r="E247" s="5">
        <v>5.32722593736074</v>
      </c>
      <c r="F247" s="5">
        <v>5.32722593736074</v>
      </c>
      <c r="G247" s="5">
        <v>-18.4720409254581</v>
      </c>
      <c r="H247" s="5">
        <v>-18.4720409254581</v>
      </c>
      <c r="I247" s="5">
        <v>-18.4720409254581</v>
      </c>
      <c r="J247" s="5">
        <v>-1.59155056649239</v>
      </c>
      <c r="K247" s="5">
        <v>-1.59155056649239</v>
      </c>
      <c r="L247" s="5">
        <v>-1.59155056649239</v>
      </c>
      <c r="M247" s="5">
        <v>-16.8804903589657</v>
      </c>
      <c r="N247" s="5">
        <v>-16.8804903589657</v>
      </c>
      <c r="O247" s="5">
        <v>-16.8804903589657</v>
      </c>
      <c r="P247" s="5">
        <v>0.0</v>
      </c>
      <c r="Q247" s="5">
        <v>0.0</v>
      </c>
      <c r="R247" s="5">
        <v>0.0</v>
      </c>
      <c r="S247" s="5">
        <v>-13.1448149880974</v>
      </c>
    </row>
    <row r="248">
      <c r="A248" s="6">
        <v>40714.0</v>
      </c>
      <c r="B248" s="5">
        <v>5.35241143701481</v>
      </c>
      <c r="C248" s="5">
        <v>-75.7613723079633</v>
      </c>
      <c r="D248" s="5">
        <v>50.2099763882524</v>
      </c>
      <c r="E248" s="5">
        <v>5.35241143701481</v>
      </c>
      <c r="F248" s="5">
        <v>5.35241143701481</v>
      </c>
      <c r="G248" s="5">
        <v>-16.4636973892703</v>
      </c>
      <c r="H248" s="5">
        <v>-16.4636973892703</v>
      </c>
      <c r="I248" s="5">
        <v>-16.4636973892703</v>
      </c>
      <c r="J248" s="5">
        <v>0.0905589421205355</v>
      </c>
      <c r="K248" s="5">
        <v>0.0905589421205355</v>
      </c>
      <c r="L248" s="5">
        <v>0.0905589421205355</v>
      </c>
      <c r="M248" s="5">
        <v>-16.5542563313908</v>
      </c>
      <c r="N248" s="5">
        <v>-16.5542563313908</v>
      </c>
      <c r="O248" s="5">
        <v>-16.5542563313908</v>
      </c>
      <c r="P248" s="5">
        <v>0.0</v>
      </c>
      <c r="Q248" s="5">
        <v>0.0</v>
      </c>
      <c r="R248" s="5">
        <v>0.0</v>
      </c>
      <c r="S248" s="5">
        <v>-11.1112859522555</v>
      </c>
    </row>
    <row r="249">
      <c r="A249" s="6">
        <v>40715.0</v>
      </c>
      <c r="B249" s="5">
        <v>5.36080660356617</v>
      </c>
      <c r="C249" s="5">
        <v>-74.4172099548199</v>
      </c>
      <c r="D249" s="5">
        <v>53.4678399355598</v>
      </c>
      <c r="E249" s="5">
        <v>5.36080660356617</v>
      </c>
      <c r="F249" s="5">
        <v>5.36080660356617</v>
      </c>
      <c r="G249" s="5">
        <v>-16.493955782357</v>
      </c>
      <c r="H249" s="5">
        <v>-16.493955782357</v>
      </c>
      <c r="I249" s="5">
        <v>-16.493955782357</v>
      </c>
      <c r="J249" s="5">
        <v>-0.144118857245912</v>
      </c>
      <c r="K249" s="5">
        <v>-0.144118857245912</v>
      </c>
      <c r="L249" s="5">
        <v>-0.144118857245912</v>
      </c>
      <c r="M249" s="5">
        <v>-16.3498369251111</v>
      </c>
      <c r="N249" s="5">
        <v>-16.3498369251111</v>
      </c>
      <c r="O249" s="5">
        <v>-16.3498369251111</v>
      </c>
      <c r="P249" s="5">
        <v>0.0</v>
      </c>
      <c r="Q249" s="5">
        <v>0.0</v>
      </c>
      <c r="R249" s="5">
        <v>0.0</v>
      </c>
      <c r="S249" s="5">
        <v>-11.1331491787908</v>
      </c>
    </row>
    <row r="250">
      <c r="A250" s="6">
        <v>40716.0</v>
      </c>
      <c r="B250" s="5">
        <v>5.36920177011753</v>
      </c>
      <c r="C250" s="5">
        <v>-72.5676833590759</v>
      </c>
      <c r="D250" s="5">
        <v>54.6170034420477</v>
      </c>
      <c r="E250" s="5">
        <v>5.36920177011753</v>
      </c>
      <c r="F250" s="5">
        <v>5.36920177011753</v>
      </c>
      <c r="G250" s="5">
        <v>-16.0846516175659</v>
      </c>
      <c r="H250" s="5">
        <v>-16.0846516175659</v>
      </c>
      <c r="I250" s="5">
        <v>-16.0846516175659</v>
      </c>
      <c r="J250" s="5">
        <v>0.00703780528135606</v>
      </c>
      <c r="K250" s="5">
        <v>0.00703780528135606</v>
      </c>
      <c r="L250" s="5">
        <v>0.00703780528135606</v>
      </c>
      <c r="M250" s="5">
        <v>-16.0916894228473</v>
      </c>
      <c r="N250" s="5">
        <v>-16.0916894228473</v>
      </c>
      <c r="O250" s="5">
        <v>-16.0916894228473</v>
      </c>
      <c r="P250" s="5">
        <v>0.0</v>
      </c>
      <c r="Q250" s="5">
        <v>0.0</v>
      </c>
      <c r="R250" s="5">
        <v>0.0</v>
      </c>
      <c r="S250" s="5">
        <v>-10.7154498474484</v>
      </c>
    </row>
    <row r="251">
      <c r="A251" s="6">
        <v>40717.0</v>
      </c>
      <c r="B251" s="5">
        <v>5.37759693666889</v>
      </c>
      <c r="C251" s="5">
        <v>-69.8893702639515</v>
      </c>
      <c r="D251" s="5">
        <v>51.2232642046755</v>
      </c>
      <c r="E251" s="5">
        <v>5.37759693666889</v>
      </c>
      <c r="F251" s="5">
        <v>5.37759693666889</v>
      </c>
      <c r="G251" s="5">
        <v>-16.555140491737</v>
      </c>
      <c r="H251" s="5">
        <v>-16.555140491737</v>
      </c>
      <c r="I251" s="5">
        <v>-16.555140491737</v>
      </c>
      <c r="J251" s="5">
        <v>-0.776422525903758</v>
      </c>
      <c r="K251" s="5">
        <v>-0.776422525903758</v>
      </c>
      <c r="L251" s="5">
        <v>-0.776422525903758</v>
      </c>
      <c r="M251" s="5">
        <v>-15.7787179658332</v>
      </c>
      <c r="N251" s="5">
        <v>-15.7787179658332</v>
      </c>
      <c r="O251" s="5">
        <v>-15.7787179658332</v>
      </c>
      <c r="P251" s="5">
        <v>0.0</v>
      </c>
      <c r="Q251" s="5">
        <v>0.0</v>
      </c>
      <c r="R251" s="5">
        <v>0.0</v>
      </c>
      <c r="S251" s="5">
        <v>-11.1775435550681</v>
      </c>
    </row>
    <row r="252">
      <c r="A252" s="6">
        <v>40718.0</v>
      </c>
      <c r="B252" s="5">
        <v>5.38599210322025</v>
      </c>
      <c r="C252" s="5">
        <v>-74.2309880282429</v>
      </c>
      <c r="D252" s="5">
        <v>52.4378574059088</v>
      </c>
      <c r="E252" s="5">
        <v>5.38599210322025</v>
      </c>
      <c r="F252" s="5">
        <v>5.38599210322025</v>
      </c>
      <c r="G252" s="5">
        <v>-17.0031251543681</v>
      </c>
      <c r="H252" s="5">
        <v>-17.0031251543681</v>
      </c>
      <c r="I252" s="5">
        <v>-17.0031251543681</v>
      </c>
      <c r="J252" s="5">
        <v>-1.59155056649115</v>
      </c>
      <c r="K252" s="5">
        <v>-1.59155056649115</v>
      </c>
      <c r="L252" s="5">
        <v>-1.59155056649115</v>
      </c>
      <c r="M252" s="5">
        <v>-15.411574587877</v>
      </c>
      <c r="N252" s="5">
        <v>-15.411574587877</v>
      </c>
      <c r="O252" s="5">
        <v>-15.411574587877</v>
      </c>
      <c r="P252" s="5">
        <v>0.0</v>
      </c>
      <c r="Q252" s="5">
        <v>0.0</v>
      </c>
      <c r="R252" s="5">
        <v>0.0</v>
      </c>
      <c r="S252" s="5">
        <v>-11.6171330511479</v>
      </c>
    </row>
    <row r="253">
      <c r="A253" s="6">
        <v>40721.0</v>
      </c>
      <c r="B253" s="5">
        <v>5.41117760287433</v>
      </c>
      <c r="C253" s="5">
        <v>-70.0121229437976</v>
      </c>
      <c r="D253" s="5">
        <v>49.514326557986</v>
      </c>
      <c r="E253" s="5">
        <v>5.41117760287433</v>
      </c>
      <c r="F253" s="5">
        <v>5.41117760287433</v>
      </c>
      <c r="G253" s="5">
        <v>-13.9272445721542</v>
      </c>
      <c r="H253" s="5">
        <v>-13.9272445721542</v>
      </c>
      <c r="I253" s="5">
        <v>-13.9272445721542</v>
      </c>
      <c r="J253" s="5">
        <v>0.0905589421214819</v>
      </c>
      <c r="K253" s="5">
        <v>0.0905589421214819</v>
      </c>
      <c r="L253" s="5">
        <v>0.0905589421214819</v>
      </c>
      <c r="M253" s="5">
        <v>-14.0178035142757</v>
      </c>
      <c r="N253" s="5">
        <v>-14.0178035142757</v>
      </c>
      <c r="O253" s="5">
        <v>-14.0178035142757</v>
      </c>
      <c r="P253" s="5">
        <v>0.0</v>
      </c>
      <c r="Q253" s="5">
        <v>0.0</v>
      </c>
      <c r="R253" s="5">
        <v>0.0</v>
      </c>
      <c r="S253" s="5">
        <v>-8.51606696927993</v>
      </c>
    </row>
    <row r="254">
      <c r="A254" s="6">
        <v>40722.0</v>
      </c>
      <c r="B254" s="5">
        <v>5.41957276942569</v>
      </c>
      <c r="C254" s="5">
        <v>-71.2824294891817</v>
      </c>
      <c r="D254" s="5">
        <v>53.8402173744737</v>
      </c>
      <c r="E254" s="5">
        <v>5.41957276942569</v>
      </c>
      <c r="F254" s="5">
        <v>5.41957276942569</v>
      </c>
      <c r="G254" s="5">
        <v>-13.6189851283808</v>
      </c>
      <c r="H254" s="5">
        <v>-13.6189851283808</v>
      </c>
      <c r="I254" s="5">
        <v>-13.6189851283808</v>
      </c>
      <c r="J254" s="5">
        <v>-0.144118857244824</v>
      </c>
      <c r="K254" s="5">
        <v>-0.144118857244824</v>
      </c>
      <c r="L254" s="5">
        <v>-0.144118857244824</v>
      </c>
      <c r="M254" s="5">
        <v>-13.474866271136</v>
      </c>
      <c r="N254" s="5">
        <v>-13.474866271136</v>
      </c>
      <c r="O254" s="5">
        <v>-13.474866271136</v>
      </c>
      <c r="P254" s="5">
        <v>0.0</v>
      </c>
      <c r="Q254" s="5">
        <v>0.0</v>
      </c>
      <c r="R254" s="5">
        <v>0.0</v>
      </c>
      <c r="S254" s="5">
        <v>-8.19941235895516</v>
      </c>
    </row>
    <row r="255">
      <c r="A255" s="6">
        <v>40723.0</v>
      </c>
      <c r="B255" s="5">
        <v>5.42796793597705</v>
      </c>
      <c r="C255" s="5">
        <v>-68.8438291037674</v>
      </c>
      <c r="D255" s="5">
        <v>54.462839489883</v>
      </c>
      <c r="E255" s="5">
        <v>5.42796793597705</v>
      </c>
      <c r="F255" s="5">
        <v>5.42796793597705</v>
      </c>
      <c r="G255" s="5">
        <v>-12.8988707910989</v>
      </c>
      <c r="H255" s="5">
        <v>-12.8988707910989</v>
      </c>
      <c r="I255" s="5">
        <v>-12.8988707910989</v>
      </c>
      <c r="J255" s="5">
        <v>0.00703780528266707</v>
      </c>
      <c r="K255" s="5">
        <v>0.00703780528266707</v>
      </c>
      <c r="L255" s="5">
        <v>0.00703780528266707</v>
      </c>
      <c r="M255" s="5">
        <v>-12.9059085963816</v>
      </c>
      <c r="N255" s="5">
        <v>-12.9059085963816</v>
      </c>
      <c r="O255" s="5">
        <v>-12.9059085963816</v>
      </c>
      <c r="P255" s="5">
        <v>0.0</v>
      </c>
      <c r="Q255" s="5">
        <v>0.0</v>
      </c>
      <c r="R255" s="5">
        <v>0.0</v>
      </c>
      <c r="S255" s="5">
        <v>-7.4709028551219</v>
      </c>
    </row>
    <row r="256">
      <c r="A256" s="6">
        <v>40724.0</v>
      </c>
      <c r="B256" s="5">
        <v>5.43636310252841</v>
      </c>
      <c r="C256" s="5">
        <v>-70.1132395496255</v>
      </c>
      <c r="D256" s="5">
        <v>54.2771553992853</v>
      </c>
      <c r="E256" s="5">
        <v>5.43636310252841</v>
      </c>
      <c r="F256" s="5">
        <v>5.43636310252841</v>
      </c>
      <c r="G256" s="5">
        <v>-13.0969792689311</v>
      </c>
      <c r="H256" s="5">
        <v>-13.0969792689311</v>
      </c>
      <c r="I256" s="5">
        <v>-13.0969792689311</v>
      </c>
      <c r="J256" s="5">
        <v>-0.776422525900255</v>
      </c>
      <c r="K256" s="5">
        <v>-0.776422525900255</v>
      </c>
      <c r="L256" s="5">
        <v>-0.776422525900255</v>
      </c>
      <c r="M256" s="5">
        <v>-12.3205567430308</v>
      </c>
      <c r="N256" s="5">
        <v>-12.3205567430308</v>
      </c>
      <c r="O256" s="5">
        <v>-12.3205567430308</v>
      </c>
      <c r="P256" s="5">
        <v>0.0</v>
      </c>
      <c r="Q256" s="5">
        <v>0.0</v>
      </c>
      <c r="R256" s="5">
        <v>0.0</v>
      </c>
      <c r="S256" s="5">
        <v>-7.66061616640273</v>
      </c>
    </row>
    <row r="257">
      <c r="A257" s="6">
        <v>40725.0</v>
      </c>
      <c r="B257" s="5">
        <v>5.44475826907976</v>
      </c>
      <c r="C257" s="5">
        <v>-72.4558706653177</v>
      </c>
      <c r="D257" s="5">
        <v>55.7140345413375</v>
      </c>
      <c r="E257" s="5">
        <v>5.44475826907976</v>
      </c>
      <c r="F257" s="5">
        <v>5.44475826907976</v>
      </c>
      <c r="G257" s="5">
        <v>-13.3207876468974</v>
      </c>
      <c r="H257" s="5">
        <v>-13.3207876468974</v>
      </c>
      <c r="I257" s="5">
        <v>-13.3207876468974</v>
      </c>
      <c r="J257" s="5">
        <v>-1.59155056649328</v>
      </c>
      <c r="K257" s="5">
        <v>-1.59155056649328</v>
      </c>
      <c r="L257" s="5">
        <v>-1.59155056649328</v>
      </c>
      <c r="M257" s="5">
        <v>-11.7292370804042</v>
      </c>
      <c r="N257" s="5">
        <v>-11.7292370804042</v>
      </c>
      <c r="O257" s="5">
        <v>-11.7292370804042</v>
      </c>
      <c r="P257" s="5">
        <v>0.0</v>
      </c>
      <c r="Q257" s="5">
        <v>0.0</v>
      </c>
      <c r="R257" s="5">
        <v>0.0</v>
      </c>
      <c r="S257" s="5">
        <v>-7.87602937781772</v>
      </c>
    </row>
    <row r="258">
      <c r="A258" s="6">
        <v>40729.0</v>
      </c>
      <c r="B258" s="5">
        <v>5.4783389352852</v>
      </c>
      <c r="C258" s="5">
        <v>-66.0455211505886</v>
      </c>
      <c r="D258" s="5">
        <v>58.9652953997922</v>
      </c>
      <c r="E258" s="5">
        <v>5.4783389352852</v>
      </c>
      <c r="F258" s="5">
        <v>5.4783389352852</v>
      </c>
      <c r="G258" s="5">
        <v>-9.66811082979004</v>
      </c>
      <c r="H258" s="5">
        <v>-9.66811082979004</v>
      </c>
      <c r="I258" s="5">
        <v>-9.66811082979004</v>
      </c>
      <c r="J258" s="5">
        <v>-0.14411885724626</v>
      </c>
      <c r="K258" s="5">
        <v>-0.14411885724626</v>
      </c>
      <c r="L258" s="5">
        <v>-0.14411885724626</v>
      </c>
      <c r="M258" s="5">
        <v>-9.52399197254378</v>
      </c>
      <c r="N258" s="5">
        <v>-9.52399197254378</v>
      </c>
      <c r="O258" s="5">
        <v>-9.52399197254378</v>
      </c>
      <c r="P258" s="5">
        <v>0.0</v>
      </c>
      <c r="Q258" s="5">
        <v>0.0</v>
      </c>
      <c r="R258" s="5">
        <v>0.0</v>
      </c>
      <c r="S258" s="5">
        <v>-4.18977189450483</v>
      </c>
    </row>
    <row r="259">
      <c r="A259" s="6">
        <v>40730.0</v>
      </c>
      <c r="B259" s="5">
        <v>5.48673410183656</v>
      </c>
      <c r="C259" s="5">
        <v>-67.4059474584584</v>
      </c>
      <c r="D259" s="5">
        <v>62.1322592805873</v>
      </c>
      <c r="E259" s="5">
        <v>5.48673410183656</v>
      </c>
      <c r="F259" s="5">
        <v>5.48673410183656</v>
      </c>
      <c r="G259" s="5">
        <v>-9.05896268079883</v>
      </c>
      <c r="H259" s="5">
        <v>-9.05896268079883</v>
      </c>
      <c r="I259" s="5">
        <v>-9.05896268079883</v>
      </c>
      <c r="J259" s="5">
        <v>0.00703780528280601</v>
      </c>
      <c r="K259" s="5">
        <v>0.00703780528280601</v>
      </c>
      <c r="L259" s="5">
        <v>0.00703780528280601</v>
      </c>
      <c r="M259" s="5">
        <v>-9.06600048608164</v>
      </c>
      <c r="N259" s="5">
        <v>-9.06600048608164</v>
      </c>
      <c r="O259" s="5">
        <v>-9.06600048608164</v>
      </c>
      <c r="P259" s="5">
        <v>0.0</v>
      </c>
      <c r="Q259" s="5">
        <v>0.0</v>
      </c>
      <c r="R259" s="5">
        <v>0.0</v>
      </c>
      <c r="S259" s="5">
        <v>-3.57222857896227</v>
      </c>
    </row>
    <row r="260">
      <c r="A260" s="6">
        <v>40731.0</v>
      </c>
      <c r="B260" s="5">
        <v>5.49512926838792</v>
      </c>
      <c r="C260" s="5">
        <v>-68.3570092857527</v>
      </c>
      <c r="D260" s="5">
        <v>57.9170817608708</v>
      </c>
      <c r="E260" s="5">
        <v>5.49512926838792</v>
      </c>
      <c r="F260" s="5">
        <v>5.49512926838792</v>
      </c>
      <c r="G260" s="5">
        <v>-9.44070178627349</v>
      </c>
      <c r="H260" s="5">
        <v>-9.44070178627349</v>
      </c>
      <c r="I260" s="5">
        <v>-9.44070178627349</v>
      </c>
      <c r="J260" s="5">
        <v>-0.776422525902352</v>
      </c>
      <c r="K260" s="5">
        <v>-0.776422525902352</v>
      </c>
      <c r="L260" s="5">
        <v>-0.776422525902352</v>
      </c>
      <c r="M260" s="5">
        <v>-8.66427926037114</v>
      </c>
      <c r="N260" s="5">
        <v>-8.66427926037114</v>
      </c>
      <c r="O260" s="5">
        <v>-8.66427926037114</v>
      </c>
      <c r="P260" s="5">
        <v>0.0</v>
      </c>
      <c r="Q260" s="5">
        <v>0.0</v>
      </c>
      <c r="R260" s="5">
        <v>0.0</v>
      </c>
      <c r="S260" s="5">
        <v>-3.94557251788556</v>
      </c>
    </row>
    <row r="261">
      <c r="A261" s="6">
        <v>40732.0</v>
      </c>
      <c r="B261" s="5">
        <v>5.50352443493928</v>
      </c>
      <c r="C261" s="5">
        <v>-69.3140945783988</v>
      </c>
      <c r="D261" s="5">
        <v>57.5485558747911</v>
      </c>
      <c r="E261" s="5">
        <v>5.50352443493928</v>
      </c>
      <c r="F261" s="5">
        <v>5.50352443493928</v>
      </c>
      <c r="G261" s="5">
        <v>-9.91786112737267</v>
      </c>
      <c r="H261" s="5">
        <v>-9.91786112737267</v>
      </c>
      <c r="I261" s="5">
        <v>-9.91786112737267</v>
      </c>
      <c r="J261" s="5">
        <v>-1.59155056649205</v>
      </c>
      <c r="K261" s="5">
        <v>-1.59155056649205</v>
      </c>
      <c r="L261" s="5">
        <v>-1.59155056649205</v>
      </c>
      <c r="M261" s="5">
        <v>-8.32631056088062</v>
      </c>
      <c r="N261" s="5">
        <v>-8.32631056088062</v>
      </c>
      <c r="O261" s="5">
        <v>-8.32631056088062</v>
      </c>
      <c r="P261" s="5">
        <v>0.0</v>
      </c>
      <c r="Q261" s="5">
        <v>0.0</v>
      </c>
      <c r="R261" s="5">
        <v>0.0</v>
      </c>
      <c r="S261" s="5">
        <v>-4.41433669243338</v>
      </c>
    </row>
    <row r="262">
      <c r="A262" s="6">
        <v>40735.0</v>
      </c>
      <c r="B262" s="5">
        <v>5.52870993459336</v>
      </c>
      <c r="C262" s="5">
        <v>-62.7122066330411</v>
      </c>
      <c r="D262" s="5">
        <v>61.9629007700733</v>
      </c>
      <c r="E262" s="5">
        <v>5.52870993459336</v>
      </c>
      <c r="F262" s="5">
        <v>5.52870993459336</v>
      </c>
      <c r="G262" s="5">
        <v>-7.65529168662401</v>
      </c>
      <c r="H262" s="5">
        <v>-7.65529168662401</v>
      </c>
      <c r="I262" s="5">
        <v>-7.65529168662401</v>
      </c>
      <c r="J262" s="5">
        <v>0.0905589421210711</v>
      </c>
      <c r="K262" s="5">
        <v>0.0905589421210711</v>
      </c>
      <c r="L262" s="5">
        <v>0.0905589421210711</v>
      </c>
      <c r="M262" s="5">
        <v>-7.74585062874509</v>
      </c>
      <c r="N262" s="5">
        <v>-7.74585062874509</v>
      </c>
      <c r="O262" s="5">
        <v>-7.74585062874509</v>
      </c>
      <c r="P262" s="5">
        <v>0.0</v>
      </c>
      <c r="Q262" s="5">
        <v>0.0</v>
      </c>
      <c r="R262" s="5">
        <v>0.0</v>
      </c>
      <c r="S262" s="5">
        <v>-2.12658175203065</v>
      </c>
    </row>
    <row r="263">
      <c r="A263" s="6">
        <v>40736.0</v>
      </c>
      <c r="B263" s="5">
        <v>5.53710510114472</v>
      </c>
      <c r="C263" s="5">
        <v>-66.6073448182235</v>
      </c>
      <c r="D263" s="5">
        <v>61.4550210242514</v>
      </c>
      <c r="E263" s="5">
        <v>5.53710510114472</v>
      </c>
      <c r="F263" s="5">
        <v>5.53710510114472</v>
      </c>
      <c r="G263" s="5">
        <v>-7.84892958004143</v>
      </c>
      <c r="H263" s="5">
        <v>-7.84892958004143</v>
      </c>
      <c r="I263" s="5">
        <v>-7.84892958004143</v>
      </c>
      <c r="J263" s="5">
        <v>-0.144118857244062</v>
      </c>
      <c r="K263" s="5">
        <v>-0.144118857244062</v>
      </c>
      <c r="L263" s="5">
        <v>-0.144118857244062</v>
      </c>
      <c r="M263" s="5">
        <v>-7.70481072279737</v>
      </c>
      <c r="N263" s="5">
        <v>-7.70481072279737</v>
      </c>
      <c r="O263" s="5">
        <v>-7.70481072279737</v>
      </c>
      <c r="P263" s="5">
        <v>0.0</v>
      </c>
      <c r="Q263" s="5">
        <v>0.0</v>
      </c>
      <c r="R263" s="5">
        <v>0.0</v>
      </c>
      <c r="S263" s="5">
        <v>-2.31182447889671</v>
      </c>
    </row>
    <row r="264">
      <c r="A264" s="6">
        <v>40737.0</v>
      </c>
      <c r="B264" s="5">
        <v>5.54550026769607</v>
      </c>
      <c r="C264" s="5">
        <v>-61.7251786260495</v>
      </c>
      <c r="D264" s="5">
        <v>61.7796908962859</v>
      </c>
      <c r="E264" s="5">
        <v>5.54550026769607</v>
      </c>
      <c r="F264" s="5">
        <v>5.54550026769607</v>
      </c>
      <c r="G264" s="5">
        <v>-7.73214658149631</v>
      </c>
      <c r="H264" s="5">
        <v>-7.73214658149631</v>
      </c>
      <c r="I264" s="5">
        <v>-7.73214658149631</v>
      </c>
      <c r="J264" s="5">
        <v>0.00703780528195336</v>
      </c>
      <c r="K264" s="5">
        <v>0.00703780528195336</v>
      </c>
      <c r="L264" s="5">
        <v>0.00703780528195336</v>
      </c>
      <c r="M264" s="5">
        <v>-7.73918438677827</v>
      </c>
      <c r="N264" s="5">
        <v>-7.73918438677827</v>
      </c>
      <c r="O264" s="5">
        <v>-7.73918438677827</v>
      </c>
      <c r="P264" s="5">
        <v>0.0</v>
      </c>
      <c r="Q264" s="5">
        <v>0.0</v>
      </c>
      <c r="R264" s="5">
        <v>0.0</v>
      </c>
      <c r="S264" s="5">
        <v>-2.18664631380023</v>
      </c>
    </row>
    <row r="265">
      <c r="A265" s="6">
        <v>40738.0</v>
      </c>
      <c r="B265" s="5">
        <v>5.55389543424743</v>
      </c>
      <c r="C265" s="5">
        <v>-62.6777224987301</v>
      </c>
      <c r="D265" s="5">
        <v>58.9473414422822</v>
      </c>
      <c r="E265" s="5">
        <v>5.55389543424743</v>
      </c>
      <c r="F265" s="5">
        <v>5.55389543424743</v>
      </c>
      <c r="G265" s="5">
        <v>-8.62201320323038</v>
      </c>
      <c r="H265" s="5">
        <v>-8.62201320323038</v>
      </c>
      <c r="I265" s="5">
        <v>-8.62201320323038</v>
      </c>
      <c r="J265" s="5">
        <v>-0.776422525903074</v>
      </c>
      <c r="K265" s="5">
        <v>-0.776422525903074</v>
      </c>
      <c r="L265" s="5">
        <v>-0.776422525903074</v>
      </c>
      <c r="M265" s="5">
        <v>-7.8455906773273</v>
      </c>
      <c r="N265" s="5">
        <v>-7.8455906773273</v>
      </c>
      <c r="O265" s="5">
        <v>-7.8455906773273</v>
      </c>
      <c r="P265" s="5">
        <v>0.0</v>
      </c>
      <c r="Q265" s="5">
        <v>0.0</v>
      </c>
      <c r="R265" s="5">
        <v>0.0</v>
      </c>
      <c r="S265" s="5">
        <v>-3.06811776898294</v>
      </c>
    </row>
    <row r="266">
      <c r="A266" s="6">
        <v>40739.0</v>
      </c>
      <c r="B266" s="5">
        <v>5.56229060079879</v>
      </c>
      <c r="C266" s="5">
        <v>-66.1453876390333</v>
      </c>
      <c r="D266" s="5">
        <v>62.9359784027203</v>
      </c>
      <c r="E266" s="5">
        <v>5.56229060079879</v>
      </c>
      <c r="F266" s="5">
        <v>5.56229060079879</v>
      </c>
      <c r="G266" s="5">
        <v>-9.61035830042866</v>
      </c>
      <c r="H266" s="5">
        <v>-9.61035830042866</v>
      </c>
      <c r="I266" s="5">
        <v>-9.61035830042866</v>
      </c>
      <c r="J266" s="5">
        <v>-1.59155056649081</v>
      </c>
      <c r="K266" s="5">
        <v>-1.59155056649081</v>
      </c>
      <c r="L266" s="5">
        <v>-1.59155056649081</v>
      </c>
      <c r="M266" s="5">
        <v>-8.01880773393785</v>
      </c>
      <c r="N266" s="5">
        <v>-8.01880773393785</v>
      </c>
      <c r="O266" s="5">
        <v>-8.01880773393785</v>
      </c>
      <c r="P266" s="5">
        <v>0.0</v>
      </c>
      <c r="Q266" s="5">
        <v>0.0</v>
      </c>
      <c r="R266" s="5">
        <v>0.0</v>
      </c>
      <c r="S266" s="5">
        <v>-4.04806769962986</v>
      </c>
    </row>
    <row r="267">
      <c r="A267" s="6">
        <v>40742.0</v>
      </c>
      <c r="B267" s="5">
        <v>5.58747610045287</v>
      </c>
      <c r="C267" s="5">
        <v>-68.2719170057492</v>
      </c>
      <c r="D267" s="5">
        <v>58.1603160099526</v>
      </c>
      <c r="E267" s="5">
        <v>5.58747610045287</v>
      </c>
      <c r="F267" s="5">
        <v>5.58747610045287</v>
      </c>
      <c r="G267" s="5">
        <v>-8.7720801212381</v>
      </c>
      <c r="H267" s="5">
        <v>-8.7720801212381</v>
      </c>
      <c r="I267" s="5">
        <v>-8.7720801212381</v>
      </c>
      <c r="J267" s="5">
        <v>0.0905589421220175</v>
      </c>
      <c r="K267" s="5">
        <v>0.0905589421220175</v>
      </c>
      <c r="L267" s="5">
        <v>0.0905589421220175</v>
      </c>
      <c r="M267" s="5">
        <v>-8.86263906336012</v>
      </c>
      <c r="N267" s="5">
        <v>-8.86263906336012</v>
      </c>
      <c r="O267" s="5">
        <v>-8.86263906336012</v>
      </c>
      <c r="P267" s="5">
        <v>0.0</v>
      </c>
      <c r="Q267" s="5">
        <v>0.0</v>
      </c>
      <c r="R267" s="5">
        <v>0.0</v>
      </c>
      <c r="S267" s="5">
        <v>-3.18460402078522</v>
      </c>
    </row>
    <row r="268">
      <c r="A268" s="6">
        <v>40743.0</v>
      </c>
      <c r="B268" s="5">
        <v>5.59587126700423</v>
      </c>
      <c r="C268" s="5">
        <v>-65.6997715825329</v>
      </c>
      <c r="D268" s="5">
        <v>59.881368483534</v>
      </c>
      <c r="E268" s="5">
        <v>5.59587126700423</v>
      </c>
      <c r="F268" s="5">
        <v>5.59587126700423</v>
      </c>
      <c r="G268" s="5">
        <v>-9.36384857352283</v>
      </c>
      <c r="H268" s="5">
        <v>-9.36384857352283</v>
      </c>
      <c r="I268" s="5">
        <v>-9.36384857352283</v>
      </c>
      <c r="J268" s="5">
        <v>-0.144118857244389</v>
      </c>
      <c r="K268" s="5">
        <v>-0.144118857244389</v>
      </c>
      <c r="L268" s="5">
        <v>-0.144118857244389</v>
      </c>
      <c r="M268" s="5">
        <v>-9.21972971627844</v>
      </c>
      <c r="N268" s="5">
        <v>-9.21972971627844</v>
      </c>
      <c r="O268" s="5">
        <v>-9.21972971627844</v>
      </c>
      <c r="P268" s="5">
        <v>0.0</v>
      </c>
      <c r="Q268" s="5">
        <v>0.0</v>
      </c>
      <c r="R268" s="5">
        <v>0.0</v>
      </c>
      <c r="S268" s="5">
        <v>-3.76797730651859</v>
      </c>
    </row>
    <row r="269">
      <c r="A269" s="6">
        <v>40744.0</v>
      </c>
      <c r="B269" s="5">
        <v>5.60426643355559</v>
      </c>
      <c r="C269" s="5">
        <v>-63.7274914338373</v>
      </c>
      <c r="D269" s="5">
        <v>56.6488332293594</v>
      </c>
      <c r="E269" s="5">
        <v>5.60426643355559</v>
      </c>
      <c r="F269" s="5">
        <v>5.60426643355559</v>
      </c>
      <c r="G269" s="5">
        <v>-9.58913176182468</v>
      </c>
      <c r="H269" s="5">
        <v>-9.58913176182468</v>
      </c>
      <c r="I269" s="5">
        <v>-9.58913176182468</v>
      </c>
      <c r="J269" s="5">
        <v>0.0070378052811008</v>
      </c>
      <c r="K269" s="5">
        <v>0.0070378052811008</v>
      </c>
      <c r="L269" s="5">
        <v>0.0070378052811008</v>
      </c>
      <c r="M269" s="5">
        <v>-9.59616956710579</v>
      </c>
      <c r="N269" s="5">
        <v>-9.59616956710579</v>
      </c>
      <c r="O269" s="5">
        <v>-9.59616956710579</v>
      </c>
      <c r="P269" s="5">
        <v>0.0</v>
      </c>
      <c r="Q269" s="5">
        <v>0.0</v>
      </c>
      <c r="R269" s="5">
        <v>0.0</v>
      </c>
      <c r="S269" s="5">
        <v>-3.98486532826909</v>
      </c>
    </row>
    <row r="270">
      <c r="A270" s="6">
        <v>40745.0</v>
      </c>
      <c r="B270" s="5">
        <v>5.61266160010695</v>
      </c>
      <c r="C270" s="5">
        <v>-62.8710579136751</v>
      </c>
      <c r="D270" s="5">
        <v>59.1705756347772</v>
      </c>
      <c r="E270" s="5">
        <v>5.61266160010695</v>
      </c>
      <c r="F270" s="5">
        <v>5.61266160010695</v>
      </c>
      <c r="G270" s="5">
        <v>-10.7564074981725</v>
      </c>
      <c r="H270" s="5">
        <v>-10.7564074981725</v>
      </c>
      <c r="I270" s="5">
        <v>-10.7564074981725</v>
      </c>
      <c r="J270" s="5">
        <v>-0.776422525905171</v>
      </c>
      <c r="K270" s="5">
        <v>-0.776422525905171</v>
      </c>
      <c r="L270" s="5">
        <v>-0.776422525905171</v>
      </c>
      <c r="M270" s="5">
        <v>-9.97998497226734</v>
      </c>
      <c r="N270" s="5">
        <v>-9.97998497226734</v>
      </c>
      <c r="O270" s="5">
        <v>-9.97998497226734</v>
      </c>
      <c r="P270" s="5">
        <v>0.0</v>
      </c>
      <c r="Q270" s="5">
        <v>0.0</v>
      </c>
      <c r="R270" s="5">
        <v>0.0</v>
      </c>
      <c r="S270" s="5">
        <v>-5.14374589806556</v>
      </c>
    </row>
    <row r="271">
      <c r="A271" s="6">
        <v>40746.0</v>
      </c>
      <c r="B271" s="5">
        <v>5.62105676665831</v>
      </c>
      <c r="C271" s="5">
        <v>-69.5517446181766</v>
      </c>
      <c r="D271" s="5">
        <v>58.8018880013265</v>
      </c>
      <c r="E271" s="5">
        <v>5.62105676665831</v>
      </c>
      <c r="F271" s="5">
        <v>5.62105676665831</v>
      </c>
      <c r="G271" s="5">
        <v>-11.9506382625959</v>
      </c>
      <c r="H271" s="5">
        <v>-11.9506382625959</v>
      </c>
      <c r="I271" s="5">
        <v>-11.9506382625959</v>
      </c>
      <c r="J271" s="5">
        <v>-1.59155056649294</v>
      </c>
      <c r="K271" s="5">
        <v>-1.59155056649294</v>
      </c>
      <c r="L271" s="5">
        <v>-1.59155056649294</v>
      </c>
      <c r="M271" s="5">
        <v>-10.359087696103</v>
      </c>
      <c r="N271" s="5">
        <v>-10.359087696103</v>
      </c>
      <c r="O271" s="5">
        <v>-10.359087696103</v>
      </c>
      <c r="P271" s="5">
        <v>0.0</v>
      </c>
      <c r="Q271" s="5">
        <v>0.0</v>
      </c>
      <c r="R271" s="5">
        <v>0.0</v>
      </c>
      <c r="S271" s="5">
        <v>-6.32958149593763</v>
      </c>
    </row>
    <row r="272">
      <c r="A272" s="6">
        <v>40749.0</v>
      </c>
      <c r="B272" s="5">
        <v>5.64624226631238</v>
      </c>
      <c r="C272" s="5">
        <v>-74.5822263513246</v>
      </c>
      <c r="D272" s="5">
        <v>58.3954841953649</v>
      </c>
      <c r="E272" s="5">
        <v>5.64624226631238</v>
      </c>
      <c r="F272" s="5">
        <v>5.64624226631238</v>
      </c>
      <c r="G272" s="5">
        <v>-11.261696923155</v>
      </c>
      <c r="H272" s="5">
        <v>-11.261696923155</v>
      </c>
      <c r="I272" s="5">
        <v>-11.261696923155</v>
      </c>
      <c r="J272" s="5">
        <v>0.09055894212058</v>
      </c>
      <c r="K272" s="5">
        <v>0.09055894212058</v>
      </c>
      <c r="L272" s="5">
        <v>0.09055894212058</v>
      </c>
      <c r="M272" s="5">
        <v>-11.3522558652755</v>
      </c>
      <c r="N272" s="5">
        <v>-11.3522558652755</v>
      </c>
      <c r="O272" s="5">
        <v>-11.3522558652755</v>
      </c>
      <c r="P272" s="5">
        <v>0.0</v>
      </c>
      <c r="Q272" s="5">
        <v>0.0</v>
      </c>
      <c r="R272" s="5">
        <v>0.0</v>
      </c>
      <c r="S272" s="5">
        <v>-5.61545465684262</v>
      </c>
    </row>
    <row r="273">
      <c r="A273" s="6">
        <v>40750.0</v>
      </c>
      <c r="B273" s="5">
        <v>5.65463743286374</v>
      </c>
      <c r="C273" s="5">
        <v>-67.5588190457173</v>
      </c>
      <c r="D273" s="5">
        <v>56.4811631953865</v>
      </c>
      <c r="E273" s="5">
        <v>5.65463743286374</v>
      </c>
      <c r="F273" s="5">
        <v>5.65463743286374</v>
      </c>
      <c r="G273" s="5">
        <v>-11.7445631933008</v>
      </c>
      <c r="H273" s="5">
        <v>-11.7445631933008</v>
      </c>
      <c r="I273" s="5">
        <v>-11.7445631933008</v>
      </c>
      <c r="J273" s="5">
        <v>-0.1441188572433</v>
      </c>
      <c r="K273" s="5">
        <v>-0.1441188572433</v>
      </c>
      <c r="L273" s="5">
        <v>-0.1441188572433</v>
      </c>
      <c r="M273" s="5">
        <v>-11.6004443360575</v>
      </c>
      <c r="N273" s="5">
        <v>-11.6004443360575</v>
      </c>
      <c r="O273" s="5">
        <v>-11.6004443360575</v>
      </c>
      <c r="P273" s="5">
        <v>0.0</v>
      </c>
      <c r="Q273" s="5">
        <v>0.0</v>
      </c>
      <c r="R273" s="5">
        <v>0.0</v>
      </c>
      <c r="S273" s="5">
        <v>-6.08992576043707</v>
      </c>
    </row>
    <row r="274">
      <c r="A274" s="6">
        <v>40751.0</v>
      </c>
      <c r="B274" s="5">
        <v>5.6630325994151</v>
      </c>
      <c r="C274" s="5">
        <v>-75.0019211152557</v>
      </c>
      <c r="D274" s="5">
        <v>53.7961668711214</v>
      </c>
      <c r="E274" s="5">
        <v>5.6630325994151</v>
      </c>
      <c r="F274" s="5">
        <v>5.6630325994151</v>
      </c>
      <c r="G274" s="5">
        <v>-11.7856034949411</v>
      </c>
      <c r="H274" s="5">
        <v>-11.7856034949411</v>
      </c>
      <c r="I274" s="5">
        <v>-11.7856034949411</v>
      </c>
      <c r="J274" s="5">
        <v>0.00703780528340324</v>
      </c>
      <c r="K274" s="5">
        <v>0.00703780528340324</v>
      </c>
      <c r="L274" s="5">
        <v>0.00703780528340324</v>
      </c>
      <c r="M274" s="5">
        <v>-11.7926413002245</v>
      </c>
      <c r="N274" s="5">
        <v>-11.7926413002245</v>
      </c>
      <c r="O274" s="5">
        <v>-11.7926413002245</v>
      </c>
      <c r="P274" s="5">
        <v>0.0</v>
      </c>
      <c r="Q274" s="5">
        <v>0.0</v>
      </c>
      <c r="R274" s="5">
        <v>0.0</v>
      </c>
      <c r="S274" s="5">
        <v>-6.12257089552599</v>
      </c>
    </row>
    <row r="275">
      <c r="A275" s="6">
        <v>40752.0</v>
      </c>
      <c r="B275" s="5">
        <v>5.67142776596646</v>
      </c>
      <c r="C275" s="5">
        <v>-69.9705184601943</v>
      </c>
      <c r="D275" s="5">
        <v>59.472573830896</v>
      </c>
      <c r="E275" s="5">
        <v>5.67142776596646</v>
      </c>
      <c r="F275" s="5">
        <v>5.67142776596646</v>
      </c>
      <c r="G275" s="5">
        <v>-12.698723168489</v>
      </c>
      <c r="H275" s="5">
        <v>-12.698723168489</v>
      </c>
      <c r="I275" s="5">
        <v>-12.698723168489</v>
      </c>
      <c r="J275" s="5">
        <v>-0.776422525903043</v>
      </c>
      <c r="K275" s="5">
        <v>-0.776422525903043</v>
      </c>
      <c r="L275" s="5">
        <v>-0.776422525903043</v>
      </c>
      <c r="M275" s="5">
        <v>-11.922300642586</v>
      </c>
      <c r="N275" s="5">
        <v>-11.922300642586</v>
      </c>
      <c r="O275" s="5">
        <v>-11.922300642586</v>
      </c>
      <c r="P275" s="5">
        <v>0.0</v>
      </c>
      <c r="Q275" s="5">
        <v>0.0</v>
      </c>
      <c r="R275" s="5">
        <v>0.0</v>
      </c>
      <c r="S275" s="5">
        <v>-7.0272954025226</v>
      </c>
    </row>
    <row r="276">
      <c r="A276" s="6">
        <v>40753.0</v>
      </c>
      <c r="B276" s="5">
        <v>5.67982293251782</v>
      </c>
      <c r="C276" s="5">
        <v>-69.870772615223</v>
      </c>
      <c r="D276" s="5">
        <v>48.8224082743991</v>
      </c>
      <c r="E276" s="5">
        <v>5.67982293251782</v>
      </c>
      <c r="F276" s="5">
        <v>5.67982293251782</v>
      </c>
      <c r="G276" s="5">
        <v>-13.57612508507</v>
      </c>
      <c r="H276" s="5">
        <v>-13.57612508507</v>
      </c>
      <c r="I276" s="5">
        <v>-13.57612508507</v>
      </c>
      <c r="J276" s="5">
        <v>-1.59155056649445</v>
      </c>
      <c r="K276" s="5">
        <v>-1.59155056649445</v>
      </c>
      <c r="L276" s="5">
        <v>-1.59155056649445</v>
      </c>
      <c r="M276" s="5">
        <v>-11.9845745185755</v>
      </c>
      <c r="N276" s="5">
        <v>-11.9845745185755</v>
      </c>
      <c r="O276" s="5">
        <v>-11.9845745185755</v>
      </c>
      <c r="P276" s="5">
        <v>0.0</v>
      </c>
      <c r="Q276" s="5">
        <v>0.0</v>
      </c>
      <c r="R276" s="5">
        <v>0.0</v>
      </c>
      <c r="S276" s="5">
        <v>-7.89630215255221</v>
      </c>
    </row>
    <row r="277">
      <c r="A277" s="6">
        <v>40756.0</v>
      </c>
      <c r="B277" s="5">
        <v>5.7050084321719</v>
      </c>
      <c r="C277" s="5">
        <v>-70.5338349155575</v>
      </c>
      <c r="D277" s="5">
        <v>59.3093665464682</v>
      </c>
      <c r="E277" s="5">
        <v>5.7050084321719</v>
      </c>
      <c r="F277" s="5">
        <v>5.7050084321719</v>
      </c>
      <c r="G277" s="5">
        <v>-11.6553848004464</v>
      </c>
      <c r="H277" s="5">
        <v>-11.6553848004464</v>
      </c>
      <c r="I277" s="5">
        <v>-11.6553848004464</v>
      </c>
      <c r="J277" s="5">
        <v>0.0905589421215264</v>
      </c>
      <c r="K277" s="5">
        <v>0.0905589421215264</v>
      </c>
      <c r="L277" s="5">
        <v>0.0905589421215264</v>
      </c>
      <c r="M277" s="5">
        <v>-11.7459437425679</v>
      </c>
      <c r="N277" s="5">
        <v>-11.7459437425679</v>
      </c>
      <c r="O277" s="5">
        <v>-11.7459437425679</v>
      </c>
      <c r="P277" s="5">
        <v>0.0</v>
      </c>
      <c r="Q277" s="5">
        <v>0.0</v>
      </c>
      <c r="R277" s="5">
        <v>0.0</v>
      </c>
      <c r="S277" s="5">
        <v>-5.95037636827454</v>
      </c>
    </row>
    <row r="278">
      <c r="A278" s="6">
        <v>40757.0</v>
      </c>
      <c r="B278" s="5">
        <v>5.71340359872326</v>
      </c>
      <c r="C278" s="5">
        <v>-68.1575949499395</v>
      </c>
      <c r="D278" s="5">
        <v>54.7637354894188</v>
      </c>
      <c r="E278" s="5">
        <v>5.71340359872326</v>
      </c>
      <c r="F278" s="5">
        <v>5.71340359872326</v>
      </c>
      <c r="G278" s="5">
        <v>-11.6708957727837</v>
      </c>
      <c r="H278" s="5">
        <v>-11.6708957727837</v>
      </c>
      <c r="I278" s="5">
        <v>-11.6708957727837</v>
      </c>
      <c r="J278" s="5">
        <v>-0.14411885724615</v>
      </c>
      <c r="K278" s="5">
        <v>-0.14411885724615</v>
      </c>
      <c r="L278" s="5">
        <v>-0.14411885724615</v>
      </c>
      <c r="M278" s="5">
        <v>-11.5267769155375</v>
      </c>
      <c r="N278" s="5">
        <v>-11.5267769155375</v>
      </c>
      <c r="O278" s="5">
        <v>-11.5267769155375</v>
      </c>
      <c r="P278" s="5">
        <v>0.0</v>
      </c>
      <c r="Q278" s="5">
        <v>0.0</v>
      </c>
      <c r="R278" s="5">
        <v>0.0</v>
      </c>
      <c r="S278" s="5">
        <v>-5.95749217406046</v>
      </c>
    </row>
    <row r="279">
      <c r="A279" s="6">
        <v>40758.0</v>
      </c>
      <c r="B279" s="5">
        <v>5.72179876527462</v>
      </c>
      <c r="C279" s="5">
        <v>-65.8669863094204</v>
      </c>
      <c r="D279" s="5">
        <v>59.8145572465868</v>
      </c>
      <c r="E279" s="5">
        <v>5.72179876527462</v>
      </c>
      <c r="F279" s="5">
        <v>5.72179876527462</v>
      </c>
      <c r="G279" s="5">
        <v>-11.2362954550328</v>
      </c>
      <c r="H279" s="5">
        <v>-11.2362954550328</v>
      </c>
      <c r="I279" s="5">
        <v>-11.2362954550328</v>
      </c>
      <c r="J279" s="5">
        <v>0.0070378052803872</v>
      </c>
      <c r="K279" s="5">
        <v>0.0070378052803872</v>
      </c>
      <c r="L279" s="5">
        <v>0.0070378052803872</v>
      </c>
      <c r="M279" s="5">
        <v>-11.2433332603131</v>
      </c>
      <c r="N279" s="5">
        <v>-11.2433332603131</v>
      </c>
      <c r="O279" s="5">
        <v>-11.2433332603131</v>
      </c>
      <c r="P279" s="5">
        <v>0.0</v>
      </c>
      <c r="Q279" s="5">
        <v>0.0</v>
      </c>
      <c r="R279" s="5">
        <v>0.0</v>
      </c>
      <c r="S279" s="5">
        <v>-5.51449668975818</v>
      </c>
    </row>
    <row r="280">
      <c r="A280" s="6">
        <v>40759.0</v>
      </c>
      <c r="B280" s="5">
        <v>5.73019393182597</v>
      </c>
      <c r="C280" s="5">
        <v>-67.7905939275904</v>
      </c>
      <c r="D280" s="5">
        <v>59.9835948059924</v>
      </c>
      <c r="E280" s="5">
        <v>5.73019393182597</v>
      </c>
      <c r="F280" s="5">
        <v>5.73019393182597</v>
      </c>
      <c r="G280" s="5">
        <v>-11.677768426337</v>
      </c>
      <c r="H280" s="5">
        <v>-11.677768426337</v>
      </c>
      <c r="I280" s="5">
        <v>-11.677768426337</v>
      </c>
      <c r="J280" s="5">
        <v>-0.776422525903765</v>
      </c>
      <c r="K280" s="5">
        <v>-0.776422525903765</v>
      </c>
      <c r="L280" s="5">
        <v>-0.776422525903765</v>
      </c>
      <c r="M280" s="5">
        <v>-10.9013459004332</v>
      </c>
      <c r="N280" s="5">
        <v>-10.9013459004332</v>
      </c>
      <c r="O280" s="5">
        <v>-10.9013459004332</v>
      </c>
      <c r="P280" s="5">
        <v>0.0</v>
      </c>
      <c r="Q280" s="5">
        <v>0.0</v>
      </c>
      <c r="R280" s="5">
        <v>0.0</v>
      </c>
      <c r="S280" s="5">
        <v>-5.94757449451105</v>
      </c>
    </row>
    <row r="281">
      <c r="A281" s="6">
        <v>40760.0</v>
      </c>
      <c r="B281" s="5">
        <v>5.73858909837733</v>
      </c>
      <c r="C281" s="5">
        <v>-68.0176601691432</v>
      </c>
      <c r="D281" s="5">
        <v>55.6660179708367</v>
      </c>
      <c r="E281" s="5">
        <v>5.73858909837733</v>
      </c>
      <c r="F281" s="5">
        <v>5.73858909837733</v>
      </c>
      <c r="G281" s="5">
        <v>-12.0994552852039</v>
      </c>
      <c r="H281" s="5">
        <v>-12.0994552852039</v>
      </c>
      <c r="I281" s="5">
        <v>-12.0994552852039</v>
      </c>
      <c r="J281" s="5">
        <v>-1.59155056649383</v>
      </c>
      <c r="K281" s="5">
        <v>-1.59155056649383</v>
      </c>
      <c r="L281" s="5">
        <v>-1.59155056649383</v>
      </c>
      <c r="M281" s="5">
        <v>-10.50790471871</v>
      </c>
      <c r="N281" s="5">
        <v>-10.50790471871</v>
      </c>
      <c r="O281" s="5">
        <v>-10.50790471871</v>
      </c>
      <c r="P281" s="5">
        <v>0.0</v>
      </c>
      <c r="Q281" s="5">
        <v>0.0</v>
      </c>
      <c r="R281" s="5">
        <v>0.0</v>
      </c>
      <c r="S281" s="5">
        <v>-6.36086618682659</v>
      </c>
    </row>
    <row r="282">
      <c r="A282" s="6">
        <v>40763.0</v>
      </c>
      <c r="B282" s="5">
        <v>5.76377459803141</v>
      </c>
      <c r="C282" s="5">
        <v>-67.8944340248698</v>
      </c>
      <c r="D282" s="5">
        <v>59.0390740557987</v>
      </c>
      <c r="E282" s="5">
        <v>5.76377459803141</v>
      </c>
      <c r="F282" s="5">
        <v>5.76377459803141</v>
      </c>
      <c r="G282" s="5">
        <v>-9.01451534036751</v>
      </c>
      <c r="H282" s="5">
        <v>-9.01451534036751</v>
      </c>
      <c r="I282" s="5">
        <v>-9.01451534036751</v>
      </c>
      <c r="J282" s="5">
        <v>0.090558942122553</v>
      </c>
      <c r="K282" s="5">
        <v>0.090558942122553</v>
      </c>
      <c r="L282" s="5">
        <v>0.090558942122553</v>
      </c>
      <c r="M282" s="5">
        <v>-9.10507428249007</v>
      </c>
      <c r="N282" s="5">
        <v>-9.10507428249007</v>
      </c>
      <c r="O282" s="5">
        <v>-9.10507428249007</v>
      </c>
      <c r="P282" s="5">
        <v>0.0</v>
      </c>
      <c r="Q282" s="5">
        <v>0.0</v>
      </c>
      <c r="R282" s="5">
        <v>0.0</v>
      </c>
      <c r="S282" s="5">
        <v>-3.2507407423361</v>
      </c>
    </row>
    <row r="283">
      <c r="A283" s="6">
        <v>40764.0</v>
      </c>
      <c r="B283" s="5">
        <v>5.77216976458277</v>
      </c>
      <c r="C283" s="5">
        <v>-61.6644727976813</v>
      </c>
      <c r="D283" s="5">
        <v>57.1730541905077</v>
      </c>
      <c r="E283" s="5">
        <v>5.77216976458277</v>
      </c>
      <c r="F283" s="5">
        <v>5.77216976458277</v>
      </c>
      <c r="G283" s="5">
        <v>-8.73935226605171</v>
      </c>
      <c r="H283" s="5">
        <v>-8.73935226605171</v>
      </c>
      <c r="I283" s="5">
        <v>-8.73935226605171</v>
      </c>
      <c r="J283" s="5">
        <v>-0.144118857247586</v>
      </c>
      <c r="K283" s="5">
        <v>-0.144118857247586</v>
      </c>
      <c r="L283" s="5">
        <v>-0.144118857247586</v>
      </c>
      <c r="M283" s="5">
        <v>-8.59523340880412</v>
      </c>
      <c r="N283" s="5">
        <v>-8.59523340880412</v>
      </c>
      <c r="O283" s="5">
        <v>-8.59523340880412</v>
      </c>
      <c r="P283" s="5">
        <v>0.0</v>
      </c>
      <c r="Q283" s="5">
        <v>0.0</v>
      </c>
      <c r="R283" s="5">
        <v>0.0</v>
      </c>
      <c r="S283" s="5">
        <v>-2.96718250146893</v>
      </c>
    </row>
    <row r="284">
      <c r="A284" s="6">
        <v>40765.0</v>
      </c>
      <c r="B284" s="5">
        <v>5.78056493113413</v>
      </c>
      <c r="C284" s="5">
        <v>-63.0109348764014</v>
      </c>
      <c r="D284" s="5">
        <v>60.1320643340754</v>
      </c>
      <c r="E284" s="5">
        <v>5.78056493113413</v>
      </c>
      <c r="F284" s="5">
        <v>5.78056493113413</v>
      </c>
      <c r="G284" s="5">
        <v>-8.07379203681561</v>
      </c>
      <c r="H284" s="5">
        <v>-8.07379203681561</v>
      </c>
      <c r="I284" s="5">
        <v>-8.07379203681561</v>
      </c>
      <c r="J284" s="5">
        <v>0.00703780528169826</v>
      </c>
      <c r="K284" s="5">
        <v>0.00703780528169826</v>
      </c>
      <c r="L284" s="5">
        <v>0.00703780528169826</v>
      </c>
      <c r="M284" s="5">
        <v>-8.08082984209731</v>
      </c>
      <c r="N284" s="5">
        <v>-8.08082984209731</v>
      </c>
      <c r="O284" s="5">
        <v>-8.08082984209731</v>
      </c>
      <c r="P284" s="5">
        <v>0.0</v>
      </c>
      <c r="Q284" s="5">
        <v>0.0</v>
      </c>
      <c r="R284" s="5">
        <v>0.0</v>
      </c>
      <c r="S284" s="5">
        <v>-2.29322710568147</v>
      </c>
    </row>
    <row r="285">
      <c r="A285" s="6">
        <v>40766.0</v>
      </c>
      <c r="B285" s="5">
        <v>5.78896009768549</v>
      </c>
      <c r="C285" s="5">
        <v>-61.2573993185923</v>
      </c>
      <c r="D285" s="5">
        <v>57.2925459461118</v>
      </c>
      <c r="E285" s="5">
        <v>5.78896009768549</v>
      </c>
      <c r="F285" s="5">
        <v>5.78896009768549</v>
      </c>
      <c r="G285" s="5">
        <v>-8.34795234625089</v>
      </c>
      <c r="H285" s="5">
        <v>-8.34795234625089</v>
      </c>
      <c r="I285" s="5">
        <v>-8.34795234625089</v>
      </c>
      <c r="J285" s="5">
        <v>-0.776422525904487</v>
      </c>
      <c r="K285" s="5">
        <v>-0.776422525904487</v>
      </c>
      <c r="L285" s="5">
        <v>-0.776422525904487</v>
      </c>
      <c r="M285" s="5">
        <v>-7.5715298203464</v>
      </c>
      <c r="N285" s="5">
        <v>-7.5715298203464</v>
      </c>
      <c r="O285" s="5">
        <v>-7.5715298203464</v>
      </c>
      <c r="P285" s="5">
        <v>0.0</v>
      </c>
      <c r="Q285" s="5">
        <v>0.0</v>
      </c>
      <c r="R285" s="5">
        <v>0.0</v>
      </c>
      <c r="S285" s="5">
        <v>-2.5589922485654</v>
      </c>
    </row>
    <row r="286">
      <c r="A286" s="6">
        <v>40767.0</v>
      </c>
      <c r="B286" s="5">
        <v>5.79735526423685</v>
      </c>
      <c r="C286" s="5">
        <v>-63.3543174693411</v>
      </c>
      <c r="D286" s="5">
        <v>58.5840466331866</v>
      </c>
      <c r="E286" s="5">
        <v>5.79735526423685</v>
      </c>
      <c r="F286" s="5">
        <v>5.79735526423685</v>
      </c>
      <c r="G286" s="5">
        <v>-8.66798051785263</v>
      </c>
      <c r="H286" s="5">
        <v>-8.66798051785263</v>
      </c>
      <c r="I286" s="5">
        <v>-8.66798051785263</v>
      </c>
      <c r="J286" s="5">
        <v>-1.59155056649534</v>
      </c>
      <c r="K286" s="5">
        <v>-1.59155056649534</v>
      </c>
      <c r="L286" s="5">
        <v>-1.59155056649534</v>
      </c>
      <c r="M286" s="5">
        <v>-7.07642995135729</v>
      </c>
      <c r="N286" s="5">
        <v>-7.07642995135729</v>
      </c>
      <c r="O286" s="5">
        <v>-7.07642995135729</v>
      </c>
      <c r="P286" s="5">
        <v>0.0</v>
      </c>
      <c r="Q286" s="5">
        <v>0.0</v>
      </c>
      <c r="R286" s="5">
        <v>0.0</v>
      </c>
      <c r="S286" s="5">
        <v>-2.87062525361578</v>
      </c>
    </row>
    <row r="287">
      <c r="A287" s="6">
        <v>40770.0</v>
      </c>
      <c r="B287" s="5">
        <v>5.82254077337515</v>
      </c>
      <c r="C287" s="5">
        <v>-60.9961672821106</v>
      </c>
      <c r="D287" s="5">
        <v>59.5759094181348</v>
      </c>
      <c r="E287" s="5">
        <v>5.82254077337515</v>
      </c>
      <c r="F287" s="5">
        <v>5.82254077337515</v>
      </c>
      <c r="G287" s="5">
        <v>-5.66309379280135</v>
      </c>
      <c r="H287" s="5">
        <v>-5.66309379280135</v>
      </c>
      <c r="I287" s="5">
        <v>-5.66309379280135</v>
      </c>
      <c r="J287" s="5">
        <v>0.0905589421211957</v>
      </c>
      <c r="K287" s="5">
        <v>0.0905589421211957</v>
      </c>
      <c r="L287" s="5">
        <v>0.0905589421211957</v>
      </c>
      <c r="M287" s="5">
        <v>-5.75365273492255</v>
      </c>
      <c r="N287" s="5">
        <v>-5.75365273492255</v>
      </c>
      <c r="O287" s="5">
        <v>-5.75365273492255</v>
      </c>
      <c r="P287" s="5">
        <v>0.0</v>
      </c>
      <c r="Q287" s="5">
        <v>0.0</v>
      </c>
      <c r="R287" s="5">
        <v>0.0</v>
      </c>
      <c r="S287" s="5">
        <v>0.159446980573796</v>
      </c>
    </row>
    <row r="288">
      <c r="A288" s="6">
        <v>40771.0</v>
      </c>
      <c r="B288" s="5">
        <v>5.83093594308792</v>
      </c>
      <c r="C288" s="5">
        <v>-64.0158631354495</v>
      </c>
      <c r="D288" s="5">
        <v>63.6487311423544</v>
      </c>
      <c r="E288" s="5">
        <v>5.83093594308792</v>
      </c>
      <c r="F288" s="5">
        <v>5.83093594308792</v>
      </c>
      <c r="G288" s="5">
        <v>-5.53086282687238</v>
      </c>
      <c r="H288" s="5">
        <v>-5.53086282687238</v>
      </c>
      <c r="I288" s="5">
        <v>-5.53086282687238</v>
      </c>
      <c r="J288" s="5">
        <v>-0.144118857243974</v>
      </c>
      <c r="K288" s="5">
        <v>-0.144118857243974</v>
      </c>
      <c r="L288" s="5">
        <v>-0.144118857243974</v>
      </c>
      <c r="M288" s="5">
        <v>-5.38674396962841</v>
      </c>
      <c r="N288" s="5">
        <v>-5.38674396962841</v>
      </c>
      <c r="O288" s="5">
        <v>-5.38674396962841</v>
      </c>
      <c r="P288" s="5">
        <v>0.0</v>
      </c>
      <c r="Q288" s="5">
        <v>0.0</v>
      </c>
      <c r="R288" s="5">
        <v>0.0</v>
      </c>
      <c r="S288" s="5">
        <v>0.300073116215536</v>
      </c>
    </row>
    <row r="289">
      <c r="A289" s="6">
        <v>40772.0</v>
      </c>
      <c r="B289" s="5">
        <v>5.83933111280068</v>
      </c>
      <c r="C289" s="5">
        <v>-63.4098631372557</v>
      </c>
      <c r="D289" s="5">
        <v>64.7623832079342</v>
      </c>
      <c r="E289" s="5">
        <v>5.83933111280068</v>
      </c>
      <c r="F289" s="5">
        <v>5.83933111280068</v>
      </c>
      <c r="G289" s="5">
        <v>-5.05626303593445</v>
      </c>
      <c r="H289" s="5">
        <v>-5.05626303593445</v>
      </c>
      <c r="I289" s="5">
        <v>-5.05626303593445</v>
      </c>
      <c r="J289" s="5">
        <v>0.00703780528084571</v>
      </c>
      <c r="K289" s="5">
        <v>0.00703780528084571</v>
      </c>
      <c r="L289" s="5">
        <v>0.00703780528084571</v>
      </c>
      <c r="M289" s="5">
        <v>-5.06330084121529</v>
      </c>
      <c r="N289" s="5">
        <v>-5.06330084121529</v>
      </c>
      <c r="O289" s="5">
        <v>-5.06330084121529</v>
      </c>
      <c r="P289" s="5">
        <v>0.0</v>
      </c>
      <c r="Q289" s="5">
        <v>0.0</v>
      </c>
      <c r="R289" s="5">
        <v>0.0</v>
      </c>
      <c r="S289" s="5">
        <v>0.783068076866237</v>
      </c>
    </row>
    <row r="290">
      <c r="A290" s="6">
        <v>40773.0</v>
      </c>
      <c r="B290" s="5">
        <v>5.84772628251345</v>
      </c>
      <c r="C290" s="5">
        <v>-63.4862763901892</v>
      </c>
      <c r="D290" s="5">
        <v>61.0626418979605</v>
      </c>
      <c r="E290" s="5">
        <v>5.84772628251345</v>
      </c>
      <c r="F290" s="5">
        <v>5.84772628251345</v>
      </c>
      <c r="G290" s="5">
        <v>-5.56137235717994</v>
      </c>
      <c r="H290" s="5">
        <v>-5.56137235717994</v>
      </c>
      <c r="I290" s="5">
        <v>-5.56137235717994</v>
      </c>
      <c r="J290" s="5">
        <v>-0.776422525903734</v>
      </c>
      <c r="K290" s="5">
        <v>-0.776422525903734</v>
      </c>
      <c r="L290" s="5">
        <v>-0.776422525903734</v>
      </c>
      <c r="M290" s="5">
        <v>-4.7849498312762</v>
      </c>
      <c r="N290" s="5">
        <v>-4.7849498312762</v>
      </c>
      <c r="O290" s="5">
        <v>-4.7849498312762</v>
      </c>
      <c r="P290" s="5">
        <v>0.0</v>
      </c>
      <c r="Q290" s="5">
        <v>0.0</v>
      </c>
      <c r="R290" s="5">
        <v>0.0</v>
      </c>
      <c r="S290" s="5">
        <v>0.286353925333515</v>
      </c>
    </row>
    <row r="291">
      <c r="A291" s="6">
        <v>40774.0</v>
      </c>
      <c r="B291" s="5">
        <v>5.85612145222622</v>
      </c>
      <c r="C291" s="5">
        <v>-62.2623519673022</v>
      </c>
      <c r="D291" s="5">
        <v>64.5017394684664</v>
      </c>
      <c r="E291" s="5">
        <v>5.85612145222622</v>
      </c>
      <c r="F291" s="5">
        <v>5.85612145222622</v>
      </c>
      <c r="G291" s="5">
        <v>-6.14334854565257</v>
      </c>
      <c r="H291" s="5">
        <v>-6.14334854565257</v>
      </c>
      <c r="I291" s="5">
        <v>-6.14334854565257</v>
      </c>
      <c r="J291" s="5">
        <v>-1.59155056649441</v>
      </c>
      <c r="K291" s="5">
        <v>-1.59155056649441</v>
      </c>
      <c r="L291" s="5">
        <v>-1.59155056649441</v>
      </c>
      <c r="M291" s="5">
        <v>-4.55179797915815</v>
      </c>
      <c r="N291" s="5">
        <v>-4.55179797915815</v>
      </c>
      <c r="O291" s="5">
        <v>-4.55179797915815</v>
      </c>
      <c r="P291" s="5">
        <v>0.0</v>
      </c>
      <c r="Q291" s="5">
        <v>0.0</v>
      </c>
      <c r="R291" s="5">
        <v>0.0</v>
      </c>
      <c r="S291" s="5">
        <v>-0.287227093426349</v>
      </c>
    </row>
    <row r="292">
      <c r="A292" s="6">
        <v>40777.0</v>
      </c>
      <c r="B292" s="5">
        <v>5.88130696136452</v>
      </c>
      <c r="C292" s="5">
        <v>-60.2222239542367</v>
      </c>
      <c r="D292" s="5">
        <v>65.818343707706</v>
      </c>
      <c r="E292" s="5">
        <v>5.88130696136452</v>
      </c>
      <c r="F292" s="5">
        <v>5.88130696136452</v>
      </c>
      <c r="G292" s="5">
        <v>-4.01265984289735</v>
      </c>
      <c r="H292" s="5">
        <v>-4.01265984289735</v>
      </c>
      <c r="I292" s="5">
        <v>-4.01265984289735</v>
      </c>
      <c r="J292" s="5">
        <v>0.0905589421197582</v>
      </c>
      <c r="K292" s="5">
        <v>0.0905589421197582</v>
      </c>
      <c r="L292" s="5">
        <v>0.0905589421197582</v>
      </c>
      <c r="M292" s="5">
        <v>-4.10321878501711</v>
      </c>
      <c r="N292" s="5">
        <v>-4.10321878501711</v>
      </c>
      <c r="O292" s="5">
        <v>-4.10321878501711</v>
      </c>
      <c r="P292" s="5">
        <v>0.0</v>
      </c>
      <c r="Q292" s="5">
        <v>0.0</v>
      </c>
      <c r="R292" s="5">
        <v>0.0</v>
      </c>
      <c r="S292" s="5">
        <v>1.86864711846717</v>
      </c>
    </row>
    <row r="293">
      <c r="A293" s="6">
        <v>40778.0</v>
      </c>
      <c r="B293" s="5">
        <v>5.88970213107729</v>
      </c>
      <c r="C293" s="5">
        <v>-60.6934745029915</v>
      </c>
      <c r="D293" s="5">
        <v>61.5211191097853</v>
      </c>
      <c r="E293" s="5">
        <v>5.88970213107729</v>
      </c>
      <c r="F293" s="5">
        <v>5.88970213107729</v>
      </c>
      <c r="G293" s="5">
        <v>-4.16842366134844</v>
      </c>
      <c r="H293" s="5">
        <v>-4.16842366134844</v>
      </c>
      <c r="I293" s="5">
        <v>-4.16842366134844</v>
      </c>
      <c r="J293" s="5">
        <v>-0.144118857246824</v>
      </c>
      <c r="K293" s="5">
        <v>-0.144118857246824</v>
      </c>
      <c r="L293" s="5">
        <v>-0.144118857246824</v>
      </c>
      <c r="M293" s="5">
        <v>-4.02430480410162</v>
      </c>
      <c r="N293" s="5">
        <v>-4.02430480410162</v>
      </c>
      <c r="O293" s="5">
        <v>-4.02430480410162</v>
      </c>
      <c r="P293" s="5">
        <v>0.0</v>
      </c>
      <c r="Q293" s="5">
        <v>0.0</v>
      </c>
      <c r="R293" s="5">
        <v>0.0</v>
      </c>
      <c r="S293" s="5">
        <v>1.72127846972884</v>
      </c>
    </row>
    <row r="294">
      <c r="A294" s="6">
        <v>40779.0</v>
      </c>
      <c r="B294" s="5">
        <v>5.89809730079006</v>
      </c>
      <c r="C294" s="5">
        <v>-58.2305021728477</v>
      </c>
      <c r="D294" s="5">
        <v>64.4532498846549</v>
      </c>
      <c r="E294" s="5">
        <v>5.89809730079006</v>
      </c>
      <c r="F294" s="5">
        <v>5.89809730079006</v>
      </c>
      <c r="G294" s="5">
        <v>-3.96466088760769</v>
      </c>
      <c r="H294" s="5">
        <v>-3.96466088760769</v>
      </c>
      <c r="I294" s="5">
        <v>-3.96466088760769</v>
      </c>
      <c r="J294" s="5">
        <v>0.00703780528314825</v>
      </c>
      <c r="K294" s="5">
        <v>0.00703780528314825</v>
      </c>
      <c r="L294" s="5">
        <v>0.00703780528314825</v>
      </c>
      <c r="M294" s="5">
        <v>-3.97169869289084</v>
      </c>
      <c r="N294" s="5">
        <v>-3.97169869289084</v>
      </c>
      <c r="O294" s="5">
        <v>-3.97169869289084</v>
      </c>
      <c r="P294" s="5">
        <v>0.0</v>
      </c>
      <c r="Q294" s="5">
        <v>0.0</v>
      </c>
      <c r="R294" s="5">
        <v>0.0</v>
      </c>
      <c r="S294" s="5">
        <v>1.93343641318236</v>
      </c>
    </row>
    <row r="295">
      <c r="A295" s="6">
        <v>40780.0</v>
      </c>
      <c r="B295" s="5">
        <v>5.90649247050282</v>
      </c>
      <c r="C295" s="5">
        <v>-58.6676575422781</v>
      </c>
      <c r="D295" s="5">
        <v>67.0812680731793</v>
      </c>
      <c r="E295" s="5">
        <v>5.90649247050282</v>
      </c>
      <c r="F295" s="5">
        <v>5.90649247050282</v>
      </c>
      <c r="G295" s="5">
        <v>-4.71539396787124</v>
      </c>
      <c r="H295" s="5">
        <v>-4.71539396787124</v>
      </c>
      <c r="I295" s="5">
        <v>-4.71539396787124</v>
      </c>
      <c r="J295" s="5">
        <v>-0.77642252590308</v>
      </c>
      <c r="K295" s="5">
        <v>-0.77642252590308</v>
      </c>
      <c r="L295" s="5">
        <v>-0.77642252590308</v>
      </c>
      <c r="M295" s="5">
        <v>-3.93897144196816</v>
      </c>
      <c r="N295" s="5">
        <v>-3.93897144196816</v>
      </c>
      <c r="O295" s="5">
        <v>-3.93897144196816</v>
      </c>
      <c r="P295" s="5">
        <v>0.0</v>
      </c>
      <c r="Q295" s="5">
        <v>0.0</v>
      </c>
      <c r="R295" s="5">
        <v>0.0</v>
      </c>
      <c r="S295" s="5">
        <v>1.19109850263158</v>
      </c>
    </row>
    <row r="296">
      <c r="A296" s="6">
        <v>40781.0</v>
      </c>
      <c r="B296" s="5">
        <v>5.91488764021559</v>
      </c>
      <c r="C296" s="5">
        <v>-55.9174457497877</v>
      </c>
      <c r="D296" s="5">
        <v>67.9904385218314</v>
      </c>
      <c r="E296" s="5">
        <v>5.91488764021559</v>
      </c>
      <c r="F296" s="5">
        <v>5.91488764021559</v>
      </c>
      <c r="G296" s="5">
        <v>-5.51090910203709</v>
      </c>
      <c r="H296" s="5">
        <v>-5.51090910203709</v>
      </c>
      <c r="I296" s="5">
        <v>-5.51090910203709</v>
      </c>
      <c r="J296" s="5">
        <v>-1.59155056649349</v>
      </c>
      <c r="K296" s="5">
        <v>-1.59155056649349</v>
      </c>
      <c r="L296" s="5">
        <v>-1.59155056649349</v>
      </c>
      <c r="M296" s="5">
        <v>-3.9193585355436</v>
      </c>
      <c r="N296" s="5">
        <v>-3.9193585355436</v>
      </c>
      <c r="O296" s="5">
        <v>-3.9193585355436</v>
      </c>
      <c r="P296" s="5">
        <v>0.0</v>
      </c>
      <c r="Q296" s="5">
        <v>0.0</v>
      </c>
      <c r="R296" s="5">
        <v>0.0</v>
      </c>
      <c r="S296" s="5">
        <v>0.403978538178497</v>
      </c>
    </row>
    <row r="297">
      <c r="A297" s="6">
        <v>40784.0</v>
      </c>
      <c r="B297" s="5">
        <v>5.94007314935389</v>
      </c>
      <c r="C297" s="5">
        <v>-55.9376571508482</v>
      </c>
      <c r="D297" s="5">
        <v>68.6274020572582</v>
      </c>
      <c r="E297" s="5">
        <v>5.94007314935389</v>
      </c>
      <c r="F297" s="5">
        <v>5.94007314935389</v>
      </c>
      <c r="G297" s="5">
        <v>-3.7815486985035</v>
      </c>
      <c r="H297" s="5">
        <v>-3.7815486985035</v>
      </c>
      <c r="I297" s="5">
        <v>-3.7815486985035</v>
      </c>
      <c r="J297" s="5">
        <v>0.0905589421231686</v>
      </c>
      <c r="K297" s="5">
        <v>0.0905589421231686</v>
      </c>
      <c r="L297" s="5">
        <v>0.0905589421231686</v>
      </c>
      <c r="M297" s="5">
        <v>-3.87210764062667</v>
      </c>
      <c r="N297" s="5">
        <v>-3.87210764062667</v>
      </c>
      <c r="O297" s="5">
        <v>-3.87210764062667</v>
      </c>
      <c r="P297" s="5">
        <v>0.0</v>
      </c>
      <c r="Q297" s="5">
        <v>0.0</v>
      </c>
      <c r="R297" s="5">
        <v>0.0</v>
      </c>
      <c r="S297" s="5">
        <v>2.15852445085039</v>
      </c>
    </row>
    <row r="298">
      <c r="A298" s="6">
        <v>40785.0</v>
      </c>
      <c r="B298" s="5">
        <v>5.94846831906666</v>
      </c>
      <c r="C298" s="5">
        <v>-60.7780985429479</v>
      </c>
      <c r="D298" s="5">
        <v>64.1711940492296</v>
      </c>
      <c r="E298" s="5">
        <v>5.94846831906666</v>
      </c>
      <c r="F298" s="5">
        <v>5.94846831906666</v>
      </c>
      <c r="G298" s="5">
        <v>-3.98396952843512</v>
      </c>
      <c r="H298" s="5">
        <v>-3.98396952843512</v>
      </c>
      <c r="I298" s="5">
        <v>-3.98396952843512</v>
      </c>
      <c r="J298" s="5">
        <v>-0.144118857245736</v>
      </c>
      <c r="K298" s="5">
        <v>-0.144118857245736</v>
      </c>
      <c r="L298" s="5">
        <v>-0.144118857245736</v>
      </c>
      <c r="M298" s="5">
        <v>-3.83985067118938</v>
      </c>
      <c r="N298" s="5">
        <v>-3.83985067118938</v>
      </c>
      <c r="O298" s="5">
        <v>-3.83985067118938</v>
      </c>
      <c r="P298" s="5">
        <v>0.0</v>
      </c>
      <c r="Q298" s="5">
        <v>0.0</v>
      </c>
      <c r="R298" s="5">
        <v>0.0</v>
      </c>
      <c r="S298" s="5">
        <v>1.96449879063154</v>
      </c>
    </row>
    <row r="299">
      <c r="A299" s="6">
        <v>40786.0</v>
      </c>
      <c r="B299" s="5">
        <v>5.95686348877943</v>
      </c>
      <c r="C299" s="5">
        <v>-61.3078053897105</v>
      </c>
      <c r="D299" s="5">
        <v>63.7656764727058</v>
      </c>
      <c r="E299" s="5">
        <v>5.95686348877943</v>
      </c>
      <c r="F299" s="5">
        <v>5.95686348877943</v>
      </c>
      <c r="G299" s="5">
        <v>-3.78394931237353</v>
      </c>
      <c r="H299" s="5">
        <v>-3.78394931237353</v>
      </c>
      <c r="I299" s="5">
        <v>-3.78394931237353</v>
      </c>
      <c r="J299" s="5">
        <v>0.00703780528445928</v>
      </c>
      <c r="K299" s="5">
        <v>0.00703780528445928</v>
      </c>
      <c r="L299" s="5">
        <v>0.00703780528445928</v>
      </c>
      <c r="M299" s="5">
        <v>-3.79098711765799</v>
      </c>
      <c r="N299" s="5">
        <v>-3.79098711765799</v>
      </c>
      <c r="O299" s="5">
        <v>-3.79098711765799</v>
      </c>
      <c r="P299" s="5">
        <v>0.0</v>
      </c>
      <c r="Q299" s="5">
        <v>0.0</v>
      </c>
      <c r="R299" s="5">
        <v>0.0</v>
      </c>
      <c r="S299" s="5">
        <v>2.17291417640589</v>
      </c>
    </row>
    <row r="300">
      <c r="A300" s="6">
        <v>40787.0</v>
      </c>
      <c r="B300" s="5">
        <v>5.9652586584922</v>
      </c>
      <c r="C300" s="5">
        <v>-62.4248673683242</v>
      </c>
      <c r="D300" s="5">
        <v>64.1844552119411</v>
      </c>
      <c r="E300" s="5">
        <v>5.9652586584922</v>
      </c>
      <c r="F300" s="5">
        <v>5.9652586584922</v>
      </c>
      <c r="G300" s="5">
        <v>-4.49845293463347</v>
      </c>
      <c r="H300" s="5">
        <v>-4.49845293463347</v>
      </c>
      <c r="I300" s="5">
        <v>-4.49845293463347</v>
      </c>
      <c r="J300" s="5">
        <v>-0.776422525902328</v>
      </c>
      <c r="K300" s="5">
        <v>-0.776422525902328</v>
      </c>
      <c r="L300" s="5">
        <v>-0.776422525902328</v>
      </c>
      <c r="M300" s="5">
        <v>-3.72203040873114</v>
      </c>
      <c r="N300" s="5">
        <v>-3.72203040873114</v>
      </c>
      <c r="O300" s="5">
        <v>-3.72203040873114</v>
      </c>
      <c r="P300" s="5">
        <v>0.0</v>
      </c>
      <c r="Q300" s="5">
        <v>0.0</v>
      </c>
      <c r="R300" s="5">
        <v>0.0</v>
      </c>
      <c r="S300" s="5">
        <v>1.46680572385872</v>
      </c>
    </row>
    <row r="301">
      <c r="A301" s="6">
        <v>40788.0</v>
      </c>
      <c r="B301" s="5">
        <v>5.97365382820496</v>
      </c>
      <c r="C301" s="5">
        <v>-67.0505444086024</v>
      </c>
      <c r="D301" s="5">
        <v>60.2527336690139</v>
      </c>
      <c r="E301" s="5">
        <v>5.97365382820496</v>
      </c>
      <c r="F301" s="5">
        <v>5.97365382820496</v>
      </c>
      <c r="G301" s="5">
        <v>-5.22228028097979</v>
      </c>
      <c r="H301" s="5">
        <v>-5.22228028097979</v>
      </c>
      <c r="I301" s="5">
        <v>-5.22228028097979</v>
      </c>
      <c r="J301" s="5">
        <v>-1.59155056649256</v>
      </c>
      <c r="K301" s="5">
        <v>-1.59155056649256</v>
      </c>
      <c r="L301" s="5">
        <v>-1.59155056649256</v>
      </c>
      <c r="M301" s="5">
        <v>-3.63072971448722</v>
      </c>
      <c r="N301" s="5">
        <v>-3.63072971448722</v>
      </c>
      <c r="O301" s="5">
        <v>-3.63072971448722</v>
      </c>
      <c r="P301" s="5">
        <v>0.0</v>
      </c>
      <c r="Q301" s="5">
        <v>0.0</v>
      </c>
      <c r="R301" s="5">
        <v>0.0</v>
      </c>
      <c r="S301" s="5">
        <v>0.751373547225171</v>
      </c>
    </row>
    <row r="302">
      <c r="A302" s="6">
        <v>40792.0</v>
      </c>
      <c r="B302" s="5">
        <v>6.00723450705603</v>
      </c>
      <c r="C302" s="5">
        <v>-59.6122169034628</v>
      </c>
      <c r="D302" s="5">
        <v>64.7471000819396</v>
      </c>
      <c r="E302" s="5">
        <v>6.00723450705603</v>
      </c>
      <c r="F302" s="5">
        <v>6.00723450705603</v>
      </c>
      <c r="G302" s="5">
        <v>-3.18868921397448</v>
      </c>
      <c r="H302" s="5">
        <v>-3.18868921397448</v>
      </c>
      <c r="I302" s="5">
        <v>-3.18868921397448</v>
      </c>
      <c r="J302" s="5">
        <v>-0.144118857244648</v>
      </c>
      <c r="K302" s="5">
        <v>-0.144118857244648</v>
      </c>
      <c r="L302" s="5">
        <v>-0.144118857244648</v>
      </c>
      <c r="M302" s="5">
        <v>-3.04457035672983</v>
      </c>
      <c r="N302" s="5">
        <v>-3.04457035672983</v>
      </c>
      <c r="O302" s="5">
        <v>-3.04457035672983</v>
      </c>
      <c r="P302" s="5">
        <v>0.0</v>
      </c>
      <c r="Q302" s="5">
        <v>0.0</v>
      </c>
      <c r="R302" s="5">
        <v>0.0</v>
      </c>
      <c r="S302" s="5">
        <v>2.81854529308155</v>
      </c>
    </row>
    <row r="303">
      <c r="A303" s="6">
        <v>40793.0</v>
      </c>
      <c r="B303" s="5">
        <v>6.0156296767688</v>
      </c>
      <c r="C303" s="5">
        <v>-58.8726094960573</v>
      </c>
      <c r="D303" s="5">
        <v>67.2405866934722</v>
      </c>
      <c r="E303" s="5">
        <v>6.0156296767688</v>
      </c>
      <c r="F303" s="5">
        <v>6.0156296767688</v>
      </c>
      <c r="G303" s="5">
        <v>-2.84828750230362</v>
      </c>
      <c r="H303" s="5">
        <v>-2.84828750230362</v>
      </c>
      <c r="I303" s="5">
        <v>-2.84828750230362</v>
      </c>
      <c r="J303" s="5">
        <v>0.0070378052814431</v>
      </c>
      <c r="K303" s="5">
        <v>0.0070378052814431</v>
      </c>
      <c r="L303" s="5">
        <v>0.0070378052814431</v>
      </c>
      <c r="M303" s="5">
        <v>-2.85532530758506</v>
      </c>
      <c r="N303" s="5">
        <v>-2.85532530758506</v>
      </c>
      <c r="O303" s="5">
        <v>-2.85532530758506</v>
      </c>
      <c r="P303" s="5">
        <v>0.0</v>
      </c>
      <c r="Q303" s="5">
        <v>0.0</v>
      </c>
      <c r="R303" s="5">
        <v>0.0</v>
      </c>
      <c r="S303" s="5">
        <v>3.16734217446518</v>
      </c>
    </row>
    <row r="304">
      <c r="A304" s="6">
        <v>40794.0</v>
      </c>
      <c r="B304" s="5">
        <v>6.02402484648157</v>
      </c>
      <c r="C304" s="5">
        <v>-63.1621528534123</v>
      </c>
      <c r="D304" s="5">
        <v>65.7394543091133</v>
      </c>
      <c r="E304" s="5">
        <v>6.02402484648157</v>
      </c>
      <c r="F304" s="5">
        <v>6.02402484648157</v>
      </c>
      <c r="G304" s="5">
        <v>-3.43480084108689</v>
      </c>
      <c r="H304" s="5">
        <v>-3.43480084108689</v>
      </c>
      <c r="I304" s="5">
        <v>-3.43480084108689</v>
      </c>
      <c r="J304" s="5">
        <v>-0.776422525898824</v>
      </c>
      <c r="K304" s="5">
        <v>-0.776422525898824</v>
      </c>
      <c r="L304" s="5">
        <v>-0.776422525898824</v>
      </c>
      <c r="M304" s="5">
        <v>-2.65837831518806</v>
      </c>
      <c r="N304" s="5">
        <v>-2.65837831518806</v>
      </c>
      <c r="O304" s="5">
        <v>-2.65837831518806</v>
      </c>
      <c r="P304" s="5">
        <v>0.0</v>
      </c>
      <c r="Q304" s="5">
        <v>0.0</v>
      </c>
      <c r="R304" s="5">
        <v>0.0</v>
      </c>
      <c r="S304" s="5">
        <v>2.58922400539467</v>
      </c>
    </row>
    <row r="305">
      <c r="A305" s="6">
        <v>40795.0</v>
      </c>
      <c r="B305" s="5">
        <v>6.03242001619433</v>
      </c>
      <c r="C305" s="5">
        <v>-63.7397281193356</v>
      </c>
      <c r="D305" s="5">
        <v>59.6875271032286</v>
      </c>
      <c r="E305" s="5">
        <v>6.03242001619433</v>
      </c>
      <c r="F305" s="5">
        <v>6.03242001619433</v>
      </c>
      <c r="G305" s="5">
        <v>-4.05175784315389</v>
      </c>
      <c r="H305" s="5">
        <v>-4.05175784315389</v>
      </c>
      <c r="I305" s="5">
        <v>-4.05175784315389</v>
      </c>
      <c r="J305" s="5">
        <v>-1.59155056649407</v>
      </c>
      <c r="K305" s="5">
        <v>-1.59155056649407</v>
      </c>
      <c r="L305" s="5">
        <v>-1.59155056649407</v>
      </c>
      <c r="M305" s="5">
        <v>-2.46020727665981</v>
      </c>
      <c r="N305" s="5">
        <v>-2.46020727665981</v>
      </c>
      <c r="O305" s="5">
        <v>-2.46020727665981</v>
      </c>
      <c r="P305" s="5">
        <v>0.0</v>
      </c>
      <c r="Q305" s="5">
        <v>0.0</v>
      </c>
      <c r="R305" s="5">
        <v>0.0</v>
      </c>
      <c r="S305" s="5">
        <v>1.98066217304044</v>
      </c>
    </row>
    <row r="306">
      <c r="A306" s="6">
        <v>40798.0</v>
      </c>
      <c r="B306" s="5">
        <v>6.05760552533264</v>
      </c>
      <c r="C306" s="5">
        <v>-58.6126789092631</v>
      </c>
      <c r="D306" s="5">
        <v>69.5052526381255</v>
      </c>
      <c r="E306" s="5">
        <v>6.05760552533264</v>
      </c>
      <c r="F306" s="5">
        <v>6.05760552533264</v>
      </c>
      <c r="G306" s="5">
        <v>-1.84148770459733</v>
      </c>
      <c r="H306" s="5">
        <v>-1.84148770459733</v>
      </c>
      <c r="I306" s="5">
        <v>-1.84148770459733</v>
      </c>
      <c r="J306" s="5">
        <v>0.0905589421226777</v>
      </c>
      <c r="K306" s="5">
        <v>0.0905589421226777</v>
      </c>
      <c r="L306" s="5">
        <v>0.0905589421226777</v>
      </c>
      <c r="M306" s="5">
        <v>-1.93204664672001</v>
      </c>
      <c r="N306" s="5">
        <v>-1.93204664672001</v>
      </c>
      <c r="O306" s="5">
        <v>-1.93204664672001</v>
      </c>
      <c r="P306" s="5">
        <v>0.0</v>
      </c>
      <c r="Q306" s="5">
        <v>0.0</v>
      </c>
      <c r="R306" s="5">
        <v>0.0</v>
      </c>
      <c r="S306" s="5">
        <v>4.2161178207353</v>
      </c>
    </row>
    <row r="307">
      <c r="A307" s="6">
        <v>40799.0</v>
      </c>
      <c r="B307" s="5">
        <v>6.0660006950454</v>
      </c>
      <c r="C307" s="5">
        <v>-58.574264133012</v>
      </c>
      <c r="D307" s="5">
        <v>62.7033704964229</v>
      </c>
      <c r="E307" s="5">
        <v>6.0660006950454</v>
      </c>
      <c r="F307" s="5">
        <v>6.0660006950454</v>
      </c>
      <c r="G307" s="5">
        <v>-1.94790597266058</v>
      </c>
      <c r="H307" s="5">
        <v>-1.94790597266058</v>
      </c>
      <c r="I307" s="5">
        <v>-1.94790597266058</v>
      </c>
      <c r="J307" s="5">
        <v>-0.14411885724356</v>
      </c>
      <c r="K307" s="5">
        <v>-0.14411885724356</v>
      </c>
      <c r="L307" s="5">
        <v>-0.14411885724356</v>
      </c>
      <c r="M307" s="5">
        <v>-1.80378711541702</v>
      </c>
      <c r="N307" s="5">
        <v>-1.80378711541702</v>
      </c>
      <c r="O307" s="5">
        <v>-1.80378711541702</v>
      </c>
      <c r="P307" s="5">
        <v>0.0</v>
      </c>
      <c r="Q307" s="5">
        <v>0.0</v>
      </c>
      <c r="R307" s="5">
        <v>0.0</v>
      </c>
      <c r="S307" s="5">
        <v>4.11809472238482</v>
      </c>
    </row>
    <row r="308">
      <c r="A308" s="6">
        <v>40800.0</v>
      </c>
      <c r="B308" s="5">
        <v>6.07439586475817</v>
      </c>
      <c r="C308" s="5">
        <v>-56.2939151622208</v>
      </c>
      <c r="D308" s="5">
        <v>69.7672575426082</v>
      </c>
      <c r="E308" s="5">
        <v>6.07439586475817</v>
      </c>
      <c r="F308" s="5">
        <v>6.07439586475817</v>
      </c>
      <c r="G308" s="5">
        <v>-1.7047800490182</v>
      </c>
      <c r="H308" s="5">
        <v>-1.7047800490182</v>
      </c>
      <c r="I308" s="5">
        <v>-1.7047800490182</v>
      </c>
      <c r="J308" s="5">
        <v>0.00703780528374554</v>
      </c>
      <c r="K308" s="5">
        <v>0.00703780528374554</v>
      </c>
      <c r="L308" s="5">
        <v>0.00703780528374554</v>
      </c>
      <c r="M308" s="5">
        <v>-1.71181785430195</v>
      </c>
      <c r="N308" s="5">
        <v>-1.71181785430195</v>
      </c>
      <c r="O308" s="5">
        <v>-1.71181785430195</v>
      </c>
      <c r="P308" s="5">
        <v>0.0</v>
      </c>
      <c r="Q308" s="5">
        <v>0.0</v>
      </c>
      <c r="R308" s="5">
        <v>0.0</v>
      </c>
      <c r="S308" s="5">
        <v>4.36961581573997</v>
      </c>
    </row>
    <row r="309">
      <c r="A309" s="6">
        <v>40801.0</v>
      </c>
      <c r="B309" s="5">
        <v>6.08279103447094</v>
      </c>
      <c r="C309" s="5">
        <v>-56.7617619244848</v>
      </c>
      <c r="D309" s="5">
        <v>72.7584852912802</v>
      </c>
      <c r="E309" s="5">
        <v>6.08279103447094</v>
      </c>
      <c r="F309" s="5">
        <v>6.08279103447094</v>
      </c>
      <c r="G309" s="5">
        <v>-2.43912075562342</v>
      </c>
      <c r="H309" s="5">
        <v>-2.43912075562342</v>
      </c>
      <c r="I309" s="5">
        <v>-2.43912075562342</v>
      </c>
      <c r="J309" s="5">
        <v>-0.776422525900922</v>
      </c>
      <c r="K309" s="5">
        <v>-0.776422525900922</v>
      </c>
      <c r="L309" s="5">
        <v>-0.776422525900922</v>
      </c>
      <c r="M309" s="5">
        <v>-1.6626982297225</v>
      </c>
      <c r="N309" s="5">
        <v>-1.6626982297225</v>
      </c>
      <c r="O309" s="5">
        <v>-1.6626982297225</v>
      </c>
      <c r="P309" s="5">
        <v>0.0</v>
      </c>
      <c r="Q309" s="5">
        <v>0.0</v>
      </c>
      <c r="R309" s="5">
        <v>0.0</v>
      </c>
      <c r="S309" s="5">
        <v>3.64367027884751</v>
      </c>
    </row>
    <row r="310">
      <c r="A310" s="6">
        <v>40802.0</v>
      </c>
      <c r="B310" s="5">
        <v>6.09118620418371</v>
      </c>
      <c r="C310" s="5">
        <v>-58.6206928234176</v>
      </c>
      <c r="D310" s="5">
        <v>65.3571281531885</v>
      </c>
      <c r="E310" s="5">
        <v>6.09118620418371</v>
      </c>
      <c r="F310" s="5">
        <v>6.09118620418371</v>
      </c>
      <c r="G310" s="5">
        <v>-3.25356348171506</v>
      </c>
      <c r="H310" s="5">
        <v>-3.25356348171506</v>
      </c>
      <c r="I310" s="5">
        <v>-3.25356348171506</v>
      </c>
      <c r="J310" s="5">
        <v>-1.59155056649314</v>
      </c>
      <c r="K310" s="5">
        <v>-1.59155056649314</v>
      </c>
      <c r="L310" s="5">
        <v>-1.59155056649314</v>
      </c>
      <c r="M310" s="5">
        <v>-1.66201291522191</v>
      </c>
      <c r="N310" s="5">
        <v>-1.66201291522191</v>
      </c>
      <c r="O310" s="5">
        <v>-1.66201291522191</v>
      </c>
      <c r="P310" s="5">
        <v>0.0</v>
      </c>
      <c r="Q310" s="5">
        <v>0.0</v>
      </c>
      <c r="R310" s="5">
        <v>0.0</v>
      </c>
      <c r="S310" s="5">
        <v>2.83762272246864</v>
      </c>
    </row>
    <row r="311">
      <c r="A311" s="6">
        <v>40805.0</v>
      </c>
      <c r="B311" s="5">
        <v>6.11637171332201</v>
      </c>
      <c r="C311" s="5">
        <v>-52.7557636221747</v>
      </c>
      <c r="D311" s="5">
        <v>71.9556276333528</v>
      </c>
      <c r="E311" s="5">
        <v>6.11637171332201</v>
      </c>
      <c r="F311" s="5">
        <v>6.11637171332201</v>
      </c>
      <c r="G311" s="5">
        <v>-1.89617365567437</v>
      </c>
      <c r="H311" s="5">
        <v>-1.89617365567437</v>
      </c>
      <c r="I311" s="5">
        <v>-1.89617365567437</v>
      </c>
      <c r="J311" s="5">
        <v>0.0905589421213202</v>
      </c>
      <c r="K311" s="5">
        <v>0.0905589421213202</v>
      </c>
      <c r="L311" s="5">
        <v>0.0905589421213202</v>
      </c>
      <c r="M311" s="5">
        <v>-1.98673259779569</v>
      </c>
      <c r="N311" s="5">
        <v>-1.98673259779569</v>
      </c>
      <c r="O311" s="5">
        <v>-1.98673259779569</v>
      </c>
      <c r="P311" s="5">
        <v>0.0</v>
      </c>
      <c r="Q311" s="5">
        <v>0.0</v>
      </c>
      <c r="R311" s="5">
        <v>0.0</v>
      </c>
      <c r="S311" s="5">
        <v>4.22019805764764</v>
      </c>
    </row>
    <row r="312">
      <c r="A312" s="6">
        <v>40806.0</v>
      </c>
      <c r="B312" s="5">
        <v>6.12476688303478</v>
      </c>
      <c r="C312" s="5">
        <v>-57.9423623218381</v>
      </c>
      <c r="D312" s="5">
        <v>67.4126530480233</v>
      </c>
      <c r="E312" s="5">
        <v>6.12476688303478</v>
      </c>
      <c r="F312" s="5">
        <v>6.12476688303478</v>
      </c>
      <c r="G312" s="5">
        <v>-2.35216075921359</v>
      </c>
      <c r="H312" s="5">
        <v>-2.35216075921359</v>
      </c>
      <c r="I312" s="5">
        <v>-2.35216075921359</v>
      </c>
      <c r="J312" s="5">
        <v>-0.14411885724641</v>
      </c>
      <c r="K312" s="5">
        <v>-0.14411885724641</v>
      </c>
      <c r="L312" s="5">
        <v>-0.14411885724641</v>
      </c>
      <c r="M312" s="5">
        <v>-2.20804190196718</v>
      </c>
      <c r="N312" s="5">
        <v>-2.20804190196718</v>
      </c>
      <c r="O312" s="5">
        <v>-2.20804190196718</v>
      </c>
      <c r="P312" s="5">
        <v>0.0</v>
      </c>
      <c r="Q312" s="5">
        <v>0.0</v>
      </c>
      <c r="R312" s="5">
        <v>0.0</v>
      </c>
      <c r="S312" s="5">
        <v>3.77260612382118</v>
      </c>
    </row>
    <row r="313">
      <c r="A313" s="6">
        <v>40807.0</v>
      </c>
      <c r="B313" s="5">
        <v>6.13316205274754</v>
      </c>
      <c r="C313" s="5">
        <v>-59.1479619056603</v>
      </c>
      <c r="D313" s="5">
        <v>60.7093770350526</v>
      </c>
      <c r="E313" s="5">
        <v>6.13316205274754</v>
      </c>
      <c r="F313" s="5">
        <v>6.13316205274754</v>
      </c>
      <c r="G313" s="5">
        <v>-2.47649359477682</v>
      </c>
      <c r="H313" s="5">
        <v>-2.47649359477682</v>
      </c>
      <c r="I313" s="5">
        <v>-2.47649359477682</v>
      </c>
      <c r="J313" s="5">
        <v>0.00703780528289302</v>
      </c>
      <c r="K313" s="5">
        <v>0.00703780528289302</v>
      </c>
      <c r="L313" s="5">
        <v>0.00703780528289302</v>
      </c>
      <c r="M313" s="5">
        <v>-2.48353140005972</v>
      </c>
      <c r="N313" s="5">
        <v>-2.48353140005972</v>
      </c>
      <c r="O313" s="5">
        <v>-2.48353140005972</v>
      </c>
      <c r="P313" s="5">
        <v>0.0</v>
      </c>
      <c r="Q313" s="5">
        <v>0.0</v>
      </c>
      <c r="R313" s="5">
        <v>0.0</v>
      </c>
      <c r="S313" s="5">
        <v>3.65666845797071</v>
      </c>
    </row>
    <row r="314">
      <c r="A314" s="6">
        <v>40808.0</v>
      </c>
      <c r="B314" s="5">
        <v>6.14155722246031</v>
      </c>
      <c r="C314" s="5">
        <v>-55.2631935414687</v>
      </c>
      <c r="D314" s="5">
        <v>65.1481430421599</v>
      </c>
      <c r="E314" s="5">
        <v>6.14155722246031</v>
      </c>
      <c r="F314" s="5">
        <v>6.14155722246031</v>
      </c>
      <c r="G314" s="5">
        <v>-3.58541486467273</v>
      </c>
      <c r="H314" s="5">
        <v>-3.58541486467273</v>
      </c>
      <c r="I314" s="5">
        <v>-3.58541486467273</v>
      </c>
      <c r="J314" s="5">
        <v>-0.776422525901643</v>
      </c>
      <c r="K314" s="5">
        <v>-0.776422525901643</v>
      </c>
      <c r="L314" s="5">
        <v>-0.776422525901643</v>
      </c>
      <c r="M314" s="5">
        <v>-2.80899233877109</v>
      </c>
      <c r="N314" s="5">
        <v>-2.80899233877109</v>
      </c>
      <c r="O314" s="5">
        <v>-2.80899233877109</v>
      </c>
      <c r="P314" s="5">
        <v>0.0</v>
      </c>
      <c r="Q314" s="5">
        <v>0.0</v>
      </c>
      <c r="R314" s="5">
        <v>0.0</v>
      </c>
      <c r="S314" s="5">
        <v>2.55614235778757</v>
      </c>
    </row>
    <row r="315">
      <c r="A315" s="6">
        <v>40809.0</v>
      </c>
      <c r="B315" s="5">
        <v>6.14995239217308</v>
      </c>
      <c r="C315" s="5">
        <v>-63.0616214357292</v>
      </c>
      <c r="D315" s="5">
        <v>65.9188068395691</v>
      </c>
      <c r="E315" s="5">
        <v>6.14995239217308</v>
      </c>
      <c r="F315" s="5">
        <v>6.14995239217308</v>
      </c>
      <c r="G315" s="5">
        <v>-4.76991172824622</v>
      </c>
      <c r="H315" s="5">
        <v>-4.76991172824622</v>
      </c>
      <c r="I315" s="5">
        <v>-4.76991172824622</v>
      </c>
      <c r="J315" s="5">
        <v>-1.5915505664919</v>
      </c>
      <c r="K315" s="5">
        <v>-1.5915505664919</v>
      </c>
      <c r="L315" s="5">
        <v>-1.5915505664919</v>
      </c>
      <c r="M315" s="5">
        <v>-3.17836116175431</v>
      </c>
      <c r="N315" s="5">
        <v>-3.17836116175431</v>
      </c>
      <c r="O315" s="5">
        <v>-3.17836116175431</v>
      </c>
      <c r="P315" s="5">
        <v>0.0</v>
      </c>
      <c r="Q315" s="5">
        <v>0.0</v>
      </c>
      <c r="R315" s="5">
        <v>0.0</v>
      </c>
      <c r="S315" s="5">
        <v>1.38004066392686</v>
      </c>
    </row>
    <row r="316">
      <c r="A316" s="6">
        <v>40812.0</v>
      </c>
      <c r="B316" s="5">
        <v>6.17513790131138</v>
      </c>
      <c r="C316" s="5">
        <v>-60.1427706572825</v>
      </c>
      <c r="D316" s="5">
        <v>66.4498564736724</v>
      </c>
      <c r="E316" s="5">
        <v>6.17513790131138</v>
      </c>
      <c r="F316" s="5">
        <v>6.17513790131138</v>
      </c>
      <c r="G316" s="5">
        <v>-4.37300569402823</v>
      </c>
      <c r="H316" s="5">
        <v>-4.37300569402823</v>
      </c>
      <c r="I316" s="5">
        <v>-4.37300569402823</v>
      </c>
      <c r="J316" s="5">
        <v>0.0905589421222665</v>
      </c>
      <c r="K316" s="5">
        <v>0.0905589421222665</v>
      </c>
      <c r="L316" s="5">
        <v>0.0905589421222665</v>
      </c>
      <c r="M316" s="5">
        <v>-4.4635646361505</v>
      </c>
      <c r="N316" s="5">
        <v>-4.4635646361505</v>
      </c>
      <c r="O316" s="5">
        <v>-4.4635646361505</v>
      </c>
      <c r="P316" s="5">
        <v>0.0</v>
      </c>
      <c r="Q316" s="5">
        <v>0.0</v>
      </c>
      <c r="R316" s="5">
        <v>0.0</v>
      </c>
      <c r="S316" s="5">
        <v>1.80213220728314</v>
      </c>
    </row>
    <row r="317">
      <c r="A317" s="6">
        <v>40813.0</v>
      </c>
      <c r="B317" s="5">
        <v>6.18353307102415</v>
      </c>
      <c r="C317" s="5">
        <v>-64.0893921019962</v>
      </c>
      <c r="D317" s="5">
        <v>62.9801503738018</v>
      </c>
      <c r="E317" s="5">
        <v>6.18353307102415</v>
      </c>
      <c r="F317" s="5">
        <v>6.18353307102415</v>
      </c>
      <c r="G317" s="5">
        <v>-5.05896428197286</v>
      </c>
      <c r="H317" s="5">
        <v>-5.05896428197286</v>
      </c>
      <c r="I317" s="5">
        <v>-5.05896428197286</v>
      </c>
      <c r="J317" s="5">
        <v>-0.144118857245322</v>
      </c>
      <c r="K317" s="5">
        <v>-0.144118857245322</v>
      </c>
      <c r="L317" s="5">
        <v>-0.144118857245322</v>
      </c>
      <c r="M317" s="5">
        <v>-4.91484542472754</v>
      </c>
      <c r="N317" s="5">
        <v>-4.91484542472754</v>
      </c>
      <c r="O317" s="5">
        <v>-4.91484542472754</v>
      </c>
      <c r="P317" s="5">
        <v>0.0</v>
      </c>
      <c r="Q317" s="5">
        <v>0.0</v>
      </c>
      <c r="R317" s="5">
        <v>0.0</v>
      </c>
      <c r="S317" s="5">
        <v>1.12456878905128</v>
      </c>
    </row>
    <row r="318">
      <c r="A318" s="6">
        <v>40814.0</v>
      </c>
      <c r="B318" s="5">
        <v>6.19192824073691</v>
      </c>
      <c r="C318" s="5">
        <v>-61.6244558993439</v>
      </c>
      <c r="D318" s="5">
        <v>64.7498101150537</v>
      </c>
      <c r="E318" s="5">
        <v>6.19192824073691</v>
      </c>
      <c r="F318" s="5">
        <v>6.19192824073691</v>
      </c>
      <c r="G318" s="5">
        <v>-5.34959326019234</v>
      </c>
      <c r="H318" s="5">
        <v>-5.34959326019234</v>
      </c>
      <c r="I318" s="5">
        <v>-5.34959326019234</v>
      </c>
      <c r="J318" s="5">
        <v>0.0070378052830317</v>
      </c>
      <c r="K318" s="5">
        <v>0.0070378052830317</v>
      </c>
      <c r="L318" s="5">
        <v>0.0070378052830317</v>
      </c>
      <c r="M318" s="5">
        <v>-5.35663106547537</v>
      </c>
      <c r="N318" s="5">
        <v>-5.35663106547537</v>
      </c>
      <c r="O318" s="5">
        <v>-5.35663106547537</v>
      </c>
      <c r="P318" s="5">
        <v>0.0</v>
      </c>
      <c r="Q318" s="5">
        <v>0.0</v>
      </c>
      <c r="R318" s="5">
        <v>0.0</v>
      </c>
      <c r="S318" s="5">
        <v>0.842334980544571</v>
      </c>
    </row>
    <row r="319">
      <c r="A319" s="6">
        <v>40815.0</v>
      </c>
      <c r="B319" s="5">
        <v>6.20032341044968</v>
      </c>
      <c r="C319" s="5">
        <v>-65.1874362202631</v>
      </c>
      <c r="D319" s="5">
        <v>65.2167354242246</v>
      </c>
      <c r="E319" s="5">
        <v>6.20032341044968</v>
      </c>
      <c r="F319" s="5">
        <v>6.20032341044968</v>
      </c>
      <c r="G319" s="5">
        <v>-6.55167671651748</v>
      </c>
      <c r="H319" s="5">
        <v>-6.55167671651748</v>
      </c>
      <c r="I319" s="5">
        <v>-6.55167671651748</v>
      </c>
      <c r="J319" s="5">
        <v>-0.776422525902365</v>
      </c>
      <c r="K319" s="5">
        <v>-0.776422525902365</v>
      </c>
      <c r="L319" s="5">
        <v>-0.776422525902365</v>
      </c>
      <c r="M319" s="5">
        <v>-5.77525419061512</v>
      </c>
      <c r="N319" s="5">
        <v>-5.77525419061512</v>
      </c>
      <c r="O319" s="5">
        <v>-5.77525419061512</v>
      </c>
      <c r="P319" s="5">
        <v>0.0</v>
      </c>
      <c r="Q319" s="5">
        <v>0.0</v>
      </c>
      <c r="R319" s="5">
        <v>0.0</v>
      </c>
      <c r="S319" s="5">
        <v>-0.3513533060678</v>
      </c>
    </row>
    <row r="320">
      <c r="A320" s="6">
        <v>40816.0</v>
      </c>
      <c r="B320" s="5">
        <v>6.20871858016245</v>
      </c>
      <c r="C320" s="5">
        <v>-65.7743250498225</v>
      </c>
      <c r="D320" s="5">
        <v>60.6392002707746</v>
      </c>
      <c r="E320" s="5">
        <v>6.20871858016245</v>
      </c>
      <c r="F320" s="5">
        <v>6.20871858016245</v>
      </c>
      <c r="G320" s="5">
        <v>-7.7483233187465</v>
      </c>
      <c r="H320" s="5">
        <v>-7.7483233187465</v>
      </c>
      <c r="I320" s="5">
        <v>-7.7483233187465</v>
      </c>
      <c r="J320" s="5">
        <v>-1.59155056649404</v>
      </c>
      <c r="K320" s="5">
        <v>-1.59155056649404</v>
      </c>
      <c r="L320" s="5">
        <v>-1.59155056649404</v>
      </c>
      <c r="M320" s="5">
        <v>-6.15677275225246</v>
      </c>
      <c r="N320" s="5">
        <v>-6.15677275225246</v>
      </c>
      <c r="O320" s="5">
        <v>-6.15677275225246</v>
      </c>
      <c r="P320" s="5">
        <v>0.0</v>
      </c>
      <c r="Q320" s="5">
        <v>0.0</v>
      </c>
      <c r="R320" s="5">
        <v>0.0</v>
      </c>
      <c r="S320" s="5">
        <v>-1.53960473858405</v>
      </c>
    </row>
    <row r="321">
      <c r="A321" s="6">
        <v>40819.0</v>
      </c>
      <c r="B321" s="5">
        <v>6.23390408930075</v>
      </c>
      <c r="C321" s="5">
        <v>-63.6530189336244</v>
      </c>
      <c r="D321" s="5">
        <v>62.1082382434866</v>
      </c>
      <c r="E321" s="5">
        <v>6.23390408930075</v>
      </c>
      <c r="F321" s="5">
        <v>6.23390408930075</v>
      </c>
      <c r="G321" s="5">
        <v>-6.85211373285629</v>
      </c>
      <c r="H321" s="5">
        <v>-6.85211373285629</v>
      </c>
      <c r="I321" s="5">
        <v>-6.85211373285629</v>
      </c>
      <c r="J321" s="5">
        <v>0.0905589421208292</v>
      </c>
      <c r="K321" s="5">
        <v>0.0905589421208292</v>
      </c>
      <c r="L321" s="5">
        <v>0.0905589421208292</v>
      </c>
      <c r="M321" s="5">
        <v>-6.94267267497712</v>
      </c>
      <c r="N321" s="5">
        <v>-6.94267267497712</v>
      </c>
      <c r="O321" s="5">
        <v>-6.94267267497712</v>
      </c>
      <c r="P321" s="5">
        <v>0.0</v>
      </c>
      <c r="Q321" s="5">
        <v>0.0</v>
      </c>
      <c r="R321" s="5">
        <v>0.0</v>
      </c>
      <c r="S321" s="5">
        <v>-0.618209643555543</v>
      </c>
    </row>
    <row r="322">
      <c r="A322" s="6">
        <v>40820.0</v>
      </c>
      <c r="B322" s="5">
        <v>6.24229925901352</v>
      </c>
      <c r="C322" s="5">
        <v>-65.2307312848859</v>
      </c>
      <c r="D322" s="5">
        <v>62.2406479965486</v>
      </c>
      <c r="E322" s="5">
        <v>6.24229925901352</v>
      </c>
      <c r="F322" s="5">
        <v>6.24229925901352</v>
      </c>
      <c r="G322" s="5">
        <v>-7.18750318868604</v>
      </c>
      <c r="H322" s="5">
        <v>-7.18750318868604</v>
      </c>
      <c r="I322" s="5">
        <v>-7.18750318868604</v>
      </c>
      <c r="J322" s="5">
        <v>-0.144118857246757</v>
      </c>
      <c r="K322" s="5">
        <v>-0.144118857246757</v>
      </c>
      <c r="L322" s="5">
        <v>-0.144118857246757</v>
      </c>
      <c r="M322" s="5">
        <v>-7.04338433143929</v>
      </c>
      <c r="N322" s="5">
        <v>-7.04338433143929</v>
      </c>
      <c r="O322" s="5">
        <v>-7.04338433143929</v>
      </c>
      <c r="P322" s="5">
        <v>0.0</v>
      </c>
      <c r="Q322" s="5">
        <v>0.0</v>
      </c>
      <c r="R322" s="5">
        <v>0.0</v>
      </c>
      <c r="S322" s="5">
        <v>-0.945203929672524</v>
      </c>
    </row>
    <row r="323">
      <c r="A323" s="6">
        <v>40821.0</v>
      </c>
      <c r="B323" s="5">
        <v>6.25069442872629</v>
      </c>
      <c r="C323" s="5">
        <v>-70.0728846854886</v>
      </c>
      <c r="D323" s="5">
        <v>58.7395763599491</v>
      </c>
      <c r="E323" s="5">
        <v>6.25069442872629</v>
      </c>
      <c r="F323" s="5">
        <v>6.25069442872629</v>
      </c>
      <c r="G323" s="5">
        <v>-7.03859444402544</v>
      </c>
      <c r="H323" s="5">
        <v>-7.03859444402544</v>
      </c>
      <c r="I323" s="5">
        <v>-7.03859444402544</v>
      </c>
      <c r="J323" s="5">
        <v>0.00703780528317062</v>
      </c>
      <c r="K323" s="5">
        <v>0.00703780528317062</v>
      </c>
      <c r="L323" s="5">
        <v>0.00703780528317062</v>
      </c>
      <c r="M323" s="5">
        <v>-7.04563224930861</v>
      </c>
      <c r="N323" s="5">
        <v>-7.04563224930861</v>
      </c>
      <c r="O323" s="5">
        <v>-7.04563224930861</v>
      </c>
      <c r="P323" s="5">
        <v>0.0</v>
      </c>
      <c r="Q323" s="5">
        <v>0.0</v>
      </c>
      <c r="R323" s="5">
        <v>0.0</v>
      </c>
      <c r="S323" s="5">
        <v>-0.787900015299155</v>
      </c>
    </row>
    <row r="324">
      <c r="A324" s="6">
        <v>40822.0</v>
      </c>
      <c r="B324" s="5">
        <v>6.25908959843905</v>
      </c>
      <c r="C324" s="5">
        <v>-60.645978833689</v>
      </c>
      <c r="D324" s="5">
        <v>61.1017781679478</v>
      </c>
      <c r="E324" s="5">
        <v>6.25908959843905</v>
      </c>
      <c r="F324" s="5">
        <v>6.25908959843905</v>
      </c>
      <c r="G324" s="5">
        <v>-7.71759242243529</v>
      </c>
      <c r="H324" s="5">
        <v>-7.71759242243529</v>
      </c>
      <c r="I324" s="5">
        <v>-7.71759242243529</v>
      </c>
      <c r="J324" s="5">
        <v>-0.776422525900237</v>
      </c>
      <c r="K324" s="5">
        <v>-0.776422525900237</v>
      </c>
      <c r="L324" s="5">
        <v>-0.776422525900237</v>
      </c>
      <c r="M324" s="5">
        <v>-6.94116989653505</v>
      </c>
      <c r="N324" s="5">
        <v>-6.94116989653505</v>
      </c>
      <c r="O324" s="5">
        <v>-6.94116989653505</v>
      </c>
      <c r="P324" s="5">
        <v>0.0</v>
      </c>
      <c r="Q324" s="5">
        <v>0.0</v>
      </c>
      <c r="R324" s="5">
        <v>0.0</v>
      </c>
      <c r="S324" s="5">
        <v>-1.45850282399623</v>
      </c>
    </row>
    <row r="325">
      <c r="A325" s="6">
        <v>40823.0</v>
      </c>
      <c r="B325" s="5">
        <v>6.26748476815182</v>
      </c>
      <c r="C325" s="5">
        <v>-63.944008749605</v>
      </c>
      <c r="D325" s="5">
        <v>58.9285640510682</v>
      </c>
      <c r="E325" s="5">
        <v>6.26748476815182</v>
      </c>
      <c r="F325" s="5">
        <v>6.26748476815182</v>
      </c>
      <c r="G325" s="5">
        <v>-8.31529938232782</v>
      </c>
      <c r="H325" s="5">
        <v>-8.31529938232782</v>
      </c>
      <c r="I325" s="5">
        <v>-8.31529938232782</v>
      </c>
      <c r="J325" s="5">
        <v>-1.5915505664928</v>
      </c>
      <c r="K325" s="5">
        <v>-1.5915505664928</v>
      </c>
      <c r="L325" s="5">
        <v>-1.5915505664928</v>
      </c>
      <c r="M325" s="5">
        <v>-6.72374881583501</v>
      </c>
      <c r="N325" s="5">
        <v>-6.72374881583501</v>
      </c>
      <c r="O325" s="5">
        <v>-6.72374881583501</v>
      </c>
      <c r="P325" s="5">
        <v>0.0</v>
      </c>
      <c r="Q325" s="5">
        <v>0.0</v>
      </c>
      <c r="R325" s="5">
        <v>0.0</v>
      </c>
      <c r="S325" s="5">
        <v>-2.04781461417599</v>
      </c>
    </row>
    <row r="326">
      <c r="A326" s="6">
        <v>40826.0</v>
      </c>
      <c r="B326" s="5">
        <v>6.29267027729012</v>
      </c>
      <c r="C326" s="5">
        <v>-57.7152031300534</v>
      </c>
      <c r="D326" s="5">
        <v>63.2323160415824</v>
      </c>
      <c r="E326" s="5">
        <v>6.29267027729012</v>
      </c>
      <c r="F326" s="5">
        <v>6.29267027729012</v>
      </c>
      <c r="G326" s="5">
        <v>-5.2743584402335</v>
      </c>
      <c r="H326" s="5">
        <v>-5.2743584402335</v>
      </c>
      <c r="I326" s="5">
        <v>-5.2743584402335</v>
      </c>
      <c r="J326" s="5">
        <v>0.0905589421193917</v>
      </c>
      <c r="K326" s="5">
        <v>0.0905589421193917</v>
      </c>
      <c r="L326" s="5">
        <v>0.0905589421193917</v>
      </c>
      <c r="M326" s="5">
        <v>-5.36491738235289</v>
      </c>
      <c r="N326" s="5">
        <v>-5.36491738235289</v>
      </c>
      <c r="O326" s="5">
        <v>-5.36491738235289</v>
      </c>
      <c r="P326" s="5">
        <v>0.0</v>
      </c>
      <c r="Q326" s="5">
        <v>0.0</v>
      </c>
      <c r="R326" s="5">
        <v>0.0</v>
      </c>
      <c r="S326" s="5">
        <v>1.01831183705662</v>
      </c>
    </row>
    <row r="327">
      <c r="A327" s="6">
        <v>40827.0</v>
      </c>
      <c r="B327" s="5">
        <v>6.30106544700289</v>
      </c>
      <c r="C327" s="5">
        <v>-60.3429918840686</v>
      </c>
      <c r="D327" s="5">
        <v>60.4823407951943</v>
      </c>
      <c r="E327" s="5">
        <v>6.30106544700289</v>
      </c>
      <c r="F327" s="5">
        <v>6.30106544700289</v>
      </c>
      <c r="G327" s="5">
        <v>-4.8228786494831</v>
      </c>
      <c r="H327" s="5">
        <v>-4.8228786494831</v>
      </c>
      <c r="I327" s="5">
        <v>-4.8228786494831</v>
      </c>
      <c r="J327" s="5">
        <v>-0.14411885724456</v>
      </c>
      <c r="K327" s="5">
        <v>-0.14411885724456</v>
      </c>
      <c r="L327" s="5">
        <v>-0.14411885724456</v>
      </c>
      <c r="M327" s="5">
        <v>-4.67875979223854</v>
      </c>
      <c r="N327" s="5">
        <v>-4.67875979223854</v>
      </c>
      <c r="O327" s="5">
        <v>-4.67875979223854</v>
      </c>
      <c r="P327" s="5">
        <v>0.0</v>
      </c>
      <c r="Q327" s="5">
        <v>0.0</v>
      </c>
      <c r="R327" s="5">
        <v>0.0</v>
      </c>
      <c r="S327" s="5">
        <v>1.47818679751979</v>
      </c>
    </row>
    <row r="328">
      <c r="A328" s="6">
        <v>40828.0</v>
      </c>
      <c r="B328" s="5">
        <v>6.30946061671566</v>
      </c>
      <c r="C328" s="5">
        <v>-65.1262524118448</v>
      </c>
      <c r="D328" s="5">
        <v>63.8996384658917</v>
      </c>
      <c r="E328" s="5">
        <v>6.30946061671566</v>
      </c>
      <c r="F328" s="5">
        <v>6.30946061671566</v>
      </c>
      <c r="G328" s="5">
        <v>-3.87612492885674</v>
      </c>
      <c r="H328" s="5">
        <v>-3.87612492885674</v>
      </c>
      <c r="I328" s="5">
        <v>-3.87612492885674</v>
      </c>
      <c r="J328" s="5">
        <v>0.00703780528231813</v>
      </c>
      <c r="K328" s="5">
        <v>0.00703780528231813</v>
      </c>
      <c r="L328" s="5">
        <v>0.00703780528231813</v>
      </c>
      <c r="M328" s="5">
        <v>-3.88316273413906</v>
      </c>
      <c r="N328" s="5">
        <v>-3.88316273413906</v>
      </c>
      <c r="O328" s="5">
        <v>-3.88316273413906</v>
      </c>
      <c r="P328" s="5">
        <v>0.0</v>
      </c>
      <c r="Q328" s="5">
        <v>0.0</v>
      </c>
      <c r="R328" s="5">
        <v>0.0</v>
      </c>
      <c r="S328" s="5">
        <v>2.43333568785891</v>
      </c>
    </row>
    <row r="329">
      <c r="A329" s="6">
        <v>40829.0</v>
      </c>
      <c r="B329" s="5">
        <v>6.31785578642843</v>
      </c>
      <c r="C329" s="5">
        <v>-60.4817795759475</v>
      </c>
      <c r="D329" s="5">
        <v>67.8635005070245</v>
      </c>
      <c r="E329" s="5">
        <v>6.31785578642843</v>
      </c>
      <c r="F329" s="5">
        <v>6.31785578642843</v>
      </c>
      <c r="G329" s="5">
        <v>-3.7623129800106</v>
      </c>
      <c r="H329" s="5">
        <v>-3.7623129800106</v>
      </c>
      <c r="I329" s="5">
        <v>-3.7623129800106</v>
      </c>
      <c r="J329" s="5">
        <v>-0.776422525902334</v>
      </c>
      <c r="K329" s="5">
        <v>-0.776422525902334</v>
      </c>
      <c r="L329" s="5">
        <v>-0.776422525902334</v>
      </c>
      <c r="M329" s="5">
        <v>-2.98589045410826</v>
      </c>
      <c r="N329" s="5">
        <v>-2.98589045410826</v>
      </c>
      <c r="O329" s="5">
        <v>-2.98589045410826</v>
      </c>
      <c r="P329" s="5">
        <v>0.0</v>
      </c>
      <c r="Q329" s="5">
        <v>0.0</v>
      </c>
      <c r="R329" s="5">
        <v>0.0</v>
      </c>
      <c r="S329" s="5">
        <v>2.55554280641782</v>
      </c>
    </row>
    <row r="330">
      <c r="A330" s="6">
        <v>40830.0</v>
      </c>
      <c r="B330" s="5">
        <v>6.32625095614119</v>
      </c>
      <c r="C330" s="5">
        <v>-58.1027819852919</v>
      </c>
      <c r="D330" s="5">
        <v>65.6408038233173</v>
      </c>
      <c r="E330" s="5">
        <v>6.32625095614119</v>
      </c>
      <c r="F330" s="5">
        <v>6.32625095614119</v>
      </c>
      <c r="G330" s="5">
        <v>-3.58835572023685</v>
      </c>
      <c r="H330" s="5">
        <v>-3.58835572023685</v>
      </c>
      <c r="I330" s="5">
        <v>-3.58835572023685</v>
      </c>
      <c r="J330" s="5">
        <v>-1.59155056649187</v>
      </c>
      <c r="K330" s="5">
        <v>-1.59155056649187</v>
      </c>
      <c r="L330" s="5">
        <v>-1.59155056649187</v>
      </c>
      <c r="M330" s="5">
        <v>-1.99680515374497</v>
      </c>
      <c r="N330" s="5">
        <v>-1.99680515374497</v>
      </c>
      <c r="O330" s="5">
        <v>-1.99680515374497</v>
      </c>
      <c r="P330" s="5">
        <v>0.0</v>
      </c>
      <c r="Q330" s="5">
        <v>0.0</v>
      </c>
      <c r="R330" s="5">
        <v>0.0</v>
      </c>
      <c r="S330" s="5">
        <v>2.73789523590434</v>
      </c>
    </row>
    <row r="331">
      <c r="A331" s="6">
        <v>40833.0</v>
      </c>
      <c r="B331" s="5">
        <v>6.3514364652795</v>
      </c>
      <c r="C331" s="5">
        <v>-53.6782844667683</v>
      </c>
      <c r="D331" s="5">
        <v>69.8653637301978</v>
      </c>
      <c r="E331" s="5">
        <v>6.3514364652795</v>
      </c>
      <c r="F331" s="5">
        <v>6.3514364652795</v>
      </c>
      <c r="G331" s="5">
        <v>1.48691025208353</v>
      </c>
      <c r="H331" s="5">
        <v>1.48691025208353</v>
      </c>
      <c r="I331" s="5">
        <v>1.48691025208353</v>
      </c>
      <c r="J331" s="5">
        <v>0.0905589421204183</v>
      </c>
      <c r="K331" s="5">
        <v>0.0905589421204183</v>
      </c>
      <c r="L331" s="5">
        <v>0.0905589421204183</v>
      </c>
      <c r="M331" s="5">
        <v>1.39635130996311</v>
      </c>
      <c r="N331" s="5">
        <v>1.39635130996311</v>
      </c>
      <c r="O331" s="5">
        <v>1.39635130996311</v>
      </c>
      <c r="P331" s="5">
        <v>0.0</v>
      </c>
      <c r="Q331" s="5">
        <v>0.0</v>
      </c>
      <c r="R331" s="5">
        <v>0.0</v>
      </c>
      <c r="S331" s="5">
        <v>7.83834671736303</v>
      </c>
    </row>
    <row r="332">
      <c r="A332" s="6">
        <v>40834.0</v>
      </c>
      <c r="B332" s="5">
        <v>6.35983163499226</v>
      </c>
      <c r="C332" s="5">
        <v>-54.3261946241138</v>
      </c>
      <c r="D332" s="5">
        <v>70.7857813970087</v>
      </c>
      <c r="E332" s="5">
        <v>6.35983163499226</v>
      </c>
      <c r="F332" s="5">
        <v>6.35983163499226</v>
      </c>
      <c r="G332" s="5">
        <v>2.47693734279292</v>
      </c>
      <c r="H332" s="5">
        <v>2.47693734279292</v>
      </c>
      <c r="I332" s="5">
        <v>2.47693734279292</v>
      </c>
      <c r="J332" s="5">
        <v>-0.144118857245995</v>
      </c>
      <c r="K332" s="5">
        <v>-0.144118857245995</v>
      </c>
      <c r="L332" s="5">
        <v>-0.144118857245995</v>
      </c>
      <c r="M332" s="5">
        <v>2.62105620003892</v>
      </c>
      <c r="N332" s="5">
        <v>2.62105620003892</v>
      </c>
      <c r="O332" s="5">
        <v>2.62105620003892</v>
      </c>
      <c r="P332" s="5">
        <v>0.0</v>
      </c>
      <c r="Q332" s="5">
        <v>0.0</v>
      </c>
      <c r="R332" s="5">
        <v>0.0</v>
      </c>
      <c r="S332" s="5">
        <v>8.83676897778519</v>
      </c>
    </row>
    <row r="333">
      <c r="A333" s="6">
        <v>40835.0</v>
      </c>
      <c r="B333" s="5">
        <v>6.36822680470503</v>
      </c>
      <c r="C333" s="5">
        <v>-52.2413068108996</v>
      </c>
      <c r="D333" s="5">
        <v>70.8104396147275</v>
      </c>
      <c r="E333" s="5">
        <v>6.36822680470503</v>
      </c>
      <c r="F333" s="5">
        <v>6.36822680470503</v>
      </c>
      <c r="G333" s="5">
        <v>3.87336835055935</v>
      </c>
      <c r="H333" s="5">
        <v>3.87336835055935</v>
      </c>
      <c r="I333" s="5">
        <v>3.87336835055935</v>
      </c>
      <c r="J333" s="5">
        <v>0.00703780528146557</v>
      </c>
      <c r="K333" s="5">
        <v>0.00703780528146557</v>
      </c>
      <c r="L333" s="5">
        <v>0.00703780528146557</v>
      </c>
      <c r="M333" s="5">
        <v>3.86633054527788</v>
      </c>
      <c r="N333" s="5">
        <v>3.86633054527788</v>
      </c>
      <c r="O333" s="5">
        <v>3.86633054527788</v>
      </c>
      <c r="P333" s="5">
        <v>0.0</v>
      </c>
      <c r="Q333" s="5">
        <v>0.0</v>
      </c>
      <c r="R333" s="5">
        <v>0.0</v>
      </c>
      <c r="S333" s="5">
        <v>10.2415951552643</v>
      </c>
    </row>
    <row r="334">
      <c r="A334" s="6">
        <v>40836.0</v>
      </c>
      <c r="B334" s="5">
        <v>6.3766219744178</v>
      </c>
      <c r="C334" s="5">
        <v>-53.9147108759105</v>
      </c>
      <c r="D334" s="5">
        <v>76.1729191078051</v>
      </c>
      <c r="E334" s="5">
        <v>6.3766219744178</v>
      </c>
      <c r="F334" s="5">
        <v>6.3766219744178</v>
      </c>
      <c r="G334" s="5">
        <v>4.33953699101556</v>
      </c>
      <c r="H334" s="5">
        <v>4.33953699101556</v>
      </c>
      <c r="I334" s="5">
        <v>4.33953699101556</v>
      </c>
      <c r="J334" s="5">
        <v>-0.776422525904431</v>
      </c>
      <c r="K334" s="5">
        <v>-0.776422525904431</v>
      </c>
      <c r="L334" s="5">
        <v>-0.776422525904431</v>
      </c>
      <c r="M334" s="5">
        <v>5.11595951691999</v>
      </c>
      <c r="N334" s="5">
        <v>5.11595951691999</v>
      </c>
      <c r="O334" s="5">
        <v>5.11595951691999</v>
      </c>
      <c r="P334" s="5">
        <v>0.0</v>
      </c>
      <c r="Q334" s="5">
        <v>0.0</v>
      </c>
      <c r="R334" s="5">
        <v>0.0</v>
      </c>
      <c r="S334" s="5">
        <v>10.7161589654333</v>
      </c>
    </row>
    <row r="335">
      <c r="A335" s="6">
        <v>40837.0</v>
      </c>
      <c r="B335" s="5">
        <v>6.38501714413057</v>
      </c>
      <c r="C335" s="5">
        <v>-50.8449706593064</v>
      </c>
      <c r="D335" s="5">
        <v>72.9122715496527</v>
      </c>
      <c r="E335" s="5">
        <v>6.38501714413057</v>
      </c>
      <c r="F335" s="5">
        <v>6.38501714413057</v>
      </c>
      <c r="G335" s="5">
        <v>4.76241990610339</v>
      </c>
      <c r="H335" s="5">
        <v>4.76241990610339</v>
      </c>
      <c r="I335" s="5">
        <v>4.76241990610339</v>
      </c>
      <c r="J335" s="5">
        <v>-1.59155056649095</v>
      </c>
      <c r="K335" s="5">
        <v>-1.59155056649095</v>
      </c>
      <c r="L335" s="5">
        <v>-1.59155056649095</v>
      </c>
      <c r="M335" s="5">
        <v>6.35397047259434</v>
      </c>
      <c r="N335" s="5">
        <v>6.35397047259434</v>
      </c>
      <c r="O335" s="5">
        <v>6.35397047259434</v>
      </c>
      <c r="P335" s="5">
        <v>0.0</v>
      </c>
      <c r="Q335" s="5">
        <v>0.0</v>
      </c>
      <c r="R335" s="5">
        <v>0.0</v>
      </c>
      <c r="S335" s="5">
        <v>11.1474370502339</v>
      </c>
    </row>
    <row r="336">
      <c r="A336" s="6">
        <v>40840.0</v>
      </c>
      <c r="B336" s="5">
        <v>6.41020265326887</v>
      </c>
      <c r="C336" s="5">
        <v>-46.4727765567662</v>
      </c>
      <c r="D336" s="5">
        <v>75.6281092939675</v>
      </c>
      <c r="E336" s="5">
        <v>6.41020265326887</v>
      </c>
      <c r="F336" s="5">
        <v>6.41020265326887</v>
      </c>
      <c r="G336" s="5">
        <v>9.9407092858926</v>
      </c>
      <c r="H336" s="5">
        <v>9.9407092858926</v>
      </c>
      <c r="I336" s="5">
        <v>9.9407092858926</v>
      </c>
      <c r="J336" s="5">
        <v>0.0905589421213646</v>
      </c>
      <c r="K336" s="5">
        <v>0.0905589421213646</v>
      </c>
      <c r="L336" s="5">
        <v>0.0905589421213646</v>
      </c>
      <c r="M336" s="5">
        <v>9.85015034377123</v>
      </c>
      <c r="N336" s="5">
        <v>9.85015034377123</v>
      </c>
      <c r="O336" s="5">
        <v>9.85015034377123</v>
      </c>
      <c r="P336" s="5">
        <v>0.0</v>
      </c>
      <c r="Q336" s="5">
        <v>0.0</v>
      </c>
      <c r="R336" s="5">
        <v>0.0</v>
      </c>
      <c r="S336" s="5">
        <v>16.3509119391614</v>
      </c>
    </row>
    <row r="337">
      <c r="A337" s="6">
        <v>40841.0</v>
      </c>
      <c r="B337" s="5">
        <v>6.41859782298163</v>
      </c>
      <c r="C337" s="5">
        <v>-45.1855450530213</v>
      </c>
      <c r="D337" s="5">
        <v>80.9517345819886</v>
      </c>
      <c r="E337" s="5">
        <v>6.41859782298163</v>
      </c>
      <c r="F337" s="5">
        <v>6.41859782298163</v>
      </c>
      <c r="G337" s="5">
        <v>10.7557025970559</v>
      </c>
      <c r="H337" s="5">
        <v>10.7557025970559</v>
      </c>
      <c r="I337" s="5">
        <v>10.7557025970559</v>
      </c>
      <c r="J337" s="5">
        <v>-0.144118857243798</v>
      </c>
      <c r="K337" s="5">
        <v>-0.144118857243798</v>
      </c>
      <c r="L337" s="5">
        <v>-0.144118857243798</v>
      </c>
      <c r="M337" s="5">
        <v>10.8998214542997</v>
      </c>
      <c r="N337" s="5">
        <v>10.8998214542997</v>
      </c>
      <c r="O337" s="5">
        <v>10.8998214542997</v>
      </c>
      <c r="P337" s="5">
        <v>0.0</v>
      </c>
      <c r="Q337" s="5">
        <v>0.0</v>
      </c>
      <c r="R337" s="5">
        <v>0.0</v>
      </c>
      <c r="S337" s="5">
        <v>17.1743004200375</v>
      </c>
    </row>
    <row r="338">
      <c r="A338" s="6">
        <v>40842.0</v>
      </c>
      <c r="B338" s="5">
        <v>6.4269929926944</v>
      </c>
      <c r="C338" s="5">
        <v>-44.0085350204717</v>
      </c>
      <c r="D338" s="5">
        <v>86.9795232309244</v>
      </c>
      <c r="E338" s="5">
        <v>6.4269929926944</v>
      </c>
      <c r="F338" s="5">
        <v>6.4269929926944</v>
      </c>
      <c r="G338" s="5">
        <v>11.8812897502193</v>
      </c>
      <c r="H338" s="5">
        <v>11.8812897502193</v>
      </c>
      <c r="I338" s="5">
        <v>11.8812897502193</v>
      </c>
      <c r="J338" s="5">
        <v>0.00703780528277664</v>
      </c>
      <c r="K338" s="5">
        <v>0.00703780528277664</v>
      </c>
      <c r="L338" s="5">
        <v>0.00703780528277664</v>
      </c>
      <c r="M338" s="5">
        <v>11.8742519449365</v>
      </c>
      <c r="N338" s="5">
        <v>11.8742519449365</v>
      </c>
      <c r="O338" s="5">
        <v>11.8742519449365</v>
      </c>
      <c r="P338" s="5">
        <v>0.0</v>
      </c>
      <c r="Q338" s="5">
        <v>0.0</v>
      </c>
      <c r="R338" s="5">
        <v>0.0</v>
      </c>
      <c r="S338" s="5">
        <v>18.3082827429137</v>
      </c>
    </row>
    <row r="339">
      <c r="A339" s="6">
        <v>40843.0</v>
      </c>
      <c r="B339" s="5">
        <v>6.43538816240717</v>
      </c>
      <c r="C339" s="5">
        <v>-46.0322738440449</v>
      </c>
      <c r="D339" s="5">
        <v>81.1183018883104</v>
      </c>
      <c r="E339" s="5">
        <v>6.43538816240717</v>
      </c>
      <c r="F339" s="5">
        <v>6.43538816240717</v>
      </c>
      <c r="G339" s="5">
        <v>11.9895814515391</v>
      </c>
      <c r="H339" s="5">
        <v>11.9895814515391</v>
      </c>
      <c r="I339" s="5">
        <v>11.9895814515391</v>
      </c>
      <c r="J339" s="5">
        <v>-0.776422525902303</v>
      </c>
      <c r="K339" s="5">
        <v>-0.776422525902303</v>
      </c>
      <c r="L339" s="5">
        <v>-0.776422525902303</v>
      </c>
      <c r="M339" s="5">
        <v>12.7660039774414</v>
      </c>
      <c r="N339" s="5">
        <v>12.7660039774414</v>
      </c>
      <c r="O339" s="5">
        <v>12.7660039774414</v>
      </c>
      <c r="P339" s="5">
        <v>0.0</v>
      </c>
      <c r="Q339" s="5">
        <v>0.0</v>
      </c>
      <c r="R339" s="5">
        <v>0.0</v>
      </c>
      <c r="S339" s="5">
        <v>18.4249696139463</v>
      </c>
    </row>
    <row r="340">
      <c r="A340" s="6">
        <v>40844.0</v>
      </c>
      <c r="B340" s="5">
        <v>6.44378333211994</v>
      </c>
      <c r="C340" s="5">
        <v>-42.0883807935575</v>
      </c>
      <c r="D340" s="5">
        <v>82.2086138826676</v>
      </c>
      <c r="E340" s="5">
        <v>6.44378333211994</v>
      </c>
      <c r="F340" s="5">
        <v>6.44378333211994</v>
      </c>
      <c r="G340" s="5">
        <v>11.9783013203983</v>
      </c>
      <c r="H340" s="5">
        <v>11.9783013203983</v>
      </c>
      <c r="I340" s="5">
        <v>11.9783013203983</v>
      </c>
      <c r="J340" s="5">
        <v>-1.59155056649277</v>
      </c>
      <c r="K340" s="5">
        <v>-1.59155056649277</v>
      </c>
      <c r="L340" s="5">
        <v>-1.59155056649277</v>
      </c>
      <c r="M340" s="5">
        <v>13.569851886891</v>
      </c>
      <c r="N340" s="5">
        <v>13.569851886891</v>
      </c>
      <c r="O340" s="5">
        <v>13.569851886891</v>
      </c>
      <c r="P340" s="5">
        <v>0.0</v>
      </c>
      <c r="Q340" s="5">
        <v>0.0</v>
      </c>
      <c r="R340" s="5">
        <v>0.0</v>
      </c>
      <c r="S340" s="5">
        <v>18.4220846525182</v>
      </c>
    </row>
    <row r="341">
      <c r="A341" s="6">
        <v>40847.0</v>
      </c>
      <c r="B341" s="5">
        <v>6.46896884125824</v>
      </c>
      <c r="C341" s="5">
        <v>-42.8314248528897</v>
      </c>
      <c r="D341" s="5">
        <v>84.7364952529078</v>
      </c>
      <c r="E341" s="5">
        <v>6.46896884125824</v>
      </c>
      <c r="F341" s="5">
        <v>6.46896884125824</v>
      </c>
      <c r="G341" s="5">
        <v>15.5265413066216</v>
      </c>
      <c r="H341" s="5">
        <v>15.5265413066216</v>
      </c>
      <c r="I341" s="5">
        <v>15.5265413066216</v>
      </c>
      <c r="J341" s="5">
        <v>0.0905589421223112</v>
      </c>
      <c r="K341" s="5">
        <v>0.0905589421223112</v>
      </c>
      <c r="L341" s="5">
        <v>0.0905589421223112</v>
      </c>
      <c r="M341" s="5">
        <v>15.4359823644993</v>
      </c>
      <c r="N341" s="5">
        <v>15.4359823644993</v>
      </c>
      <c r="O341" s="5">
        <v>15.4359823644993</v>
      </c>
      <c r="P341" s="5">
        <v>0.0</v>
      </c>
      <c r="Q341" s="5">
        <v>0.0</v>
      </c>
      <c r="R341" s="5">
        <v>0.0</v>
      </c>
      <c r="S341" s="5">
        <v>21.9955101478798</v>
      </c>
    </row>
    <row r="342">
      <c r="A342" s="6">
        <v>40848.0</v>
      </c>
      <c r="B342" s="5">
        <v>6.47736401097101</v>
      </c>
      <c r="C342" s="5">
        <v>-40.5945425035716</v>
      </c>
      <c r="D342" s="5">
        <v>84.4761622766972</v>
      </c>
      <c r="E342" s="5">
        <v>6.47736401097101</v>
      </c>
      <c r="F342" s="5">
        <v>6.47736401097101</v>
      </c>
      <c r="G342" s="5">
        <v>15.7372848342072</v>
      </c>
      <c r="H342" s="5">
        <v>15.7372848342072</v>
      </c>
      <c r="I342" s="5">
        <v>15.7372848342072</v>
      </c>
      <c r="J342" s="5">
        <v>-0.144118857246648</v>
      </c>
      <c r="K342" s="5">
        <v>-0.144118857246648</v>
      </c>
      <c r="L342" s="5">
        <v>-0.144118857246648</v>
      </c>
      <c r="M342" s="5">
        <v>15.8814036914538</v>
      </c>
      <c r="N342" s="5">
        <v>15.8814036914538</v>
      </c>
      <c r="O342" s="5">
        <v>15.8814036914538</v>
      </c>
      <c r="P342" s="5">
        <v>0.0</v>
      </c>
      <c r="Q342" s="5">
        <v>0.0</v>
      </c>
      <c r="R342" s="5">
        <v>0.0</v>
      </c>
      <c r="S342" s="5">
        <v>22.2146488451782</v>
      </c>
    </row>
    <row r="343">
      <c r="A343" s="6">
        <v>40849.0</v>
      </c>
      <c r="B343" s="5">
        <v>6.48575918068377</v>
      </c>
      <c r="C343" s="5">
        <v>-42.5040236929468</v>
      </c>
      <c r="D343" s="5">
        <v>85.8462488468818</v>
      </c>
      <c r="E343" s="5">
        <v>6.48575918068377</v>
      </c>
      <c r="F343" s="5">
        <v>6.48575918068377</v>
      </c>
      <c r="G343" s="5">
        <v>16.2533157231198</v>
      </c>
      <c r="H343" s="5">
        <v>16.2533157231198</v>
      </c>
      <c r="I343" s="5">
        <v>16.2533157231198</v>
      </c>
      <c r="J343" s="5">
        <v>0.00703780528075187</v>
      </c>
      <c r="K343" s="5">
        <v>0.00703780528075187</v>
      </c>
      <c r="L343" s="5">
        <v>0.00703780528075187</v>
      </c>
      <c r="M343" s="5">
        <v>16.246277917839</v>
      </c>
      <c r="N343" s="5">
        <v>16.246277917839</v>
      </c>
      <c r="O343" s="5">
        <v>16.246277917839</v>
      </c>
      <c r="P343" s="5">
        <v>0.0</v>
      </c>
      <c r="Q343" s="5">
        <v>0.0</v>
      </c>
      <c r="R343" s="5">
        <v>0.0</v>
      </c>
      <c r="S343" s="5">
        <v>22.7390749038035</v>
      </c>
    </row>
    <row r="344">
      <c r="A344" s="6">
        <v>40850.0</v>
      </c>
      <c r="B344" s="5">
        <v>6.49415435039654</v>
      </c>
      <c r="C344" s="5">
        <v>-43.3056565561804</v>
      </c>
      <c r="D344" s="5">
        <v>82.7715883170622</v>
      </c>
      <c r="E344" s="5">
        <v>6.49415435039654</v>
      </c>
      <c r="F344" s="5">
        <v>6.49415435039654</v>
      </c>
      <c r="G344" s="5">
        <v>15.7615319115793</v>
      </c>
      <c r="H344" s="5">
        <v>15.7615319115793</v>
      </c>
      <c r="I344" s="5">
        <v>15.7615319115793</v>
      </c>
      <c r="J344" s="5">
        <v>-0.776422525903025</v>
      </c>
      <c r="K344" s="5">
        <v>-0.776422525903025</v>
      </c>
      <c r="L344" s="5">
        <v>-0.776422525903025</v>
      </c>
      <c r="M344" s="5">
        <v>16.5379544374823</v>
      </c>
      <c r="N344" s="5">
        <v>16.5379544374823</v>
      </c>
      <c r="O344" s="5">
        <v>16.5379544374823</v>
      </c>
      <c r="P344" s="5">
        <v>0.0</v>
      </c>
      <c r="Q344" s="5">
        <v>0.0</v>
      </c>
      <c r="R344" s="5">
        <v>0.0</v>
      </c>
      <c r="S344" s="5">
        <v>22.2556862619759</v>
      </c>
    </row>
    <row r="345">
      <c r="A345" s="6">
        <v>40851.0</v>
      </c>
      <c r="B345" s="5">
        <v>6.50254952010931</v>
      </c>
      <c r="C345" s="5">
        <v>-42.0674012526563</v>
      </c>
      <c r="D345" s="5">
        <v>88.2916528523702</v>
      </c>
      <c r="E345" s="5">
        <v>6.50254952010931</v>
      </c>
      <c r="F345" s="5">
        <v>6.50254952010931</v>
      </c>
      <c r="G345" s="5">
        <v>15.1736565822106</v>
      </c>
      <c r="H345" s="5">
        <v>15.1736565822106</v>
      </c>
      <c r="I345" s="5">
        <v>15.1736565822106</v>
      </c>
      <c r="J345" s="5">
        <v>-1.59155056649153</v>
      </c>
      <c r="K345" s="5">
        <v>-1.59155056649153</v>
      </c>
      <c r="L345" s="5">
        <v>-1.59155056649153</v>
      </c>
      <c r="M345" s="5">
        <v>16.7652071487022</v>
      </c>
      <c r="N345" s="5">
        <v>16.7652071487022</v>
      </c>
      <c r="O345" s="5">
        <v>16.7652071487022</v>
      </c>
      <c r="P345" s="5">
        <v>0.0</v>
      </c>
      <c r="Q345" s="5">
        <v>0.0</v>
      </c>
      <c r="R345" s="5">
        <v>0.0</v>
      </c>
      <c r="S345" s="5">
        <v>21.67620610232</v>
      </c>
    </row>
    <row r="346">
      <c r="A346" s="6">
        <v>40854.0</v>
      </c>
      <c r="B346" s="5">
        <v>6.52773502924761</v>
      </c>
      <c r="C346" s="5">
        <v>-42.5802891910234</v>
      </c>
      <c r="D346" s="5">
        <v>86.28161093556</v>
      </c>
      <c r="E346" s="5">
        <v>6.52773502924761</v>
      </c>
      <c r="F346" s="5">
        <v>6.52773502924761</v>
      </c>
      <c r="G346" s="5">
        <v>17.2532231791057</v>
      </c>
      <c r="H346" s="5">
        <v>17.2532231791057</v>
      </c>
      <c r="I346" s="5">
        <v>17.2532231791057</v>
      </c>
      <c r="J346" s="5">
        <v>0.0905589421233376</v>
      </c>
      <c r="K346" s="5">
        <v>0.0905589421233376</v>
      </c>
      <c r="L346" s="5">
        <v>0.0905589421233376</v>
      </c>
      <c r="M346" s="5">
        <v>17.1626642369824</v>
      </c>
      <c r="N346" s="5">
        <v>17.1626642369824</v>
      </c>
      <c r="O346" s="5">
        <v>17.1626642369824</v>
      </c>
      <c r="P346" s="5">
        <v>0.0</v>
      </c>
      <c r="Q346" s="5">
        <v>0.0</v>
      </c>
      <c r="R346" s="5">
        <v>0.0</v>
      </c>
      <c r="S346" s="5">
        <v>23.7809582083533</v>
      </c>
    </row>
    <row r="347">
      <c r="A347" s="6">
        <v>40855.0</v>
      </c>
      <c r="B347" s="5">
        <v>6.53613019896038</v>
      </c>
      <c r="C347" s="5">
        <v>-38.3296405232329</v>
      </c>
      <c r="D347" s="5">
        <v>84.9409015140247</v>
      </c>
      <c r="E347" s="5">
        <v>6.53613019896038</v>
      </c>
      <c r="F347" s="5">
        <v>6.53613019896038</v>
      </c>
      <c r="G347" s="5">
        <v>17.0926819045325</v>
      </c>
      <c r="H347" s="5">
        <v>17.0926819045325</v>
      </c>
      <c r="I347" s="5">
        <v>17.0926819045325</v>
      </c>
      <c r="J347" s="5">
        <v>-0.14411885724556</v>
      </c>
      <c r="K347" s="5">
        <v>-0.14411885724556</v>
      </c>
      <c r="L347" s="5">
        <v>-0.14411885724556</v>
      </c>
      <c r="M347" s="5">
        <v>17.2368007617781</v>
      </c>
      <c r="N347" s="5">
        <v>17.2368007617781</v>
      </c>
      <c r="O347" s="5">
        <v>17.2368007617781</v>
      </c>
      <c r="P347" s="5">
        <v>0.0</v>
      </c>
      <c r="Q347" s="5">
        <v>0.0</v>
      </c>
      <c r="R347" s="5">
        <v>0.0</v>
      </c>
      <c r="S347" s="5">
        <v>23.6288121034929</v>
      </c>
    </row>
    <row r="348">
      <c r="A348" s="6">
        <v>40856.0</v>
      </c>
      <c r="B348" s="5">
        <v>6.54452536867315</v>
      </c>
      <c r="C348" s="5">
        <v>-37.3754155859845</v>
      </c>
      <c r="D348" s="5">
        <v>85.9129726305913</v>
      </c>
      <c r="E348" s="5">
        <v>6.54452536867315</v>
      </c>
      <c r="F348" s="5">
        <v>6.54452536867315</v>
      </c>
      <c r="G348" s="5">
        <v>17.306890349887</v>
      </c>
      <c r="H348" s="5">
        <v>17.306890349887</v>
      </c>
      <c r="I348" s="5">
        <v>17.306890349887</v>
      </c>
      <c r="J348" s="5">
        <v>0.007037805282063</v>
      </c>
      <c r="K348" s="5">
        <v>0.007037805282063</v>
      </c>
      <c r="L348" s="5">
        <v>0.007037805282063</v>
      </c>
      <c r="M348" s="5">
        <v>17.2998525446049</v>
      </c>
      <c r="N348" s="5">
        <v>17.2998525446049</v>
      </c>
      <c r="O348" s="5">
        <v>17.2998525446049</v>
      </c>
      <c r="P348" s="5">
        <v>0.0</v>
      </c>
      <c r="Q348" s="5">
        <v>0.0</v>
      </c>
      <c r="R348" s="5">
        <v>0.0</v>
      </c>
      <c r="S348" s="5">
        <v>23.8514157185601</v>
      </c>
    </row>
    <row r="349">
      <c r="A349" s="6">
        <v>40857.0</v>
      </c>
      <c r="B349" s="5">
        <v>6.55292053838591</v>
      </c>
      <c r="C349" s="5">
        <v>-41.5926939777279</v>
      </c>
      <c r="D349" s="5">
        <v>84.139054045682</v>
      </c>
      <c r="E349" s="5">
        <v>6.55292053838591</v>
      </c>
      <c r="F349" s="5">
        <v>6.55292053838591</v>
      </c>
      <c r="G349" s="5">
        <v>16.5854236408791</v>
      </c>
      <c r="H349" s="5">
        <v>16.5854236408791</v>
      </c>
      <c r="I349" s="5">
        <v>16.5854236408791</v>
      </c>
      <c r="J349" s="5">
        <v>-0.776422525903747</v>
      </c>
      <c r="K349" s="5">
        <v>-0.776422525903747</v>
      </c>
      <c r="L349" s="5">
        <v>-0.776422525903747</v>
      </c>
      <c r="M349" s="5">
        <v>17.3618461667829</v>
      </c>
      <c r="N349" s="5">
        <v>17.3618461667829</v>
      </c>
      <c r="O349" s="5">
        <v>17.3618461667829</v>
      </c>
      <c r="P349" s="5">
        <v>0.0</v>
      </c>
      <c r="Q349" s="5">
        <v>0.0</v>
      </c>
      <c r="R349" s="5">
        <v>0.0</v>
      </c>
      <c r="S349" s="5">
        <v>23.138344179265</v>
      </c>
    </row>
    <row r="350">
      <c r="A350" s="6">
        <v>40858.0</v>
      </c>
      <c r="B350" s="5">
        <v>6.56131570809868</v>
      </c>
      <c r="C350" s="5">
        <v>-41.5986776847811</v>
      </c>
      <c r="D350" s="5">
        <v>80.4101578452966</v>
      </c>
      <c r="E350" s="5">
        <v>6.56131570809868</v>
      </c>
      <c r="F350" s="5">
        <v>6.56131570809868</v>
      </c>
      <c r="G350" s="5">
        <v>15.8402397066191</v>
      </c>
      <c r="H350" s="5">
        <v>15.8402397066191</v>
      </c>
      <c r="I350" s="5">
        <v>15.8402397066191</v>
      </c>
      <c r="J350" s="5">
        <v>-1.59155056649366</v>
      </c>
      <c r="K350" s="5">
        <v>-1.59155056649366</v>
      </c>
      <c r="L350" s="5">
        <v>-1.59155056649366</v>
      </c>
      <c r="M350" s="5">
        <v>17.4317902731128</v>
      </c>
      <c r="N350" s="5">
        <v>17.4317902731128</v>
      </c>
      <c r="O350" s="5">
        <v>17.4317902731128</v>
      </c>
      <c r="P350" s="5">
        <v>0.0</v>
      </c>
      <c r="Q350" s="5">
        <v>0.0</v>
      </c>
      <c r="R350" s="5">
        <v>0.0</v>
      </c>
      <c r="S350" s="5">
        <v>22.4015554147178</v>
      </c>
    </row>
    <row r="351">
      <c r="A351" s="6">
        <v>40861.0</v>
      </c>
      <c r="B351" s="5">
        <v>6.58650121723698</v>
      </c>
      <c r="C351" s="5">
        <v>-35.8518073521881</v>
      </c>
      <c r="D351" s="5">
        <v>85.7963068711771</v>
      </c>
      <c r="E351" s="5">
        <v>6.58650121723698</v>
      </c>
      <c r="F351" s="5">
        <v>6.58650121723698</v>
      </c>
      <c r="G351" s="5">
        <v>17.848962663148</v>
      </c>
      <c r="H351" s="5">
        <v>17.848962663148</v>
      </c>
      <c r="I351" s="5">
        <v>17.848962663148</v>
      </c>
      <c r="J351" s="5">
        <v>0.0905589421219001</v>
      </c>
      <c r="K351" s="5">
        <v>0.0905589421219001</v>
      </c>
      <c r="L351" s="5">
        <v>0.0905589421219001</v>
      </c>
      <c r="M351" s="5">
        <v>17.7584037210261</v>
      </c>
      <c r="N351" s="5">
        <v>17.7584037210261</v>
      </c>
      <c r="O351" s="5">
        <v>17.7584037210261</v>
      </c>
      <c r="P351" s="5">
        <v>0.0</v>
      </c>
      <c r="Q351" s="5">
        <v>0.0</v>
      </c>
      <c r="R351" s="5">
        <v>0.0</v>
      </c>
      <c r="S351" s="5">
        <v>24.435463880385</v>
      </c>
    </row>
    <row r="352">
      <c r="A352" s="6">
        <v>40862.0</v>
      </c>
      <c r="B352" s="5">
        <v>6.59489638694975</v>
      </c>
      <c r="C352" s="5">
        <v>-38.7147942691508</v>
      </c>
      <c r="D352" s="5">
        <v>86.3933830489846</v>
      </c>
      <c r="E352" s="5">
        <v>6.59489638694975</v>
      </c>
      <c r="F352" s="5">
        <v>6.59489638694975</v>
      </c>
      <c r="G352" s="5">
        <v>17.776652622453</v>
      </c>
      <c r="H352" s="5">
        <v>17.776652622453</v>
      </c>
      <c r="I352" s="5">
        <v>17.776652622453</v>
      </c>
      <c r="J352" s="5">
        <v>-0.144118857244472</v>
      </c>
      <c r="K352" s="5">
        <v>-0.144118857244472</v>
      </c>
      <c r="L352" s="5">
        <v>-0.144118857244472</v>
      </c>
      <c r="M352" s="5">
        <v>17.9207714796975</v>
      </c>
      <c r="N352" s="5">
        <v>17.9207714796975</v>
      </c>
      <c r="O352" s="5">
        <v>17.9207714796975</v>
      </c>
      <c r="P352" s="5">
        <v>0.0</v>
      </c>
      <c r="Q352" s="5">
        <v>0.0</v>
      </c>
      <c r="R352" s="5">
        <v>0.0</v>
      </c>
      <c r="S352" s="5">
        <v>24.3715490094028</v>
      </c>
    </row>
    <row r="353">
      <c r="A353" s="6">
        <v>40863.0</v>
      </c>
      <c r="B353" s="5">
        <v>6.60329155666252</v>
      </c>
      <c r="C353" s="5">
        <v>-39.192985564737</v>
      </c>
      <c r="D353" s="5">
        <v>89.3731035341201</v>
      </c>
      <c r="E353" s="5">
        <v>6.60329155666252</v>
      </c>
      <c r="F353" s="5">
        <v>6.60329155666252</v>
      </c>
      <c r="G353" s="5">
        <v>18.1195225802846</v>
      </c>
      <c r="H353" s="5">
        <v>18.1195225802846</v>
      </c>
      <c r="I353" s="5">
        <v>18.1195225802846</v>
      </c>
      <c r="J353" s="5">
        <v>0.00703780528121038</v>
      </c>
      <c r="K353" s="5">
        <v>0.00703780528121038</v>
      </c>
      <c r="L353" s="5">
        <v>0.00703780528121038</v>
      </c>
      <c r="M353" s="5">
        <v>18.1124847750034</v>
      </c>
      <c r="N353" s="5">
        <v>18.1124847750034</v>
      </c>
      <c r="O353" s="5">
        <v>18.1124847750034</v>
      </c>
      <c r="P353" s="5">
        <v>0.0</v>
      </c>
      <c r="Q353" s="5">
        <v>0.0</v>
      </c>
      <c r="R353" s="5">
        <v>0.0</v>
      </c>
      <c r="S353" s="5">
        <v>24.7228141369471</v>
      </c>
    </row>
    <row r="354">
      <c r="A354" s="6">
        <v>40864.0</v>
      </c>
      <c r="B354" s="5">
        <v>6.61168672637528</v>
      </c>
      <c r="C354" s="5">
        <v>-39.4767398195102</v>
      </c>
      <c r="D354" s="5">
        <v>87.3681258985736</v>
      </c>
      <c r="E354" s="5">
        <v>6.61168672637528</v>
      </c>
      <c r="F354" s="5">
        <v>6.61168672637528</v>
      </c>
      <c r="G354" s="5">
        <v>17.5557668848753</v>
      </c>
      <c r="H354" s="5">
        <v>17.5557668848753</v>
      </c>
      <c r="I354" s="5">
        <v>17.5557668848753</v>
      </c>
      <c r="J354" s="5">
        <v>-0.776422525905844</v>
      </c>
      <c r="K354" s="5">
        <v>-0.776422525905844</v>
      </c>
      <c r="L354" s="5">
        <v>-0.776422525905844</v>
      </c>
      <c r="M354" s="5">
        <v>18.3321894107811</v>
      </c>
      <c r="N354" s="5">
        <v>18.3321894107811</v>
      </c>
      <c r="O354" s="5">
        <v>18.3321894107811</v>
      </c>
      <c r="P354" s="5">
        <v>0.0</v>
      </c>
      <c r="Q354" s="5">
        <v>0.0</v>
      </c>
      <c r="R354" s="5">
        <v>0.0</v>
      </c>
      <c r="S354" s="5">
        <v>24.1674536112506</v>
      </c>
    </row>
    <row r="355">
      <c r="A355" s="6">
        <v>40865.0</v>
      </c>
      <c r="B355" s="5">
        <v>6.62008189608805</v>
      </c>
      <c r="C355" s="5">
        <v>-36.9008592033123</v>
      </c>
      <c r="D355" s="5">
        <v>82.6271010245674</v>
      </c>
      <c r="E355" s="5">
        <v>6.62008189608805</v>
      </c>
      <c r="F355" s="5">
        <v>6.62008189608805</v>
      </c>
      <c r="G355" s="5">
        <v>16.9850936792397</v>
      </c>
      <c r="H355" s="5">
        <v>16.9850936792397</v>
      </c>
      <c r="I355" s="5">
        <v>16.9850936792397</v>
      </c>
      <c r="J355" s="5">
        <v>-1.59155056649517</v>
      </c>
      <c r="K355" s="5">
        <v>-1.59155056649517</v>
      </c>
      <c r="L355" s="5">
        <v>-1.59155056649517</v>
      </c>
      <c r="M355" s="5">
        <v>18.5766442457348</v>
      </c>
      <c r="N355" s="5">
        <v>18.5766442457348</v>
      </c>
      <c r="O355" s="5">
        <v>18.5766442457348</v>
      </c>
      <c r="P355" s="5">
        <v>0.0</v>
      </c>
      <c r="Q355" s="5">
        <v>0.0</v>
      </c>
      <c r="R355" s="5">
        <v>0.0</v>
      </c>
      <c r="S355" s="5">
        <v>23.6051755753277</v>
      </c>
    </row>
    <row r="356">
      <c r="A356" s="6">
        <v>40868.0</v>
      </c>
      <c r="B356" s="5">
        <v>6.64526740522635</v>
      </c>
      <c r="C356" s="5">
        <v>-34.6600783514842</v>
      </c>
      <c r="D356" s="5">
        <v>92.5531508961242</v>
      </c>
      <c r="E356" s="5">
        <v>6.64526740522635</v>
      </c>
      <c r="F356" s="5">
        <v>6.64526740522635</v>
      </c>
      <c r="G356" s="5">
        <v>19.4913891087304</v>
      </c>
      <c r="H356" s="5">
        <v>19.4913891087304</v>
      </c>
      <c r="I356" s="5">
        <v>19.4913891087304</v>
      </c>
      <c r="J356" s="5">
        <v>0.0905589421204627</v>
      </c>
      <c r="K356" s="5">
        <v>0.0905589421204627</v>
      </c>
      <c r="L356" s="5">
        <v>0.0905589421204627</v>
      </c>
      <c r="M356" s="5">
        <v>19.4008301666099</v>
      </c>
      <c r="N356" s="5">
        <v>19.4008301666099</v>
      </c>
      <c r="O356" s="5">
        <v>19.4008301666099</v>
      </c>
      <c r="P356" s="5">
        <v>0.0</v>
      </c>
      <c r="Q356" s="5">
        <v>0.0</v>
      </c>
      <c r="R356" s="5">
        <v>0.0</v>
      </c>
      <c r="S356" s="5">
        <v>26.1366565139567</v>
      </c>
    </row>
    <row r="357">
      <c r="A357" s="6">
        <v>40869.0</v>
      </c>
      <c r="B357" s="5">
        <v>6.65366257493912</v>
      </c>
      <c r="C357" s="5">
        <v>-33.3183848651472</v>
      </c>
      <c r="D357" s="5">
        <v>88.3599183119917</v>
      </c>
      <c r="E357" s="5">
        <v>6.65366257493912</v>
      </c>
      <c r="F357" s="5">
        <v>6.65366257493912</v>
      </c>
      <c r="G357" s="5">
        <v>19.5356080016362</v>
      </c>
      <c r="H357" s="5">
        <v>19.5356080016362</v>
      </c>
      <c r="I357" s="5">
        <v>19.5356080016362</v>
      </c>
      <c r="J357" s="5">
        <v>-0.144118857243383</v>
      </c>
      <c r="K357" s="5">
        <v>-0.144118857243383</v>
      </c>
      <c r="L357" s="5">
        <v>-0.144118857243383</v>
      </c>
      <c r="M357" s="5">
        <v>19.6797268588795</v>
      </c>
      <c r="N357" s="5">
        <v>19.6797268588795</v>
      </c>
      <c r="O357" s="5">
        <v>19.6797268588795</v>
      </c>
      <c r="P357" s="5">
        <v>0.0</v>
      </c>
      <c r="Q357" s="5">
        <v>0.0</v>
      </c>
      <c r="R357" s="5">
        <v>0.0</v>
      </c>
      <c r="S357" s="5">
        <v>26.1892705765753</v>
      </c>
    </row>
    <row r="358">
      <c r="A358" s="6">
        <v>40870.0</v>
      </c>
      <c r="B358" s="5">
        <v>6.66205774465189</v>
      </c>
      <c r="C358" s="5">
        <v>-37.9606693415394</v>
      </c>
      <c r="D358" s="5">
        <v>91.0090587353713</v>
      </c>
      <c r="E358" s="5">
        <v>6.66205774465189</v>
      </c>
      <c r="F358" s="5">
        <v>6.66205774465189</v>
      </c>
      <c r="G358" s="5">
        <v>19.952250535158</v>
      </c>
      <c r="H358" s="5">
        <v>19.952250535158</v>
      </c>
      <c r="I358" s="5">
        <v>19.952250535158</v>
      </c>
      <c r="J358" s="5">
        <v>0.00703780528351282</v>
      </c>
      <c r="K358" s="5">
        <v>0.00703780528351282</v>
      </c>
      <c r="L358" s="5">
        <v>0.00703780528351282</v>
      </c>
      <c r="M358" s="5">
        <v>19.9452127298745</v>
      </c>
      <c r="N358" s="5">
        <v>19.9452127298745</v>
      </c>
      <c r="O358" s="5">
        <v>19.9452127298745</v>
      </c>
      <c r="P358" s="5">
        <v>0.0</v>
      </c>
      <c r="Q358" s="5">
        <v>0.0</v>
      </c>
      <c r="R358" s="5">
        <v>0.0</v>
      </c>
      <c r="S358" s="5">
        <v>26.6143082798099</v>
      </c>
    </row>
    <row r="359">
      <c r="A359" s="6">
        <v>40872.0</v>
      </c>
      <c r="B359" s="5">
        <v>6.67884808407742</v>
      </c>
      <c r="C359" s="5">
        <v>-37.4850057155412</v>
      </c>
      <c r="D359" s="5">
        <v>87.7977799935603</v>
      </c>
      <c r="E359" s="5">
        <v>6.67884808407742</v>
      </c>
      <c r="F359" s="5">
        <v>6.67884808407742</v>
      </c>
      <c r="G359" s="5">
        <v>18.8041722530909</v>
      </c>
      <c r="H359" s="5">
        <v>18.8041722530909</v>
      </c>
      <c r="I359" s="5">
        <v>18.8041722530909</v>
      </c>
      <c r="J359" s="5">
        <v>-1.59155056649456</v>
      </c>
      <c r="K359" s="5">
        <v>-1.59155056649456</v>
      </c>
      <c r="L359" s="5">
        <v>-1.59155056649456</v>
      </c>
      <c r="M359" s="5">
        <v>20.3957228195854</v>
      </c>
      <c r="N359" s="5">
        <v>20.3957228195854</v>
      </c>
      <c r="O359" s="5">
        <v>20.3957228195854</v>
      </c>
      <c r="P359" s="5">
        <v>0.0</v>
      </c>
      <c r="Q359" s="5">
        <v>0.0</v>
      </c>
      <c r="R359" s="5">
        <v>0.0</v>
      </c>
      <c r="S359" s="5">
        <v>25.4830203371683</v>
      </c>
    </row>
    <row r="360">
      <c r="A360" s="6">
        <v>40875.0</v>
      </c>
      <c r="B360" s="5">
        <v>6.70403359321573</v>
      </c>
      <c r="C360" s="5">
        <v>-34.3697465736084</v>
      </c>
      <c r="D360" s="5">
        <v>92.4471460724211</v>
      </c>
      <c r="E360" s="5">
        <v>6.70403359321573</v>
      </c>
      <c r="F360" s="5">
        <v>6.70403359321573</v>
      </c>
      <c r="G360" s="5">
        <v>20.8181504955627</v>
      </c>
      <c r="H360" s="5">
        <v>20.8181504955627</v>
      </c>
      <c r="I360" s="5">
        <v>20.8181504955627</v>
      </c>
      <c r="J360" s="5">
        <v>0.0905589421239532</v>
      </c>
      <c r="K360" s="5">
        <v>0.0905589421239532</v>
      </c>
      <c r="L360" s="5">
        <v>0.0905589421239532</v>
      </c>
      <c r="M360" s="5">
        <v>20.7275915534387</v>
      </c>
      <c r="N360" s="5">
        <v>20.7275915534387</v>
      </c>
      <c r="O360" s="5">
        <v>20.7275915534387</v>
      </c>
      <c r="P360" s="5">
        <v>0.0</v>
      </c>
      <c r="Q360" s="5">
        <v>0.0</v>
      </c>
      <c r="R360" s="5">
        <v>0.0</v>
      </c>
      <c r="S360" s="5">
        <v>27.5221840887784</v>
      </c>
    </row>
    <row r="361">
      <c r="A361" s="6">
        <v>40876.0</v>
      </c>
      <c r="B361" s="5">
        <v>6.71242876292849</v>
      </c>
      <c r="C361" s="5">
        <v>-39.3540583855638</v>
      </c>
      <c r="D361" s="5">
        <v>91.0972490639744</v>
      </c>
      <c r="E361" s="5">
        <v>6.71242876292849</v>
      </c>
      <c r="F361" s="5">
        <v>6.71242876292849</v>
      </c>
      <c r="G361" s="5">
        <v>20.5706204464234</v>
      </c>
      <c r="H361" s="5">
        <v>20.5706204464234</v>
      </c>
      <c r="I361" s="5">
        <v>20.5706204464234</v>
      </c>
      <c r="J361" s="5">
        <v>-0.144118857246233</v>
      </c>
      <c r="K361" s="5">
        <v>-0.144118857246233</v>
      </c>
      <c r="L361" s="5">
        <v>-0.144118857246233</v>
      </c>
      <c r="M361" s="5">
        <v>20.7147393036696</v>
      </c>
      <c r="N361" s="5">
        <v>20.7147393036696</v>
      </c>
      <c r="O361" s="5">
        <v>20.7147393036696</v>
      </c>
      <c r="P361" s="5">
        <v>0.0</v>
      </c>
      <c r="Q361" s="5">
        <v>0.0</v>
      </c>
      <c r="R361" s="5">
        <v>0.0</v>
      </c>
      <c r="S361" s="5">
        <v>27.2830492093519</v>
      </c>
    </row>
    <row r="362">
      <c r="A362" s="6">
        <v>40877.0</v>
      </c>
      <c r="B362" s="5">
        <v>6.72082393264126</v>
      </c>
      <c r="C362" s="5">
        <v>-32.559948699844</v>
      </c>
      <c r="D362" s="5">
        <v>86.6703701749305</v>
      </c>
      <c r="E362" s="5">
        <v>6.72082393264126</v>
      </c>
      <c r="F362" s="5">
        <v>6.72082393264126</v>
      </c>
      <c r="G362" s="5">
        <v>20.6381433173093</v>
      </c>
      <c r="H362" s="5">
        <v>20.6381433173093</v>
      </c>
      <c r="I362" s="5">
        <v>20.6381433173093</v>
      </c>
      <c r="J362" s="5">
        <v>0.00703780528266026</v>
      </c>
      <c r="K362" s="5">
        <v>0.00703780528266026</v>
      </c>
      <c r="L362" s="5">
        <v>0.00703780528266026</v>
      </c>
      <c r="M362" s="5">
        <v>20.6311055120266</v>
      </c>
      <c r="N362" s="5">
        <v>20.6311055120266</v>
      </c>
      <c r="O362" s="5">
        <v>20.6311055120266</v>
      </c>
      <c r="P362" s="5">
        <v>0.0</v>
      </c>
      <c r="Q362" s="5">
        <v>0.0</v>
      </c>
      <c r="R362" s="5">
        <v>0.0</v>
      </c>
      <c r="S362" s="5">
        <v>27.3589672499505</v>
      </c>
    </row>
    <row r="363">
      <c r="A363" s="6">
        <v>40878.0</v>
      </c>
      <c r="B363" s="5">
        <v>6.72921910235403</v>
      </c>
      <c r="C363" s="5">
        <v>-33.5344125338423</v>
      </c>
      <c r="D363" s="5">
        <v>87.0341757723755</v>
      </c>
      <c r="E363" s="5">
        <v>6.72921910235403</v>
      </c>
      <c r="F363" s="5">
        <v>6.72921910235403</v>
      </c>
      <c r="G363" s="5">
        <v>19.6976721374986</v>
      </c>
      <c r="H363" s="5">
        <v>19.6976721374986</v>
      </c>
      <c r="I363" s="5">
        <v>19.6976721374986</v>
      </c>
      <c r="J363" s="5">
        <v>-0.776422525904438</v>
      </c>
      <c r="K363" s="5">
        <v>-0.776422525904438</v>
      </c>
      <c r="L363" s="5">
        <v>-0.776422525904438</v>
      </c>
      <c r="M363" s="5">
        <v>20.474094663403</v>
      </c>
      <c r="N363" s="5">
        <v>20.474094663403</v>
      </c>
      <c r="O363" s="5">
        <v>20.474094663403</v>
      </c>
      <c r="P363" s="5">
        <v>0.0</v>
      </c>
      <c r="Q363" s="5">
        <v>0.0</v>
      </c>
      <c r="R363" s="5">
        <v>0.0</v>
      </c>
      <c r="S363" s="5">
        <v>26.4268912398526</v>
      </c>
    </row>
    <row r="364">
      <c r="A364" s="6">
        <v>40879.0</v>
      </c>
      <c r="B364" s="5">
        <v>6.7376142720668</v>
      </c>
      <c r="C364" s="5">
        <v>-39.5642528959153</v>
      </c>
      <c r="D364" s="5">
        <v>89.0060562909324</v>
      </c>
      <c r="E364" s="5">
        <v>6.7376142720668</v>
      </c>
      <c r="F364" s="5">
        <v>6.7376142720668</v>
      </c>
      <c r="G364" s="5">
        <v>18.6517349618405</v>
      </c>
      <c r="H364" s="5">
        <v>18.6517349618405</v>
      </c>
      <c r="I364" s="5">
        <v>18.6517349618405</v>
      </c>
      <c r="J364" s="5">
        <v>-1.59155056649332</v>
      </c>
      <c r="K364" s="5">
        <v>-1.59155056649332</v>
      </c>
      <c r="L364" s="5">
        <v>-1.59155056649332</v>
      </c>
      <c r="M364" s="5">
        <v>20.2432855283338</v>
      </c>
      <c r="N364" s="5">
        <v>20.2432855283338</v>
      </c>
      <c r="O364" s="5">
        <v>20.2432855283338</v>
      </c>
      <c r="P364" s="5">
        <v>0.0</v>
      </c>
      <c r="Q364" s="5">
        <v>0.0</v>
      </c>
      <c r="R364" s="5">
        <v>0.0</v>
      </c>
      <c r="S364" s="5">
        <v>25.3893492339073</v>
      </c>
    </row>
    <row r="365">
      <c r="A365" s="6">
        <v>40882.0</v>
      </c>
      <c r="B365" s="5">
        <v>6.7627997812051</v>
      </c>
      <c r="C365" s="5">
        <v>-32.5936551445661</v>
      </c>
      <c r="D365" s="5">
        <v>89.7420581372675</v>
      </c>
      <c r="E365" s="5">
        <v>6.7627997812051</v>
      </c>
      <c r="F365" s="5">
        <v>6.7627997812051</v>
      </c>
      <c r="G365" s="5">
        <v>19.2291303205792</v>
      </c>
      <c r="H365" s="5">
        <v>19.2291303205792</v>
      </c>
      <c r="I365" s="5">
        <v>19.2291303205792</v>
      </c>
      <c r="J365" s="5">
        <v>0.0905589421225157</v>
      </c>
      <c r="K365" s="5">
        <v>0.0905589421225157</v>
      </c>
      <c r="L365" s="5">
        <v>0.0905589421225157</v>
      </c>
      <c r="M365" s="5">
        <v>19.1385713784567</v>
      </c>
      <c r="N365" s="5">
        <v>19.1385713784567</v>
      </c>
      <c r="O365" s="5">
        <v>19.1385713784567</v>
      </c>
      <c r="P365" s="5">
        <v>0.0</v>
      </c>
      <c r="Q365" s="5">
        <v>0.0</v>
      </c>
      <c r="R365" s="5">
        <v>0.0</v>
      </c>
      <c r="S365" s="5">
        <v>25.9919301017843</v>
      </c>
    </row>
    <row r="366">
      <c r="A366" s="6">
        <v>40883.0</v>
      </c>
      <c r="B366" s="5">
        <v>6.77119495091786</v>
      </c>
      <c r="C366" s="5">
        <v>-39.5344099270131</v>
      </c>
      <c r="D366" s="5">
        <v>85.7734073833257</v>
      </c>
      <c r="E366" s="5">
        <v>6.77119495091786</v>
      </c>
      <c r="F366" s="5">
        <v>6.77119495091786</v>
      </c>
      <c r="G366" s="5">
        <v>18.5105736071754</v>
      </c>
      <c r="H366" s="5">
        <v>18.5105736071754</v>
      </c>
      <c r="I366" s="5">
        <v>18.5105736071754</v>
      </c>
      <c r="J366" s="5">
        <v>-0.144118857242622</v>
      </c>
      <c r="K366" s="5">
        <v>-0.144118857242622</v>
      </c>
      <c r="L366" s="5">
        <v>-0.144118857242622</v>
      </c>
      <c r="M366" s="5">
        <v>18.654692464418</v>
      </c>
      <c r="N366" s="5">
        <v>18.654692464418</v>
      </c>
      <c r="O366" s="5">
        <v>18.654692464418</v>
      </c>
      <c r="P366" s="5">
        <v>0.0</v>
      </c>
      <c r="Q366" s="5">
        <v>0.0</v>
      </c>
      <c r="R366" s="5">
        <v>0.0</v>
      </c>
      <c r="S366" s="5">
        <v>25.2817685580933</v>
      </c>
    </row>
    <row r="367">
      <c r="A367" s="6">
        <v>40884.0</v>
      </c>
      <c r="B367" s="5">
        <v>6.77959012063063</v>
      </c>
      <c r="C367" s="5">
        <v>-37.1580164556609</v>
      </c>
      <c r="D367" s="5">
        <v>84.8811401716429</v>
      </c>
      <c r="E367" s="5">
        <v>6.77959012063063</v>
      </c>
      <c r="F367" s="5">
        <v>6.77959012063063</v>
      </c>
      <c r="G367" s="5">
        <v>18.1364255502142</v>
      </c>
      <c r="H367" s="5">
        <v>18.1364255502142</v>
      </c>
      <c r="I367" s="5">
        <v>18.1364255502142</v>
      </c>
      <c r="J367" s="5">
        <v>0.00703780528180781</v>
      </c>
      <c r="K367" s="5">
        <v>0.00703780528180781</v>
      </c>
      <c r="L367" s="5">
        <v>0.00703780528180781</v>
      </c>
      <c r="M367" s="5">
        <v>18.1293877449323</v>
      </c>
      <c r="N367" s="5">
        <v>18.1293877449323</v>
      </c>
      <c r="O367" s="5">
        <v>18.1293877449323</v>
      </c>
      <c r="P367" s="5">
        <v>0.0</v>
      </c>
      <c r="Q367" s="5">
        <v>0.0</v>
      </c>
      <c r="R367" s="5">
        <v>0.0</v>
      </c>
      <c r="S367" s="5">
        <v>24.9160156708448</v>
      </c>
    </row>
    <row r="368">
      <c r="A368" s="6">
        <v>40885.0</v>
      </c>
      <c r="B368" s="5">
        <v>6.7879852903434</v>
      </c>
      <c r="C368" s="5">
        <v>-36.5817561870963</v>
      </c>
      <c r="D368" s="5">
        <v>84.0125621259261</v>
      </c>
      <c r="E368" s="5">
        <v>6.7879852903434</v>
      </c>
      <c r="F368" s="5">
        <v>6.7879852903434</v>
      </c>
      <c r="G368" s="5">
        <v>16.7989903333839</v>
      </c>
      <c r="H368" s="5">
        <v>16.7989903333839</v>
      </c>
      <c r="I368" s="5">
        <v>16.7989903333839</v>
      </c>
      <c r="J368" s="5">
        <v>-0.776422525900935</v>
      </c>
      <c r="K368" s="5">
        <v>-0.776422525900935</v>
      </c>
      <c r="L368" s="5">
        <v>-0.776422525900935</v>
      </c>
      <c r="M368" s="5">
        <v>17.5754128592848</v>
      </c>
      <c r="N368" s="5">
        <v>17.5754128592848</v>
      </c>
      <c r="O368" s="5">
        <v>17.5754128592848</v>
      </c>
      <c r="P368" s="5">
        <v>0.0</v>
      </c>
      <c r="Q368" s="5">
        <v>0.0</v>
      </c>
      <c r="R368" s="5">
        <v>0.0</v>
      </c>
      <c r="S368" s="5">
        <v>23.5869756237273</v>
      </c>
    </row>
    <row r="369">
      <c r="A369" s="6">
        <v>40886.0</v>
      </c>
      <c r="B369" s="5">
        <v>6.79638046005617</v>
      </c>
      <c r="C369" s="5">
        <v>-41.5162996792236</v>
      </c>
      <c r="D369" s="5">
        <v>89.6606823802015</v>
      </c>
      <c r="E369" s="5">
        <v>6.79638046005617</v>
      </c>
      <c r="F369" s="5">
        <v>6.79638046005617</v>
      </c>
      <c r="G369" s="5">
        <v>15.4155432713893</v>
      </c>
      <c r="H369" s="5">
        <v>15.4155432713893</v>
      </c>
      <c r="I369" s="5">
        <v>15.4155432713893</v>
      </c>
      <c r="J369" s="5">
        <v>-1.59155056649482</v>
      </c>
      <c r="K369" s="5">
        <v>-1.59155056649482</v>
      </c>
      <c r="L369" s="5">
        <v>-1.59155056649482</v>
      </c>
      <c r="M369" s="5">
        <v>17.0070938378842</v>
      </c>
      <c r="N369" s="5">
        <v>17.0070938378842</v>
      </c>
      <c r="O369" s="5">
        <v>17.0070938378842</v>
      </c>
      <c r="P369" s="5">
        <v>0.0</v>
      </c>
      <c r="Q369" s="5">
        <v>0.0</v>
      </c>
      <c r="R369" s="5">
        <v>0.0</v>
      </c>
      <c r="S369" s="5">
        <v>22.2119237314455</v>
      </c>
    </row>
    <row r="370">
      <c r="A370" s="6">
        <v>40889.0</v>
      </c>
      <c r="B370" s="5">
        <v>6.82156596919447</v>
      </c>
      <c r="C370" s="5">
        <v>-41.561328127429</v>
      </c>
      <c r="D370" s="5">
        <v>86.5000948042285</v>
      </c>
      <c r="E370" s="5">
        <v>6.82156596919447</v>
      </c>
      <c r="F370" s="5">
        <v>6.82156596919447</v>
      </c>
      <c r="G370" s="5">
        <v>15.4659147141255</v>
      </c>
      <c r="H370" s="5">
        <v>15.4659147141255</v>
      </c>
      <c r="I370" s="5">
        <v>15.4659147141255</v>
      </c>
      <c r="J370" s="5">
        <v>0.0905589421234623</v>
      </c>
      <c r="K370" s="5">
        <v>0.0905589421234623</v>
      </c>
      <c r="L370" s="5">
        <v>0.0905589421234623</v>
      </c>
      <c r="M370" s="5">
        <v>15.3753557720021</v>
      </c>
      <c r="N370" s="5">
        <v>15.3753557720021</v>
      </c>
      <c r="O370" s="5">
        <v>15.3753557720021</v>
      </c>
      <c r="P370" s="5">
        <v>0.0</v>
      </c>
      <c r="Q370" s="5">
        <v>0.0</v>
      </c>
      <c r="R370" s="5">
        <v>0.0</v>
      </c>
      <c r="S370" s="5">
        <v>22.28748068332</v>
      </c>
    </row>
    <row r="371">
      <c r="A371" s="6">
        <v>40890.0</v>
      </c>
      <c r="B371" s="5">
        <v>6.82996113890724</v>
      </c>
      <c r="C371" s="5">
        <v>-39.6261305580805</v>
      </c>
      <c r="D371" s="5">
        <v>88.6498963391974</v>
      </c>
      <c r="E371" s="5">
        <v>6.82996113890724</v>
      </c>
      <c r="F371" s="5">
        <v>6.82996113890724</v>
      </c>
      <c r="G371" s="5">
        <v>14.767285113682</v>
      </c>
      <c r="H371" s="5">
        <v>14.767285113682</v>
      </c>
      <c r="I371" s="5">
        <v>14.767285113682</v>
      </c>
      <c r="J371" s="5">
        <v>-0.144118857244057</v>
      </c>
      <c r="K371" s="5">
        <v>-0.144118857244057</v>
      </c>
      <c r="L371" s="5">
        <v>-0.144118857244057</v>
      </c>
      <c r="M371" s="5">
        <v>14.9114039709261</v>
      </c>
      <c r="N371" s="5">
        <v>14.9114039709261</v>
      </c>
      <c r="O371" s="5">
        <v>14.9114039709261</v>
      </c>
      <c r="P371" s="5">
        <v>0.0</v>
      </c>
      <c r="Q371" s="5">
        <v>0.0</v>
      </c>
      <c r="R371" s="5">
        <v>0.0</v>
      </c>
      <c r="S371" s="5">
        <v>21.5972462525892</v>
      </c>
    </row>
    <row r="372">
      <c r="A372" s="6">
        <v>40891.0</v>
      </c>
      <c r="B372" s="5">
        <v>6.83835630862</v>
      </c>
      <c r="C372" s="5">
        <v>-46.5215745378286</v>
      </c>
      <c r="D372" s="5">
        <v>87.0754436280242</v>
      </c>
      <c r="E372" s="5">
        <v>6.83835630862</v>
      </c>
      <c r="F372" s="5">
        <v>6.83835630862</v>
      </c>
      <c r="G372" s="5">
        <v>14.5219193129084</v>
      </c>
      <c r="H372" s="5">
        <v>14.5219193129084</v>
      </c>
      <c r="I372" s="5">
        <v>14.5219193129084</v>
      </c>
      <c r="J372" s="5">
        <v>0.00703780528095529</v>
      </c>
      <c r="K372" s="5">
        <v>0.00703780528095529</v>
      </c>
      <c r="L372" s="5">
        <v>0.00703780528095529</v>
      </c>
      <c r="M372" s="5">
        <v>14.5148815076274</v>
      </c>
      <c r="N372" s="5">
        <v>14.5148815076274</v>
      </c>
      <c r="O372" s="5">
        <v>14.5148815076274</v>
      </c>
      <c r="P372" s="5">
        <v>0.0</v>
      </c>
      <c r="Q372" s="5">
        <v>0.0</v>
      </c>
      <c r="R372" s="5">
        <v>0.0</v>
      </c>
      <c r="S372" s="5">
        <v>21.3602756215284</v>
      </c>
    </row>
    <row r="373">
      <c r="A373" s="6">
        <v>40892.0</v>
      </c>
      <c r="B373" s="5">
        <v>6.84675147833277</v>
      </c>
      <c r="C373" s="5">
        <v>-40.4117123304148</v>
      </c>
      <c r="D373" s="5">
        <v>83.4524067443814</v>
      </c>
      <c r="E373" s="5">
        <v>6.84675147833277</v>
      </c>
      <c r="F373" s="5">
        <v>6.84675147833277</v>
      </c>
      <c r="G373" s="5">
        <v>13.4246768741711</v>
      </c>
      <c r="H373" s="5">
        <v>13.4246768741711</v>
      </c>
      <c r="I373" s="5">
        <v>13.4246768741711</v>
      </c>
      <c r="J373" s="5">
        <v>-0.776422525900182</v>
      </c>
      <c r="K373" s="5">
        <v>-0.776422525900182</v>
      </c>
      <c r="L373" s="5">
        <v>-0.776422525900182</v>
      </c>
      <c r="M373" s="5">
        <v>14.2010994000713</v>
      </c>
      <c r="N373" s="5">
        <v>14.2010994000713</v>
      </c>
      <c r="O373" s="5">
        <v>14.2010994000713</v>
      </c>
      <c r="P373" s="5">
        <v>0.0</v>
      </c>
      <c r="Q373" s="5">
        <v>0.0</v>
      </c>
      <c r="R373" s="5">
        <v>0.0</v>
      </c>
      <c r="S373" s="5">
        <v>20.2714283525039</v>
      </c>
    </row>
    <row r="374">
      <c r="A374" s="6">
        <v>40893.0</v>
      </c>
      <c r="B374" s="5">
        <v>6.85514664804554</v>
      </c>
      <c r="C374" s="5">
        <v>-49.5020604301725</v>
      </c>
      <c r="D374" s="5">
        <v>80.5932395683906</v>
      </c>
      <c r="E374" s="5">
        <v>6.85514664804554</v>
      </c>
      <c r="F374" s="5">
        <v>6.85514664804554</v>
      </c>
      <c r="G374" s="5">
        <v>12.392418422102</v>
      </c>
      <c r="H374" s="5">
        <v>12.392418422102</v>
      </c>
      <c r="I374" s="5">
        <v>12.392418422102</v>
      </c>
      <c r="J374" s="5">
        <v>-1.5915505664939</v>
      </c>
      <c r="K374" s="5">
        <v>-1.5915505664939</v>
      </c>
      <c r="L374" s="5">
        <v>-1.5915505664939</v>
      </c>
      <c r="M374" s="5">
        <v>13.9839689885959</v>
      </c>
      <c r="N374" s="5">
        <v>13.9839689885959</v>
      </c>
      <c r="O374" s="5">
        <v>13.9839689885959</v>
      </c>
      <c r="P374" s="5">
        <v>0.0</v>
      </c>
      <c r="Q374" s="5">
        <v>0.0</v>
      </c>
      <c r="R374" s="5">
        <v>0.0</v>
      </c>
      <c r="S374" s="5">
        <v>19.2475650701475</v>
      </c>
    </row>
    <row r="375">
      <c r="A375" s="6">
        <v>40896.0</v>
      </c>
      <c r="B375" s="5">
        <v>6.88033215718384</v>
      </c>
      <c r="C375" s="5">
        <v>-42.320912966094</v>
      </c>
      <c r="D375" s="5">
        <v>83.3294333458039</v>
      </c>
      <c r="E375" s="5">
        <v>6.88033215718384</v>
      </c>
      <c r="F375" s="5">
        <v>6.88033215718384</v>
      </c>
      <c r="G375" s="5">
        <v>14.1127054197203</v>
      </c>
      <c r="H375" s="5">
        <v>14.1127054197203</v>
      </c>
      <c r="I375" s="5">
        <v>14.1127054197203</v>
      </c>
      <c r="J375" s="5">
        <v>0.090558942119641</v>
      </c>
      <c r="K375" s="5">
        <v>0.090558942119641</v>
      </c>
      <c r="L375" s="5">
        <v>0.090558942119641</v>
      </c>
      <c r="M375" s="5">
        <v>14.0221464776007</v>
      </c>
      <c r="N375" s="5">
        <v>14.0221464776007</v>
      </c>
      <c r="O375" s="5">
        <v>14.0221464776007</v>
      </c>
      <c r="P375" s="5">
        <v>0.0</v>
      </c>
      <c r="Q375" s="5">
        <v>0.0</v>
      </c>
      <c r="R375" s="5">
        <v>0.0</v>
      </c>
      <c r="S375" s="5">
        <v>20.9930375769042</v>
      </c>
    </row>
    <row r="376">
      <c r="A376" s="6">
        <v>40897.0</v>
      </c>
      <c r="B376" s="5">
        <v>6.88872732689661</v>
      </c>
      <c r="C376" s="5">
        <v>-40.3369464930166</v>
      </c>
      <c r="D376" s="5">
        <v>85.4630051789897</v>
      </c>
      <c r="E376" s="5">
        <v>6.88872732689661</v>
      </c>
      <c r="F376" s="5">
        <v>6.88872732689661</v>
      </c>
      <c r="G376" s="5">
        <v>14.1449517650708</v>
      </c>
      <c r="H376" s="5">
        <v>14.1449517650708</v>
      </c>
      <c r="I376" s="5">
        <v>14.1449517650708</v>
      </c>
      <c r="J376" s="5">
        <v>-0.144118857246907</v>
      </c>
      <c r="K376" s="5">
        <v>-0.144118857246907</v>
      </c>
      <c r="L376" s="5">
        <v>-0.144118857246907</v>
      </c>
      <c r="M376" s="5">
        <v>14.2890706223177</v>
      </c>
      <c r="N376" s="5">
        <v>14.2890706223177</v>
      </c>
      <c r="O376" s="5">
        <v>14.2890706223177</v>
      </c>
      <c r="P376" s="5">
        <v>0.0</v>
      </c>
      <c r="Q376" s="5">
        <v>0.0</v>
      </c>
      <c r="R376" s="5">
        <v>0.0</v>
      </c>
      <c r="S376" s="5">
        <v>21.0336790919674</v>
      </c>
    </row>
    <row r="377">
      <c r="A377" s="6">
        <v>40898.0</v>
      </c>
      <c r="B377" s="5">
        <v>6.89712249660938</v>
      </c>
      <c r="C377" s="5">
        <v>-40.9489851006099</v>
      </c>
      <c r="D377" s="5">
        <v>87.8601564355141</v>
      </c>
      <c r="E377" s="5">
        <v>6.89712249660938</v>
      </c>
      <c r="F377" s="5">
        <v>6.89712249660938</v>
      </c>
      <c r="G377" s="5">
        <v>14.6952758029014</v>
      </c>
      <c r="H377" s="5">
        <v>14.6952758029014</v>
      </c>
      <c r="I377" s="5">
        <v>14.6952758029014</v>
      </c>
      <c r="J377" s="5">
        <v>0.00703780528325773</v>
      </c>
      <c r="K377" s="5">
        <v>0.00703780528325773</v>
      </c>
      <c r="L377" s="5">
        <v>0.00703780528325773</v>
      </c>
      <c r="M377" s="5">
        <v>14.6882379976181</v>
      </c>
      <c r="N377" s="5">
        <v>14.6882379976181</v>
      </c>
      <c r="O377" s="5">
        <v>14.6882379976181</v>
      </c>
      <c r="P377" s="5">
        <v>0.0</v>
      </c>
      <c r="Q377" s="5">
        <v>0.0</v>
      </c>
      <c r="R377" s="5">
        <v>0.0</v>
      </c>
      <c r="S377" s="5">
        <v>21.5923982995108</v>
      </c>
    </row>
    <row r="378">
      <c r="A378" s="6">
        <v>40899.0</v>
      </c>
      <c r="B378" s="5">
        <v>6.90551766632214</v>
      </c>
      <c r="C378" s="5">
        <v>-42.9257896331599</v>
      </c>
      <c r="D378" s="5">
        <v>82.9043502811535</v>
      </c>
      <c r="E378" s="5">
        <v>6.90551766632214</v>
      </c>
      <c r="F378" s="5">
        <v>6.90551766632214</v>
      </c>
      <c r="G378" s="5">
        <v>14.441737802887</v>
      </c>
      <c r="H378" s="5">
        <v>14.441737802887</v>
      </c>
      <c r="I378" s="5">
        <v>14.441737802887</v>
      </c>
      <c r="J378" s="5">
        <v>-0.776422525900904</v>
      </c>
      <c r="K378" s="5">
        <v>-0.776422525900904</v>
      </c>
      <c r="L378" s="5">
        <v>-0.776422525900904</v>
      </c>
      <c r="M378" s="5">
        <v>15.2181603287879</v>
      </c>
      <c r="N378" s="5">
        <v>15.2181603287879</v>
      </c>
      <c r="O378" s="5">
        <v>15.2181603287879</v>
      </c>
      <c r="P378" s="5">
        <v>0.0</v>
      </c>
      <c r="Q378" s="5">
        <v>0.0</v>
      </c>
      <c r="R378" s="5">
        <v>0.0</v>
      </c>
      <c r="S378" s="5">
        <v>21.3472554692091</v>
      </c>
    </row>
    <row r="379">
      <c r="A379" s="6">
        <v>40900.0</v>
      </c>
      <c r="B379" s="5">
        <v>6.91391283603491</v>
      </c>
      <c r="C379" s="5">
        <v>-43.7141511254073</v>
      </c>
      <c r="D379" s="5">
        <v>81.9759621038649</v>
      </c>
      <c r="E379" s="5">
        <v>6.91391283603491</v>
      </c>
      <c r="F379" s="5">
        <v>6.91391283603491</v>
      </c>
      <c r="G379" s="5">
        <v>14.2826537215222</v>
      </c>
      <c r="H379" s="5">
        <v>14.2826537215222</v>
      </c>
      <c r="I379" s="5">
        <v>14.2826537215222</v>
      </c>
      <c r="J379" s="5">
        <v>-1.59155056649266</v>
      </c>
      <c r="K379" s="5">
        <v>-1.59155056649266</v>
      </c>
      <c r="L379" s="5">
        <v>-1.59155056649266</v>
      </c>
      <c r="M379" s="5">
        <v>15.8742042880149</v>
      </c>
      <c r="N379" s="5">
        <v>15.8742042880149</v>
      </c>
      <c r="O379" s="5">
        <v>15.8742042880149</v>
      </c>
      <c r="P379" s="5">
        <v>0.0</v>
      </c>
      <c r="Q379" s="5">
        <v>0.0</v>
      </c>
      <c r="R379" s="5">
        <v>0.0</v>
      </c>
      <c r="S379" s="5">
        <v>21.1965665575571</v>
      </c>
    </row>
    <row r="380">
      <c r="A380" s="6">
        <v>40904.0</v>
      </c>
      <c r="B380" s="5">
        <v>6.94749351488598</v>
      </c>
      <c r="C380" s="5">
        <v>-41.927500574674</v>
      </c>
      <c r="D380" s="5">
        <v>88.6036058402604</v>
      </c>
      <c r="E380" s="5">
        <v>6.94749351488598</v>
      </c>
      <c r="F380" s="5">
        <v>6.94749351488598</v>
      </c>
      <c r="G380" s="5">
        <v>19.4172685665874</v>
      </c>
      <c r="H380" s="5">
        <v>19.4172685665874</v>
      </c>
      <c r="I380" s="5">
        <v>19.4172685665874</v>
      </c>
      <c r="J380" s="5">
        <v>-0.144118857245819</v>
      </c>
      <c r="K380" s="5">
        <v>-0.144118857245819</v>
      </c>
      <c r="L380" s="5">
        <v>-0.144118857245819</v>
      </c>
      <c r="M380" s="5">
        <v>19.5613874238332</v>
      </c>
      <c r="N380" s="5">
        <v>19.5613874238332</v>
      </c>
      <c r="O380" s="5">
        <v>19.5613874238332</v>
      </c>
      <c r="P380" s="5">
        <v>0.0</v>
      </c>
      <c r="Q380" s="5">
        <v>0.0</v>
      </c>
      <c r="R380" s="5">
        <v>0.0</v>
      </c>
      <c r="S380" s="5">
        <v>26.3647620814733</v>
      </c>
    </row>
    <row r="381">
      <c r="A381" s="6">
        <v>40905.0</v>
      </c>
      <c r="B381" s="5">
        <v>6.95808304095388</v>
      </c>
      <c r="C381" s="5">
        <v>-38.3048475147447</v>
      </c>
      <c r="D381" s="5">
        <v>89.3707066363022</v>
      </c>
      <c r="E381" s="5">
        <v>6.95808304095388</v>
      </c>
      <c r="F381" s="5">
        <v>6.95808304095388</v>
      </c>
      <c r="G381" s="5">
        <v>20.6828337215219</v>
      </c>
      <c r="H381" s="5">
        <v>20.6828337215219</v>
      </c>
      <c r="I381" s="5">
        <v>20.6828337215219</v>
      </c>
      <c r="J381" s="5">
        <v>0.00703780528024155</v>
      </c>
      <c r="K381" s="5">
        <v>0.00703780528024155</v>
      </c>
      <c r="L381" s="5">
        <v>0.00703780528024155</v>
      </c>
      <c r="M381" s="5">
        <v>20.6757959162416</v>
      </c>
      <c r="N381" s="5">
        <v>20.6757959162416</v>
      </c>
      <c r="O381" s="5">
        <v>20.6757959162416</v>
      </c>
      <c r="P381" s="5">
        <v>0.0</v>
      </c>
      <c r="Q381" s="5">
        <v>0.0</v>
      </c>
      <c r="R381" s="5">
        <v>0.0</v>
      </c>
      <c r="S381" s="5">
        <v>27.6409167624757</v>
      </c>
    </row>
    <row r="382">
      <c r="A382" s="6">
        <v>40906.0</v>
      </c>
      <c r="B382" s="5">
        <v>6.96867256702178</v>
      </c>
      <c r="C382" s="5">
        <v>-31.0654181775452</v>
      </c>
      <c r="D382" s="5">
        <v>84.9926752261767</v>
      </c>
      <c r="E382" s="5">
        <v>6.96867256702178</v>
      </c>
      <c r="F382" s="5">
        <v>6.96867256702178</v>
      </c>
      <c r="G382" s="5">
        <v>21.0538651317084</v>
      </c>
      <c r="H382" s="5">
        <v>21.0538651317084</v>
      </c>
      <c r="I382" s="5">
        <v>21.0538651317084</v>
      </c>
      <c r="J382" s="5">
        <v>-0.776422525901626</v>
      </c>
      <c r="K382" s="5">
        <v>-0.776422525901626</v>
      </c>
      <c r="L382" s="5">
        <v>-0.776422525901626</v>
      </c>
      <c r="M382" s="5">
        <v>21.83028765761</v>
      </c>
      <c r="N382" s="5">
        <v>21.83028765761</v>
      </c>
      <c r="O382" s="5">
        <v>21.83028765761</v>
      </c>
      <c r="P382" s="5">
        <v>0.0</v>
      </c>
      <c r="Q382" s="5">
        <v>0.0</v>
      </c>
      <c r="R382" s="5">
        <v>0.0</v>
      </c>
      <c r="S382" s="5">
        <v>28.0225376987302</v>
      </c>
    </row>
    <row r="383">
      <c r="A383" s="6">
        <v>40907.0</v>
      </c>
      <c r="B383" s="5">
        <v>6.97926209308968</v>
      </c>
      <c r="C383" s="5">
        <v>-31.3259064009453</v>
      </c>
      <c r="D383" s="5">
        <v>87.098806410895</v>
      </c>
      <c r="E383" s="5">
        <v>6.97926209308968</v>
      </c>
      <c r="F383" s="5">
        <v>6.97926209308968</v>
      </c>
      <c r="G383" s="5">
        <v>21.4121015579879</v>
      </c>
      <c r="H383" s="5">
        <v>21.4121015579879</v>
      </c>
      <c r="I383" s="5">
        <v>21.4121015579879</v>
      </c>
      <c r="J383" s="5">
        <v>-1.59155056649205</v>
      </c>
      <c r="K383" s="5">
        <v>-1.59155056649205</v>
      </c>
      <c r="L383" s="5">
        <v>-1.59155056649205</v>
      </c>
      <c r="M383" s="5">
        <v>23.00365212448</v>
      </c>
      <c r="N383" s="5">
        <v>23.00365212448</v>
      </c>
      <c r="O383" s="5">
        <v>23.00365212448</v>
      </c>
      <c r="P383" s="5">
        <v>0.0</v>
      </c>
      <c r="Q383" s="5">
        <v>0.0</v>
      </c>
      <c r="R383" s="5">
        <v>0.0</v>
      </c>
      <c r="S383" s="5">
        <v>28.3913636510776</v>
      </c>
    </row>
    <row r="384">
      <c r="A384" s="6">
        <v>40911.0</v>
      </c>
      <c r="B384" s="5">
        <v>7.02162019736127</v>
      </c>
      <c r="C384" s="5">
        <v>-28.6934939156851</v>
      </c>
      <c r="D384" s="5">
        <v>99.3805425356937</v>
      </c>
      <c r="E384" s="5">
        <v>7.02162019736127</v>
      </c>
      <c r="F384" s="5">
        <v>7.02162019736127</v>
      </c>
      <c r="G384" s="5">
        <v>27.3003117847526</v>
      </c>
      <c r="H384" s="5">
        <v>27.3003117847526</v>
      </c>
      <c r="I384" s="5">
        <v>27.3003117847526</v>
      </c>
      <c r="J384" s="5">
        <v>-0.144118857247255</v>
      </c>
      <c r="K384" s="5">
        <v>-0.144118857247255</v>
      </c>
      <c r="L384" s="5">
        <v>-0.144118857247255</v>
      </c>
      <c r="M384" s="5">
        <v>27.4444306419998</v>
      </c>
      <c r="N384" s="5">
        <v>27.4444306419998</v>
      </c>
      <c r="O384" s="5">
        <v>27.4444306419998</v>
      </c>
      <c r="P384" s="5">
        <v>0.0</v>
      </c>
      <c r="Q384" s="5">
        <v>0.0</v>
      </c>
      <c r="R384" s="5">
        <v>0.0</v>
      </c>
      <c r="S384" s="5">
        <v>34.3219319821139</v>
      </c>
    </row>
    <row r="385">
      <c r="A385" s="6">
        <v>40912.0</v>
      </c>
      <c r="B385" s="5">
        <v>7.03220972342918</v>
      </c>
      <c r="C385" s="5">
        <v>-27.5025034495222</v>
      </c>
      <c r="D385" s="5">
        <v>101.212508881271</v>
      </c>
      <c r="E385" s="5">
        <v>7.03220972342918</v>
      </c>
      <c r="F385" s="5">
        <v>7.03220972342918</v>
      </c>
      <c r="G385" s="5">
        <v>28.391167795324</v>
      </c>
      <c r="H385" s="5">
        <v>28.391167795324</v>
      </c>
      <c r="I385" s="5">
        <v>28.391167795324</v>
      </c>
      <c r="J385" s="5">
        <v>0.00703780528155265</v>
      </c>
      <c r="K385" s="5">
        <v>0.00703780528155265</v>
      </c>
      <c r="L385" s="5">
        <v>0.00703780528155265</v>
      </c>
      <c r="M385" s="5">
        <v>28.3841299900425</v>
      </c>
      <c r="N385" s="5">
        <v>28.3841299900425</v>
      </c>
      <c r="O385" s="5">
        <v>28.3841299900425</v>
      </c>
      <c r="P385" s="5">
        <v>0.0</v>
      </c>
      <c r="Q385" s="5">
        <v>0.0</v>
      </c>
      <c r="R385" s="5">
        <v>0.0</v>
      </c>
      <c r="S385" s="5">
        <v>35.4233775187532</v>
      </c>
    </row>
    <row r="386">
      <c r="A386" s="6">
        <v>40913.0</v>
      </c>
      <c r="B386" s="5">
        <v>7.04279924949707</v>
      </c>
      <c r="C386" s="5">
        <v>-29.1063740172834</v>
      </c>
      <c r="D386" s="5">
        <v>97.3143203264007</v>
      </c>
      <c r="E386" s="5">
        <v>7.04279924949707</v>
      </c>
      <c r="F386" s="5">
        <v>7.04279924949707</v>
      </c>
      <c r="G386" s="5">
        <v>28.4403628947828</v>
      </c>
      <c r="H386" s="5">
        <v>28.4403628947828</v>
      </c>
      <c r="I386" s="5">
        <v>28.4403628947828</v>
      </c>
      <c r="J386" s="5">
        <v>-0.776422525899498</v>
      </c>
      <c r="K386" s="5">
        <v>-0.776422525899498</v>
      </c>
      <c r="L386" s="5">
        <v>-0.776422525899498</v>
      </c>
      <c r="M386" s="5">
        <v>29.2167854206823</v>
      </c>
      <c r="N386" s="5">
        <v>29.2167854206823</v>
      </c>
      <c r="O386" s="5">
        <v>29.2167854206823</v>
      </c>
      <c r="P386" s="5">
        <v>0.0</v>
      </c>
      <c r="Q386" s="5">
        <v>0.0</v>
      </c>
      <c r="R386" s="5">
        <v>0.0</v>
      </c>
      <c r="S386" s="5">
        <v>35.4831621442799</v>
      </c>
    </row>
    <row r="387">
      <c r="A387" s="6">
        <v>40914.0</v>
      </c>
      <c r="B387" s="5">
        <v>7.05338877556497</v>
      </c>
      <c r="C387" s="5">
        <v>-28.9303292706284</v>
      </c>
      <c r="D387" s="5">
        <v>99.290565601843</v>
      </c>
      <c r="E387" s="5">
        <v>7.05338877556497</v>
      </c>
      <c r="F387" s="5">
        <v>7.05338877556497</v>
      </c>
      <c r="G387" s="5">
        <v>28.3347921327016</v>
      </c>
      <c r="H387" s="5">
        <v>28.3347921327016</v>
      </c>
      <c r="I387" s="5">
        <v>28.3347921327016</v>
      </c>
      <c r="J387" s="5">
        <v>-1.59155056649355</v>
      </c>
      <c r="K387" s="5">
        <v>-1.59155056649355</v>
      </c>
      <c r="L387" s="5">
        <v>-1.59155056649355</v>
      </c>
      <c r="M387" s="5">
        <v>29.9263426991951</v>
      </c>
      <c r="N387" s="5">
        <v>29.9263426991951</v>
      </c>
      <c r="O387" s="5">
        <v>29.9263426991951</v>
      </c>
      <c r="P387" s="5">
        <v>0.0</v>
      </c>
      <c r="Q387" s="5">
        <v>0.0</v>
      </c>
      <c r="R387" s="5">
        <v>0.0</v>
      </c>
      <c r="S387" s="5">
        <v>35.3881809082665</v>
      </c>
    </row>
    <row r="388">
      <c r="A388" s="6">
        <v>40917.0</v>
      </c>
      <c r="B388" s="5">
        <v>7.08515735376867</v>
      </c>
      <c r="C388" s="5">
        <v>-23.24811138114</v>
      </c>
      <c r="D388" s="5">
        <v>104.670046022906</v>
      </c>
      <c r="E388" s="5">
        <v>7.08515735376867</v>
      </c>
      <c r="F388" s="5">
        <v>7.08515735376867</v>
      </c>
      <c r="G388" s="5">
        <v>31.2868968963663</v>
      </c>
      <c r="H388" s="5">
        <v>31.2868968963663</v>
      </c>
      <c r="I388" s="5">
        <v>31.2868968963663</v>
      </c>
      <c r="J388" s="5">
        <v>0.0905589421201763</v>
      </c>
      <c r="K388" s="5">
        <v>0.0905589421201763</v>
      </c>
      <c r="L388" s="5">
        <v>0.0905589421201763</v>
      </c>
      <c r="M388" s="5">
        <v>31.1963379542461</v>
      </c>
      <c r="N388" s="5">
        <v>31.1963379542461</v>
      </c>
      <c r="O388" s="5">
        <v>31.1963379542461</v>
      </c>
      <c r="P388" s="5">
        <v>0.0</v>
      </c>
      <c r="Q388" s="5">
        <v>0.0</v>
      </c>
      <c r="R388" s="5">
        <v>0.0</v>
      </c>
      <c r="S388" s="5">
        <v>38.3720542501349</v>
      </c>
    </row>
    <row r="389">
      <c r="A389" s="6">
        <v>40918.0</v>
      </c>
      <c r="B389" s="5">
        <v>7.09574687983657</v>
      </c>
      <c r="C389" s="5">
        <v>-24.7449168785546</v>
      </c>
      <c r="D389" s="5">
        <v>101.587935695727</v>
      </c>
      <c r="E389" s="5">
        <v>7.09574687983657</v>
      </c>
      <c r="F389" s="5">
        <v>7.09574687983657</v>
      </c>
      <c r="G389" s="5">
        <v>31.1646371733172</v>
      </c>
      <c r="H389" s="5">
        <v>31.1646371733172</v>
      </c>
      <c r="I389" s="5">
        <v>31.1646371733172</v>
      </c>
      <c r="J389" s="5">
        <v>-0.144118857243643</v>
      </c>
      <c r="K389" s="5">
        <v>-0.144118857243643</v>
      </c>
      <c r="L389" s="5">
        <v>-0.144118857243643</v>
      </c>
      <c r="M389" s="5">
        <v>31.3087560305608</v>
      </c>
      <c r="N389" s="5">
        <v>31.3087560305608</v>
      </c>
      <c r="O389" s="5">
        <v>31.3087560305608</v>
      </c>
      <c r="P389" s="5">
        <v>0.0</v>
      </c>
      <c r="Q389" s="5">
        <v>0.0</v>
      </c>
      <c r="R389" s="5">
        <v>0.0</v>
      </c>
      <c r="S389" s="5">
        <v>38.2603840531537</v>
      </c>
    </row>
    <row r="390">
      <c r="A390" s="6">
        <v>40919.0</v>
      </c>
      <c r="B390" s="5">
        <v>7.10633640590447</v>
      </c>
      <c r="C390" s="5">
        <v>-23.6227336345676</v>
      </c>
      <c r="D390" s="5">
        <v>103.09414649665</v>
      </c>
      <c r="E390" s="5">
        <v>7.10633640590447</v>
      </c>
      <c r="F390" s="5">
        <v>7.10633640590447</v>
      </c>
      <c r="G390" s="5">
        <v>31.2686400421505</v>
      </c>
      <c r="H390" s="5">
        <v>31.2686400421505</v>
      </c>
      <c r="I390" s="5">
        <v>31.2686400421505</v>
      </c>
      <c r="J390" s="5">
        <v>0.00703780528051931</v>
      </c>
      <c r="K390" s="5">
        <v>0.00703780528051931</v>
      </c>
      <c r="L390" s="5">
        <v>0.00703780528051931</v>
      </c>
      <c r="M390" s="5">
        <v>31.26160223687</v>
      </c>
      <c r="N390" s="5">
        <v>31.26160223687</v>
      </c>
      <c r="O390" s="5">
        <v>31.26160223687</v>
      </c>
      <c r="P390" s="5">
        <v>0.0</v>
      </c>
      <c r="Q390" s="5">
        <v>0.0</v>
      </c>
      <c r="R390" s="5">
        <v>0.0</v>
      </c>
      <c r="S390" s="5">
        <v>38.374976448055</v>
      </c>
    </row>
    <row r="391">
      <c r="A391" s="6">
        <v>40920.0</v>
      </c>
      <c r="B391" s="5">
        <v>7.11692593197237</v>
      </c>
      <c r="C391" s="5">
        <v>-22.1851520615458</v>
      </c>
      <c r="D391" s="5">
        <v>101.853514928579</v>
      </c>
      <c r="E391" s="5">
        <v>7.11692593197237</v>
      </c>
      <c r="F391" s="5">
        <v>7.11692593197237</v>
      </c>
      <c r="G391" s="5">
        <v>30.2810200269045</v>
      </c>
      <c r="H391" s="5">
        <v>30.2810200269045</v>
      </c>
      <c r="I391" s="5">
        <v>30.2810200269045</v>
      </c>
      <c r="J391" s="5">
        <v>-0.776422525901595</v>
      </c>
      <c r="K391" s="5">
        <v>-0.776422525901595</v>
      </c>
      <c r="L391" s="5">
        <v>-0.776422525901595</v>
      </c>
      <c r="M391" s="5">
        <v>31.0574425528061</v>
      </c>
      <c r="N391" s="5">
        <v>31.0574425528061</v>
      </c>
      <c r="O391" s="5">
        <v>31.0574425528061</v>
      </c>
      <c r="P391" s="5">
        <v>0.0</v>
      </c>
      <c r="Q391" s="5">
        <v>0.0</v>
      </c>
      <c r="R391" s="5">
        <v>0.0</v>
      </c>
      <c r="S391" s="5">
        <v>37.3979459588769</v>
      </c>
    </row>
    <row r="392">
      <c r="A392" s="6">
        <v>40921.0</v>
      </c>
      <c r="B392" s="5">
        <v>7.12751545804027</v>
      </c>
      <c r="C392" s="5">
        <v>-28.7565990955416</v>
      </c>
      <c r="D392" s="5">
        <v>96.2417597701785</v>
      </c>
      <c r="E392" s="5">
        <v>7.12751545804027</v>
      </c>
      <c r="F392" s="5">
        <v>7.12751545804027</v>
      </c>
      <c r="G392" s="5">
        <v>29.1105521198246</v>
      </c>
      <c r="H392" s="5">
        <v>29.1105521198246</v>
      </c>
      <c r="I392" s="5">
        <v>29.1105521198246</v>
      </c>
      <c r="J392" s="5">
        <v>-1.59155056649263</v>
      </c>
      <c r="K392" s="5">
        <v>-1.59155056649263</v>
      </c>
      <c r="L392" s="5">
        <v>-1.59155056649263</v>
      </c>
      <c r="M392" s="5">
        <v>30.7021026863172</v>
      </c>
      <c r="N392" s="5">
        <v>30.7021026863172</v>
      </c>
      <c r="O392" s="5">
        <v>30.7021026863172</v>
      </c>
      <c r="P392" s="5">
        <v>0.0</v>
      </c>
      <c r="Q392" s="5">
        <v>0.0</v>
      </c>
      <c r="R392" s="5">
        <v>0.0</v>
      </c>
      <c r="S392" s="5">
        <v>36.2380675778649</v>
      </c>
    </row>
    <row r="393">
      <c r="A393" s="6">
        <v>40925.0</v>
      </c>
      <c r="B393" s="5">
        <v>7.16987356231186</v>
      </c>
      <c r="C393" s="5">
        <v>-26.7595466659591</v>
      </c>
      <c r="D393" s="5">
        <v>98.0843440325593</v>
      </c>
      <c r="E393" s="5">
        <v>7.16987356231186</v>
      </c>
      <c r="F393" s="5">
        <v>7.16987356231186</v>
      </c>
      <c r="G393" s="5">
        <v>27.8430437416415</v>
      </c>
      <c r="H393" s="5">
        <v>27.8430437416415</v>
      </c>
      <c r="I393" s="5">
        <v>27.8430437416415</v>
      </c>
      <c r="J393" s="5">
        <v>-0.144118857246493</v>
      </c>
      <c r="K393" s="5">
        <v>-0.144118857246493</v>
      </c>
      <c r="L393" s="5">
        <v>-0.144118857246493</v>
      </c>
      <c r="M393" s="5">
        <v>27.987162598888</v>
      </c>
      <c r="N393" s="5">
        <v>27.987162598888</v>
      </c>
      <c r="O393" s="5">
        <v>27.987162598888</v>
      </c>
      <c r="P393" s="5">
        <v>0.0</v>
      </c>
      <c r="Q393" s="5">
        <v>0.0</v>
      </c>
      <c r="R393" s="5">
        <v>0.0</v>
      </c>
      <c r="S393" s="5">
        <v>35.0129173039533</v>
      </c>
    </row>
    <row r="394">
      <c r="A394" s="6">
        <v>40926.0</v>
      </c>
      <c r="B394" s="5">
        <v>7.18046308837976</v>
      </c>
      <c r="C394" s="5">
        <v>-24.6513926842479</v>
      </c>
      <c r="D394" s="5">
        <v>97.166702597113</v>
      </c>
      <c r="E394" s="5">
        <v>7.18046308837976</v>
      </c>
      <c r="F394" s="5">
        <v>7.18046308837976</v>
      </c>
      <c r="G394" s="5">
        <v>27.0674299960229</v>
      </c>
      <c r="H394" s="5">
        <v>27.0674299960229</v>
      </c>
      <c r="I394" s="5">
        <v>27.0674299960229</v>
      </c>
      <c r="J394" s="5">
        <v>0.00703780528183024</v>
      </c>
      <c r="K394" s="5">
        <v>0.00703780528183024</v>
      </c>
      <c r="L394" s="5">
        <v>0.00703780528183024</v>
      </c>
      <c r="M394" s="5">
        <v>27.0603921907411</v>
      </c>
      <c r="N394" s="5">
        <v>27.0603921907411</v>
      </c>
      <c r="O394" s="5">
        <v>27.0603921907411</v>
      </c>
      <c r="P394" s="5">
        <v>0.0</v>
      </c>
      <c r="Q394" s="5">
        <v>0.0</v>
      </c>
      <c r="R394" s="5">
        <v>0.0</v>
      </c>
      <c r="S394" s="5">
        <v>34.2478930844027</v>
      </c>
    </row>
    <row r="395">
      <c r="A395" s="6">
        <v>40927.0</v>
      </c>
      <c r="B395" s="5">
        <v>7.19105261444766</v>
      </c>
      <c r="C395" s="5">
        <v>-31.1025433831299</v>
      </c>
      <c r="D395" s="5">
        <v>97.342233586467</v>
      </c>
      <c r="E395" s="5">
        <v>7.19105261444766</v>
      </c>
      <c r="F395" s="5">
        <v>7.19105261444766</v>
      </c>
      <c r="G395" s="5">
        <v>25.2941012281113</v>
      </c>
      <c r="H395" s="5">
        <v>25.2941012281113</v>
      </c>
      <c r="I395" s="5">
        <v>25.2941012281113</v>
      </c>
      <c r="J395" s="5">
        <v>-0.776422525902317</v>
      </c>
      <c r="K395" s="5">
        <v>-0.776422525902317</v>
      </c>
      <c r="L395" s="5">
        <v>-0.776422525902317</v>
      </c>
      <c r="M395" s="5">
        <v>26.0705237540136</v>
      </c>
      <c r="N395" s="5">
        <v>26.0705237540136</v>
      </c>
      <c r="O395" s="5">
        <v>26.0705237540136</v>
      </c>
      <c r="P395" s="5">
        <v>0.0</v>
      </c>
      <c r="Q395" s="5">
        <v>0.0</v>
      </c>
      <c r="R395" s="5">
        <v>0.0</v>
      </c>
      <c r="S395" s="5">
        <v>32.485153842559</v>
      </c>
    </row>
    <row r="396">
      <c r="A396" s="6">
        <v>40928.0</v>
      </c>
      <c r="B396" s="5">
        <v>7.20164214051556</v>
      </c>
      <c r="C396" s="5">
        <v>-32.9170056245178</v>
      </c>
      <c r="D396" s="5">
        <v>93.0932219571617</v>
      </c>
      <c r="E396" s="5">
        <v>7.20164214051556</v>
      </c>
      <c r="F396" s="5">
        <v>7.20164214051556</v>
      </c>
      <c r="G396" s="5">
        <v>23.4456940235114</v>
      </c>
      <c r="H396" s="5">
        <v>23.4456940235114</v>
      </c>
      <c r="I396" s="5">
        <v>23.4456940235114</v>
      </c>
      <c r="J396" s="5">
        <v>-1.5915505664917</v>
      </c>
      <c r="K396" s="5">
        <v>-1.5915505664917</v>
      </c>
      <c r="L396" s="5">
        <v>-1.5915505664917</v>
      </c>
      <c r="M396" s="5">
        <v>25.0372445900031</v>
      </c>
      <c r="N396" s="5">
        <v>25.0372445900031</v>
      </c>
      <c r="O396" s="5">
        <v>25.0372445900031</v>
      </c>
      <c r="P396" s="5">
        <v>0.0</v>
      </c>
      <c r="Q396" s="5">
        <v>0.0</v>
      </c>
      <c r="R396" s="5">
        <v>0.0</v>
      </c>
      <c r="S396" s="5">
        <v>30.647336164027</v>
      </c>
    </row>
    <row r="397">
      <c r="A397" s="6">
        <v>40931.0</v>
      </c>
      <c r="B397" s="5">
        <v>7.23341071871926</v>
      </c>
      <c r="C397" s="5">
        <v>-35.2189286267074</v>
      </c>
      <c r="D397" s="5">
        <v>91.1301445577281</v>
      </c>
      <c r="E397" s="5">
        <v>7.23341071871926</v>
      </c>
      <c r="F397" s="5">
        <v>7.23341071871926</v>
      </c>
      <c r="G397" s="5">
        <v>21.9626601120762</v>
      </c>
      <c r="H397" s="5">
        <v>21.9626601120762</v>
      </c>
      <c r="I397" s="5">
        <v>21.9626601120762</v>
      </c>
      <c r="J397" s="5">
        <v>0.0905589421221494</v>
      </c>
      <c r="K397" s="5">
        <v>0.0905589421221494</v>
      </c>
      <c r="L397" s="5">
        <v>0.0905589421221494</v>
      </c>
      <c r="M397" s="5">
        <v>21.872101169954</v>
      </c>
      <c r="N397" s="5">
        <v>21.872101169954</v>
      </c>
      <c r="O397" s="5">
        <v>21.872101169954</v>
      </c>
      <c r="P397" s="5">
        <v>0.0</v>
      </c>
      <c r="Q397" s="5">
        <v>0.0</v>
      </c>
      <c r="R397" s="5">
        <v>0.0</v>
      </c>
      <c r="S397" s="5">
        <v>29.1960708307954</v>
      </c>
    </row>
    <row r="398">
      <c r="A398" s="6">
        <v>40932.0</v>
      </c>
      <c r="B398" s="5">
        <v>7.24400024478716</v>
      </c>
      <c r="C398" s="5">
        <v>-33.3599425568766</v>
      </c>
      <c r="D398" s="5">
        <v>94.1283831888852</v>
      </c>
      <c r="E398" s="5">
        <v>7.24400024478716</v>
      </c>
      <c r="F398" s="5">
        <v>7.24400024478716</v>
      </c>
      <c r="G398" s="5">
        <v>20.7120317966787</v>
      </c>
      <c r="H398" s="5">
        <v>20.7120317966787</v>
      </c>
      <c r="I398" s="5">
        <v>20.7120317966787</v>
      </c>
      <c r="J398" s="5">
        <v>-0.144118857245405</v>
      </c>
      <c r="K398" s="5">
        <v>-0.144118857245405</v>
      </c>
      <c r="L398" s="5">
        <v>-0.144118857245405</v>
      </c>
      <c r="M398" s="5">
        <v>20.8561506539241</v>
      </c>
      <c r="N398" s="5">
        <v>20.8561506539241</v>
      </c>
      <c r="O398" s="5">
        <v>20.8561506539241</v>
      </c>
      <c r="P398" s="5">
        <v>0.0</v>
      </c>
      <c r="Q398" s="5">
        <v>0.0</v>
      </c>
      <c r="R398" s="5">
        <v>0.0</v>
      </c>
      <c r="S398" s="5">
        <v>27.9560320414658</v>
      </c>
    </row>
    <row r="399">
      <c r="A399" s="6">
        <v>40933.0</v>
      </c>
      <c r="B399" s="5">
        <v>7.25458977085506</v>
      </c>
      <c r="C399" s="5">
        <v>-38.1276796887149</v>
      </c>
      <c r="D399" s="5">
        <v>90.5107128010434</v>
      </c>
      <c r="E399" s="5">
        <v>7.25458977085506</v>
      </c>
      <c r="F399" s="5">
        <v>7.25458977085506</v>
      </c>
      <c r="G399" s="5">
        <v>19.8934460062073</v>
      </c>
      <c r="H399" s="5">
        <v>19.8934460062073</v>
      </c>
      <c r="I399" s="5">
        <v>19.8934460062073</v>
      </c>
      <c r="J399" s="5">
        <v>0.00703780528314141</v>
      </c>
      <c r="K399" s="5">
        <v>0.00703780528314141</v>
      </c>
      <c r="L399" s="5">
        <v>0.00703780528314141</v>
      </c>
      <c r="M399" s="5">
        <v>19.8864082009241</v>
      </c>
      <c r="N399" s="5">
        <v>19.8864082009241</v>
      </c>
      <c r="O399" s="5">
        <v>19.8864082009241</v>
      </c>
      <c r="P399" s="5">
        <v>0.0</v>
      </c>
      <c r="Q399" s="5">
        <v>0.0</v>
      </c>
      <c r="R399" s="5">
        <v>0.0</v>
      </c>
      <c r="S399" s="5">
        <v>27.1480357770623</v>
      </c>
    </row>
    <row r="400">
      <c r="A400" s="6">
        <v>40934.0</v>
      </c>
      <c r="B400" s="5">
        <v>7.26517929692296</v>
      </c>
      <c r="C400" s="5">
        <v>-36.6338786644022</v>
      </c>
      <c r="D400" s="5">
        <v>87.8534499431014</v>
      </c>
      <c r="E400" s="5">
        <v>7.26517929692296</v>
      </c>
      <c r="F400" s="5">
        <v>7.26517929692296</v>
      </c>
      <c r="G400" s="5">
        <v>18.199297792498</v>
      </c>
      <c r="H400" s="5">
        <v>18.199297792498</v>
      </c>
      <c r="I400" s="5">
        <v>18.199297792498</v>
      </c>
      <c r="J400" s="5">
        <v>-0.776422525904414</v>
      </c>
      <c r="K400" s="5">
        <v>-0.776422525904414</v>
      </c>
      <c r="L400" s="5">
        <v>-0.776422525904414</v>
      </c>
      <c r="M400" s="5">
        <v>18.9757203184024</v>
      </c>
      <c r="N400" s="5">
        <v>18.9757203184024</v>
      </c>
      <c r="O400" s="5">
        <v>18.9757203184024</v>
      </c>
      <c r="P400" s="5">
        <v>0.0</v>
      </c>
      <c r="Q400" s="5">
        <v>0.0</v>
      </c>
      <c r="R400" s="5">
        <v>0.0</v>
      </c>
      <c r="S400" s="5">
        <v>25.4644770894209</v>
      </c>
    </row>
    <row r="401">
      <c r="A401" s="6">
        <v>40935.0</v>
      </c>
      <c r="B401" s="5">
        <v>7.27576882299086</v>
      </c>
      <c r="C401" s="5">
        <v>-39.212134896846</v>
      </c>
      <c r="D401" s="5">
        <v>84.2811806682313</v>
      </c>
      <c r="E401" s="5">
        <v>7.27576882299086</v>
      </c>
      <c r="F401" s="5">
        <v>7.27576882299086</v>
      </c>
      <c r="G401" s="5">
        <v>16.542802906834</v>
      </c>
      <c r="H401" s="5">
        <v>16.542802906834</v>
      </c>
      <c r="I401" s="5">
        <v>16.542802906834</v>
      </c>
      <c r="J401" s="5">
        <v>-1.59155056649352</v>
      </c>
      <c r="K401" s="5">
        <v>-1.59155056649352</v>
      </c>
      <c r="L401" s="5">
        <v>-1.59155056649352</v>
      </c>
      <c r="M401" s="5">
        <v>18.1343534733275</v>
      </c>
      <c r="N401" s="5">
        <v>18.1343534733275</v>
      </c>
      <c r="O401" s="5">
        <v>18.1343534733275</v>
      </c>
      <c r="P401" s="5">
        <v>0.0</v>
      </c>
      <c r="Q401" s="5">
        <v>0.0</v>
      </c>
      <c r="R401" s="5">
        <v>0.0</v>
      </c>
      <c r="S401" s="5">
        <v>23.8185717298249</v>
      </c>
    </row>
    <row r="402">
      <c r="A402" s="6">
        <v>40938.0</v>
      </c>
      <c r="B402" s="5">
        <v>7.30753740119455</v>
      </c>
      <c r="C402" s="5">
        <v>-41.6708029622295</v>
      </c>
      <c r="D402" s="5">
        <v>89.0950488050588</v>
      </c>
      <c r="E402" s="5">
        <v>7.30753740119455</v>
      </c>
      <c r="F402" s="5">
        <v>7.30753740119455</v>
      </c>
      <c r="G402" s="5">
        <v>16.1760346935064</v>
      </c>
      <c r="H402" s="5">
        <v>16.1760346935064</v>
      </c>
      <c r="I402" s="5">
        <v>16.1760346935064</v>
      </c>
      <c r="J402" s="5">
        <v>0.090558942120712</v>
      </c>
      <c r="K402" s="5">
        <v>0.090558942120712</v>
      </c>
      <c r="L402" s="5">
        <v>0.090558942120712</v>
      </c>
      <c r="M402" s="5">
        <v>16.0854757513856</v>
      </c>
      <c r="N402" s="5">
        <v>16.0854757513856</v>
      </c>
      <c r="O402" s="5">
        <v>16.0854757513856</v>
      </c>
      <c r="P402" s="5">
        <v>0.0</v>
      </c>
      <c r="Q402" s="5">
        <v>0.0</v>
      </c>
      <c r="R402" s="5">
        <v>0.0</v>
      </c>
      <c r="S402" s="5">
        <v>23.4835720947009</v>
      </c>
    </row>
    <row r="403">
      <c r="A403" s="6">
        <v>40939.0</v>
      </c>
      <c r="B403" s="5">
        <v>7.31812692726245</v>
      </c>
      <c r="C403" s="5">
        <v>-40.3859645328896</v>
      </c>
      <c r="D403" s="5">
        <v>87.26424141273</v>
      </c>
      <c r="E403" s="5">
        <v>7.31812692726245</v>
      </c>
      <c r="F403" s="5">
        <v>7.31812692726245</v>
      </c>
      <c r="G403" s="5">
        <v>15.4213235098669</v>
      </c>
      <c r="H403" s="5">
        <v>15.4213235098669</v>
      </c>
      <c r="I403" s="5">
        <v>15.4213235098669</v>
      </c>
      <c r="J403" s="5">
        <v>-0.144118857244317</v>
      </c>
      <c r="K403" s="5">
        <v>-0.144118857244317</v>
      </c>
      <c r="L403" s="5">
        <v>-0.144118857244317</v>
      </c>
      <c r="M403" s="5">
        <v>15.5654423671112</v>
      </c>
      <c r="N403" s="5">
        <v>15.5654423671112</v>
      </c>
      <c r="O403" s="5">
        <v>15.5654423671112</v>
      </c>
      <c r="P403" s="5">
        <v>0.0</v>
      </c>
      <c r="Q403" s="5">
        <v>0.0</v>
      </c>
      <c r="R403" s="5">
        <v>0.0</v>
      </c>
      <c r="S403" s="5">
        <v>22.7394504371294</v>
      </c>
    </row>
    <row r="404">
      <c r="A404" s="6">
        <v>40940.0</v>
      </c>
      <c r="B404" s="5">
        <v>7.32871645333035</v>
      </c>
      <c r="C404" s="5">
        <v>-40.8706879319488</v>
      </c>
      <c r="D404" s="5">
        <v>87.1043825685906</v>
      </c>
      <c r="E404" s="5">
        <v>7.32871645333035</v>
      </c>
      <c r="F404" s="5">
        <v>7.32871645333035</v>
      </c>
      <c r="G404" s="5">
        <v>15.1285472742432</v>
      </c>
      <c r="H404" s="5">
        <v>15.1285472742432</v>
      </c>
      <c r="I404" s="5">
        <v>15.1285472742432</v>
      </c>
      <c r="J404" s="5">
        <v>0.00703780528111664</v>
      </c>
      <c r="K404" s="5">
        <v>0.00703780528111664</v>
      </c>
      <c r="L404" s="5">
        <v>0.00703780528111664</v>
      </c>
      <c r="M404" s="5">
        <v>15.1215094689621</v>
      </c>
      <c r="N404" s="5">
        <v>15.1215094689621</v>
      </c>
      <c r="O404" s="5">
        <v>15.1215094689621</v>
      </c>
      <c r="P404" s="5">
        <v>0.0</v>
      </c>
      <c r="Q404" s="5">
        <v>0.0</v>
      </c>
      <c r="R404" s="5">
        <v>0.0</v>
      </c>
      <c r="S404" s="5">
        <v>22.4572637275736</v>
      </c>
    </row>
    <row r="405">
      <c r="A405" s="6">
        <v>40941.0</v>
      </c>
      <c r="B405" s="5">
        <v>7.33930597939825</v>
      </c>
      <c r="C405" s="5">
        <v>-39.2501669725584</v>
      </c>
      <c r="D405" s="5">
        <v>84.0079775796497</v>
      </c>
      <c r="E405" s="5">
        <v>7.33930597939825</v>
      </c>
      <c r="F405" s="5">
        <v>7.33930597939825</v>
      </c>
      <c r="G405" s="5">
        <v>13.9697027025662</v>
      </c>
      <c r="H405" s="5">
        <v>13.9697027025662</v>
      </c>
      <c r="I405" s="5">
        <v>13.9697027025662</v>
      </c>
      <c r="J405" s="5">
        <v>-0.776422525900911</v>
      </c>
      <c r="K405" s="5">
        <v>-0.776422525900911</v>
      </c>
      <c r="L405" s="5">
        <v>-0.776422525900911</v>
      </c>
      <c r="M405" s="5">
        <v>14.7461252284672</v>
      </c>
      <c r="N405" s="5">
        <v>14.7461252284672</v>
      </c>
      <c r="O405" s="5">
        <v>14.7461252284672</v>
      </c>
      <c r="P405" s="5">
        <v>0.0</v>
      </c>
      <c r="Q405" s="5">
        <v>0.0</v>
      </c>
      <c r="R405" s="5">
        <v>0.0</v>
      </c>
      <c r="S405" s="5">
        <v>21.3090086819645</v>
      </c>
    </row>
    <row r="406">
      <c r="A406" s="6">
        <v>40942.0</v>
      </c>
      <c r="B406" s="5">
        <v>7.34989550546615</v>
      </c>
      <c r="C406" s="5">
        <v>-47.2449501601322</v>
      </c>
      <c r="D406" s="5">
        <v>77.5320899630056</v>
      </c>
      <c r="E406" s="5">
        <v>7.34989550546615</v>
      </c>
      <c r="F406" s="5">
        <v>7.34989550546615</v>
      </c>
      <c r="G406" s="5">
        <v>12.8376071385417</v>
      </c>
      <c r="H406" s="5">
        <v>12.8376071385417</v>
      </c>
      <c r="I406" s="5">
        <v>12.8376071385417</v>
      </c>
      <c r="J406" s="5">
        <v>-1.59155056649228</v>
      </c>
      <c r="K406" s="5">
        <v>-1.59155056649228</v>
      </c>
      <c r="L406" s="5">
        <v>-1.59155056649228</v>
      </c>
      <c r="M406" s="5">
        <v>14.429157705034</v>
      </c>
      <c r="N406" s="5">
        <v>14.429157705034</v>
      </c>
      <c r="O406" s="5">
        <v>14.429157705034</v>
      </c>
      <c r="P406" s="5">
        <v>0.0</v>
      </c>
      <c r="Q406" s="5">
        <v>0.0</v>
      </c>
      <c r="R406" s="5">
        <v>0.0</v>
      </c>
      <c r="S406" s="5">
        <v>20.1875026440079</v>
      </c>
    </row>
    <row r="407">
      <c r="A407" s="6">
        <v>40945.0</v>
      </c>
      <c r="B407" s="5">
        <v>7.38166408366985</v>
      </c>
      <c r="C407" s="5">
        <v>-42.2357091286571</v>
      </c>
      <c r="D407" s="5">
        <v>85.4004262194847</v>
      </c>
      <c r="E407" s="5">
        <v>7.38166408366985</v>
      </c>
      <c r="F407" s="5">
        <v>7.38166408366985</v>
      </c>
      <c r="G407" s="5">
        <v>13.7863977954032</v>
      </c>
      <c r="H407" s="5">
        <v>13.7863977954032</v>
      </c>
      <c r="I407" s="5">
        <v>13.7863977954032</v>
      </c>
      <c r="J407" s="5">
        <v>0.0905589421216584</v>
      </c>
      <c r="K407" s="5">
        <v>0.0905589421216584</v>
      </c>
      <c r="L407" s="5">
        <v>0.0905589421216584</v>
      </c>
      <c r="M407" s="5">
        <v>13.6958388532815</v>
      </c>
      <c r="N407" s="5">
        <v>13.6958388532815</v>
      </c>
      <c r="O407" s="5">
        <v>13.6958388532815</v>
      </c>
      <c r="P407" s="5">
        <v>0.0</v>
      </c>
      <c r="Q407" s="5">
        <v>0.0</v>
      </c>
      <c r="R407" s="5">
        <v>0.0</v>
      </c>
      <c r="S407" s="5">
        <v>21.1680618790731</v>
      </c>
    </row>
    <row r="408">
      <c r="A408" s="6">
        <v>40946.0</v>
      </c>
      <c r="B408" s="5">
        <v>7.39225360973775</v>
      </c>
      <c r="C408" s="5">
        <v>-45.4494837845871</v>
      </c>
      <c r="D408" s="5">
        <v>81.6802192005488</v>
      </c>
      <c r="E408" s="5">
        <v>7.39225360973775</v>
      </c>
      <c r="F408" s="5">
        <v>7.39225360973775</v>
      </c>
      <c r="G408" s="5">
        <v>13.3278582154632</v>
      </c>
      <c r="H408" s="5">
        <v>13.3278582154632</v>
      </c>
      <c r="I408" s="5">
        <v>13.3278582154632</v>
      </c>
      <c r="J408" s="5">
        <v>-0.144118857246057</v>
      </c>
      <c r="K408" s="5">
        <v>-0.144118857246057</v>
      </c>
      <c r="L408" s="5">
        <v>-0.144118857246057</v>
      </c>
      <c r="M408" s="5">
        <v>13.4719770727092</v>
      </c>
      <c r="N408" s="5">
        <v>13.4719770727092</v>
      </c>
      <c r="O408" s="5">
        <v>13.4719770727092</v>
      </c>
      <c r="P408" s="5">
        <v>0.0</v>
      </c>
      <c r="Q408" s="5">
        <v>0.0</v>
      </c>
      <c r="R408" s="5">
        <v>0.0</v>
      </c>
      <c r="S408" s="5">
        <v>20.7201118252009</v>
      </c>
    </row>
    <row r="409">
      <c r="A409" s="6">
        <v>40947.0</v>
      </c>
      <c r="B409" s="5">
        <v>7.40284313580565</v>
      </c>
      <c r="C409" s="5">
        <v>-41.1385641245277</v>
      </c>
      <c r="D409" s="5">
        <v>84.3507571179808</v>
      </c>
      <c r="E409" s="5">
        <v>7.40284313580565</v>
      </c>
      <c r="F409" s="5">
        <v>7.40284313580565</v>
      </c>
      <c r="G409" s="5">
        <v>13.237278810536</v>
      </c>
      <c r="H409" s="5">
        <v>13.237278810536</v>
      </c>
      <c r="I409" s="5">
        <v>13.237278810536</v>
      </c>
      <c r="J409" s="5">
        <v>0.00703780528242764</v>
      </c>
      <c r="K409" s="5">
        <v>0.00703780528242764</v>
      </c>
      <c r="L409" s="5">
        <v>0.00703780528242764</v>
      </c>
      <c r="M409" s="5">
        <v>13.2302410052536</v>
      </c>
      <c r="N409" s="5">
        <v>13.2302410052536</v>
      </c>
      <c r="O409" s="5">
        <v>13.2302410052536</v>
      </c>
      <c r="P409" s="5">
        <v>0.0</v>
      </c>
      <c r="Q409" s="5">
        <v>0.0</v>
      </c>
      <c r="R409" s="5">
        <v>0.0</v>
      </c>
      <c r="S409" s="5">
        <v>20.6401219463417</v>
      </c>
    </row>
    <row r="410">
      <c r="A410" s="6">
        <v>40948.0</v>
      </c>
      <c r="B410" s="5">
        <v>7.41343266187355</v>
      </c>
      <c r="C410" s="5">
        <v>-45.1485511483065</v>
      </c>
      <c r="D410" s="5">
        <v>82.699925371384</v>
      </c>
      <c r="E410" s="5">
        <v>7.41343266187355</v>
      </c>
      <c r="F410" s="5">
        <v>7.41343266187355</v>
      </c>
      <c r="G410" s="5">
        <v>12.1770453344863</v>
      </c>
      <c r="H410" s="5">
        <v>12.1770453344863</v>
      </c>
      <c r="I410" s="5">
        <v>12.1770453344863</v>
      </c>
      <c r="J410" s="5">
        <v>-0.776422525903008</v>
      </c>
      <c r="K410" s="5">
        <v>-0.776422525903008</v>
      </c>
      <c r="L410" s="5">
        <v>-0.776422525903008</v>
      </c>
      <c r="M410" s="5">
        <v>12.9534678603893</v>
      </c>
      <c r="N410" s="5">
        <v>12.9534678603893</v>
      </c>
      <c r="O410" s="5">
        <v>12.9534678603893</v>
      </c>
      <c r="P410" s="5">
        <v>0.0</v>
      </c>
      <c r="Q410" s="5">
        <v>0.0</v>
      </c>
      <c r="R410" s="5">
        <v>0.0</v>
      </c>
      <c r="S410" s="5">
        <v>19.5904779963599</v>
      </c>
    </row>
    <row r="411">
      <c r="A411" s="6">
        <v>40949.0</v>
      </c>
      <c r="B411" s="5">
        <v>7.42402218794144</v>
      </c>
      <c r="C411" s="5">
        <v>-44.2783307461249</v>
      </c>
      <c r="D411" s="5">
        <v>82.0378448263518</v>
      </c>
      <c r="E411" s="5">
        <v>7.42402218794144</v>
      </c>
      <c r="F411" s="5">
        <v>7.42402218794144</v>
      </c>
      <c r="G411" s="5">
        <v>11.0334785934195</v>
      </c>
      <c r="H411" s="5">
        <v>11.0334785934195</v>
      </c>
      <c r="I411" s="5">
        <v>11.0334785934195</v>
      </c>
      <c r="J411" s="5">
        <v>-1.59155056649136</v>
      </c>
      <c r="K411" s="5">
        <v>-1.59155056649136</v>
      </c>
      <c r="L411" s="5">
        <v>-1.59155056649136</v>
      </c>
      <c r="M411" s="5">
        <v>12.6250291599109</v>
      </c>
      <c r="N411" s="5">
        <v>12.6250291599109</v>
      </c>
      <c r="O411" s="5">
        <v>12.6250291599109</v>
      </c>
      <c r="P411" s="5">
        <v>0.0</v>
      </c>
      <c r="Q411" s="5">
        <v>0.0</v>
      </c>
      <c r="R411" s="5">
        <v>0.0</v>
      </c>
      <c r="S411" s="5">
        <v>18.457500781361</v>
      </c>
    </row>
    <row r="412">
      <c r="A412" s="6">
        <v>40952.0</v>
      </c>
      <c r="B412" s="5">
        <v>7.45579076614514</v>
      </c>
      <c r="C412" s="5">
        <v>-43.1666782015537</v>
      </c>
      <c r="D412" s="5">
        <v>86.3608590403281</v>
      </c>
      <c r="E412" s="5">
        <v>7.45579076614514</v>
      </c>
      <c r="F412" s="5">
        <v>7.45579076614514</v>
      </c>
      <c r="G412" s="5">
        <v>11.2721429079023</v>
      </c>
      <c r="H412" s="5">
        <v>11.2721429079023</v>
      </c>
      <c r="I412" s="5">
        <v>11.2721429079023</v>
      </c>
      <c r="J412" s="5">
        <v>0.0905589421203009</v>
      </c>
      <c r="K412" s="5">
        <v>0.0905589421203009</v>
      </c>
      <c r="L412" s="5">
        <v>0.0905589421203009</v>
      </c>
      <c r="M412" s="5">
        <v>11.181583965782</v>
      </c>
      <c r="N412" s="5">
        <v>11.181583965782</v>
      </c>
      <c r="O412" s="5">
        <v>11.181583965782</v>
      </c>
      <c r="P412" s="5">
        <v>0.0</v>
      </c>
      <c r="Q412" s="5">
        <v>0.0</v>
      </c>
      <c r="R412" s="5">
        <v>0.0</v>
      </c>
      <c r="S412" s="5">
        <v>18.7279336740475</v>
      </c>
    </row>
    <row r="413">
      <c r="A413" s="6">
        <v>40953.0</v>
      </c>
      <c r="B413" s="5">
        <v>7.46638029221304</v>
      </c>
      <c r="C413" s="5">
        <v>-47.3262810356559</v>
      </c>
      <c r="D413" s="5">
        <v>82.2413591404518</v>
      </c>
      <c r="E413" s="5">
        <v>7.46638029221304</v>
      </c>
      <c r="F413" s="5">
        <v>7.46638029221304</v>
      </c>
      <c r="G413" s="5">
        <v>10.3633237712685</v>
      </c>
      <c r="H413" s="5">
        <v>10.3633237712685</v>
      </c>
      <c r="I413" s="5">
        <v>10.3633237712685</v>
      </c>
      <c r="J413" s="5">
        <v>-0.144118857244969</v>
      </c>
      <c r="K413" s="5">
        <v>-0.144118857244969</v>
      </c>
      <c r="L413" s="5">
        <v>-0.144118857244969</v>
      </c>
      <c r="M413" s="5">
        <v>10.5074426285135</v>
      </c>
      <c r="N413" s="5">
        <v>10.5074426285135</v>
      </c>
      <c r="O413" s="5">
        <v>10.5074426285135</v>
      </c>
      <c r="P413" s="5">
        <v>0.0</v>
      </c>
      <c r="Q413" s="5">
        <v>0.0</v>
      </c>
      <c r="R413" s="5">
        <v>0.0</v>
      </c>
      <c r="S413" s="5">
        <v>17.8297040634816</v>
      </c>
    </row>
    <row r="414">
      <c r="A414" s="6">
        <v>40954.0</v>
      </c>
      <c r="B414" s="5">
        <v>7.47696981828094</v>
      </c>
      <c r="C414" s="5">
        <v>-44.27750980125</v>
      </c>
      <c r="D414" s="5">
        <v>77.9140660519392</v>
      </c>
      <c r="E414" s="5">
        <v>7.47696981828094</v>
      </c>
      <c r="F414" s="5">
        <v>7.47696981828094</v>
      </c>
      <c r="G414" s="5">
        <v>9.7295360254709</v>
      </c>
      <c r="H414" s="5">
        <v>9.7295360254709</v>
      </c>
      <c r="I414" s="5">
        <v>9.7295360254709</v>
      </c>
      <c r="J414" s="5">
        <v>0.00703780528157502</v>
      </c>
      <c r="K414" s="5">
        <v>0.00703780528157502</v>
      </c>
      <c r="L414" s="5">
        <v>0.00703780528157502</v>
      </c>
      <c r="M414" s="5">
        <v>9.72249822018933</v>
      </c>
      <c r="N414" s="5">
        <v>9.72249822018933</v>
      </c>
      <c r="O414" s="5">
        <v>9.72249822018933</v>
      </c>
      <c r="P414" s="5">
        <v>0.0</v>
      </c>
      <c r="Q414" s="5">
        <v>0.0</v>
      </c>
      <c r="R414" s="5">
        <v>0.0</v>
      </c>
      <c r="S414" s="5">
        <v>17.2065058437518</v>
      </c>
    </row>
    <row r="415">
      <c r="A415" s="6">
        <v>40955.0</v>
      </c>
      <c r="B415" s="5">
        <v>7.48755934434884</v>
      </c>
      <c r="C415" s="5">
        <v>-43.6263470062376</v>
      </c>
      <c r="D415" s="5">
        <v>74.557343249614</v>
      </c>
      <c r="E415" s="5">
        <v>7.48755934434884</v>
      </c>
      <c r="F415" s="5">
        <v>7.48755934434884</v>
      </c>
      <c r="G415" s="5">
        <v>8.04584138747161</v>
      </c>
      <c r="H415" s="5">
        <v>8.04584138747161</v>
      </c>
      <c r="I415" s="5">
        <v>8.04584138747161</v>
      </c>
      <c r="J415" s="5">
        <v>-0.776422525905105</v>
      </c>
      <c r="K415" s="5">
        <v>-0.776422525905105</v>
      </c>
      <c r="L415" s="5">
        <v>-0.776422525905105</v>
      </c>
      <c r="M415" s="5">
        <v>8.82226391337671</v>
      </c>
      <c r="N415" s="5">
        <v>8.82226391337671</v>
      </c>
      <c r="O415" s="5">
        <v>8.82226391337671</v>
      </c>
      <c r="P415" s="5">
        <v>0.0</v>
      </c>
      <c r="Q415" s="5">
        <v>0.0</v>
      </c>
      <c r="R415" s="5">
        <v>0.0</v>
      </c>
      <c r="S415" s="5">
        <v>15.5334007318204</v>
      </c>
    </row>
    <row r="416">
      <c r="A416" s="6">
        <v>40956.0</v>
      </c>
      <c r="B416" s="5">
        <v>7.49814887041674</v>
      </c>
      <c r="C416" s="5">
        <v>-49.1877719651305</v>
      </c>
      <c r="D416" s="5">
        <v>76.2720388635771</v>
      </c>
      <c r="E416" s="5">
        <v>7.49814887041674</v>
      </c>
      <c r="F416" s="5">
        <v>7.49814887041674</v>
      </c>
      <c r="G416" s="5">
        <v>6.21369562410996</v>
      </c>
      <c r="H416" s="5">
        <v>6.21369562410996</v>
      </c>
      <c r="I416" s="5">
        <v>6.21369562410996</v>
      </c>
      <c r="J416" s="5">
        <v>-1.59155056649012</v>
      </c>
      <c r="K416" s="5">
        <v>-1.59155056649012</v>
      </c>
      <c r="L416" s="5">
        <v>-1.59155056649012</v>
      </c>
      <c r="M416" s="5">
        <v>7.80524619060008</v>
      </c>
      <c r="N416" s="5">
        <v>7.80524619060008</v>
      </c>
      <c r="O416" s="5">
        <v>7.80524619060008</v>
      </c>
      <c r="P416" s="5">
        <v>0.0</v>
      </c>
      <c r="Q416" s="5">
        <v>0.0</v>
      </c>
      <c r="R416" s="5">
        <v>0.0</v>
      </c>
      <c r="S416" s="5">
        <v>13.7118444945267</v>
      </c>
    </row>
    <row r="417">
      <c r="A417" s="6">
        <v>40960.0</v>
      </c>
      <c r="B417" s="5">
        <v>7.54050697468833</v>
      </c>
      <c r="C417" s="5">
        <v>-55.7779796315296</v>
      </c>
      <c r="D417" s="5">
        <v>69.6081827970678</v>
      </c>
      <c r="E417" s="5">
        <v>7.54050697468833</v>
      </c>
      <c r="F417" s="5">
        <v>7.54050697468833</v>
      </c>
      <c r="G417" s="5">
        <v>2.50240706821334</v>
      </c>
      <c r="H417" s="5">
        <v>2.50240706821334</v>
      </c>
      <c r="I417" s="5">
        <v>2.50240706821334</v>
      </c>
      <c r="J417" s="5">
        <v>-0.144118857243881</v>
      </c>
      <c r="K417" s="5">
        <v>-0.144118857243881</v>
      </c>
      <c r="L417" s="5">
        <v>-0.144118857243881</v>
      </c>
      <c r="M417" s="5">
        <v>2.64652592545723</v>
      </c>
      <c r="N417" s="5">
        <v>2.64652592545723</v>
      </c>
      <c r="O417" s="5">
        <v>2.64652592545723</v>
      </c>
      <c r="P417" s="5">
        <v>0.0</v>
      </c>
      <c r="Q417" s="5">
        <v>0.0</v>
      </c>
      <c r="R417" s="5">
        <v>0.0</v>
      </c>
      <c r="S417" s="5">
        <v>10.0429140429016</v>
      </c>
    </row>
    <row r="418">
      <c r="A418" s="6">
        <v>40961.0</v>
      </c>
      <c r="B418" s="5">
        <v>7.55109650075623</v>
      </c>
      <c r="C418" s="5">
        <v>-53.875781559017</v>
      </c>
      <c r="D418" s="5">
        <v>67.6287496817675</v>
      </c>
      <c r="E418" s="5">
        <v>7.55109650075623</v>
      </c>
      <c r="F418" s="5">
        <v>7.55109650075623</v>
      </c>
      <c r="G418" s="5">
        <v>1.13615800646338</v>
      </c>
      <c r="H418" s="5">
        <v>1.13615800646338</v>
      </c>
      <c r="I418" s="5">
        <v>1.13615800646338</v>
      </c>
      <c r="J418" s="5">
        <v>0.00703780528288619</v>
      </c>
      <c r="K418" s="5">
        <v>0.00703780528288619</v>
      </c>
      <c r="L418" s="5">
        <v>0.00703780528288619</v>
      </c>
      <c r="M418" s="5">
        <v>1.12912020118049</v>
      </c>
      <c r="N418" s="5">
        <v>1.12912020118049</v>
      </c>
      <c r="O418" s="5">
        <v>1.12912020118049</v>
      </c>
      <c r="P418" s="5">
        <v>0.0</v>
      </c>
      <c r="Q418" s="5">
        <v>0.0</v>
      </c>
      <c r="R418" s="5">
        <v>0.0</v>
      </c>
      <c r="S418" s="5">
        <v>8.68725450721962</v>
      </c>
    </row>
    <row r="419">
      <c r="A419" s="6">
        <v>40962.0</v>
      </c>
      <c r="B419" s="5">
        <v>7.56168602682413</v>
      </c>
      <c r="C419" s="5">
        <v>-52.2436767232158</v>
      </c>
      <c r="D419" s="5">
        <v>73.3207993160416</v>
      </c>
      <c r="E419" s="5">
        <v>7.56168602682413</v>
      </c>
      <c r="F419" s="5">
        <v>7.56168602682413</v>
      </c>
      <c r="G419" s="5">
        <v>-1.22865922336352</v>
      </c>
      <c r="H419" s="5">
        <v>-1.22865922336352</v>
      </c>
      <c r="I419" s="5">
        <v>-1.22865922336352</v>
      </c>
      <c r="J419" s="5">
        <v>-0.776422525901602</v>
      </c>
      <c r="K419" s="5">
        <v>-0.776422525901602</v>
      </c>
      <c r="L419" s="5">
        <v>-0.776422525901602</v>
      </c>
      <c r="M419" s="5">
        <v>-0.452236697461923</v>
      </c>
      <c r="N419" s="5">
        <v>-0.452236697461923</v>
      </c>
      <c r="O419" s="5">
        <v>-0.452236697461923</v>
      </c>
      <c r="P419" s="5">
        <v>0.0</v>
      </c>
      <c r="Q419" s="5">
        <v>0.0</v>
      </c>
      <c r="R419" s="5">
        <v>0.0</v>
      </c>
      <c r="S419" s="5">
        <v>6.33302680346061</v>
      </c>
    </row>
    <row r="420">
      <c r="A420" s="6">
        <v>40963.0</v>
      </c>
      <c r="B420" s="5">
        <v>7.57227555289203</v>
      </c>
      <c r="C420" s="5">
        <v>-59.3557687905952</v>
      </c>
      <c r="D420" s="5">
        <v>62.872674481163</v>
      </c>
      <c r="E420" s="5">
        <v>7.57227555289203</v>
      </c>
      <c r="F420" s="5">
        <v>7.57227555289203</v>
      </c>
      <c r="G420" s="5">
        <v>-3.67177588690751</v>
      </c>
      <c r="H420" s="5">
        <v>-3.67177588690751</v>
      </c>
      <c r="I420" s="5">
        <v>-3.67177588690751</v>
      </c>
      <c r="J420" s="5">
        <v>-1.59155056649531</v>
      </c>
      <c r="K420" s="5">
        <v>-1.59155056649531</v>
      </c>
      <c r="L420" s="5">
        <v>-1.59155056649531</v>
      </c>
      <c r="M420" s="5">
        <v>-2.0802253204122</v>
      </c>
      <c r="N420" s="5">
        <v>-2.0802253204122</v>
      </c>
      <c r="O420" s="5">
        <v>-2.0802253204122</v>
      </c>
      <c r="P420" s="5">
        <v>0.0</v>
      </c>
      <c r="Q420" s="5">
        <v>0.0</v>
      </c>
      <c r="R420" s="5">
        <v>0.0</v>
      </c>
      <c r="S420" s="5">
        <v>3.90049966598451</v>
      </c>
    </row>
    <row r="421">
      <c r="A421" s="6">
        <v>40966.0</v>
      </c>
      <c r="B421" s="5">
        <v>7.60404413109573</v>
      </c>
      <c r="C421" s="5">
        <v>-63.2645179358458</v>
      </c>
      <c r="D421" s="5">
        <v>61.0436728389117</v>
      </c>
      <c r="E421" s="5">
        <v>7.60404413109573</v>
      </c>
      <c r="F421" s="5">
        <v>7.60404413109573</v>
      </c>
      <c r="G421" s="5">
        <v>-6.95993755608464</v>
      </c>
      <c r="H421" s="5">
        <v>-6.95993755608464</v>
      </c>
      <c r="I421" s="5">
        <v>-6.95993755608464</v>
      </c>
      <c r="J421" s="5">
        <v>0.0905589421221936</v>
      </c>
      <c r="K421" s="5">
        <v>0.0905589421221936</v>
      </c>
      <c r="L421" s="5">
        <v>0.0905589421221936</v>
      </c>
      <c r="M421" s="5">
        <v>-7.05049649820683</v>
      </c>
      <c r="N421" s="5">
        <v>-7.05049649820683</v>
      </c>
      <c r="O421" s="5">
        <v>-7.05049649820683</v>
      </c>
      <c r="P421" s="5">
        <v>0.0</v>
      </c>
      <c r="Q421" s="5">
        <v>0.0</v>
      </c>
      <c r="R421" s="5">
        <v>0.0</v>
      </c>
      <c r="S421" s="5">
        <v>0.644106575011092</v>
      </c>
    </row>
    <row r="422">
      <c r="A422" s="6">
        <v>40967.0</v>
      </c>
      <c r="B422" s="5">
        <v>7.61463365716363</v>
      </c>
      <c r="C422" s="5">
        <v>-63.5656549997307</v>
      </c>
      <c r="D422" s="5">
        <v>59.6585076811904</v>
      </c>
      <c r="E422" s="5">
        <v>7.61463365716363</v>
      </c>
      <c r="F422" s="5">
        <v>7.61463365716363</v>
      </c>
      <c r="G422" s="5">
        <v>-8.81209325867566</v>
      </c>
      <c r="H422" s="5">
        <v>-8.81209325867566</v>
      </c>
      <c r="I422" s="5">
        <v>-8.81209325867566</v>
      </c>
      <c r="J422" s="5">
        <v>-0.144118857246731</v>
      </c>
      <c r="K422" s="5">
        <v>-0.144118857246731</v>
      </c>
      <c r="L422" s="5">
        <v>-0.144118857246731</v>
      </c>
      <c r="M422" s="5">
        <v>-8.66797440142893</v>
      </c>
      <c r="N422" s="5">
        <v>-8.66797440142893</v>
      </c>
      <c r="O422" s="5">
        <v>-8.66797440142893</v>
      </c>
      <c r="P422" s="5">
        <v>0.0</v>
      </c>
      <c r="Q422" s="5">
        <v>0.0</v>
      </c>
      <c r="R422" s="5">
        <v>0.0</v>
      </c>
      <c r="S422" s="5">
        <v>-1.19745960151203</v>
      </c>
    </row>
    <row r="423">
      <c r="A423" s="6">
        <v>40968.0</v>
      </c>
      <c r="B423" s="5">
        <v>7.62522318323153</v>
      </c>
      <c r="C423" s="5">
        <v>-67.2596171155252</v>
      </c>
      <c r="D423" s="5">
        <v>61.1631762868442</v>
      </c>
      <c r="E423" s="5">
        <v>7.62522318323153</v>
      </c>
      <c r="F423" s="5">
        <v>7.62522318323153</v>
      </c>
      <c r="G423" s="5">
        <v>-10.2246441058138</v>
      </c>
      <c r="H423" s="5">
        <v>-10.2246441058138</v>
      </c>
      <c r="I423" s="5">
        <v>-10.2246441058138</v>
      </c>
      <c r="J423" s="5">
        <v>0.00703780528302504</v>
      </c>
      <c r="K423" s="5">
        <v>0.00703780528302504</v>
      </c>
      <c r="L423" s="5">
        <v>0.00703780528302504</v>
      </c>
      <c r="M423" s="5">
        <v>-10.2316819110969</v>
      </c>
      <c r="N423" s="5">
        <v>-10.2316819110969</v>
      </c>
      <c r="O423" s="5">
        <v>-10.2316819110969</v>
      </c>
      <c r="P423" s="5">
        <v>0.0</v>
      </c>
      <c r="Q423" s="5">
        <v>0.0</v>
      </c>
      <c r="R423" s="5">
        <v>0.0</v>
      </c>
      <c r="S423" s="5">
        <v>-2.59942092258235</v>
      </c>
    </row>
    <row r="424">
      <c r="A424" s="6">
        <v>40969.0</v>
      </c>
      <c r="B424" s="5">
        <v>7.63581270929943</v>
      </c>
      <c r="C424" s="5">
        <v>-66.4135325504963</v>
      </c>
      <c r="D424" s="5">
        <v>61.8032865487022</v>
      </c>
      <c r="E424" s="5">
        <v>7.63581270929943</v>
      </c>
      <c r="F424" s="5">
        <v>7.63581270929943</v>
      </c>
      <c r="G424" s="5">
        <v>-12.4984925575942</v>
      </c>
      <c r="H424" s="5">
        <v>-12.4984925575942</v>
      </c>
      <c r="I424" s="5">
        <v>-12.4984925575942</v>
      </c>
      <c r="J424" s="5">
        <v>-0.776422525903699</v>
      </c>
      <c r="K424" s="5">
        <v>-0.776422525903699</v>
      </c>
      <c r="L424" s="5">
        <v>-0.776422525903699</v>
      </c>
      <c r="M424" s="5">
        <v>-11.7220700316905</v>
      </c>
      <c r="N424" s="5">
        <v>-11.7220700316905</v>
      </c>
      <c r="O424" s="5">
        <v>-11.7220700316905</v>
      </c>
      <c r="P424" s="5">
        <v>0.0</v>
      </c>
      <c r="Q424" s="5">
        <v>0.0</v>
      </c>
      <c r="R424" s="5">
        <v>0.0</v>
      </c>
      <c r="S424" s="5">
        <v>-4.86267984829484</v>
      </c>
    </row>
    <row r="425">
      <c r="A425" s="6">
        <v>40970.0</v>
      </c>
      <c r="B425" s="5">
        <v>7.64640223536733</v>
      </c>
      <c r="C425" s="5">
        <v>-69.7781008694596</v>
      </c>
      <c r="D425" s="5">
        <v>55.1472281814566</v>
      </c>
      <c r="E425" s="5">
        <v>7.64640223536733</v>
      </c>
      <c r="F425" s="5">
        <v>7.64640223536733</v>
      </c>
      <c r="G425" s="5">
        <v>-14.7123871461669</v>
      </c>
      <c r="H425" s="5">
        <v>-14.7123871461669</v>
      </c>
      <c r="I425" s="5">
        <v>-14.7123871461669</v>
      </c>
      <c r="J425" s="5">
        <v>-1.59155056649407</v>
      </c>
      <c r="K425" s="5">
        <v>-1.59155056649407</v>
      </c>
      <c r="L425" s="5">
        <v>-1.59155056649407</v>
      </c>
      <c r="M425" s="5">
        <v>-13.1208365796728</v>
      </c>
      <c r="N425" s="5">
        <v>-13.1208365796728</v>
      </c>
      <c r="O425" s="5">
        <v>-13.1208365796728</v>
      </c>
      <c r="P425" s="5">
        <v>0.0</v>
      </c>
      <c r="Q425" s="5">
        <v>0.0</v>
      </c>
      <c r="R425" s="5">
        <v>0.0</v>
      </c>
      <c r="S425" s="5">
        <v>-7.06598491079962</v>
      </c>
    </row>
    <row r="426">
      <c r="A426" s="6">
        <v>40973.0</v>
      </c>
      <c r="B426" s="5">
        <v>7.67817081357103</v>
      </c>
      <c r="C426" s="5">
        <v>-71.9612185874507</v>
      </c>
      <c r="D426" s="5">
        <v>55.9097108174747</v>
      </c>
      <c r="E426" s="5">
        <v>7.67817081357103</v>
      </c>
      <c r="F426" s="5">
        <v>7.67817081357103</v>
      </c>
      <c r="G426" s="5">
        <v>-16.5206433087893</v>
      </c>
      <c r="H426" s="5">
        <v>-16.5206433087893</v>
      </c>
      <c r="I426" s="5">
        <v>-16.5206433087893</v>
      </c>
      <c r="J426" s="5">
        <v>0.0905589421208365</v>
      </c>
      <c r="K426" s="5">
        <v>0.0905589421208365</v>
      </c>
      <c r="L426" s="5">
        <v>0.0905589421208365</v>
      </c>
      <c r="M426" s="5">
        <v>-16.6112022509101</v>
      </c>
      <c r="N426" s="5">
        <v>-16.6112022509101</v>
      </c>
      <c r="O426" s="5">
        <v>-16.6112022509101</v>
      </c>
      <c r="P426" s="5">
        <v>0.0</v>
      </c>
      <c r="Q426" s="5">
        <v>0.0</v>
      </c>
      <c r="R426" s="5">
        <v>0.0</v>
      </c>
      <c r="S426" s="5">
        <v>-8.84247249521832</v>
      </c>
    </row>
    <row r="427">
      <c r="A427" s="6">
        <v>40974.0</v>
      </c>
      <c r="B427" s="5">
        <v>7.68876033963892</v>
      </c>
      <c r="C427" s="5">
        <v>-69.7764009999562</v>
      </c>
      <c r="D427" s="5">
        <v>50.1094351200241</v>
      </c>
      <c r="E427" s="5">
        <v>7.68876033963892</v>
      </c>
      <c r="F427" s="5">
        <v>7.68876033963892</v>
      </c>
      <c r="G427" s="5">
        <v>-17.6425541365201</v>
      </c>
      <c r="H427" s="5">
        <v>-17.6425541365201</v>
      </c>
      <c r="I427" s="5">
        <v>-17.6425541365201</v>
      </c>
      <c r="J427" s="5">
        <v>-0.144118857243119</v>
      </c>
      <c r="K427" s="5">
        <v>-0.144118857243119</v>
      </c>
      <c r="L427" s="5">
        <v>-0.144118857243119</v>
      </c>
      <c r="M427" s="5">
        <v>-17.4984352792769</v>
      </c>
      <c r="N427" s="5">
        <v>-17.4984352792769</v>
      </c>
      <c r="O427" s="5">
        <v>-17.4984352792769</v>
      </c>
      <c r="P427" s="5">
        <v>0.0</v>
      </c>
      <c r="Q427" s="5">
        <v>0.0</v>
      </c>
      <c r="R427" s="5">
        <v>0.0</v>
      </c>
      <c r="S427" s="5">
        <v>-9.95379379688118</v>
      </c>
    </row>
    <row r="428">
      <c r="A428" s="6">
        <v>40975.0</v>
      </c>
      <c r="B428" s="5">
        <v>7.69934986570682</v>
      </c>
      <c r="C428" s="5">
        <v>-74.1086499457063</v>
      </c>
      <c r="D428" s="5">
        <v>51.2010352383907</v>
      </c>
      <c r="E428" s="5">
        <v>7.69934986570682</v>
      </c>
      <c r="F428" s="5">
        <v>7.69934986570682</v>
      </c>
      <c r="G428" s="5">
        <v>-18.2264639828475</v>
      </c>
      <c r="H428" s="5">
        <v>-18.2264639828475</v>
      </c>
      <c r="I428" s="5">
        <v>-18.2264639828475</v>
      </c>
      <c r="J428" s="5">
        <v>0.00703780528217245</v>
      </c>
      <c r="K428" s="5">
        <v>0.00703780528217245</v>
      </c>
      <c r="L428" s="5">
        <v>0.00703780528217245</v>
      </c>
      <c r="M428" s="5">
        <v>-18.2335017881297</v>
      </c>
      <c r="N428" s="5">
        <v>-18.2335017881297</v>
      </c>
      <c r="O428" s="5">
        <v>-18.2335017881297</v>
      </c>
      <c r="P428" s="5">
        <v>0.0</v>
      </c>
      <c r="Q428" s="5">
        <v>0.0</v>
      </c>
      <c r="R428" s="5">
        <v>0.0</v>
      </c>
      <c r="S428" s="5">
        <v>-10.5271141171407</v>
      </c>
    </row>
    <row r="429">
      <c r="A429" s="6">
        <v>40976.0</v>
      </c>
      <c r="B429" s="5">
        <v>7.70993939177472</v>
      </c>
      <c r="C429" s="5">
        <v>-73.9561860343891</v>
      </c>
      <c r="D429" s="5">
        <v>54.3845544628216</v>
      </c>
      <c r="E429" s="5">
        <v>7.70993939177472</v>
      </c>
      <c r="F429" s="5">
        <v>7.70993939177472</v>
      </c>
      <c r="G429" s="5">
        <v>-19.5885328263906</v>
      </c>
      <c r="H429" s="5">
        <v>-19.5885328263906</v>
      </c>
      <c r="I429" s="5">
        <v>-19.5885328263906</v>
      </c>
      <c r="J429" s="5">
        <v>-0.77642252590442</v>
      </c>
      <c r="K429" s="5">
        <v>-0.77642252590442</v>
      </c>
      <c r="L429" s="5">
        <v>-0.77642252590442</v>
      </c>
      <c r="M429" s="5">
        <v>-18.8121103004862</v>
      </c>
      <c r="N429" s="5">
        <v>-18.8121103004862</v>
      </c>
      <c r="O429" s="5">
        <v>-18.8121103004862</v>
      </c>
      <c r="P429" s="5">
        <v>0.0</v>
      </c>
      <c r="Q429" s="5">
        <v>0.0</v>
      </c>
      <c r="R429" s="5">
        <v>0.0</v>
      </c>
      <c r="S429" s="5">
        <v>-11.8785934346159</v>
      </c>
    </row>
    <row r="430">
      <c r="A430" s="6">
        <v>40977.0</v>
      </c>
      <c r="B430" s="5">
        <v>7.72052891784262</v>
      </c>
      <c r="C430" s="5">
        <v>-76.5684046677174</v>
      </c>
      <c r="D430" s="5">
        <v>48.5719766627037</v>
      </c>
      <c r="E430" s="5">
        <v>7.72052891784262</v>
      </c>
      <c r="F430" s="5">
        <v>7.72052891784262</v>
      </c>
      <c r="G430" s="5">
        <v>-20.8243485382533</v>
      </c>
      <c r="H430" s="5">
        <v>-20.8243485382533</v>
      </c>
      <c r="I430" s="5">
        <v>-20.8243485382533</v>
      </c>
      <c r="J430" s="5">
        <v>-1.59155056649314</v>
      </c>
      <c r="K430" s="5">
        <v>-1.59155056649314</v>
      </c>
      <c r="L430" s="5">
        <v>-1.59155056649314</v>
      </c>
      <c r="M430" s="5">
        <v>-19.2327979717601</v>
      </c>
      <c r="N430" s="5">
        <v>-19.2327979717601</v>
      </c>
      <c r="O430" s="5">
        <v>-19.2327979717601</v>
      </c>
      <c r="P430" s="5">
        <v>0.0</v>
      </c>
      <c r="Q430" s="5">
        <v>0.0</v>
      </c>
      <c r="R430" s="5">
        <v>0.0</v>
      </c>
      <c r="S430" s="5">
        <v>-13.1038196204106</v>
      </c>
    </row>
    <row r="431">
      <c r="A431" s="6">
        <v>40980.0</v>
      </c>
      <c r="B431" s="5">
        <v>7.75229749604632</v>
      </c>
      <c r="C431" s="5">
        <v>-74.6684290999289</v>
      </c>
      <c r="D431" s="5">
        <v>48.2159150818332</v>
      </c>
      <c r="E431" s="5">
        <v>7.75229749604632</v>
      </c>
      <c r="F431" s="5">
        <v>7.75229749604632</v>
      </c>
      <c r="G431" s="5">
        <v>-19.483103414761</v>
      </c>
      <c r="H431" s="5">
        <v>-19.483103414761</v>
      </c>
      <c r="I431" s="5">
        <v>-19.483103414761</v>
      </c>
      <c r="J431" s="5">
        <v>0.0905589421242469</v>
      </c>
      <c r="K431" s="5">
        <v>0.0905589421242469</v>
      </c>
      <c r="L431" s="5">
        <v>0.0905589421242469</v>
      </c>
      <c r="M431" s="5">
        <v>-19.5736623568852</v>
      </c>
      <c r="N431" s="5">
        <v>-19.5736623568852</v>
      </c>
      <c r="O431" s="5">
        <v>-19.5736623568852</v>
      </c>
      <c r="P431" s="5">
        <v>0.0</v>
      </c>
      <c r="Q431" s="5">
        <v>0.0</v>
      </c>
      <c r="R431" s="5">
        <v>0.0</v>
      </c>
      <c r="S431" s="5">
        <v>-11.7308059187147</v>
      </c>
    </row>
    <row r="432">
      <c r="A432" s="6">
        <v>40981.0</v>
      </c>
      <c r="B432" s="5">
        <v>7.76288702211422</v>
      </c>
      <c r="C432" s="5">
        <v>-74.0232552288858</v>
      </c>
      <c r="D432" s="5">
        <v>49.1636766104008</v>
      </c>
      <c r="E432" s="5">
        <v>7.76288702211422</v>
      </c>
      <c r="F432" s="5">
        <v>7.76288702211422</v>
      </c>
      <c r="G432" s="5">
        <v>-19.5456577886726</v>
      </c>
      <c r="H432" s="5">
        <v>-19.5456577886726</v>
      </c>
      <c r="I432" s="5">
        <v>-19.5456577886726</v>
      </c>
      <c r="J432" s="5">
        <v>-0.144118857244555</v>
      </c>
      <c r="K432" s="5">
        <v>-0.144118857244555</v>
      </c>
      <c r="L432" s="5">
        <v>-0.144118857244555</v>
      </c>
      <c r="M432" s="5">
        <v>-19.401538931428</v>
      </c>
      <c r="N432" s="5">
        <v>-19.401538931428</v>
      </c>
      <c r="O432" s="5">
        <v>-19.401538931428</v>
      </c>
      <c r="P432" s="5">
        <v>0.0</v>
      </c>
      <c r="Q432" s="5">
        <v>0.0</v>
      </c>
      <c r="R432" s="5">
        <v>0.0</v>
      </c>
      <c r="S432" s="5">
        <v>-11.7827707665584</v>
      </c>
    </row>
    <row r="433">
      <c r="A433" s="6">
        <v>40982.0</v>
      </c>
      <c r="B433" s="5">
        <v>7.77347654818212</v>
      </c>
      <c r="C433" s="5">
        <v>-70.0013703608227</v>
      </c>
      <c r="D433" s="5">
        <v>54.8566029401607</v>
      </c>
      <c r="E433" s="5">
        <v>7.77347654818212</v>
      </c>
      <c r="F433" s="5">
        <v>7.77347654818212</v>
      </c>
      <c r="G433" s="5">
        <v>-19.095614896765</v>
      </c>
      <c r="H433" s="5">
        <v>-19.095614896765</v>
      </c>
      <c r="I433" s="5">
        <v>-19.095614896765</v>
      </c>
      <c r="J433" s="5">
        <v>0.00703780528131999</v>
      </c>
      <c r="K433" s="5">
        <v>0.00703780528131999</v>
      </c>
      <c r="L433" s="5">
        <v>0.00703780528131999</v>
      </c>
      <c r="M433" s="5">
        <v>-19.1026527020463</v>
      </c>
      <c r="N433" s="5">
        <v>-19.1026527020463</v>
      </c>
      <c r="O433" s="5">
        <v>-19.1026527020463</v>
      </c>
      <c r="P433" s="5">
        <v>0.0</v>
      </c>
      <c r="Q433" s="5">
        <v>0.0</v>
      </c>
      <c r="R433" s="5">
        <v>0.0</v>
      </c>
      <c r="S433" s="5">
        <v>-11.3221383485829</v>
      </c>
    </row>
    <row r="434">
      <c r="A434" s="6">
        <v>40983.0</v>
      </c>
      <c r="B434" s="5">
        <v>7.78406607425002</v>
      </c>
      <c r="C434" s="5">
        <v>-72.0057506012874</v>
      </c>
      <c r="D434" s="5">
        <v>48.3754346875311</v>
      </c>
      <c r="E434" s="5">
        <v>7.78406607425002</v>
      </c>
      <c r="F434" s="5">
        <v>7.78406607425002</v>
      </c>
      <c r="G434" s="5">
        <v>-19.46573279923</v>
      </c>
      <c r="H434" s="5">
        <v>-19.46573279923</v>
      </c>
      <c r="I434" s="5">
        <v>-19.46573279923</v>
      </c>
      <c r="J434" s="5">
        <v>-0.776422525906517</v>
      </c>
      <c r="K434" s="5">
        <v>-0.776422525906517</v>
      </c>
      <c r="L434" s="5">
        <v>-0.776422525906517</v>
      </c>
      <c r="M434" s="5">
        <v>-18.6893102733235</v>
      </c>
      <c r="N434" s="5">
        <v>-18.6893102733235</v>
      </c>
      <c r="O434" s="5">
        <v>-18.6893102733235</v>
      </c>
      <c r="P434" s="5">
        <v>0.0</v>
      </c>
      <c r="Q434" s="5">
        <v>0.0</v>
      </c>
      <c r="R434" s="5">
        <v>0.0</v>
      </c>
      <c r="S434" s="5">
        <v>-11.6816667249799</v>
      </c>
    </row>
    <row r="435">
      <c r="A435" s="6">
        <v>40984.0</v>
      </c>
      <c r="B435" s="5">
        <v>7.79465560031792</v>
      </c>
      <c r="C435" s="5">
        <v>-75.7780702360656</v>
      </c>
      <c r="D435" s="5">
        <v>46.062956437744</v>
      </c>
      <c r="E435" s="5">
        <v>7.79465560031792</v>
      </c>
      <c r="F435" s="5">
        <v>7.79465560031792</v>
      </c>
      <c r="G435" s="5">
        <v>-19.7666434320219</v>
      </c>
      <c r="H435" s="5">
        <v>-19.7666434320219</v>
      </c>
      <c r="I435" s="5">
        <v>-19.7666434320219</v>
      </c>
      <c r="J435" s="5">
        <v>-1.59155056649465</v>
      </c>
      <c r="K435" s="5">
        <v>-1.59155056649465</v>
      </c>
      <c r="L435" s="5">
        <v>-1.59155056649465</v>
      </c>
      <c r="M435" s="5">
        <v>-18.1750928655273</v>
      </c>
      <c r="N435" s="5">
        <v>-18.1750928655273</v>
      </c>
      <c r="O435" s="5">
        <v>-18.1750928655273</v>
      </c>
      <c r="P435" s="5">
        <v>0.0</v>
      </c>
      <c r="Q435" s="5">
        <v>0.0</v>
      </c>
      <c r="R435" s="5">
        <v>0.0</v>
      </c>
      <c r="S435" s="5">
        <v>-11.971987831704</v>
      </c>
    </row>
    <row r="436">
      <c r="A436" s="6">
        <v>40987.0</v>
      </c>
      <c r="B436" s="5">
        <v>7.82642417852161</v>
      </c>
      <c r="C436" s="5">
        <v>-68.2299271454059</v>
      </c>
      <c r="D436" s="5">
        <v>49.8518614603727</v>
      </c>
      <c r="E436" s="5">
        <v>7.82642417852161</v>
      </c>
      <c r="F436" s="5">
        <v>7.82642417852161</v>
      </c>
      <c r="G436" s="5">
        <v>-16.0836022164468</v>
      </c>
      <c r="H436" s="5">
        <v>-16.0836022164468</v>
      </c>
      <c r="I436" s="5">
        <v>-16.0836022164468</v>
      </c>
      <c r="J436" s="5">
        <v>0.0905589421204256</v>
      </c>
      <c r="K436" s="5">
        <v>0.0905589421204256</v>
      </c>
      <c r="L436" s="5">
        <v>0.0905589421204256</v>
      </c>
      <c r="M436" s="5">
        <v>-16.1741611585673</v>
      </c>
      <c r="N436" s="5">
        <v>-16.1741611585673</v>
      </c>
      <c r="O436" s="5">
        <v>-16.1741611585673</v>
      </c>
      <c r="P436" s="5">
        <v>0.0</v>
      </c>
      <c r="Q436" s="5">
        <v>0.0</v>
      </c>
      <c r="R436" s="5">
        <v>0.0</v>
      </c>
      <c r="S436" s="5">
        <v>-8.25717803792527</v>
      </c>
    </row>
    <row r="437">
      <c r="A437" s="6">
        <v>40988.0</v>
      </c>
      <c r="B437" s="5">
        <v>7.83701370458951</v>
      </c>
      <c r="C437" s="5">
        <v>-71.1175978981796</v>
      </c>
      <c r="D437" s="5">
        <v>55.769874417482</v>
      </c>
      <c r="E437" s="5">
        <v>7.83701370458951</v>
      </c>
      <c r="F437" s="5">
        <v>7.83701370458951</v>
      </c>
      <c r="G437" s="5">
        <v>-15.5485819098082</v>
      </c>
      <c r="H437" s="5">
        <v>-15.5485819098082</v>
      </c>
      <c r="I437" s="5">
        <v>-15.5485819098082</v>
      </c>
      <c r="J437" s="5">
        <v>-0.144118857243466</v>
      </c>
      <c r="K437" s="5">
        <v>-0.144118857243466</v>
      </c>
      <c r="L437" s="5">
        <v>-0.144118857243466</v>
      </c>
      <c r="M437" s="5">
        <v>-15.4044630525647</v>
      </c>
      <c r="N437" s="5">
        <v>-15.4044630525647</v>
      </c>
      <c r="O437" s="5">
        <v>-15.4044630525647</v>
      </c>
      <c r="P437" s="5">
        <v>0.0</v>
      </c>
      <c r="Q437" s="5">
        <v>0.0</v>
      </c>
      <c r="R437" s="5">
        <v>0.0</v>
      </c>
      <c r="S437" s="5">
        <v>-7.7115682052187</v>
      </c>
    </row>
    <row r="438">
      <c r="A438" s="6">
        <v>40989.0</v>
      </c>
      <c r="B438" s="5">
        <v>7.84760323065741</v>
      </c>
      <c r="C438" s="5">
        <v>-68.7000736345901</v>
      </c>
      <c r="D438" s="5">
        <v>57.8818824322416</v>
      </c>
      <c r="E438" s="5">
        <v>7.84760323065741</v>
      </c>
      <c r="F438" s="5">
        <v>7.84760323065741</v>
      </c>
      <c r="G438" s="5">
        <v>-14.6006319509131</v>
      </c>
      <c r="H438" s="5">
        <v>-14.6006319509131</v>
      </c>
      <c r="I438" s="5">
        <v>-14.6006319509131</v>
      </c>
      <c r="J438" s="5">
        <v>0.00703780528362236</v>
      </c>
      <c r="K438" s="5">
        <v>0.00703780528362236</v>
      </c>
      <c r="L438" s="5">
        <v>0.00703780528362236</v>
      </c>
      <c r="M438" s="5">
        <v>-14.6076697561967</v>
      </c>
      <c r="N438" s="5">
        <v>-14.6076697561967</v>
      </c>
      <c r="O438" s="5">
        <v>-14.6076697561967</v>
      </c>
      <c r="P438" s="5">
        <v>0.0</v>
      </c>
      <c r="Q438" s="5">
        <v>0.0</v>
      </c>
      <c r="R438" s="5">
        <v>0.0</v>
      </c>
      <c r="S438" s="5">
        <v>-6.75302872025569</v>
      </c>
    </row>
    <row r="439">
      <c r="A439" s="6">
        <v>40990.0</v>
      </c>
      <c r="B439" s="5">
        <v>7.85819275672531</v>
      </c>
      <c r="C439" s="5">
        <v>-74.2849121575386</v>
      </c>
      <c r="D439" s="5">
        <v>56.6768009384781</v>
      </c>
      <c r="E439" s="5">
        <v>7.85819275672531</v>
      </c>
      <c r="F439" s="5">
        <v>7.85819275672531</v>
      </c>
      <c r="G439" s="5">
        <v>-14.5736135287185</v>
      </c>
      <c r="H439" s="5">
        <v>-14.5736135287185</v>
      </c>
      <c r="I439" s="5">
        <v>-14.5736135287185</v>
      </c>
      <c r="J439" s="5">
        <v>-0.776422525900164</v>
      </c>
      <c r="K439" s="5">
        <v>-0.776422525900164</v>
      </c>
      <c r="L439" s="5">
        <v>-0.776422525900164</v>
      </c>
      <c r="M439" s="5">
        <v>-13.7971910028183</v>
      </c>
      <c r="N439" s="5">
        <v>-13.7971910028183</v>
      </c>
      <c r="O439" s="5">
        <v>-13.7971910028183</v>
      </c>
      <c r="P439" s="5">
        <v>0.0</v>
      </c>
      <c r="Q439" s="5">
        <v>0.0</v>
      </c>
      <c r="R439" s="5">
        <v>0.0</v>
      </c>
      <c r="S439" s="5">
        <v>-6.71542077199321</v>
      </c>
    </row>
    <row r="440">
      <c r="A440" s="6">
        <v>40991.0</v>
      </c>
      <c r="B440" s="5">
        <v>7.86878228279321</v>
      </c>
      <c r="C440" s="5">
        <v>-66.0830479715477</v>
      </c>
      <c r="D440" s="5">
        <v>57.1884581571672</v>
      </c>
      <c r="E440" s="5">
        <v>7.86878228279321</v>
      </c>
      <c r="F440" s="5">
        <v>7.86878228279321</v>
      </c>
      <c r="G440" s="5">
        <v>-14.5768244705095</v>
      </c>
      <c r="H440" s="5">
        <v>-14.5768244705095</v>
      </c>
      <c r="I440" s="5">
        <v>-14.5768244705095</v>
      </c>
      <c r="J440" s="5">
        <v>-1.59155056649341</v>
      </c>
      <c r="K440" s="5">
        <v>-1.59155056649341</v>
      </c>
      <c r="L440" s="5">
        <v>-1.59155056649341</v>
      </c>
      <c r="M440" s="5">
        <v>-12.9852739040161</v>
      </c>
      <c r="N440" s="5">
        <v>-12.9852739040161</v>
      </c>
      <c r="O440" s="5">
        <v>-12.9852739040161</v>
      </c>
      <c r="P440" s="5">
        <v>0.0</v>
      </c>
      <c r="Q440" s="5">
        <v>0.0</v>
      </c>
      <c r="R440" s="5">
        <v>0.0</v>
      </c>
      <c r="S440" s="5">
        <v>-6.70804218771637</v>
      </c>
    </row>
    <row r="441">
      <c r="A441" s="6">
        <v>40994.0</v>
      </c>
      <c r="B441" s="5">
        <v>7.90055086099691</v>
      </c>
      <c r="C441" s="5">
        <v>-64.8082082648369</v>
      </c>
      <c r="D441" s="5">
        <v>62.1532069895158</v>
      </c>
      <c r="E441" s="5">
        <v>7.90055086099691</v>
      </c>
      <c r="F441" s="5">
        <v>7.90055086099691</v>
      </c>
      <c r="G441" s="5">
        <v>-10.5510816231221</v>
      </c>
      <c r="H441" s="5">
        <v>-10.5510816231221</v>
      </c>
      <c r="I441" s="5">
        <v>-10.5510816231221</v>
      </c>
      <c r="J441" s="5">
        <v>0.090558942123836</v>
      </c>
      <c r="K441" s="5">
        <v>0.090558942123836</v>
      </c>
      <c r="L441" s="5">
        <v>0.090558942123836</v>
      </c>
      <c r="M441" s="5">
        <v>-10.6416405652459</v>
      </c>
      <c r="N441" s="5">
        <v>-10.6416405652459</v>
      </c>
      <c r="O441" s="5">
        <v>-10.6416405652459</v>
      </c>
      <c r="P441" s="5">
        <v>0.0</v>
      </c>
      <c r="Q441" s="5">
        <v>0.0</v>
      </c>
      <c r="R441" s="5">
        <v>0.0</v>
      </c>
      <c r="S441" s="5">
        <v>-2.65053076212523</v>
      </c>
    </row>
    <row r="442">
      <c r="A442" s="6">
        <v>40995.0</v>
      </c>
      <c r="B442" s="5">
        <v>7.91114038706481</v>
      </c>
      <c r="C442" s="5">
        <v>-69.5563177186094</v>
      </c>
      <c r="D442" s="5">
        <v>60.3438509682646</v>
      </c>
      <c r="E442" s="5">
        <v>7.91114038706481</v>
      </c>
      <c r="F442" s="5">
        <v>7.91114038706481</v>
      </c>
      <c r="G442" s="5">
        <v>-10.0606784818959</v>
      </c>
      <c r="H442" s="5">
        <v>-10.0606784818959</v>
      </c>
      <c r="I442" s="5">
        <v>-10.0606784818959</v>
      </c>
      <c r="J442" s="5">
        <v>-0.144118857246316</v>
      </c>
      <c r="K442" s="5">
        <v>-0.144118857246316</v>
      </c>
      <c r="L442" s="5">
        <v>-0.144118857246316</v>
      </c>
      <c r="M442" s="5">
        <v>-9.91655962464966</v>
      </c>
      <c r="N442" s="5">
        <v>-9.91655962464966</v>
      </c>
      <c r="O442" s="5">
        <v>-9.91655962464966</v>
      </c>
      <c r="P442" s="5">
        <v>0.0</v>
      </c>
      <c r="Q442" s="5">
        <v>0.0</v>
      </c>
      <c r="R442" s="5">
        <v>0.0</v>
      </c>
      <c r="S442" s="5">
        <v>-2.14953809483116</v>
      </c>
    </row>
    <row r="443">
      <c r="A443" s="6">
        <v>40996.0</v>
      </c>
      <c r="B443" s="5">
        <v>7.92172991313271</v>
      </c>
      <c r="C443" s="5">
        <v>-70.8601473015877</v>
      </c>
      <c r="D443" s="5">
        <v>60.7867116603205</v>
      </c>
      <c r="E443" s="5">
        <v>7.92172991313271</v>
      </c>
      <c r="F443" s="5">
        <v>7.92172991313271</v>
      </c>
      <c r="G443" s="5">
        <v>-9.22094730521238</v>
      </c>
      <c r="H443" s="5">
        <v>-9.22094730521238</v>
      </c>
      <c r="I443" s="5">
        <v>-9.22094730521238</v>
      </c>
      <c r="J443" s="5">
        <v>0.00703780528060632</v>
      </c>
      <c r="K443" s="5">
        <v>0.00703780528060632</v>
      </c>
      <c r="L443" s="5">
        <v>0.00703780528060632</v>
      </c>
      <c r="M443" s="5">
        <v>-9.22798511049298</v>
      </c>
      <c r="N443" s="5">
        <v>-9.22798511049298</v>
      </c>
      <c r="O443" s="5">
        <v>-9.22798511049298</v>
      </c>
      <c r="P443" s="5">
        <v>0.0</v>
      </c>
      <c r="Q443" s="5">
        <v>0.0</v>
      </c>
      <c r="R443" s="5">
        <v>0.0</v>
      </c>
      <c r="S443" s="5">
        <v>-1.29921739207967</v>
      </c>
    </row>
    <row r="444">
      <c r="A444" s="6">
        <v>40997.0</v>
      </c>
      <c r="B444" s="5">
        <v>7.93231943920061</v>
      </c>
      <c r="C444" s="5">
        <v>-66.0131604249942</v>
      </c>
      <c r="D444" s="5">
        <v>61.7241836151866</v>
      </c>
      <c r="E444" s="5">
        <v>7.93231943920061</v>
      </c>
      <c r="F444" s="5">
        <v>7.93231943920061</v>
      </c>
      <c r="G444" s="5">
        <v>-9.35488647191647</v>
      </c>
      <c r="H444" s="5">
        <v>-9.35488647191647</v>
      </c>
      <c r="I444" s="5">
        <v>-9.35488647191647</v>
      </c>
      <c r="J444" s="5">
        <v>-0.776422525900886</v>
      </c>
      <c r="K444" s="5">
        <v>-0.776422525900886</v>
      </c>
      <c r="L444" s="5">
        <v>-0.776422525900886</v>
      </c>
      <c r="M444" s="5">
        <v>-8.57846394601558</v>
      </c>
      <c r="N444" s="5">
        <v>-8.57846394601558</v>
      </c>
      <c r="O444" s="5">
        <v>-8.57846394601558</v>
      </c>
      <c r="P444" s="5">
        <v>0.0</v>
      </c>
      <c r="Q444" s="5">
        <v>0.0</v>
      </c>
      <c r="R444" s="5">
        <v>0.0</v>
      </c>
      <c r="S444" s="5">
        <v>-1.42256703271586</v>
      </c>
    </row>
    <row r="445">
      <c r="A445" s="6">
        <v>40998.0</v>
      </c>
      <c r="B445" s="5">
        <v>7.9429089652685</v>
      </c>
      <c r="C445" s="5">
        <v>-60.7053996135641</v>
      </c>
      <c r="D445" s="5">
        <v>60.0002996614056</v>
      </c>
      <c r="E445" s="5">
        <v>7.9429089652685</v>
      </c>
      <c r="F445" s="5">
        <v>7.9429089652685</v>
      </c>
      <c r="G445" s="5">
        <v>-9.56054525081793</v>
      </c>
      <c r="H445" s="5">
        <v>-9.56054525081793</v>
      </c>
      <c r="I445" s="5">
        <v>-9.56054525081793</v>
      </c>
      <c r="J445" s="5">
        <v>-1.5915505664928</v>
      </c>
      <c r="K445" s="5">
        <v>-1.5915505664928</v>
      </c>
      <c r="L445" s="5">
        <v>-1.5915505664928</v>
      </c>
      <c r="M445" s="5">
        <v>-7.96899468432512</v>
      </c>
      <c r="N445" s="5">
        <v>-7.96899468432512</v>
      </c>
      <c r="O445" s="5">
        <v>-7.96899468432512</v>
      </c>
      <c r="P445" s="5">
        <v>0.0</v>
      </c>
      <c r="Q445" s="5">
        <v>0.0</v>
      </c>
      <c r="R445" s="5">
        <v>0.0</v>
      </c>
      <c r="S445" s="5">
        <v>-1.61763628554942</v>
      </c>
    </row>
    <row r="446">
      <c r="A446" s="6">
        <v>41001.0</v>
      </c>
      <c r="B446" s="5">
        <v>7.9746775434722</v>
      </c>
      <c r="C446" s="5">
        <v>-57.7508090637911</v>
      </c>
      <c r="D446" s="5">
        <v>63.3145256489711</v>
      </c>
      <c r="E446" s="5">
        <v>7.9746775434722</v>
      </c>
      <c r="F446" s="5">
        <v>7.9746775434722</v>
      </c>
      <c r="G446" s="5">
        <v>-6.28067243429145</v>
      </c>
      <c r="H446" s="5">
        <v>-6.28067243429145</v>
      </c>
      <c r="I446" s="5">
        <v>-6.28067243429145</v>
      </c>
      <c r="J446" s="5">
        <v>0.0905589421223985</v>
      </c>
      <c r="K446" s="5">
        <v>0.0905589421223985</v>
      </c>
      <c r="L446" s="5">
        <v>0.0905589421223985</v>
      </c>
      <c r="M446" s="5">
        <v>-6.37123137641385</v>
      </c>
      <c r="N446" s="5">
        <v>-6.37123137641385</v>
      </c>
      <c r="O446" s="5">
        <v>-6.37123137641385</v>
      </c>
      <c r="P446" s="5">
        <v>0.0</v>
      </c>
      <c r="Q446" s="5">
        <v>0.0</v>
      </c>
      <c r="R446" s="5">
        <v>0.0</v>
      </c>
      <c r="S446" s="5">
        <v>1.69400510918075</v>
      </c>
    </row>
    <row r="447">
      <c r="A447" s="6">
        <v>41002.0</v>
      </c>
      <c r="B447" s="5">
        <v>7.9852670695401</v>
      </c>
      <c r="C447" s="5">
        <v>-60.4099964741055</v>
      </c>
      <c r="D447" s="5">
        <v>65.5974036003105</v>
      </c>
      <c r="E447" s="5">
        <v>7.9852670695401</v>
      </c>
      <c r="F447" s="5">
        <v>7.9852670695401</v>
      </c>
      <c r="G447" s="5">
        <v>-6.05139366739788</v>
      </c>
      <c r="H447" s="5">
        <v>-6.05139366739788</v>
      </c>
      <c r="I447" s="5">
        <v>-6.05139366739788</v>
      </c>
      <c r="J447" s="5">
        <v>-0.144118857247752</v>
      </c>
      <c r="K447" s="5">
        <v>-0.144118857247752</v>
      </c>
      <c r="L447" s="5">
        <v>-0.144118857247752</v>
      </c>
      <c r="M447" s="5">
        <v>-5.90727481015013</v>
      </c>
      <c r="N447" s="5">
        <v>-5.90727481015013</v>
      </c>
      <c r="O447" s="5">
        <v>-5.90727481015013</v>
      </c>
      <c r="P447" s="5">
        <v>0.0</v>
      </c>
      <c r="Q447" s="5">
        <v>0.0</v>
      </c>
      <c r="R447" s="5">
        <v>0.0</v>
      </c>
      <c r="S447" s="5">
        <v>1.93387340214221</v>
      </c>
    </row>
    <row r="448">
      <c r="A448" s="6">
        <v>41003.0</v>
      </c>
      <c r="B448" s="5">
        <v>7.995856595608</v>
      </c>
      <c r="C448" s="5">
        <v>-60.3159101866412</v>
      </c>
      <c r="D448" s="5">
        <v>63.6877532693009</v>
      </c>
      <c r="E448" s="5">
        <v>7.995856595608</v>
      </c>
      <c r="F448" s="5">
        <v>7.995856595608</v>
      </c>
      <c r="G448" s="5">
        <v>-5.46483412149529</v>
      </c>
      <c r="H448" s="5">
        <v>-5.46483412149529</v>
      </c>
      <c r="I448" s="5">
        <v>-5.46483412149529</v>
      </c>
      <c r="J448" s="5">
        <v>0.00703780528191742</v>
      </c>
      <c r="K448" s="5">
        <v>0.00703780528191742</v>
      </c>
      <c r="L448" s="5">
        <v>0.00703780528191742</v>
      </c>
      <c r="M448" s="5">
        <v>-5.47187192677721</v>
      </c>
      <c r="N448" s="5">
        <v>-5.47187192677721</v>
      </c>
      <c r="O448" s="5">
        <v>-5.47187192677721</v>
      </c>
      <c r="P448" s="5">
        <v>0.0</v>
      </c>
      <c r="Q448" s="5">
        <v>0.0</v>
      </c>
      <c r="R448" s="5">
        <v>0.0</v>
      </c>
      <c r="S448" s="5">
        <v>2.5310224741127</v>
      </c>
    </row>
    <row r="449">
      <c r="A449" s="6">
        <v>41004.0</v>
      </c>
      <c r="B449" s="5">
        <v>8.0064461216759</v>
      </c>
      <c r="C449" s="5">
        <v>-63.0713589332825</v>
      </c>
      <c r="D449" s="5">
        <v>66.4437066829747</v>
      </c>
      <c r="E449" s="5">
        <v>8.0064461216759</v>
      </c>
      <c r="F449" s="5">
        <v>8.0064461216759</v>
      </c>
      <c r="G449" s="5">
        <v>-5.83756892386907</v>
      </c>
      <c r="H449" s="5">
        <v>-5.83756892386907</v>
      </c>
      <c r="I449" s="5">
        <v>-5.83756892386907</v>
      </c>
      <c r="J449" s="5">
        <v>-0.776422525901608</v>
      </c>
      <c r="K449" s="5">
        <v>-0.776422525901608</v>
      </c>
      <c r="L449" s="5">
        <v>-0.776422525901608</v>
      </c>
      <c r="M449" s="5">
        <v>-5.06114639796746</v>
      </c>
      <c r="N449" s="5">
        <v>-5.06114639796746</v>
      </c>
      <c r="O449" s="5">
        <v>-5.06114639796746</v>
      </c>
      <c r="P449" s="5">
        <v>0.0</v>
      </c>
      <c r="Q449" s="5">
        <v>0.0</v>
      </c>
      <c r="R449" s="5">
        <v>0.0</v>
      </c>
      <c r="S449" s="5">
        <v>2.16887719780683</v>
      </c>
    </row>
    <row r="450">
      <c r="A450" s="6">
        <v>41008.0</v>
      </c>
      <c r="B450" s="5">
        <v>8.0488042259475</v>
      </c>
      <c r="C450" s="5">
        <v>-54.3222829622326</v>
      </c>
      <c r="D450" s="5">
        <v>72.4939182799278</v>
      </c>
      <c r="E450" s="5">
        <v>8.0488042259475</v>
      </c>
      <c r="F450" s="5">
        <v>8.0488042259475</v>
      </c>
      <c r="G450" s="5">
        <v>-3.50551564098798</v>
      </c>
      <c r="H450" s="5">
        <v>-3.50551564098798</v>
      </c>
      <c r="I450" s="5">
        <v>-3.50551564098798</v>
      </c>
      <c r="J450" s="5">
        <v>0.0905589421209609</v>
      </c>
      <c r="K450" s="5">
        <v>0.0905589421209609</v>
      </c>
      <c r="L450" s="5">
        <v>0.0905589421209609</v>
      </c>
      <c r="M450" s="5">
        <v>-3.59607458310894</v>
      </c>
      <c r="N450" s="5">
        <v>-3.59607458310894</v>
      </c>
      <c r="O450" s="5">
        <v>-3.59607458310894</v>
      </c>
      <c r="P450" s="5">
        <v>0.0</v>
      </c>
      <c r="Q450" s="5">
        <v>0.0</v>
      </c>
      <c r="R450" s="5">
        <v>0.0</v>
      </c>
      <c r="S450" s="5">
        <v>4.54328858495951</v>
      </c>
    </row>
    <row r="451">
      <c r="A451" s="6">
        <v>41009.0</v>
      </c>
      <c r="B451" s="5">
        <v>8.0593937520154</v>
      </c>
      <c r="C451" s="5">
        <v>-58.2723609003267</v>
      </c>
      <c r="D451" s="5">
        <v>66.6487278330476</v>
      </c>
      <c r="E451" s="5">
        <v>8.0593937520154</v>
      </c>
      <c r="F451" s="5">
        <v>8.0593937520154</v>
      </c>
      <c r="G451" s="5">
        <v>-3.40649144024473</v>
      </c>
      <c r="H451" s="5">
        <v>-3.40649144024473</v>
      </c>
      <c r="I451" s="5">
        <v>-3.40649144024473</v>
      </c>
      <c r="J451" s="5">
        <v>-0.14411885724414</v>
      </c>
      <c r="K451" s="5">
        <v>-0.14411885724414</v>
      </c>
      <c r="L451" s="5">
        <v>-0.14411885724414</v>
      </c>
      <c r="M451" s="5">
        <v>-3.26237258300059</v>
      </c>
      <c r="N451" s="5">
        <v>-3.26237258300059</v>
      </c>
      <c r="O451" s="5">
        <v>-3.26237258300059</v>
      </c>
      <c r="P451" s="5">
        <v>0.0</v>
      </c>
      <c r="Q451" s="5">
        <v>0.0</v>
      </c>
      <c r="R451" s="5">
        <v>0.0</v>
      </c>
      <c r="S451" s="5">
        <v>4.65290231177066</v>
      </c>
    </row>
    <row r="452">
      <c r="A452" s="6">
        <v>41010.0</v>
      </c>
      <c r="B452" s="5">
        <v>8.0699832780833</v>
      </c>
      <c r="C452" s="5">
        <v>-60.9565655863468</v>
      </c>
      <c r="D452" s="5">
        <v>67.1101242368913</v>
      </c>
      <c r="E452" s="5">
        <v>8.0699832780833</v>
      </c>
      <c r="F452" s="5">
        <v>8.0699832780833</v>
      </c>
      <c r="G452" s="5">
        <v>-2.93305173729901</v>
      </c>
      <c r="H452" s="5">
        <v>-2.93305173729901</v>
      </c>
      <c r="I452" s="5">
        <v>-2.93305173729901</v>
      </c>
      <c r="J452" s="5">
        <v>0.00703780528106497</v>
      </c>
      <c r="K452" s="5">
        <v>0.00703780528106497</v>
      </c>
      <c r="L452" s="5">
        <v>0.00703780528106497</v>
      </c>
      <c r="M452" s="5">
        <v>-2.94008954258008</v>
      </c>
      <c r="N452" s="5">
        <v>-2.94008954258008</v>
      </c>
      <c r="O452" s="5">
        <v>-2.94008954258008</v>
      </c>
      <c r="P452" s="5">
        <v>0.0</v>
      </c>
      <c r="Q452" s="5">
        <v>0.0</v>
      </c>
      <c r="R452" s="5">
        <v>0.0</v>
      </c>
      <c r="S452" s="5">
        <v>5.13693154078428</v>
      </c>
    </row>
    <row r="453">
      <c r="A453" s="6">
        <v>41011.0</v>
      </c>
      <c r="B453" s="5">
        <v>8.08057280415119</v>
      </c>
      <c r="C453" s="5">
        <v>-57.0830036944741</v>
      </c>
      <c r="D453" s="5">
        <v>71.1189391955461</v>
      </c>
      <c r="E453" s="5">
        <v>8.08057280415119</v>
      </c>
      <c r="F453" s="5">
        <v>8.08057280415119</v>
      </c>
      <c r="G453" s="5">
        <v>-3.40675447737546</v>
      </c>
      <c r="H453" s="5">
        <v>-3.40675447737546</v>
      </c>
      <c r="I453" s="5">
        <v>-3.40675447737546</v>
      </c>
      <c r="J453" s="5">
        <v>-0.776422525900855</v>
      </c>
      <c r="K453" s="5">
        <v>-0.776422525900855</v>
      </c>
      <c r="L453" s="5">
        <v>-0.776422525900855</v>
      </c>
      <c r="M453" s="5">
        <v>-2.6303319514746</v>
      </c>
      <c r="N453" s="5">
        <v>-2.6303319514746</v>
      </c>
      <c r="O453" s="5">
        <v>-2.6303319514746</v>
      </c>
      <c r="P453" s="5">
        <v>0.0</v>
      </c>
      <c r="Q453" s="5">
        <v>0.0</v>
      </c>
      <c r="R453" s="5">
        <v>0.0</v>
      </c>
      <c r="S453" s="5">
        <v>4.67381832677573</v>
      </c>
    </row>
    <row r="454">
      <c r="A454" s="6">
        <v>41012.0</v>
      </c>
      <c r="B454" s="5">
        <v>8.09116233021909</v>
      </c>
      <c r="C454" s="5">
        <v>-63.5669521265241</v>
      </c>
      <c r="D454" s="5">
        <v>64.2384565367776</v>
      </c>
      <c r="E454" s="5">
        <v>8.09116233021909</v>
      </c>
      <c r="F454" s="5">
        <v>8.09116233021909</v>
      </c>
      <c r="G454" s="5">
        <v>-3.92692868766799</v>
      </c>
      <c r="H454" s="5">
        <v>-3.92692868766799</v>
      </c>
      <c r="I454" s="5">
        <v>-3.92692868766799</v>
      </c>
      <c r="J454" s="5">
        <v>-1.59155056649338</v>
      </c>
      <c r="K454" s="5">
        <v>-1.59155056649338</v>
      </c>
      <c r="L454" s="5">
        <v>-1.59155056649338</v>
      </c>
      <c r="M454" s="5">
        <v>-2.33537812117461</v>
      </c>
      <c r="N454" s="5">
        <v>-2.33537812117461</v>
      </c>
      <c r="O454" s="5">
        <v>-2.33537812117461</v>
      </c>
      <c r="P454" s="5">
        <v>0.0</v>
      </c>
      <c r="Q454" s="5">
        <v>0.0</v>
      </c>
      <c r="R454" s="5">
        <v>0.0</v>
      </c>
      <c r="S454" s="5">
        <v>4.1642336425511</v>
      </c>
    </row>
    <row r="455">
      <c r="A455" s="6">
        <v>41015.0</v>
      </c>
      <c r="B455" s="5">
        <v>8.12293090842279</v>
      </c>
      <c r="C455" s="5">
        <v>-59.2045555087557</v>
      </c>
      <c r="D455" s="5">
        <v>68.3378959927848</v>
      </c>
      <c r="E455" s="5">
        <v>8.12293090842279</v>
      </c>
      <c r="F455" s="5">
        <v>8.12293090842279</v>
      </c>
      <c r="G455" s="5">
        <v>-1.48829905289068</v>
      </c>
      <c r="H455" s="5">
        <v>-1.48829905289068</v>
      </c>
      <c r="I455" s="5">
        <v>-1.48829905289068</v>
      </c>
      <c r="J455" s="5">
        <v>0.0905589421195236</v>
      </c>
      <c r="K455" s="5">
        <v>0.0905589421195236</v>
      </c>
      <c r="L455" s="5">
        <v>0.0905589421195236</v>
      </c>
      <c r="M455" s="5">
        <v>-1.5788579950102</v>
      </c>
      <c r="N455" s="5">
        <v>-1.5788579950102</v>
      </c>
      <c r="O455" s="5">
        <v>-1.5788579950102</v>
      </c>
      <c r="P455" s="5">
        <v>0.0</v>
      </c>
      <c r="Q455" s="5">
        <v>0.0</v>
      </c>
      <c r="R455" s="5">
        <v>0.0</v>
      </c>
      <c r="S455" s="5">
        <v>6.63463185553211</v>
      </c>
    </row>
    <row r="456">
      <c r="A456" s="6">
        <v>41016.0</v>
      </c>
      <c r="B456" s="5">
        <v>8.13352043449069</v>
      </c>
      <c r="C456" s="5">
        <v>-55.5028373945195</v>
      </c>
      <c r="D456" s="5">
        <v>69.5458134705824</v>
      </c>
      <c r="E456" s="5">
        <v>8.13352043449069</v>
      </c>
      <c r="F456" s="5">
        <v>8.13352043449069</v>
      </c>
      <c r="G456" s="5">
        <v>-1.53161170099555</v>
      </c>
      <c r="H456" s="5">
        <v>-1.53161170099555</v>
      </c>
      <c r="I456" s="5">
        <v>-1.53161170099555</v>
      </c>
      <c r="J456" s="5">
        <v>-0.14411885724699</v>
      </c>
      <c r="K456" s="5">
        <v>-0.14411885724699</v>
      </c>
      <c r="L456" s="5">
        <v>-0.14411885724699</v>
      </c>
      <c r="M456" s="5">
        <v>-1.38749284374855</v>
      </c>
      <c r="N456" s="5">
        <v>-1.38749284374855</v>
      </c>
      <c r="O456" s="5">
        <v>-1.38749284374855</v>
      </c>
      <c r="P456" s="5">
        <v>0.0</v>
      </c>
      <c r="Q456" s="5">
        <v>0.0</v>
      </c>
      <c r="R456" s="5">
        <v>0.0</v>
      </c>
      <c r="S456" s="5">
        <v>6.60190873349514</v>
      </c>
    </row>
    <row r="457">
      <c r="A457" s="6">
        <v>41017.0</v>
      </c>
      <c r="B457" s="5">
        <v>8.14410996055859</v>
      </c>
      <c r="C457" s="5">
        <v>-56.5418445902823</v>
      </c>
      <c r="D457" s="5">
        <v>70.5139628954859</v>
      </c>
      <c r="E457" s="5">
        <v>8.14410996055859</v>
      </c>
      <c r="F457" s="5">
        <v>8.14410996055859</v>
      </c>
      <c r="G457" s="5">
        <v>-1.23037327193487</v>
      </c>
      <c r="H457" s="5">
        <v>-1.23037327193487</v>
      </c>
      <c r="I457" s="5">
        <v>-1.23037327193487</v>
      </c>
      <c r="J457" s="5">
        <v>0.00703780528336717</v>
      </c>
      <c r="K457" s="5">
        <v>0.00703780528336717</v>
      </c>
      <c r="L457" s="5">
        <v>0.00703780528336717</v>
      </c>
      <c r="M457" s="5">
        <v>-1.23741107721824</v>
      </c>
      <c r="N457" s="5">
        <v>-1.23741107721824</v>
      </c>
      <c r="O457" s="5">
        <v>-1.23741107721824</v>
      </c>
      <c r="P457" s="5">
        <v>0.0</v>
      </c>
      <c r="Q457" s="5">
        <v>0.0</v>
      </c>
      <c r="R457" s="5">
        <v>0.0</v>
      </c>
      <c r="S457" s="5">
        <v>6.91373668862372</v>
      </c>
    </row>
    <row r="458">
      <c r="A458" s="6">
        <v>41018.0</v>
      </c>
      <c r="B458" s="5">
        <v>8.15469948662649</v>
      </c>
      <c r="C458" s="5">
        <v>-59.3903467083263</v>
      </c>
      <c r="D458" s="5">
        <v>68.7277214882169</v>
      </c>
      <c r="E458" s="5">
        <v>8.15469948662649</v>
      </c>
      <c r="F458" s="5">
        <v>8.15469948662649</v>
      </c>
      <c r="G458" s="5">
        <v>-1.91224387370277</v>
      </c>
      <c r="H458" s="5">
        <v>-1.91224387370277</v>
      </c>
      <c r="I458" s="5">
        <v>-1.91224387370277</v>
      </c>
      <c r="J458" s="5">
        <v>-0.776422525901577</v>
      </c>
      <c r="K458" s="5">
        <v>-0.776422525901577</v>
      </c>
      <c r="L458" s="5">
        <v>-0.776422525901577</v>
      </c>
      <c r="M458" s="5">
        <v>-1.1358213478012</v>
      </c>
      <c r="N458" s="5">
        <v>-1.1358213478012</v>
      </c>
      <c r="O458" s="5">
        <v>-1.1358213478012</v>
      </c>
      <c r="P458" s="5">
        <v>0.0</v>
      </c>
      <c r="Q458" s="5">
        <v>0.0</v>
      </c>
      <c r="R458" s="5">
        <v>0.0</v>
      </c>
      <c r="S458" s="5">
        <v>6.24245561292371</v>
      </c>
    </row>
    <row r="459">
      <c r="A459" s="6">
        <v>41019.0</v>
      </c>
      <c r="B459" s="5">
        <v>8.16528901269439</v>
      </c>
      <c r="C459" s="5">
        <v>-56.2032444305154</v>
      </c>
      <c r="D459" s="5">
        <v>65.7995141929106</v>
      </c>
      <c r="E459" s="5">
        <v>8.16528901269439</v>
      </c>
      <c r="F459" s="5">
        <v>8.16528901269439</v>
      </c>
      <c r="G459" s="5">
        <v>-2.68159391731636</v>
      </c>
      <c r="H459" s="5">
        <v>-2.68159391731636</v>
      </c>
      <c r="I459" s="5">
        <v>-2.68159391731636</v>
      </c>
      <c r="J459" s="5">
        <v>-1.59155056649245</v>
      </c>
      <c r="K459" s="5">
        <v>-1.59155056649245</v>
      </c>
      <c r="L459" s="5">
        <v>-1.59155056649245</v>
      </c>
      <c r="M459" s="5">
        <v>-1.0900433508239</v>
      </c>
      <c r="N459" s="5">
        <v>-1.0900433508239</v>
      </c>
      <c r="O459" s="5">
        <v>-1.0900433508239</v>
      </c>
      <c r="P459" s="5">
        <v>0.0</v>
      </c>
      <c r="Q459" s="5">
        <v>0.0</v>
      </c>
      <c r="R459" s="5">
        <v>0.0</v>
      </c>
      <c r="S459" s="5">
        <v>5.48369509537802</v>
      </c>
    </row>
    <row r="460">
      <c r="A460" s="6">
        <v>41022.0</v>
      </c>
      <c r="B460" s="5">
        <v>8.19705759089809</v>
      </c>
      <c r="C460" s="5">
        <v>-58.7916546597305</v>
      </c>
      <c r="D460" s="5">
        <v>62.9734470315686</v>
      </c>
      <c r="E460" s="5">
        <v>8.19705759089809</v>
      </c>
      <c r="F460" s="5">
        <v>8.19705759089809</v>
      </c>
      <c r="G460" s="5">
        <v>-1.26623045562336</v>
      </c>
      <c r="H460" s="5">
        <v>-1.26623045562336</v>
      </c>
      <c r="I460" s="5">
        <v>-1.26623045562336</v>
      </c>
      <c r="J460" s="5">
        <v>0.090558942122934</v>
      </c>
      <c r="K460" s="5">
        <v>0.090558942122934</v>
      </c>
      <c r="L460" s="5">
        <v>0.090558942122934</v>
      </c>
      <c r="M460" s="5">
        <v>-1.35678939774629</v>
      </c>
      <c r="N460" s="5">
        <v>-1.35678939774629</v>
      </c>
      <c r="O460" s="5">
        <v>-1.35678939774629</v>
      </c>
      <c r="P460" s="5">
        <v>0.0</v>
      </c>
      <c r="Q460" s="5">
        <v>0.0</v>
      </c>
      <c r="R460" s="5">
        <v>0.0</v>
      </c>
      <c r="S460" s="5">
        <v>6.93082713527472</v>
      </c>
    </row>
    <row r="461">
      <c r="A461" s="6">
        <v>41023.0</v>
      </c>
      <c r="B461" s="5">
        <v>8.20764711696599</v>
      </c>
      <c r="C461" s="5">
        <v>-62.5193539351098</v>
      </c>
      <c r="D461" s="5">
        <v>69.927206287497</v>
      </c>
      <c r="E461" s="5">
        <v>8.20764711696599</v>
      </c>
      <c r="F461" s="5">
        <v>8.20764711696599</v>
      </c>
      <c r="G461" s="5">
        <v>-1.74436824591534</v>
      </c>
      <c r="H461" s="5">
        <v>-1.74436824591534</v>
      </c>
      <c r="I461" s="5">
        <v>-1.74436824591534</v>
      </c>
      <c r="J461" s="5">
        <v>-0.144118857245902</v>
      </c>
      <c r="K461" s="5">
        <v>-0.144118857245902</v>
      </c>
      <c r="L461" s="5">
        <v>-0.144118857245902</v>
      </c>
      <c r="M461" s="5">
        <v>-1.60024938866944</v>
      </c>
      <c r="N461" s="5">
        <v>-1.60024938866944</v>
      </c>
      <c r="O461" s="5">
        <v>-1.60024938866944</v>
      </c>
      <c r="P461" s="5">
        <v>0.0</v>
      </c>
      <c r="Q461" s="5">
        <v>0.0</v>
      </c>
      <c r="R461" s="5">
        <v>0.0</v>
      </c>
      <c r="S461" s="5">
        <v>6.46327887105064</v>
      </c>
    </row>
    <row r="462">
      <c r="A462" s="6">
        <v>41024.0</v>
      </c>
      <c r="B462" s="5">
        <v>8.21823664303388</v>
      </c>
      <c r="C462" s="5">
        <v>-53.5647881484602</v>
      </c>
      <c r="D462" s="5">
        <v>70.4954554558862</v>
      </c>
      <c r="E462" s="5">
        <v>8.21823664303388</v>
      </c>
      <c r="F462" s="5">
        <v>8.21823664303388</v>
      </c>
      <c r="G462" s="5">
        <v>-1.92136708545826</v>
      </c>
      <c r="H462" s="5">
        <v>-1.92136708545826</v>
      </c>
      <c r="I462" s="5">
        <v>-1.92136708545826</v>
      </c>
      <c r="J462" s="5">
        <v>0.00703780528134243</v>
      </c>
      <c r="K462" s="5">
        <v>0.00703780528134243</v>
      </c>
      <c r="L462" s="5">
        <v>0.00703780528134243</v>
      </c>
      <c r="M462" s="5">
        <v>-1.92840489073961</v>
      </c>
      <c r="N462" s="5">
        <v>-1.92840489073961</v>
      </c>
      <c r="O462" s="5">
        <v>-1.92840489073961</v>
      </c>
      <c r="P462" s="5">
        <v>0.0</v>
      </c>
      <c r="Q462" s="5">
        <v>0.0</v>
      </c>
      <c r="R462" s="5">
        <v>0.0</v>
      </c>
      <c r="S462" s="5">
        <v>6.29686955757561</v>
      </c>
    </row>
    <row r="463">
      <c r="A463" s="6">
        <v>41025.0</v>
      </c>
      <c r="B463" s="5">
        <v>8.22882616910178</v>
      </c>
      <c r="C463" s="5">
        <v>-56.817524052758</v>
      </c>
      <c r="D463" s="5">
        <v>65.1341524766662</v>
      </c>
      <c r="E463" s="5">
        <v>8.22882616910178</v>
      </c>
      <c r="F463" s="5">
        <v>8.22882616910178</v>
      </c>
      <c r="G463" s="5">
        <v>-3.12015701093877</v>
      </c>
      <c r="H463" s="5">
        <v>-3.12015701093877</v>
      </c>
      <c r="I463" s="5">
        <v>-3.12015701093877</v>
      </c>
      <c r="J463" s="5">
        <v>-0.776422525903674</v>
      </c>
      <c r="K463" s="5">
        <v>-0.776422525903674</v>
      </c>
      <c r="L463" s="5">
        <v>-0.776422525903674</v>
      </c>
      <c r="M463" s="5">
        <v>-2.34373448503509</v>
      </c>
      <c r="N463" s="5">
        <v>-2.34373448503509</v>
      </c>
      <c r="O463" s="5">
        <v>-2.34373448503509</v>
      </c>
      <c r="P463" s="5">
        <v>0.0</v>
      </c>
      <c r="Q463" s="5">
        <v>0.0</v>
      </c>
      <c r="R463" s="5">
        <v>0.0</v>
      </c>
      <c r="S463" s="5">
        <v>5.10866915816301</v>
      </c>
    </row>
    <row r="464">
      <c r="A464" s="6">
        <v>41026.0</v>
      </c>
      <c r="B464" s="5">
        <v>8.23941569516968</v>
      </c>
      <c r="C464" s="5">
        <v>-57.4517780303684</v>
      </c>
      <c r="D464" s="5">
        <v>72.6967103493064</v>
      </c>
      <c r="E464" s="5">
        <v>8.23941569516968</v>
      </c>
      <c r="F464" s="5">
        <v>8.23941569516968</v>
      </c>
      <c r="G464" s="5">
        <v>-4.43869468903038</v>
      </c>
      <c r="H464" s="5">
        <v>-4.43869468903038</v>
      </c>
      <c r="I464" s="5">
        <v>-4.43869468903038</v>
      </c>
      <c r="J464" s="5">
        <v>-1.59155056649153</v>
      </c>
      <c r="K464" s="5">
        <v>-1.59155056649153</v>
      </c>
      <c r="L464" s="5">
        <v>-1.59155056649153</v>
      </c>
      <c r="M464" s="5">
        <v>-2.84714412253885</v>
      </c>
      <c r="N464" s="5">
        <v>-2.84714412253885</v>
      </c>
      <c r="O464" s="5">
        <v>-2.84714412253885</v>
      </c>
      <c r="P464" s="5">
        <v>0.0</v>
      </c>
      <c r="Q464" s="5">
        <v>0.0</v>
      </c>
      <c r="R464" s="5">
        <v>0.0</v>
      </c>
      <c r="S464" s="5">
        <v>3.80072100613929</v>
      </c>
    </row>
    <row r="465">
      <c r="A465" s="6">
        <v>41029.0</v>
      </c>
      <c r="B465" s="5">
        <v>8.27118427337338</v>
      </c>
      <c r="C465" s="5">
        <v>-60.9862637554267</v>
      </c>
      <c r="D465" s="5">
        <v>64.7225860860788</v>
      </c>
      <c r="E465" s="5">
        <v>8.27118427337338</v>
      </c>
      <c r="F465" s="5">
        <v>8.27118427337338</v>
      </c>
      <c r="G465" s="5">
        <v>-4.77840553601896</v>
      </c>
      <c r="H465" s="5">
        <v>-4.77840553601896</v>
      </c>
      <c r="I465" s="5">
        <v>-4.77840553601896</v>
      </c>
      <c r="J465" s="5">
        <v>0.0905589421214966</v>
      </c>
      <c r="K465" s="5">
        <v>0.0905589421214966</v>
      </c>
      <c r="L465" s="5">
        <v>0.0905589421214966</v>
      </c>
      <c r="M465" s="5">
        <v>-4.86896447814046</v>
      </c>
      <c r="N465" s="5">
        <v>-4.86896447814046</v>
      </c>
      <c r="O465" s="5">
        <v>-4.86896447814046</v>
      </c>
      <c r="P465" s="5">
        <v>0.0</v>
      </c>
      <c r="Q465" s="5">
        <v>0.0</v>
      </c>
      <c r="R465" s="5">
        <v>0.0</v>
      </c>
      <c r="S465" s="5">
        <v>3.49277873735442</v>
      </c>
    </row>
    <row r="466">
      <c r="A466" s="6">
        <v>41030.0</v>
      </c>
      <c r="B466" s="5">
        <v>8.28177379944128</v>
      </c>
      <c r="C466" s="5">
        <v>-59.6673285967715</v>
      </c>
      <c r="D466" s="5">
        <v>63.5862268073448</v>
      </c>
      <c r="E466" s="5">
        <v>8.28177379944128</v>
      </c>
      <c r="F466" s="5">
        <v>8.28177379944128</v>
      </c>
      <c r="G466" s="5">
        <v>-5.84294755654587</v>
      </c>
      <c r="H466" s="5">
        <v>-5.84294755654587</v>
      </c>
      <c r="I466" s="5">
        <v>-5.84294755654587</v>
      </c>
      <c r="J466" s="5">
        <v>-0.144118857244814</v>
      </c>
      <c r="K466" s="5">
        <v>-0.144118857244814</v>
      </c>
      <c r="L466" s="5">
        <v>-0.144118857244814</v>
      </c>
      <c r="M466" s="5">
        <v>-5.69882869930105</v>
      </c>
      <c r="N466" s="5">
        <v>-5.69882869930105</v>
      </c>
      <c r="O466" s="5">
        <v>-5.69882869930105</v>
      </c>
      <c r="P466" s="5">
        <v>0.0</v>
      </c>
      <c r="Q466" s="5">
        <v>0.0</v>
      </c>
      <c r="R466" s="5">
        <v>0.0</v>
      </c>
      <c r="S466" s="5">
        <v>2.43882624289541</v>
      </c>
    </row>
    <row r="467">
      <c r="A467" s="6">
        <v>41031.0</v>
      </c>
      <c r="B467" s="5">
        <v>8.29236332550918</v>
      </c>
      <c r="C467" s="5">
        <v>-62.226422380297</v>
      </c>
      <c r="D467" s="5">
        <v>61.0170731632466</v>
      </c>
      <c r="E467" s="5">
        <v>8.29236332550918</v>
      </c>
      <c r="F467" s="5">
        <v>8.29236332550918</v>
      </c>
      <c r="G467" s="5">
        <v>-6.58790466171496</v>
      </c>
      <c r="H467" s="5">
        <v>-6.58790466171496</v>
      </c>
      <c r="I467" s="5">
        <v>-6.58790466171496</v>
      </c>
      <c r="J467" s="5">
        <v>0.00703780528048984</v>
      </c>
      <c r="K467" s="5">
        <v>0.00703780528048984</v>
      </c>
      <c r="L467" s="5">
        <v>0.00703780528048984</v>
      </c>
      <c r="M467" s="5">
        <v>-6.59494246699545</v>
      </c>
      <c r="N467" s="5">
        <v>-6.59494246699545</v>
      </c>
      <c r="O467" s="5">
        <v>-6.59494246699545</v>
      </c>
      <c r="P467" s="5">
        <v>0.0</v>
      </c>
      <c r="Q467" s="5">
        <v>0.0</v>
      </c>
      <c r="R467" s="5">
        <v>0.0</v>
      </c>
      <c r="S467" s="5">
        <v>1.70445866379421</v>
      </c>
    </row>
    <row r="468">
      <c r="A468" s="6">
        <v>41032.0</v>
      </c>
      <c r="B468" s="5">
        <v>8.30295285157708</v>
      </c>
      <c r="C468" s="5">
        <v>-69.0336758147904</v>
      </c>
      <c r="D468" s="5">
        <v>65.230929913702</v>
      </c>
      <c r="E468" s="5">
        <v>8.30295285157708</v>
      </c>
      <c r="F468" s="5">
        <v>8.30295285157708</v>
      </c>
      <c r="G468" s="5">
        <v>-8.32424906203909</v>
      </c>
      <c r="H468" s="5">
        <v>-8.32424906203909</v>
      </c>
      <c r="I468" s="5">
        <v>-8.32424906203909</v>
      </c>
      <c r="J468" s="5">
        <v>-0.776422525900171</v>
      </c>
      <c r="K468" s="5">
        <v>-0.776422525900171</v>
      </c>
      <c r="L468" s="5">
        <v>-0.776422525900171</v>
      </c>
      <c r="M468" s="5">
        <v>-7.54782653613892</v>
      </c>
      <c r="N468" s="5">
        <v>-7.54782653613892</v>
      </c>
      <c r="O468" s="5">
        <v>-7.54782653613892</v>
      </c>
      <c r="P468" s="5">
        <v>0.0</v>
      </c>
      <c r="Q468" s="5">
        <v>0.0</v>
      </c>
      <c r="R468" s="5">
        <v>0.0</v>
      </c>
      <c r="S468" s="5">
        <v>-0.02129621046201</v>
      </c>
    </row>
    <row r="469">
      <c r="A469" s="6">
        <v>41033.0</v>
      </c>
      <c r="B469" s="5">
        <v>8.31354237764498</v>
      </c>
      <c r="C469" s="5">
        <v>-68.0120326288538</v>
      </c>
      <c r="D469" s="5">
        <v>61.4197024242182</v>
      </c>
      <c r="E469" s="5">
        <v>8.31354237764498</v>
      </c>
      <c r="F469" s="5">
        <v>8.31354237764498</v>
      </c>
      <c r="G469" s="5">
        <v>-10.1381402392144</v>
      </c>
      <c r="H469" s="5">
        <v>-10.1381402392144</v>
      </c>
      <c r="I469" s="5">
        <v>-10.1381402392144</v>
      </c>
      <c r="J469" s="5">
        <v>-1.59155056649303</v>
      </c>
      <c r="K469" s="5">
        <v>-1.59155056649303</v>
      </c>
      <c r="L469" s="5">
        <v>-1.59155056649303</v>
      </c>
      <c r="M469" s="5">
        <v>-8.54658967272136</v>
      </c>
      <c r="N469" s="5">
        <v>-8.54658967272136</v>
      </c>
      <c r="O469" s="5">
        <v>-8.54658967272136</v>
      </c>
      <c r="P469" s="5">
        <v>0.0</v>
      </c>
      <c r="Q469" s="5">
        <v>0.0</v>
      </c>
      <c r="R469" s="5">
        <v>0.0</v>
      </c>
      <c r="S469" s="5">
        <v>-1.82459786156941</v>
      </c>
    </row>
    <row r="470">
      <c r="A470" s="6">
        <v>41036.0</v>
      </c>
      <c r="B470" s="5">
        <v>8.34531095584868</v>
      </c>
      <c r="C470" s="5">
        <v>-68.9416061846623</v>
      </c>
      <c r="D470" s="5">
        <v>58.8774313913172</v>
      </c>
      <c r="E470" s="5">
        <v>8.34531095584868</v>
      </c>
      <c r="F470" s="5">
        <v>8.34531095584868</v>
      </c>
      <c r="G470" s="5">
        <v>-11.6023634244568</v>
      </c>
      <c r="H470" s="5">
        <v>-11.6023634244568</v>
      </c>
      <c r="I470" s="5">
        <v>-11.6023634244568</v>
      </c>
      <c r="J470" s="5">
        <v>0.090558942122443</v>
      </c>
      <c r="K470" s="5">
        <v>0.090558942122443</v>
      </c>
      <c r="L470" s="5">
        <v>0.090558942122443</v>
      </c>
      <c r="M470" s="5">
        <v>-11.6929223665793</v>
      </c>
      <c r="N470" s="5">
        <v>-11.6929223665793</v>
      </c>
      <c r="O470" s="5">
        <v>-11.6929223665793</v>
      </c>
      <c r="P470" s="5">
        <v>0.0</v>
      </c>
      <c r="Q470" s="5">
        <v>0.0</v>
      </c>
      <c r="R470" s="5">
        <v>0.0</v>
      </c>
      <c r="S470" s="5">
        <v>-3.25705246860818</v>
      </c>
    </row>
    <row r="471">
      <c r="A471" s="6">
        <v>41037.0</v>
      </c>
      <c r="B471" s="5">
        <v>8.35590048191658</v>
      </c>
      <c r="C471" s="5">
        <v>-68.6725467719553</v>
      </c>
      <c r="D471" s="5">
        <v>55.3673260211521</v>
      </c>
      <c r="E471" s="5">
        <v>8.35590048191658</v>
      </c>
      <c r="F471" s="5">
        <v>8.35590048191658</v>
      </c>
      <c r="G471" s="5">
        <v>-12.8905866217459</v>
      </c>
      <c r="H471" s="5">
        <v>-12.8905866217459</v>
      </c>
      <c r="I471" s="5">
        <v>-12.8905866217459</v>
      </c>
      <c r="J471" s="5">
        <v>-0.144118857243726</v>
      </c>
      <c r="K471" s="5">
        <v>-0.144118857243726</v>
      </c>
      <c r="L471" s="5">
        <v>-0.144118857243726</v>
      </c>
      <c r="M471" s="5">
        <v>-12.7464677645021</v>
      </c>
      <c r="N471" s="5">
        <v>-12.7464677645021</v>
      </c>
      <c r="O471" s="5">
        <v>-12.7464677645021</v>
      </c>
      <c r="P471" s="5">
        <v>0.0</v>
      </c>
      <c r="Q471" s="5">
        <v>0.0</v>
      </c>
      <c r="R471" s="5">
        <v>0.0</v>
      </c>
      <c r="S471" s="5">
        <v>-4.53468613982932</v>
      </c>
    </row>
    <row r="472">
      <c r="A472" s="6">
        <v>41038.0</v>
      </c>
      <c r="B472" s="5">
        <v>8.36649000798447</v>
      </c>
      <c r="C472" s="5">
        <v>-64.2351694019039</v>
      </c>
      <c r="D472" s="5">
        <v>58.0485909956986</v>
      </c>
      <c r="E472" s="5">
        <v>8.36649000798447</v>
      </c>
      <c r="F472" s="5">
        <v>8.36649000798447</v>
      </c>
      <c r="G472" s="5">
        <v>-13.7720644345827</v>
      </c>
      <c r="H472" s="5">
        <v>-13.7720644345827</v>
      </c>
      <c r="I472" s="5">
        <v>-13.7720644345827</v>
      </c>
      <c r="J472" s="5">
        <v>0.00703780528062869</v>
      </c>
      <c r="K472" s="5">
        <v>0.00703780528062869</v>
      </c>
      <c r="L472" s="5">
        <v>0.00703780528062869</v>
      </c>
      <c r="M472" s="5">
        <v>-13.7791022398633</v>
      </c>
      <c r="N472" s="5">
        <v>-13.7791022398633</v>
      </c>
      <c r="O472" s="5">
        <v>-13.7791022398633</v>
      </c>
      <c r="P472" s="5">
        <v>0.0</v>
      </c>
      <c r="Q472" s="5">
        <v>0.0</v>
      </c>
      <c r="R472" s="5">
        <v>0.0</v>
      </c>
      <c r="S472" s="5">
        <v>-5.40557442659828</v>
      </c>
    </row>
    <row r="473">
      <c r="A473" s="6">
        <v>41039.0</v>
      </c>
      <c r="B473" s="5">
        <v>8.37707953405237</v>
      </c>
      <c r="C473" s="5">
        <v>-68.5354884969598</v>
      </c>
      <c r="D473" s="5">
        <v>58.202491512576</v>
      </c>
      <c r="E473" s="5">
        <v>8.37707953405237</v>
      </c>
      <c r="F473" s="5">
        <v>8.37707953405237</v>
      </c>
      <c r="G473" s="5">
        <v>-15.5535519362922</v>
      </c>
      <c r="H473" s="5">
        <v>-15.5535519362922</v>
      </c>
      <c r="I473" s="5">
        <v>-15.5535519362922</v>
      </c>
      <c r="J473" s="5">
        <v>-0.776422525902268</v>
      </c>
      <c r="K473" s="5">
        <v>-0.776422525902268</v>
      </c>
      <c r="L473" s="5">
        <v>-0.776422525902268</v>
      </c>
      <c r="M473" s="5">
        <v>-14.77712941039</v>
      </c>
      <c r="N473" s="5">
        <v>-14.77712941039</v>
      </c>
      <c r="O473" s="5">
        <v>-14.77712941039</v>
      </c>
      <c r="P473" s="5">
        <v>0.0</v>
      </c>
      <c r="Q473" s="5">
        <v>0.0</v>
      </c>
      <c r="R473" s="5">
        <v>0.0</v>
      </c>
      <c r="S473" s="5">
        <v>-7.1764724022399</v>
      </c>
    </row>
    <row r="474">
      <c r="A474" s="6">
        <v>41040.0</v>
      </c>
      <c r="B474" s="5">
        <v>8.38766906012027</v>
      </c>
      <c r="C474" s="5">
        <v>-69.987900814031</v>
      </c>
      <c r="D474" s="5">
        <v>57.8696556776622</v>
      </c>
      <c r="E474" s="5">
        <v>8.38766906012027</v>
      </c>
      <c r="F474" s="5">
        <v>8.38766906012027</v>
      </c>
      <c r="G474" s="5">
        <v>-17.3190474868757</v>
      </c>
      <c r="H474" s="5">
        <v>-17.3190474868757</v>
      </c>
      <c r="I474" s="5">
        <v>-17.3190474868757</v>
      </c>
      <c r="J474" s="5">
        <v>-1.59155056649211</v>
      </c>
      <c r="K474" s="5">
        <v>-1.59155056649211</v>
      </c>
      <c r="L474" s="5">
        <v>-1.59155056649211</v>
      </c>
      <c r="M474" s="5">
        <v>-15.7274969203836</v>
      </c>
      <c r="N474" s="5">
        <v>-15.7274969203836</v>
      </c>
      <c r="O474" s="5">
        <v>-15.7274969203836</v>
      </c>
      <c r="P474" s="5">
        <v>0.0</v>
      </c>
      <c r="Q474" s="5">
        <v>0.0</v>
      </c>
      <c r="R474" s="5">
        <v>0.0</v>
      </c>
      <c r="S474" s="5">
        <v>-8.93137842675546</v>
      </c>
    </row>
    <row r="475">
      <c r="A475" s="6">
        <v>41043.0</v>
      </c>
      <c r="B475" s="5">
        <v>8.41943763832397</v>
      </c>
      <c r="C475" s="5">
        <v>-74.3913795582129</v>
      </c>
      <c r="D475" s="5">
        <v>52.893668856869</v>
      </c>
      <c r="E475" s="5">
        <v>8.41943763832397</v>
      </c>
      <c r="F475" s="5">
        <v>8.41943763832397</v>
      </c>
      <c r="G475" s="5">
        <v>-18.08758614765</v>
      </c>
      <c r="H475" s="5">
        <v>-18.08758614765</v>
      </c>
      <c r="I475" s="5">
        <v>-18.08758614765</v>
      </c>
      <c r="J475" s="5">
        <v>0.0905589421210857</v>
      </c>
      <c r="K475" s="5">
        <v>0.0905589421210857</v>
      </c>
      <c r="L475" s="5">
        <v>0.0905589421210857</v>
      </c>
      <c r="M475" s="5">
        <v>-18.1781450897711</v>
      </c>
      <c r="N475" s="5">
        <v>-18.1781450897711</v>
      </c>
      <c r="O475" s="5">
        <v>-18.1781450897711</v>
      </c>
      <c r="P475" s="5">
        <v>0.0</v>
      </c>
      <c r="Q475" s="5">
        <v>0.0</v>
      </c>
      <c r="R475" s="5">
        <v>0.0</v>
      </c>
      <c r="S475" s="5">
        <v>-9.66814850932607</v>
      </c>
    </row>
    <row r="476">
      <c r="A476" s="6">
        <v>41044.0</v>
      </c>
      <c r="B476" s="5">
        <v>8.43007735970056</v>
      </c>
      <c r="C476" s="5">
        <v>-71.4188602075482</v>
      </c>
      <c r="D476" s="5">
        <v>53.5486851272972</v>
      </c>
      <c r="E476" s="5">
        <v>8.43007735970056</v>
      </c>
      <c r="F476" s="5">
        <v>8.43007735970056</v>
      </c>
      <c r="G476" s="5">
        <v>-18.9747016253155</v>
      </c>
      <c r="H476" s="5">
        <v>-18.9747016253155</v>
      </c>
      <c r="I476" s="5">
        <v>-18.9747016253155</v>
      </c>
      <c r="J476" s="5">
        <v>-0.144118857246576</v>
      </c>
      <c r="K476" s="5">
        <v>-0.144118857246576</v>
      </c>
      <c r="L476" s="5">
        <v>-0.144118857246576</v>
      </c>
      <c r="M476" s="5">
        <v>-18.8305827680689</v>
      </c>
      <c r="N476" s="5">
        <v>-18.8305827680689</v>
      </c>
      <c r="O476" s="5">
        <v>-18.8305827680689</v>
      </c>
      <c r="P476" s="5">
        <v>0.0</v>
      </c>
      <c r="Q476" s="5">
        <v>0.0</v>
      </c>
      <c r="R476" s="5">
        <v>0.0</v>
      </c>
      <c r="S476" s="5">
        <v>-10.5446242656149</v>
      </c>
    </row>
    <row r="477">
      <c r="A477" s="6">
        <v>41045.0</v>
      </c>
      <c r="B477" s="5">
        <v>8.44071708107715</v>
      </c>
      <c r="C477" s="5">
        <v>-75.9299907654132</v>
      </c>
      <c r="D477" s="5">
        <v>49.9584613167387</v>
      </c>
      <c r="E477" s="5">
        <v>8.44071708107715</v>
      </c>
      <c r="F477" s="5">
        <v>8.44071708107715</v>
      </c>
      <c r="G477" s="5">
        <v>-19.3826381541199</v>
      </c>
      <c r="H477" s="5">
        <v>-19.3826381541199</v>
      </c>
      <c r="I477" s="5">
        <v>-19.3826381541199</v>
      </c>
      <c r="J477" s="5">
        <v>0.00703780528193962</v>
      </c>
      <c r="K477" s="5">
        <v>0.00703780528193962</v>
      </c>
      <c r="L477" s="5">
        <v>0.00703780528193962</v>
      </c>
      <c r="M477" s="5">
        <v>-19.3896759594018</v>
      </c>
      <c r="N477" s="5">
        <v>-19.3896759594018</v>
      </c>
      <c r="O477" s="5">
        <v>-19.3896759594018</v>
      </c>
      <c r="P477" s="5">
        <v>0.0</v>
      </c>
      <c r="Q477" s="5">
        <v>0.0</v>
      </c>
      <c r="R477" s="5">
        <v>0.0</v>
      </c>
      <c r="S477" s="5">
        <v>-10.9419210730427</v>
      </c>
    </row>
    <row r="478">
      <c r="A478" s="6">
        <v>41046.0</v>
      </c>
      <c r="B478" s="5">
        <v>8.45135680245375</v>
      </c>
      <c r="C478" s="5">
        <v>-75.6882787726259</v>
      </c>
      <c r="D478" s="5">
        <v>47.7406858709587</v>
      </c>
      <c r="E478" s="5">
        <v>8.45135680245375</v>
      </c>
      <c r="F478" s="5">
        <v>8.45135680245375</v>
      </c>
      <c r="G478" s="5">
        <v>-20.6281139446356</v>
      </c>
      <c r="H478" s="5">
        <v>-20.6281139446356</v>
      </c>
      <c r="I478" s="5">
        <v>-20.6281139446356</v>
      </c>
      <c r="J478" s="5">
        <v>-0.77642252590299</v>
      </c>
      <c r="K478" s="5">
        <v>-0.77642252590299</v>
      </c>
      <c r="L478" s="5">
        <v>-0.77642252590299</v>
      </c>
      <c r="M478" s="5">
        <v>-19.8516914187326</v>
      </c>
      <c r="N478" s="5">
        <v>-19.8516914187326</v>
      </c>
      <c r="O478" s="5">
        <v>-19.8516914187326</v>
      </c>
      <c r="P478" s="5">
        <v>0.0</v>
      </c>
      <c r="Q478" s="5">
        <v>0.0</v>
      </c>
      <c r="R478" s="5">
        <v>0.0</v>
      </c>
      <c r="S478" s="5">
        <v>-12.1767571421818</v>
      </c>
    </row>
    <row r="479">
      <c r="A479" s="6">
        <v>41047.0</v>
      </c>
      <c r="B479" s="5">
        <v>8.46199652383034</v>
      </c>
      <c r="C479" s="5">
        <v>-71.1189497884413</v>
      </c>
      <c r="D479" s="5">
        <v>50.4236850742571</v>
      </c>
      <c r="E479" s="5">
        <v>8.46199652383034</v>
      </c>
      <c r="F479" s="5">
        <v>8.46199652383034</v>
      </c>
      <c r="G479" s="5">
        <v>-21.8065263479489</v>
      </c>
      <c r="H479" s="5">
        <v>-21.8065263479489</v>
      </c>
      <c r="I479" s="5">
        <v>-21.8065263479489</v>
      </c>
      <c r="J479" s="5">
        <v>-1.59155056649087</v>
      </c>
      <c r="K479" s="5">
        <v>-1.59155056649087</v>
      </c>
      <c r="L479" s="5">
        <v>-1.59155056649087</v>
      </c>
      <c r="M479" s="5">
        <v>-20.214975781458</v>
      </c>
      <c r="N479" s="5">
        <v>-20.214975781458</v>
      </c>
      <c r="O479" s="5">
        <v>-20.214975781458</v>
      </c>
      <c r="P479" s="5">
        <v>0.0</v>
      </c>
      <c r="Q479" s="5">
        <v>0.0</v>
      </c>
      <c r="R479" s="5">
        <v>0.0</v>
      </c>
      <c r="S479" s="5">
        <v>-13.3445298241186</v>
      </c>
    </row>
    <row r="480">
      <c r="A480" s="6">
        <v>41050.0</v>
      </c>
      <c r="B480" s="5">
        <v>8.49391568796011</v>
      </c>
      <c r="C480" s="5">
        <v>-73.1505288926446</v>
      </c>
      <c r="D480" s="5">
        <v>50.186029798461</v>
      </c>
      <c r="E480" s="5">
        <v>8.49391568796011</v>
      </c>
      <c r="F480" s="5">
        <v>8.49391568796011</v>
      </c>
      <c r="G480" s="5">
        <v>-20.6364001935926</v>
      </c>
      <c r="H480" s="5">
        <v>-20.6364001935926</v>
      </c>
      <c r="I480" s="5">
        <v>-20.6364001935926</v>
      </c>
      <c r="J480" s="5">
        <v>0.0905589421220321</v>
      </c>
      <c r="K480" s="5">
        <v>0.0905589421220321</v>
      </c>
      <c r="L480" s="5">
        <v>0.0905589421220321</v>
      </c>
      <c r="M480" s="5">
        <v>-20.7269591357147</v>
      </c>
      <c r="N480" s="5">
        <v>-20.7269591357147</v>
      </c>
      <c r="O480" s="5">
        <v>-20.7269591357147</v>
      </c>
      <c r="P480" s="5">
        <v>0.0</v>
      </c>
      <c r="Q480" s="5">
        <v>0.0</v>
      </c>
      <c r="R480" s="5">
        <v>0.0</v>
      </c>
      <c r="S480" s="5">
        <v>-12.1424845056325</v>
      </c>
    </row>
    <row r="481">
      <c r="A481" s="6">
        <v>41051.0</v>
      </c>
      <c r="B481" s="5">
        <v>8.50455540933671</v>
      </c>
      <c r="C481" s="5">
        <v>-74.9563580727496</v>
      </c>
      <c r="D481" s="5">
        <v>48.4832476697572</v>
      </c>
      <c r="E481" s="5">
        <v>8.50455540933671</v>
      </c>
      <c r="F481" s="5">
        <v>8.50455540933671</v>
      </c>
      <c r="G481" s="5">
        <v>-20.863737046266</v>
      </c>
      <c r="H481" s="5">
        <v>-20.863737046266</v>
      </c>
      <c r="I481" s="5">
        <v>-20.863737046266</v>
      </c>
      <c r="J481" s="5">
        <v>-0.144118857244378</v>
      </c>
      <c r="K481" s="5">
        <v>-0.144118857244378</v>
      </c>
      <c r="L481" s="5">
        <v>-0.144118857244378</v>
      </c>
      <c r="M481" s="5">
        <v>-20.7196181890216</v>
      </c>
      <c r="N481" s="5">
        <v>-20.7196181890216</v>
      </c>
      <c r="O481" s="5">
        <v>-20.7196181890216</v>
      </c>
      <c r="P481" s="5">
        <v>0.0</v>
      </c>
      <c r="Q481" s="5">
        <v>0.0</v>
      </c>
      <c r="R481" s="5">
        <v>0.0</v>
      </c>
      <c r="S481" s="5">
        <v>-12.3591816369292</v>
      </c>
    </row>
    <row r="482">
      <c r="A482" s="6">
        <v>41052.0</v>
      </c>
      <c r="B482" s="5">
        <v>8.5151951307133</v>
      </c>
      <c r="C482" s="5">
        <v>-77.9191441790136</v>
      </c>
      <c r="D482" s="5">
        <v>49.1265896711344</v>
      </c>
      <c r="E482" s="5">
        <v>8.5151951307133</v>
      </c>
      <c r="F482" s="5">
        <v>8.5151951307133</v>
      </c>
      <c r="G482" s="5">
        <v>-20.6279115987398</v>
      </c>
      <c r="H482" s="5">
        <v>-20.6279115987398</v>
      </c>
      <c r="I482" s="5">
        <v>-20.6279115987398</v>
      </c>
      <c r="J482" s="5">
        <v>0.00703780528325083</v>
      </c>
      <c r="K482" s="5">
        <v>0.00703780528325083</v>
      </c>
      <c r="L482" s="5">
        <v>0.00703780528325083</v>
      </c>
      <c r="M482" s="5">
        <v>-20.634949404023</v>
      </c>
      <c r="N482" s="5">
        <v>-20.634949404023</v>
      </c>
      <c r="O482" s="5">
        <v>-20.634949404023</v>
      </c>
      <c r="P482" s="5">
        <v>0.0</v>
      </c>
      <c r="Q482" s="5">
        <v>0.0</v>
      </c>
      <c r="R482" s="5">
        <v>0.0</v>
      </c>
      <c r="S482" s="5">
        <v>-12.1127164680265</v>
      </c>
    </row>
    <row r="483">
      <c r="A483" s="6">
        <v>41053.0</v>
      </c>
      <c r="B483" s="5">
        <v>8.52583485208989</v>
      </c>
      <c r="C483" s="5">
        <v>-74.9876316100375</v>
      </c>
      <c r="D483" s="5">
        <v>51.2477194798698</v>
      </c>
      <c r="E483" s="5">
        <v>8.52583485208989</v>
      </c>
      <c r="F483" s="5">
        <v>8.52583485208989</v>
      </c>
      <c r="G483" s="5">
        <v>-21.2585487366976</v>
      </c>
      <c r="H483" s="5">
        <v>-21.2585487366976</v>
      </c>
      <c r="I483" s="5">
        <v>-21.2585487366976</v>
      </c>
      <c r="J483" s="5">
        <v>-0.776422525903712</v>
      </c>
      <c r="K483" s="5">
        <v>-0.776422525903712</v>
      </c>
      <c r="L483" s="5">
        <v>-0.776422525903712</v>
      </c>
      <c r="M483" s="5">
        <v>-20.4821262107938</v>
      </c>
      <c r="N483" s="5">
        <v>-20.4821262107938</v>
      </c>
      <c r="O483" s="5">
        <v>-20.4821262107938</v>
      </c>
      <c r="P483" s="5">
        <v>0.0</v>
      </c>
      <c r="Q483" s="5">
        <v>0.0</v>
      </c>
      <c r="R483" s="5">
        <v>0.0</v>
      </c>
      <c r="S483" s="5">
        <v>-12.7327138846077</v>
      </c>
    </row>
    <row r="484">
      <c r="A484" s="6">
        <v>41054.0</v>
      </c>
      <c r="B484" s="5">
        <v>8.53647457346648</v>
      </c>
      <c r="C484" s="5">
        <v>-77.4736784862276</v>
      </c>
      <c r="D484" s="5">
        <v>51.7210163602759</v>
      </c>
      <c r="E484" s="5">
        <v>8.53647457346648</v>
      </c>
      <c r="F484" s="5">
        <v>8.53647457346648</v>
      </c>
      <c r="G484" s="5">
        <v>-21.862947608257</v>
      </c>
      <c r="H484" s="5">
        <v>-21.862947608257</v>
      </c>
      <c r="I484" s="5">
        <v>-21.862947608257</v>
      </c>
      <c r="J484" s="5">
        <v>-1.591550566493</v>
      </c>
      <c r="K484" s="5">
        <v>-1.591550566493</v>
      </c>
      <c r="L484" s="5">
        <v>-1.591550566493</v>
      </c>
      <c r="M484" s="5">
        <v>-20.271397041764</v>
      </c>
      <c r="N484" s="5">
        <v>-20.271397041764</v>
      </c>
      <c r="O484" s="5">
        <v>-20.271397041764</v>
      </c>
      <c r="P484" s="5">
        <v>0.0</v>
      </c>
      <c r="Q484" s="5">
        <v>0.0</v>
      </c>
      <c r="R484" s="5">
        <v>0.0</v>
      </c>
      <c r="S484" s="5">
        <v>-13.3264730347906</v>
      </c>
    </row>
    <row r="485">
      <c r="A485" s="6">
        <v>41058.0</v>
      </c>
      <c r="B485" s="5">
        <v>8.57903345897285</v>
      </c>
      <c r="C485" s="5">
        <v>-64.1121445280807</v>
      </c>
      <c r="D485" s="5">
        <v>53.4933543711579</v>
      </c>
      <c r="E485" s="5">
        <v>8.57903345897285</v>
      </c>
      <c r="F485" s="5">
        <v>8.57903345897285</v>
      </c>
      <c r="G485" s="5">
        <v>-19.2186688536155</v>
      </c>
      <c r="H485" s="5">
        <v>-19.2186688536155</v>
      </c>
      <c r="I485" s="5">
        <v>-19.2186688536155</v>
      </c>
      <c r="J485" s="5">
        <v>-0.144118857245814</v>
      </c>
      <c r="K485" s="5">
        <v>-0.144118857245814</v>
      </c>
      <c r="L485" s="5">
        <v>-0.144118857245814</v>
      </c>
      <c r="M485" s="5">
        <v>-19.0745499963697</v>
      </c>
      <c r="N485" s="5">
        <v>-19.0745499963697</v>
      </c>
      <c r="O485" s="5">
        <v>-19.0745499963697</v>
      </c>
      <c r="P485" s="5">
        <v>0.0</v>
      </c>
      <c r="Q485" s="5">
        <v>0.0</v>
      </c>
      <c r="R485" s="5">
        <v>0.0</v>
      </c>
      <c r="S485" s="5">
        <v>-10.6396353946426</v>
      </c>
    </row>
    <row r="486">
      <c r="A486" s="6">
        <v>41059.0</v>
      </c>
      <c r="B486" s="5">
        <v>8.58967318034944</v>
      </c>
      <c r="C486" s="5">
        <v>-67.2034053420446</v>
      </c>
      <c r="D486" s="5">
        <v>57.1838827721145</v>
      </c>
      <c r="E486" s="5">
        <v>8.58967318034944</v>
      </c>
      <c r="F486" s="5">
        <v>8.58967318034944</v>
      </c>
      <c r="G486" s="5">
        <v>-18.7365654136839</v>
      </c>
      <c r="H486" s="5">
        <v>-18.7365654136839</v>
      </c>
      <c r="I486" s="5">
        <v>-18.7365654136839</v>
      </c>
      <c r="J486" s="5">
        <v>0.00703780528338964</v>
      </c>
      <c r="K486" s="5">
        <v>0.00703780528338964</v>
      </c>
      <c r="L486" s="5">
        <v>0.00703780528338964</v>
      </c>
      <c r="M486" s="5">
        <v>-18.7436032189673</v>
      </c>
      <c r="N486" s="5">
        <v>-18.7436032189673</v>
      </c>
      <c r="O486" s="5">
        <v>-18.7436032189673</v>
      </c>
      <c r="P486" s="5">
        <v>0.0</v>
      </c>
      <c r="Q486" s="5">
        <v>0.0</v>
      </c>
      <c r="R486" s="5">
        <v>0.0</v>
      </c>
      <c r="S486" s="5">
        <v>-10.1468922333345</v>
      </c>
    </row>
    <row r="487">
      <c r="A487" s="6">
        <v>41060.0</v>
      </c>
      <c r="B487" s="5">
        <v>8.60031290172603</v>
      </c>
      <c r="C487" s="5">
        <v>-75.2389779664162</v>
      </c>
      <c r="D487" s="5">
        <v>51.3094524597131</v>
      </c>
      <c r="E487" s="5">
        <v>8.60031290172603</v>
      </c>
      <c r="F487" s="5">
        <v>8.60031290172603</v>
      </c>
      <c r="G487" s="5">
        <v>-19.1974708146511</v>
      </c>
      <c r="H487" s="5">
        <v>-19.1974708146511</v>
      </c>
      <c r="I487" s="5">
        <v>-19.1974708146511</v>
      </c>
      <c r="J487" s="5">
        <v>-0.776422525901584</v>
      </c>
      <c r="K487" s="5">
        <v>-0.776422525901584</v>
      </c>
      <c r="L487" s="5">
        <v>-0.776422525901584</v>
      </c>
      <c r="M487" s="5">
        <v>-18.4210482887495</v>
      </c>
      <c r="N487" s="5">
        <v>-18.4210482887495</v>
      </c>
      <c r="O487" s="5">
        <v>-18.4210482887495</v>
      </c>
      <c r="P487" s="5">
        <v>0.0</v>
      </c>
      <c r="Q487" s="5">
        <v>0.0</v>
      </c>
      <c r="R487" s="5">
        <v>0.0</v>
      </c>
      <c r="S487" s="5">
        <v>-10.597157912925</v>
      </c>
    </row>
    <row r="488">
      <c r="A488" s="6">
        <v>41061.0</v>
      </c>
      <c r="B488" s="5">
        <v>8.61095262310263</v>
      </c>
      <c r="C488" s="5">
        <v>-73.8131804645014</v>
      </c>
      <c r="D488" s="5">
        <v>50.3318324675481</v>
      </c>
      <c r="E488" s="5">
        <v>8.61095262310263</v>
      </c>
      <c r="F488" s="5">
        <v>8.61095262310263</v>
      </c>
      <c r="G488" s="5">
        <v>-19.7073438427298</v>
      </c>
      <c r="H488" s="5">
        <v>-19.7073438427298</v>
      </c>
      <c r="I488" s="5">
        <v>-19.7073438427298</v>
      </c>
      <c r="J488" s="5">
        <v>-1.59155056649176</v>
      </c>
      <c r="K488" s="5">
        <v>-1.59155056649176</v>
      </c>
      <c r="L488" s="5">
        <v>-1.59155056649176</v>
      </c>
      <c r="M488" s="5">
        <v>-18.115793276238</v>
      </c>
      <c r="N488" s="5">
        <v>-18.115793276238</v>
      </c>
      <c r="O488" s="5">
        <v>-18.115793276238</v>
      </c>
      <c r="P488" s="5">
        <v>0.0</v>
      </c>
      <c r="Q488" s="5">
        <v>0.0</v>
      </c>
      <c r="R488" s="5">
        <v>0.0</v>
      </c>
      <c r="S488" s="5">
        <v>-11.0963912196271</v>
      </c>
    </row>
    <row r="489">
      <c r="A489" s="6">
        <v>41064.0</v>
      </c>
      <c r="B489" s="5">
        <v>8.6428717872324</v>
      </c>
      <c r="C489" s="5">
        <v>-67.9609099750165</v>
      </c>
      <c r="D489" s="5">
        <v>56.6951877930704</v>
      </c>
      <c r="E489" s="5">
        <v>8.6428717872324</v>
      </c>
      <c r="F489" s="5">
        <v>8.6428717872324</v>
      </c>
      <c r="G489" s="5">
        <v>-17.281190740204</v>
      </c>
      <c r="H489" s="5">
        <v>-17.281190740204</v>
      </c>
      <c r="I489" s="5">
        <v>-17.281190740204</v>
      </c>
      <c r="J489" s="5">
        <v>0.0905589421191571</v>
      </c>
      <c r="K489" s="5">
        <v>0.0905589421191571</v>
      </c>
      <c r="L489" s="5">
        <v>0.0905589421191571</v>
      </c>
      <c r="M489" s="5">
        <v>-17.3717496823231</v>
      </c>
      <c r="N489" s="5">
        <v>-17.3717496823231</v>
      </c>
      <c r="O489" s="5">
        <v>-17.3717496823231</v>
      </c>
      <c r="P489" s="5">
        <v>0.0</v>
      </c>
      <c r="Q489" s="5">
        <v>0.0</v>
      </c>
      <c r="R489" s="5">
        <v>0.0</v>
      </c>
      <c r="S489" s="5">
        <v>-8.6383189529716</v>
      </c>
    </row>
    <row r="490">
      <c r="A490" s="6">
        <v>41065.0</v>
      </c>
      <c r="B490" s="5">
        <v>8.65351150860899</v>
      </c>
      <c r="C490" s="5">
        <v>-70.4488403455029</v>
      </c>
      <c r="D490" s="5">
        <v>53.9820262319798</v>
      </c>
      <c r="E490" s="5">
        <v>8.65351150860899</v>
      </c>
      <c r="F490" s="5">
        <v>8.65351150860899</v>
      </c>
      <c r="G490" s="5">
        <v>-17.3395696273889</v>
      </c>
      <c r="H490" s="5">
        <v>-17.3395696273889</v>
      </c>
      <c r="I490" s="5">
        <v>-17.3395696273889</v>
      </c>
      <c r="J490" s="5">
        <v>-0.144118857243616</v>
      </c>
      <c r="K490" s="5">
        <v>-0.144118857243616</v>
      </c>
      <c r="L490" s="5">
        <v>-0.144118857243616</v>
      </c>
      <c r="M490" s="5">
        <v>-17.1954507701453</v>
      </c>
      <c r="N490" s="5">
        <v>-17.1954507701453</v>
      </c>
      <c r="O490" s="5">
        <v>-17.1954507701453</v>
      </c>
      <c r="P490" s="5">
        <v>0.0</v>
      </c>
      <c r="Q490" s="5">
        <v>0.0</v>
      </c>
      <c r="R490" s="5">
        <v>0.0</v>
      </c>
      <c r="S490" s="5">
        <v>-8.68605811877995</v>
      </c>
    </row>
    <row r="491">
      <c r="A491" s="6">
        <v>41066.0</v>
      </c>
      <c r="B491" s="5">
        <v>8.66415122998559</v>
      </c>
      <c r="C491" s="5">
        <v>-73.521647920585</v>
      </c>
      <c r="D491" s="5">
        <v>53.1698341733645</v>
      </c>
      <c r="E491" s="5">
        <v>8.66415122998559</v>
      </c>
      <c r="F491" s="5">
        <v>8.66415122998559</v>
      </c>
      <c r="G491" s="5">
        <v>-17.0508107109862</v>
      </c>
      <c r="H491" s="5">
        <v>-17.0508107109862</v>
      </c>
      <c r="I491" s="5">
        <v>-17.0508107109862</v>
      </c>
      <c r="J491" s="5">
        <v>0.00703780528253725</v>
      </c>
      <c r="K491" s="5">
        <v>0.00703780528253725</v>
      </c>
      <c r="L491" s="5">
        <v>0.00703780528253725</v>
      </c>
      <c r="M491" s="5">
        <v>-17.0578485162688</v>
      </c>
      <c r="N491" s="5">
        <v>-17.0578485162688</v>
      </c>
      <c r="O491" s="5">
        <v>-17.0578485162688</v>
      </c>
      <c r="P491" s="5">
        <v>0.0</v>
      </c>
      <c r="Q491" s="5">
        <v>0.0</v>
      </c>
      <c r="R491" s="5">
        <v>0.0</v>
      </c>
      <c r="S491" s="5">
        <v>-8.38665948100069</v>
      </c>
    </row>
    <row r="492">
      <c r="A492" s="6">
        <v>41067.0</v>
      </c>
      <c r="B492" s="5">
        <v>8.67479095136218</v>
      </c>
      <c r="C492" s="5">
        <v>-71.0041786870863</v>
      </c>
      <c r="D492" s="5">
        <v>55.7626315199062</v>
      </c>
      <c r="E492" s="5">
        <v>8.67479095136218</v>
      </c>
      <c r="F492" s="5">
        <v>8.67479095136218</v>
      </c>
      <c r="G492" s="5">
        <v>-17.7343927461399</v>
      </c>
      <c r="H492" s="5">
        <v>-17.7343927461399</v>
      </c>
      <c r="I492" s="5">
        <v>-17.7343927461399</v>
      </c>
      <c r="J492" s="5">
        <v>-0.776422525903681</v>
      </c>
      <c r="K492" s="5">
        <v>-0.776422525903681</v>
      </c>
      <c r="L492" s="5">
        <v>-0.776422525903681</v>
      </c>
      <c r="M492" s="5">
        <v>-16.9579702202362</v>
      </c>
      <c r="N492" s="5">
        <v>-16.9579702202362</v>
      </c>
      <c r="O492" s="5">
        <v>-16.9579702202362</v>
      </c>
      <c r="P492" s="5">
        <v>0.0</v>
      </c>
      <c r="Q492" s="5">
        <v>0.0</v>
      </c>
      <c r="R492" s="5">
        <v>0.0</v>
      </c>
      <c r="S492" s="5">
        <v>-9.05960179477772</v>
      </c>
    </row>
    <row r="493">
      <c r="A493" s="6">
        <v>41068.0</v>
      </c>
      <c r="B493" s="5">
        <v>8.68543067273877</v>
      </c>
      <c r="C493" s="5">
        <v>-78.1022425807915</v>
      </c>
      <c r="D493" s="5">
        <v>56.2083741122508</v>
      </c>
      <c r="E493" s="5">
        <v>8.68543067273877</v>
      </c>
      <c r="F493" s="5">
        <v>8.68543067273877</v>
      </c>
      <c r="G493" s="5">
        <v>-18.4846879464763</v>
      </c>
      <c r="H493" s="5">
        <v>-18.4846879464763</v>
      </c>
      <c r="I493" s="5">
        <v>-18.4846879464763</v>
      </c>
      <c r="J493" s="5">
        <v>-1.5915505664939</v>
      </c>
      <c r="K493" s="5">
        <v>-1.5915505664939</v>
      </c>
      <c r="L493" s="5">
        <v>-1.5915505664939</v>
      </c>
      <c r="M493" s="5">
        <v>-16.8931373799824</v>
      </c>
      <c r="N493" s="5">
        <v>-16.8931373799824</v>
      </c>
      <c r="O493" s="5">
        <v>-16.8931373799824</v>
      </c>
      <c r="P493" s="5">
        <v>0.0</v>
      </c>
      <c r="Q493" s="5">
        <v>0.0</v>
      </c>
      <c r="R493" s="5">
        <v>0.0</v>
      </c>
      <c r="S493" s="5">
        <v>-9.79925727373757</v>
      </c>
    </row>
    <row r="494">
      <c r="A494" s="6">
        <v>41071.0</v>
      </c>
      <c r="B494" s="5">
        <v>8.71734983686855</v>
      </c>
      <c r="C494" s="5">
        <v>-76.2177696984901</v>
      </c>
      <c r="D494" s="5">
        <v>56.5372883206511</v>
      </c>
      <c r="E494" s="5">
        <v>8.71734983686855</v>
      </c>
      <c r="F494" s="5">
        <v>8.71734983686855</v>
      </c>
      <c r="G494" s="5">
        <v>-16.7689648776351</v>
      </c>
      <c r="H494" s="5">
        <v>-16.7689648776351</v>
      </c>
      <c r="I494" s="5">
        <v>-16.7689648776351</v>
      </c>
      <c r="J494" s="5">
        <v>0.0905589421201836</v>
      </c>
      <c r="K494" s="5">
        <v>0.0905589421201836</v>
      </c>
      <c r="L494" s="5">
        <v>0.0905589421201836</v>
      </c>
      <c r="M494" s="5">
        <v>-16.8595238197553</v>
      </c>
      <c r="N494" s="5">
        <v>-16.8595238197553</v>
      </c>
      <c r="O494" s="5">
        <v>-16.8595238197553</v>
      </c>
      <c r="P494" s="5">
        <v>0.0</v>
      </c>
      <c r="Q494" s="5">
        <v>0.0</v>
      </c>
      <c r="R494" s="5">
        <v>0.0</v>
      </c>
      <c r="S494" s="5">
        <v>-8.05161504076658</v>
      </c>
    </row>
    <row r="495">
      <c r="A495" s="6">
        <v>41072.0</v>
      </c>
      <c r="B495" s="5">
        <v>8.72798955824514</v>
      </c>
      <c r="C495" s="5">
        <v>-72.278334492297</v>
      </c>
      <c r="D495" s="5">
        <v>58.8690149801263</v>
      </c>
      <c r="E495" s="5">
        <v>8.72798955824514</v>
      </c>
      <c r="F495" s="5">
        <v>8.72798955824514</v>
      </c>
      <c r="G495" s="5">
        <v>-17.0234829954203</v>
      </c>
      <c r="H495" s="5">
        <v>-17.0234829954203</v>
      </c>
      <c r="I495" s="5">
        <v>-17.0234829954203</v>
      </c>
      <c r="J495" s="5">
        <v>-0.144118857245052</v>
      </c>
      <c r="K495" s="5">
        <v>-0.144118857245052</v>
      </c>
      <c r="L495" s="5">
        <v>-0.144118857245052</v>
      </c>
      <c r="M495" s="5">
        <v>-16.8793641381752</v>
      </c>
      <c r="N495" s="5">
        <v>-16.8793641381752</v>
      </c>
      <c r="O495" s="5">
        <v>-16.8793641381752</v>
      </c>
      <c r="P495" s="5">
        <v>0.0</v>
      </c>
      <c r="Q495" s="5">
        <v>0.0</v>
      </c>
      <c r="R495" s="5">
        <v>0.0</v>
      </c>
      <c r="S495" s="5">
        <v>-8.29549343717517</v>
      </c>
    </row>
    <row r="496">
      <c r="A496" s="6">
        <v>41073.0</v>
      </c>
      <c r="B496" s="5">
        <v>8.73862927962173</v>
      </c>
      <c r="C496" s="5">
        <v>-68.6698406464472</v>
      </c>
      <c r="D496" s="5">
        <v>56.1692704177605</v>
      </c>
      <c r="E496" s="5">
        <v>8.73862927962173</v>
      </c>
      <c r="F496" s="5">
        <v>8.73862927962173</v>
      </c>
      <c r="G496" s="5">
        <v>-16.8942144121846</v>
      </c>
      <c r="H496" s="5">
        <v>-16.8942144121846</v>
      </c>
      <c r="I496" s="5">
        <v>-16.8942144121846</v>
      </c>
      <c r="J496" s="5">
        <v>0.00703780528168456</v>
      </c>
      <c r="K496" s="5">
        <v>0.00703780528168456</v>
      </c>
      <c r="L496" s="5">
        <v>0.00703780528168456</v>
      </c>
      <c r="M496" s="5">
        <v>-16.9012522174663</v>
      </c>
      <c r="N496" s="5">
        <v>-16.9012522174663</v>
      </c>
      <c r="O496" s="5">
        <v>-16.9012522174663</v>
      </c>
      <c r="P496" s="5">
        <v>0.0</v>
      </c>
      <c r="Q496" s="5">
        <v>0.0</v>
      </c>
      <c r="R496" s="5">
        <v>0.0</v>
      </c>
      <c r="S496" s="5">
        <v>-8.15558513256294</v>
      </c>
    </row>
    <row r="497">
      <c r="A497" s="6">
        <v>41074.0</v>
      </c>
      <c r="B497" s="5">
        <v>8.74926900099832</v>
      </c>
      <c r="C497" s="5">
        <v>-73.485516872889</v>
      </c>
      <c r="D497" s="5">
        <v>52.6673723974144</v>
      </c>
      <c r="E497" s="5">
        <v>8.74926900099832</v>
      </c>
      <c r="F497" s="5">
        <v>8.74926900099832</v>
      </c>
      <c r="G497" s="5">
        <v>-17.692817144591</v>
      </c>
      <c r="H497" s="5">
        <v>-17.692817144591</v>
      </c>
      <c r="I497" s="5">
        <v>-17.692817144591</v>
      </c>
      <c r="J497" s="5">
        <v>-0.776422525905778</v>
      </c>
      <c r="K497" s="5">
        <v>-0.776422525905778</v>
      </c>
      <c r="L497" s="5">
        <v>-0.776422525905778</v>
      </c>
      <c r="M497" s="5">
        <v>-16.9163946186852</v>
      </c>
      <c r="N497" s="5">
        <v>-16.9163946186852</v>
      </c>
      <c r="O497" s="5">
        <v>-16.9163946186852</v>
      </c>
      <c r="P497" s="5">
        <v>0.0</v>
      </c>
      <c r="Q497" s="5">
        <v>0.0</v>
      </c>
      <c r="R497" s="5">
        <v>0.0</v>
      </c>
      <c r="S497" s="5">
        <v>-8.94354814359274</v>
      </c>
    </row>
    <row r="498">
      <c r="A498" s="6">
        <v>41075.0</v>
      </c>
      <c r="B498" s="5">
        <v>8.75990872237491</v>
      </c>
      <c r="C498" s="5">
        <v>-78.7343374350179</v>
      </c>
      <c r="D498" s="5">
        <v>54.1269788572501</v>
      </c>
      <c r="E498" s="5">
        <v>8.75990872237491</v>
      </c>
      <c r="F498" s="5">
        <v>8.75990872237491</v>
      </c>
      <c r="G498" s="5">
        <v>-18.5075055151964</v>
      </c>
      <c r="H498" s="5">
        <v>-18.5075055151964</v>
      </c>
      <c r="I498" s="5">
        <v>-18.5075055151964</v>
      </c>
      <c r="J498" s="5">
        <v>-1.5915505664954</v>
      </c>
      <c r="K498" s="5">
        <v>-1.5915505664954</v>
      </c>
      <c r="L498" s="5">
        <v>-1.5915505664954</v>
      </c>
      <c r="M498" s="5">
        <v>-16.915954948701</v>
      </c>
      <c r="N498" s="5">
        <v>-16.915954948701</v>
      </c>
      <c r="O498" s="5">
        <v>-16.915954948701</v>
      </c>
      <c r="P498" s="5">
        <v>0.0</v>
      </c>
      <c r="Q498" s="5">
        <v>0.0</v>
      </c>
      <c r="R498" s="5">
        <v>0.0</v>
      </c>
      <c r="S498" s="5">
        <v>-9.74759679282151</v>
      </c>
    </row>
    <row r="499">
      <c r="A499" s="6">
        <v>41078.0</v>
      </c>
      <c r="B499" s="5">
        <v>8.79182788650469</v>
      </c>
      <c r="C499" s="5">
        <v>-65.5718710154393</v>
      </c>
      <c r="D499" s="5">
        <v>57.2904832710035</v>
      </c>
      <c r="E499" s="5">
        <v>8.79182788650469</v>
      </c>
      <c r="F499" s="5">
        <v>8.79182788650469</v>
      </c>
      <c r="G499" s="5">
        <v>-16.648042332915</v>
      </c>
      <c r="H499" s="5">
        <v>-16.648042332915</v>
      </c>
      <c r="I499" s="5">
        <v>-16.648042332915</v>
      </c>
      <c r="J499" s="5">
        <v>0.0905589421212103</v>
      </c>
      <c r="K499" s="5">
        <v>0.0905589421212103</v>
      </c>
      <c r="L499" s="5">
        <v>0.0905589421212103</v>
      </c>
      <c r="M499" s="5">
        <v>-16.7386012750362</v>
      </c>
      <c r="N499" s="5">
        <v>-16.7386012750362</v>
      </c>
      <c r="O499" s="5">
        <v>-16.7386012750362</v>
      </c>
      <c r="P499" s="5">
        <v>0.0</v>
      </c>
      <c r="Q499" s="5">
        <v>0.0</v>
      </c>
      <c r="R499" s="5">
        <v>0.0</v>
      </c>
      <c r="S499" s="5">
        <v>-7.85621444641032</v>
      </c>
    </row>
    <row r="500">
      <c r="A500" s="6">
        <v>41079.0</v>
      </c>
      <c r="B500" s="5">
        <v>8.80246760788128</v>
      </c>
      <c r="C500" s="5">
        <v>-69.9233044296966</v>
      </c>
      <c r="D500" s="5">
        <v>52.8703254418836</v>
      </c>
      <c r="E500" s="5">
        <v>8.80246760788128</v>
      </c>
      <c r="F500" s="5">
        <v>8.80246760788128</v>
      </c>
      <c r="G500" s="5">
        <v>-16.7413747305968</v>
      </c>
      <c r="H500" s="5">
        <v>-16.7413747305968</v>
      </c>
      <c r="I500" s="5">
        <v>-16.7413747305968</v>
      </c>
      <c r="J500" s="5">
        <v>-0.144118857243964</v>
      </c>
      <c r="K500" s="5">
        <v>-0.144118857243964</v>
      </c>
      <c r="L500" s="5">
        <v>-0.144118857243964</v>
      </c>
      <c r="M500" s="5">
        <v>-16.5972558733528</v>
      </c>
      <c r="N500" s="5">
        <v>-16.5972558733528</v>
      </c>
      <c r="O500" s="5">
        <v>-16.5972558733528</v>
      </c>
      <c r="P500" s="5">
        <v>0.0</v>
      </c>
      <c r="Q500" s="5">
        <v>0.0</v>
      </c>
      <c r="R500" s="5">
        <v>0.0</v>
      </c>
      <c r="S500" s="5">
        <v>-7.93890712271557</v>
      </c>
    </row>
    <row r="501">
      <c r="A501" s="6">
        <v>41080.0</v>
      </c>
      <c r="B501" s="5">
        <v>8.81310732925787</v>
      </c>
      <c r="C501" s="5">
        <v>-71.5828531361689</v>
      </c>
      <c r="D501" s="5">
        <v>55.5027635155982</v>
      </c>
      <c r="E501" s="5">
        <v>8.81310732925787</v>
      </c>
      <c r="F501" s="5">
        <v>8.81310732925787</v>
      </c>
      <c r="G501" s="5">
        <v>-16.3988605474867</v>
      </c>
      <c r="H501" s="5">
        <v>-16.3988605474867</v>
      </c>
      <c r="I501" s="5">
        <v>-16.3988605474867</v>
      </c>
      <c r="J501" s="5">
        <v>0.00703780528299577</v>
      </c>
      <c r="K501" s="5">
        <v>0.00703780528299577</v>
      </c>
      <c r="L501" s="5">
        <v>0.00703780528299577</v>
      </c>
      <c r="M501" s="5">
        <v>-16.4058983527697</v>
      </c>
      <c r="N501" s="5">
        <v>-16.4058983527697</v>
      </c>
      <c r="O501" s="5">
        <v>-16.4058983527697</v>
      </c>
      <c r="P501" s="5">
        <v>0.0</v>
      </c>
      <c r="Q501" s="5">
        <v>0.0</v>
      </c>
      <c r="R501" s="5">
        <v>0.0</v>
      </c>
      <c r="S501" s="5">
        <v>-7.58575321822885</v>
      </c>
    </row>
    <row r="502">
      <c r="A502" s="6">
        <v>41081.0</v>
      </c>
      <c r="B502" s="5">
        <v>8.82374705063447</v>
      </c>
      <c r="C502" s="5">
        <v>-71.5991318068609</v>
      </c>
      <c r="D502" s="5">
        <v>57.4512389063496</v>
      </c>
      <c r="E502" s="5">
        <v>8.82374705063447</v>
      </c>
      <c r="F502" s="5">
        <v>8.82374705063447</v>
      </c>
      <c r="G502" s="5">
        <v>-16.937775283692</v>
      </c>
      <c r="H502" s="5">
        <v>-16.937775283692</v>
      </c>
      <c r="I502" s="5">
        <v>-16.937775283692</v>
      </c>
      <c r="J502" s="5">
        <v>-0.77642252590365</v>
      </c>
      <c r="K502" s="5">
        <v>-0.77642252590365</v>
      </c>
      <c r="L502" s="5">
        <v>-0.77642252590365</v>
      </c>
      <c r="M502" s="5">
        <v>-16.1613527577884</v>
      </c>
      <c r="N502" s="5">
        <v>-16.1613527577884</v>
      </c>
      <c r="O502" s="5">
        <v>-16.1613527577884</v>
      </c>
      <c r="P502" s="5">
        <v>0.0</v>
      </c>
      <c r="Q502" s="5">
        <v>0.0</v>
      </c>
      <c r="R502" s="5">
        <v>0.0</v>
      </c>
      <c r="S502" s="5">
        <v>-8.11402823305759</v>
      </c>
    </row>
    <row r="503">
      <c r="A503" s="6">
        <v>41082.0</v>
      </c>
      <c r="B503" s="5">
        <v>8.83438677201106</v>
      </c>
      <c r="C503" s="5">
        <v>-68.4550620838634</v>
      </c>
      <c r="D503" s="5">
        <v>52.4673911435811</v>
      </c>
      <c r="E503" s="5">
        <v>8.83438677201106</v>
      </c>
      <c r="F503" s="5">
        <v>8.83438677201106</v>
      </c>
      <c r="G503" s="5">
        <v>-17.453645698519</v>
      </c>
      <c r="H503" s="5">
        <v>-17.453645698519</v>
      </c>
      <c r="I503" s="5">
        <v>-17.453645698519</v>
      </c>
      <c r="J503" s="5">
        <v>-1.59155056649448</v>
      </c>
      <c r="K503" s="5">
        <v>-1.59155056649448</v>
      </c>
      <c r="L503" s="5">
        <v>-1.59155056649448</v>
      </c>
      <c r="M503" s="5">
        <v>-15.8620951320245</v>
      </c>
      <c r="N503" s="5">
        <v>-15.8620951320245</v>
      </c>
      <c r="O503" s="5">
        <v>-15.8620951320245</v>
      </c>
      <c r="P503" s="5">
        <v>0.0</v>
      </c>
      <c r="Q503" s="5">
        <v>0.0</v>
      </c>
      <c r="R503" s="5">
        <v>0.0</v>
      </c>
      <c r="S503" s="5">
        <v>-8.619258926508</v>
      </c>
    </row>
    <row r="504">
      <c r="A504" s="6">
        <v>41085.0</v>
      </c>
      <c r="B504" s="5">
        <v>8.86630593614083</v>
      </c>
      <c r="C504" s="5">
        <v>-65.1407098910551</v>
      </c>
      <c r="D504" s="5">
        <v>60.3492099848206</v>
      </c>
      <c r="E504" s="5">
        <v>8.86630593614083</v>
      </c>
      <c r="F504" s="5">
        <v>8.86630593614083</v>
      </c>
      <c r="G504" s="5">
        <v>-14.5564050769436</v>
      </c>
      <c r="H504" s="5">
        <v>-14.5564050769436</v>
      </c>
      <c r="I504" s="5">
        <v>-14.5564050769436</v>
      </c>
      <c r="J504" s="5">
        <v>0.0905589421197728</v>
      </c>
      <c r="K504" s="5">
        <v>0.0905589421197728</v>
      </c>
      <c r="L504" s="5">
        <v>0.0905589421197728</v>
      </c>
      <c r="M504" s="5">
        <v>-14.6469640190634</v>
      </c>
      <c r="N504" s="5">
        <v>-14.6469640190634</v>
      </c>
      <c r="O504" s="5">
        <v>-14.6469640190634</v>
      </c>
      <c r="P504" s="5">
        <v>0.0</v>
      </c>
      <c r="Q504" s="5">
        <v>0.0</v>
      </c>
      <c r="R504" s="5">
        <v>0.0</v>
      </c>
      <c r="S504" s="5">
        <v>-5.69009914080285</v>
      </c>
    </row>
    <row r="505">
      <c r="A505" s="6">
        <v>41086.0</v>
      </c>
      <c r="B505" s="5">
        <v>8.87694565751743</v>
      </c>
      <c r="C505" s="5">
        <v>-63.200911121156</v>
      </c>
      <c r="D505" s="5">
        <v>58.0929442626814</v>
      </c>
      <c r="E505" s="5">
        <v>8.87694565751743</v>
      </c>
      <c r="F505" s="5">
        <v>8.87694565751743</v>
      </c>
      <c r="G505" s="5">
        <v>-14.2925609713861</v>
      </c>
      <c r="H505" s="5">
        <v>-14.2925609713861</v>
      </c>
      <c r="I505" s="5">
        <v>-14.2925609713861</v>
      </c>
      <c r="J505" s="5">
        <v>-0.144118857246814</v>
      </c>
      <c r="K505" s="5">
        <v>-0.144118857246814</v>
      </c>
      <c r="L505" s="5">
        <v>-0.144118857246814</v>
      </c>
      <c r="M505" s="5">
        <v>-14.1484421141393</v>
      </c>
      <c r="N505" s="5">
        <v>-14.1484421141393</v>
      </c>
      <c r="O505" s="5">
        <v>-14.1484421141393</v>
      </c>
      <c r="P505" s="5">
        <v>0.0</v>
      </c>
      <c r="Q505" s="5">
        <v>0.0</v>
      </c>
      <c r="R505" s="5">
        <v>0.0</v>
      </c>
      <c r="S505" s="5">
        <v>-5.41561531386875</v>
      </c>
    </row>
    <row r="506">
      <c r="A506" s="6">
        <v>41087.0</v>
      </c>
      <c r="B506" s="5">
        <v>8.88758537889402</v>
      </c>
      <c r="C506" s="5">
        <v>-68.8288864546166</v>
      </c>
      <c r="D506" s="5">
        <v>60.7632054836082</v>
      </c>
      <c r="E506" s="5">
        <v>8.88758537889402</v>
      </c>
      <c r="F506" s="5">
        <v>8.88758537889402</v>
      </c>
      <c r="G506" s="5">
        <v>-13.6063567035462</v>
      </c>
      <c r="H506" s="5">
        <v>-13.6063567035462</v>
      </c>
      <c r="I506" s="5">
        <v>-13.6063567035462</v>
      </c>
      <c r="J506" s="5">
        <v>0.00703780528097096</v>
      </c>
      <c r="K506" s="5">
        <v>0.00703780528097096</v>
      </c>
      <c r="L506" s="5">
        <v>0.00703780528097096</v>
      </c>
      <c r="M506" s="5">
        <v>-13.6133945088272</v>
      </c>
      <c r="N506" s="5">
        <v>-13.6133945088272</v>
      </c>
      <c r="O506" s="5">
        <v>-13.6133945088272</v>
      </c>
      <c r="P506" s="5">
        <v>0.0</v>
      </c>
      <c r="Q506" s="5">
        <v>0.0</v>
      </c>
      <c r="R506" s="5">
        <v>0.0</v>
      </c>
      <c r="S506" s="5">
        <v>-4.71877132465224</v>
      </c>
    </row>
    <row r="507">
      <c r="A507" s="6">
        <v>41088.0</v>
      </c>
      <c r="B507" s="5">
        <v>8.89822510027061</v>
      </c>
      <c r="C507" s="5">
        <v>-69.0031092984362</v>
      </c>
      <c r="D507" s="5">
        <v>62.3254648949586</v>
      </c>
      <c r="E507" s="5">
        <v>8.89822510027061</v>
      </c>
      <c r="F507" s="5">
        <v>8.89822510027061</v>
      </c>
      <c r="G507" s="5">
        <v>-13.8264993490007</v>
      </c>
      <c r="H507" s="5">
        <v>-13.8264993490007</v>
      </c>
      <c r="I507" s="5">
        <v>-13.8264993490007</v>
      </c>
      <c r="J507" s="5">
        <v>-0.776422525904372</v>
      </c>
      <c r="K507" s="5">
        <v>-0.776422525904372</v>
      </c>
      <c r="L507" s="5">
        <v>-0.776422525904372</v>
      </c>
      <c r="M507" s="5">
        <v>-13.0500768230963</v>
      </c>
      <c r="N507" s="5">
        <v>-13.0500768230963</v>
      </c>
      <c r="O507" s="5">
        <v>-13.0500768230963</v>
      </c>
      <c r="P507" s="5">
        <v>0.0</v>
      </c>
      <c r="Q507" s="5">
        <v>0.0</v>
      </c>
      <c r="R507" s="5">
        <v>0.0</v>
      </c>
      <c r="S507" s="5">
        <v>-4.92827424873014</v>
      </c>
    </row>
    <row r="508">
      <c r="A508" s="6">
        <v>41089.0</v>
      </c>
      <c r="B508" s="5">
        <v>8.9088648216472</v>
      </c>
      <c r="C508" s="5">
        <v>-61.8354038807584</v>
      </c>
      <c r="D508" s="5">
        <v>54.8371256132943</v>
      </c>
      <c r="E508" s="5">
        <v>8.9088648216472</v>
      </c>
      <c r="F508" s="5">
        <v>8.9088648216472</v>
      </c>
      <c r="G508" s="5">
        <v>-14.0594230349019</v>
      </c>
      <c r="H508" s="5">
        <v>-14.0594230349019</v>
      </c>
      <c r="I508" s="5">
        <v>-14.0594230349019</v>
      </c>
      <c r="J508" s="5">
        <v>-1.59155056649355</v>
      </c>
      <c r="K508" s="5">
        <v>-1.59155056649355</v>
      </c>
      <c r="L508" s="5">
        <v>-1.59155056649355</v>
      </c>
      <c r="M508" s="5">
        <v>-12.4678724684083</v>
      </c>
      <c r="N508" s="5">
        <v>-12.4678724684083</v>
      </c>
      <c r="O508" s="5">
        <v>-12.4678724684083</v>
      </c>
      <c r="P508" s="5">
        <v>0.0</v>
      </c>
      <c r="Q508" s="5">
        <v>0.0</v>
      </c>
      <c r="R508" s="5">
        <v>0.0</v>
      </c>
      <c r="S508" s="5">
        <v>-5.15055821325474</v>
      </c>
    </row>
    <row r="509">
      <c r="A509" s="6">
        <v>41092.0</v>
      </c>
      <c r="B509" s="5">
        <v>8.94078398577698</v>
      </c>
      <c r="C509" s="5">
        <v>-65.323164417471</v>
      </c>
      <c r="D509" s="5">
        <v>58.0204581748038</v>
      </c>
      <c r="E509" s="5">
        <v>8.94078398577698</v>
      </c>
      <c r="F509" s="5">
        <v>8.94078398577698</v>
      </c>
      <c r="G509" s="5">
        <v>-10.6225152821071</v>
      </c>
      <c r="H509" s="5">
        <v>-10.6225152821071</v>
      </c>
      <c r="I509" s="5">
        <v>-10.6225152821071</v>
      </c>
      <c r="J509" s="5">
        <v>0.0905589421231833</v>
      </c>
      <c r="K509" s="5">
        <v>0.0905589421231833</v>
      </c>
      <c r="L509" s="5">
        <v>0.0905589421231833</v>
      </c>
      <c r="M509" s="5">
        <v>-10.7130742242303</v>
      </c>
      <c r="N509" s="5">
        <v>-10.7130742242303</v>
      </c>
      <c r="O509" s="5">
        <v>-10.7130742242303</v>
      </c>
      <c r="P509" s="5">
        <v>0.0</v>
      </c>
      <c r="Q509" s="5">
        <v>0.0</v>
      </c>
      <c r="R509" s="5">
        <v>0.0</v>
      </c>
      <c r="S509" s="5">
        <v>-1.68173129633017</v>
      </c>
    </row>
    <row r="510">
      <c r="A510" s="6">
        <v>41093.0</v>
      </c>
      <c r="B510" s="5">
        <v>8.95142370715357</v>
      </c>
      <c r="C510" s="5">
        <v>-65.459713242669</v>
      </c>
      <c r="D510" s="5">
        <v>61.1572146682242</v>
      </c>
      <c r="E510" s="5">
        <v>8.95142370715357</v>
      </c>
      <c r="F510" s="5">
        <v>8.95142370715357</v>
      </c>
      <c r="G510" s="5">
        <v>-10.3062508585561</v>
      </c>
      <c r="H510" s="5">
        <v>-10.3062508585561</v>
      </c>
      <c r="I510" s="5">
        <v>-10.3062508585561</v>
      </c>
      <c r="J510" s="5">
        <v>-0.144118857245726</v>
      </c>
      <c r="K510" s="5">
        <v>-0.144118857245726</v>
      </c>
      <c r="L510" s="5">
        <v>-0.144118857245726</v>
      </c>
      <c r="M510" s="5">
        <v>-10.1621320013104</v>
      </c>
      <c r="N510" s="5">
        <v>-10.1621320013104</v>
      </c>
      <c r="O510" s="5">
        <v>-10.1621320013104</v>
      </c>
      <c r="P510" s="5">
        <v>0.0</v>
      </c>
      <c r="Q510" s="5">
        <v>0.0</v>
      </c>
      <c r="R510" s="5">
        <v>0.0</v>
      </c>
      <c r="S510" s="5">
        <v>-1.3548271514026</v>
      </c>
    </row>
    <row r="511">
      <c r="A511" s="6">
        <v>41095.0</v>
      </c>
      <c r="B511" s="5">
        <v>8.97270314990675</v>
      </c>
      <c r="C511" s="5">
        <v>-63.0023531333734</v>
      </c>
      <c r="D511" s="5">
        <v>66.2336227085578</v>
      </c>
      <c r="E511" s="5">
        <v>8.97270314990675</v>
      </c>
      <c r="F511" s="5">
        <v>8.97270314990675</v>
      </c>
      <c r="G511" s="5">
        <v>-9.95196823845817</v>
      </c>
      <c r="H511" s="5">
        <v>-9.95196823845817</v>
      </c>
      <c r="I511" s="5">
        <v>-9.95196823845817</v>
      </c>
      <c r="J511" s="5">
        <v>-0.776422525900869</v>
      </c>
      <c r="K511" s="5">
        <v>-0.776422525900869</v>
      </c>
      <c r="L511" s="5">
        <v>-0.776422525900869</v>
      </c>
      <c r="M511" s="5">
        <v>-9.1755457125573</v>
      </c>
      <c r="N511" s="5">
        <v>-9.1755457125573</v>
      </c>
      <c r="O511" s="5">
        <v>-9.1755457125573</v>
      </c>
      <c r="P511" s="5">
        <v>0.0</v>
      </c>
      <c r="Q511" s="5">
        <v>0.0</v>
      </c>
      <c r="R511" s="5">
        <v>0.0</v>
      </c>
      <c r="S511" s="5">
        <v>-0.97926508855142</v>
      </c>
    </row>
    <row r="512">
      <c r="A512" s="6">
        <v>41096.0</v>
      </c>
      <c r="B512" s="5">
        <v>8.98334287128335</v>
      </c>
      <c r="C512" s="5">
        <v>-66.9008102518427</v>
      </c>
      <c r="D512" s="5">
        <v>58.4513268496243</v>
      </c>
      <c r="E512" s="5">
        <v>8.98334287128335</v>
      </c>
      <c r="F512" s="5">
        <v>8.98334287128335</v>
      </c>
      <c r="G512" s="5">
        <v>-10.3505511703978</v>
      </c>
      <c r="H512" s="5">
        <v>-10.3505511703978</v>
      </c>
      <c r="I512" s="5">
        <v>-10.3505511703978</v>
      </c>
      <c r="J512" s="5">
        <v>-1.59155056649263</v>
      </c>
      <c r="K512" s="5">
        <v>-1.59155056649263</v>
      </c>
      <c r="L512" s="5">
        <v>-1.59155056649263</v>
      </c>
      <c r="M512" s="5">
        <v>-8.75900060390525</v>
      </c>
      <c r="N512" s="5">
        <v>-8.75900060390525</v>
      </c>
      <c r="O512" s="5">
        <v>-8.75900060390525</v>
      </c>
      <c r="P512" s="5">
        <v>0.0</v>
      </c>
      <c r="Q512" s="5">
        <v>0.0</v>
      </c>
      <c r="R512" s="5">
        <v>0.0</v>
      </c>
      <c r="S512" s="5">
        <v>-1.36720829911453</v>
      </c>
    </row>
    <row r="513">
      <c r="A513" s="6">
        <v>41099.0</v>
      </c>
      <c r="B513" s="5">
        <v>9.01526203541312</v>
      </c>
      <c r="C513" s="5">
        <v>-64.3397318103974</v>
      </c>
      <c r="D513" s="5">
        <v>64.2081062206917</v>
      </c>
      <c r="E513" s="5">
        <v>9.01526203541312</v>
      </c>
      <c r="F513" s="5">
        <v>9.01526203541312</v>
      </c>
      <c r="G513" s="5">
        <v>-7.814677444103</v>
      </c>
      <c r="H513" s="5">
        <v>-7.814677444103</v>
      </c>
      <c r="I513" s="5">
        <v>-7.814677444103</v>
      </c>
      <c r="J513" s="5">
        <v>0.0905589421193617</v>
      </c>
      <c r="K513" s="5">
        <v>0.0905589421193617</v>
      </c>
      <c r="L513" s="5">
        <v>0.0905589421193617</v>
      </c>
      <c r="M513" s="5">
        <v>-7.90523638622236</v>
      </c>
      <c r="N513" s="5">
        <v>-7.90523638622236</v>
      </c>
      <c r="O513" s="5">
        <v>-7.90523638622236</v>
      </c>
      <c r="P513" s="5">
        <v>0.0</v>
      </c>
      <c r="Q513" s="5">
        <v>0.0</v>
      </c>
      <c r="R513" s="5">
        <v>0.0</v>
      </c>
      <c r="S513" s="5">
        <v>1.20058459131012</v>
      </c>
    </row>
    <row r="514">
      <c r="A514" s="6">
        <v>41100.0</v>
      </c>
      <c r="B514" s="5">
        <v>9.02590175678971</v>
      </c>
      <c r="C514" s="5">
        <v>-59.4045518804886</v>
      </c>
      <c r="D514" s="5">
        <v>64.170517900441</v>
      </c>
      <c r="E514" s="5">
        <v>9.02590175678971</v>
      </c>
      <c r="F514" s="5">
        <v>9.02590175678971</v>
      </c>
      <c r="G514" s="5">
        <v>-7.91222657909473</v>
      </c>
      <c r="H514" s="5">
        <v>-7.91222657909473</v>
      </c>
      <c r="I514" s="5">
        <v>-7.91222657909473</v>
      </c>
      <c r="J514" s="5">
        <v>-0.144118857244638</v>
      </c>
      <c r="K514" s="5">
        <v>-0.144118857244638</v>
      </c>
      <c r="L514" s="5">
        <v>-0.144118857244638</v>
      </c>
      <c r="M514" s="5">
        <v>-7.76810772185009</v>
      </c>
      <c r="N514" s="5">
        <v>-7.76810772185009</v>
      </c>
      <c r="O514" s="5">
        <v>-7.76810772185009</v>
      </c>
      <c r="P514" s="5">
        <v>0.0</v>
      </c>
      <c r="Q514" s="5">
        <v>0.0</v>
      </c>
      <c r="R514" s="5">
        <v>0.0</v>
      </c>
      <c r="S514" s="5">
        <v>1.11367517769498</v>
      </c>
    </row>
    <row r="515">
      <c r="A515" s="6">
        <v>41101.0</v>
      </c>
      <c r="B515" s="5">
        <v>9.03654147816631</v>
      </c>
      <c r="C515" s="5">
        <v>-63.2098695291517</v>
      </c>
      <c r="D515" s="5">
        <v>61.2905562885949</v>
      </c>
      <c r="E515" s="5">
        <v>9.03654147816631</v>
      </c>
      <c r="F515" s="5">
        <v>9.03654147816631</v>
      </c>
      <c r="G515" s="5">
        <v>-7.70087264774233</v>
      </c>
      <c r="H515" s="5">
        <v>-7.70087264774233</v>
      </c>
      <c r="I515" s="5">
        <v>-7.70087264774233</v>
      </c>
      <c r="J515" s="5">
        <v>0.0070378052814296</v>
      </c>
      <c r="K515" s="5">
        <v>0.0070378052814296</v>
      </c>
      <c r="L515" s="5">
        <v>0.0070378052814296</v>
      </c>
      <c r="M515" s="5">
        <v>-7.70791045302376</v>
      </c>
      <c r="N515" s="5">
        <v>-7.70791045302376</v>
      </c>
      <c r="O515" s="5">
        <v>-7.70791045302376</v>
      </c>
      <c r="P515" s="5">
        <v>0.0</v>
      </c>
      <c r="Q515" s="5">
        <v>0.0</v>
      </c>
      <c r="R515" s="5">
        <v>0.0</v>
      </c>
      <c r="S515" s="5">
        <v>1.33566883042397</v>
      </c>
    </row>
    <row r="516">
      <c r="A516" s="6">
        <v>41102.0</v>
      </c>
      <c r="B516" s="5">
        <v>9.0471811995429</v>
      </c>
      <c r="C516" s="5">
        <v>-62.66203210123</v>
      </c>
      <c r="D516" s="5">
        <v>66.481758526595</v>
      </c>
      <c r="E516" s="5">
        <v>9.0471811995429</v>
      </c>
      <c r="F516" s="5">
        <v>9.0471811995429</v>
      </c>
      <c r="G516" s="5">
        <v>-8.50009609013978</v>
      </c>
      <c r="H516" s="5">
        <v>-8.50009609013978</v>
      </c>
      <c r="I516" s="5">
        <v>-8.50009609013978</v>
      </c>
      <c r="J516" s="5">
        <v>-0.776422525900116</v>
      </c>
      <c r="K516" s="5">
        <v>-0.776422525900116</v>
      </c>
      <c r="L516" s="5">
        <v>-0.776422525900116</v>
      </c>
      <c r="M516" s="5">
        <v>-7.72367356423967</v>
      </c>
      <c r="N516" s="5">
        <v>-7.72367356423967</v>
      </c>
      <c r="O516" s="5">
        <v>-7.72367356423967</v>
      </c>
      <c r="P516" s="5">
        <v>0.0</v>
      </c>
      <c r="Q516" s="5">
        <v>0.0</v>
      </c>
      <c r="R516" s="5">
        <v>0.0</v>
      </c>
      <c r="S516" s="5">
        <v>0.547085109403113</v>
      </c>
    </row>
    <row r="517">
      <c r="A517" s="6">
        <v>41103.0</v>
      </c>
      <c r="B517" s="5">
        <v>9.05782092091949</v>
      </c>
      <c r="C517" s="5">
        <v>-63.3283816994787</v>
      </c>
      <c r="D517" s="5">
        <v>63.0667489407199</v>
      </c>
      <c r="E517" s="5">
        <v>9.05782092091949</v>
      </c>
      <c r="F517" s="5">
        <v>9.05782092091949</v>
      </c>
      <c r="G517" s="5">
        <v>-9.40404180436725</v>
      </c>
      <c r="H517" s="5">
        <v>-9.40404180436725</v>
      </c>
      <c r="I517" s="5">
        <v>-9.40404180436725</v>
      </c>
      <c r="J517" s="5">
        <v>-1.59155056649413</v>
      </c>
      <c r="K517" s="5">
        <v>-1.59155056649413</v>
      </c>
      <c r="L517" s="5">
        <v>-1.59155056649413</v>
      </c>
      <c r="M517" s="5">
        <v>-7.81249123787311</v>
      </c>
      <c r="N517" s="5">
        <v>-7.81249123787311</v>
      </c>
      <c r="O517" s="5">
        <v>-7.81249123787311</v>
      </c>
      <c r="P517" s="5">
        <v>0.0</v>
      </c>
      <c r="Q517" s="5">
        <v>0.0</v>
      </c>
      <c r="R517" s="5">
        <v>0.0</v>
      </c>
      <c r="S517" s="5">
        <v>-0.346220883447758</v>
      </c>
    </row>
    <row r="518">
      <c r="A518" s="6">
        <v>41106.0</v>
      </c>
      <c r="B518" s="5">
        <v>9.08974008504927</v>
      </c>
      <c r="C518" s="5">
        <v>-61.1640288771908</v>
      </c>
      <c r="D518" s="5">
        <v>58.1663261120844</v>
      </c>
      <c r="E518" s="5">
        <v>9.08974008504927</v>
      </c>
      <c r="F518" s="5">
        <v>9.08974008504927</v>
      </c>
      <c r="G518" s="5">
        <v>-8.37043587186236</v>
      </c>
      <c r="H518" s="5">
        <v>-8.37043587186236</v>
      </c>
      <c r="I518" s="5">
        <v>-8.37043587186236</v>
      </c>
      <c r="J518" s="5">
        <v>0.0905589421203082</v>
      </c>
      <c r="K518" s="5">
        <v>0.0905589421203082</v>
      </c>
      <c r="L518" s="5">
        <v>0.0905589421203082</v>
      </c>
      <c r="M518" s="5">
        <v>-8.46099481398267</v>
      </c>
      <c r="N518" s="5">
        <v>-8.46099481398267</v>
      </c>
      <c r="O518" s="5">
        <v>-8.46099481398267</v>
      </c>
      <c r="P518" s="5">
        <v>0.0</v>
      </c>
      <c r="Q518" s="5">
        <v>0.0</v>
      </c>
      <c r="R518" s="5">
        <v>0.0</v>
      </c>
      <c r="S518" s="5">
        <v>0.719304213186907</v>
      </c>
    </row>
    <row r="519">
      <c r="A519" s="6">
        <v>41107.0</v>
      </c>
      <c r="B519" s="5">
        <v>9.10037980642586</v>
      </c>
      <c r="C519" s="5">
        <v>-63.3485389840733</v>
      </c>
      <c r="D519" s="5">
        <v>64.474145272437</v>
      </c>
      <c r="E519" s="5">
        <v>9.10037980642586</v>
      </c>
      <c r="F519" s="5">
        <v>9.10037980642586</v>
      </c>
      <c r="G519" s="5">
        <v>-8.92187467832335</v>
      </c>
      <c r="H519" s="5">
        <v>-8.92187467832335</v>
      </c>
      <c r="I519" s="5">
        <v>-8.92187467832335</v>
      </c>
      <c r="J519" s="5">
        <v>-0.144118857243549</v>
      </c>
      <c r="K519" s="5">
        <v>-0.144118857243549</v>
      </c>
      <c r="L519" s="5">
        <v>-0.144118857243549</v>
      </c>
      <c r="M519" s="5">
        <v>-8.7777558210798</v>
      </c>
      <c r="N519" s="5">
        <v>-8.7777558210798</v>
      </c>
      <c r="O519" s="5">
        <v>-8.7777558210798</v>
      </c>
      <c r="P519" s="5">
        <v>0.0</v>
      </c>
      <c r="Q519" s="5">
        <v>0.0</v>
      </c>
      <c r="R519" s="5">
        <v>0.0</v>
      </c>
      <c r="S519" s="5">
        <v>0.178505128102504</v>
      </c>
    </row>
    <row r="520">
      <c r="A520" s="6">
        <v>41108.0</v>
      </c>
      <c r="B520" s="5">
        <v>9.11101952780245</v>
      </c>
      <c r="C520" s="5">
        <v>-63.7332110804426</v>
      </c>
      <c r="D520" s="5">
        <v>63.5850254204035</v>
      </c>
      <c r="E520" s="5">
        <v>9.11101952780245</v>
      </c>
      <c r="F520" s="5">
        <v>9.11101952780245</v>
      </c>
      <c r="G520" s="5">
        <v>-9.12114468682906</v>
      </c>
      <c r="H520" s="5">
        <v>-9.12114468682906</v>
      </c>
      <c r="I520" s="5">
        <v>-9.12114468682906</v>
      </c>
      <c r="J520" s="5">
        <v>0.00703780528373191</v>
      </c>
      <c r="K520" s="5">
        <v>0.00703780528373191</v>
      </c>
      <c r="L520" s="5">
        <v>0.00703780528373191</v>
      </c>
      <c r="M520" s="5">
        <v>-9.12818249211279</v>
      </c>
      <c r="N520" s="5">
        <v>-9.12818249211279</v>
      </c>
      <c r="O520" s="5">
        <v>-9.12818249211279</v>
      </c>
      <c r="P520" s="5">
        <v>0.0</v>
      </c>
      <c r="Q520" s="5">
        <v>0.0</v>
      </c>
      <c r="R520" s="5">
        <v>0.0</v>
      </c>
      <c r="S520" s="5">
        <v>-0.0101251590266127</v>
      </c>
    </row>
    <row r="521">
      <c r="A521" s="6">
        <v>41109.0</v>
      </c>
      <c r="B521" s="5">
        <v>9.12165924917904</v>
      </c>
      <c r="C521" s="5">
        <v>-65.1867853546753</v>
      </c>
      <c r="D521" s="5">
        <v>63.2028336142662</v>
      </c>
      <c r="E521" s="5">
        <v>9.12165924917904</v>
      </c>
      <c r="F521" s="5">
        <v>9.12165924917904</v>
      </c>
      <c r="G521" s="5">
        <v>-10.2773184957696</v>
      </c>
      <c r="H521" s="5">
        <v>-10.2773184957696</v>
      </c>
      <c r="I521" s="5">
        <v>-10.2773184957696</v>
      </c>
      <c r="J521" s="5">
        <v>-0.776422525900838</v>
      </c>
      <c r="K521" s="5">
        <v>-0.776422525900838</v>
      </c>
      <c r="L521" s="5">
        <v>-0.776422525900838</v>
      </c>
      <c r="M521" s="5">
        <v>-9.50089596986883</v>
      </c>
      <c r="N521" s="5">
        <v>-9.50089596986883</v>
      </c>
      <c r="O521" s="5">
        <v>-9.50089596986883</v>
      </c>
      <c r="P521" s="5">
        <v>0.0</v>
      </c>
      <c r="Q521" s="5">
        <v>0.0</v>
      </c>
      <c r="R521" s="5">
        <v>0.0</v>
      </c>
      <c r="S521" s="5">
        <v>-1.15565924659062</v>
      </c>
    </row>
    <row r="522">
      <c r="A522" s="6">
        <v>41110.0</v>
      </c>
      <c r="B522" s="5">
        <v>9.13229897055563</v>
      </c>
      <c r="C522" s="5">
        <v>-67.2757140540483</v>
      </c>
      <c r="D522" s="5">
        <v>65.6779887086022</v>
      </c>
      <c r="E522" s="5">
        <v>9.13229897055563</v>
      </c>
      <c r="F522" s="5">
        <v>9.13229897055563</v>
      </c>
      <c r="G522" s="5">
        <v>-11.4755524006551</v>
      </c>
      <c r="H522" s="5">
        <v>-11.4755524006551</v>
      </c>
      <c r="I522" s="5">
        <v>-11.4755524006551</v>
      </c>
      <c r="J522" s="5">
        <v>-1.59155056649352</v>
      </c>
      <c r="K522" s="5">
        <v>-1.59155056649352</v>
      </c>
      <c r="L522" s="5">
        <v>-1.59155056649352</v>
      </c>
      <c r="M522" s="5">
        <v>-9.88400183416162</v>
      </c>
      <c r="N522" s="5">
        <v>-9.88400183416162</v>
      </c>
      <c r="O522" s="5">
        <v>-9.88400183416162</v>
      </c>
      <c r="P522" s="5">
        <v>0.0</v>
      </c>
      <c r="Q522" s="5">
        <v>0.0</v>
      </c>
      <c r="R522" s="5">
        <v>0.0</v>
      </c>
      <c r="S522" s="5">
        <v>-2.34325343009951</v>
      </c>
    </row>
    <row r="523">
      <c r="A523" s="6">
        <v>41113.0</v>
      </c>
      <c r="B523" s="5">
        <v>9.16421813468541</v>
      </c>
      <c r="C523" s="5">
        <v>-66.4477874525147</v>
      </c>
      <c r="D523" s="5">
        <v>56.5740146708667</v>
      </c>
      <c r="E523" s="5">
        <v>9.16421813468541</v>
      </c>
      <c r="F523" s="5">
        <v>9.16421813468541</v>
      </c>
      <c r="G523" s="5">
        <v>-10.8851763670906</v>
      </c>
      <c r="H523" s="5">
        <v>-10.8851763670906</v>
      </c>
      <c r="I523" s="5">
        <v>-10.8851763670906</v>
      </c>
      <c r="J523" s="5">
        <v>0.0905589421237186</v>
      </c>
      <c r="K523" s="5">
        <v>0.0905589421237186</v>
      </c>
      <c r="L523" s="5">
        <v>0.0905589421237186</v>
      </c>
      <c r="M523" s="5">
        <v>-10.9757353092143</v>
      </c>
      <c r="N523" s="5">
        <v>-10.9757353092143</v>
      </c>
      <c r="O523" s="5">
        <v>-10.9757353092143</v>
      </c>
      <c r="P523" s="5">
        <v>0.0</v>
      </c>
      <c r="Q523" s="5">
        <v>0.0</v>
      </c>
      <c r="R523" s="5">
        <v>0.0</v>
      </c>
      <c r="S523" s="5">
        <v>-1.72095823240522</v>
      </c>
    </row>
    <row r="524">
      <c r="A524" s="6">
        <v>41114.0</v>
      </c>
      <c r="B524" s="5">
        <v>9.174857856062</v>
      </c>
      <c r="C524" s="5">
        <v>-59.3678735978054</v>
      </c>
      <c r="D524" s="5">
        <v>60.7373514503109</v>
      </c>
      <c r="E524" s="5">
        <v>9.174857856062</v>
      </c>
      <c r="F524" s="5">
        <v>9.174857856062</v>
      </c>
      <c r="G524" s="5">
        <v>-11.4264956017326</v>
      </c>
      <c r="H524" s="5">
        <v>-11.4264956017326</v>
      </c>
      <c r="I524" s="5">
        <v>-11.4264956017326</v>
      </c>
      <c r="J524" s="5">
        <v>-0.144118857246399</v>
      </c>
      <c r="K524" s="5">
        <v>-0.144118857246399</v>
      </c>
      <c r="L524" s="5">
        <v>-0.144118857246399</v>
      </c>
      <c r="M524" s="5">
        <v>-11.2823767444862</v>
      </c>
      <c r="N524" s="5">
        <v>-11.2823767444862</v>
      </c>
      <c r="O524" s="5">
        <v>-11.2823767444862</v>
      </c>
      <c r="P524" s="5">
        <v>0.0</v>
      </c>
      <c r="Q524" s="5">
        <v>0.0</v>
      </c>
      <c r="R524" s="5">
        <v>0.0</v>
      </c>
      <c r="S524" s="5">
        <v>-2.25163774567069</v>
      </c>
    </row>
    <row r="525">
      <c r="A525" s="6">
        <v>41115.0</v>
      </c>
      <c r="B525" s="5">
        <v>9.18549757743859</v>
      </c>
      <c r="C525" s="5">
        <v>-64.4743914773855</v>
      </c>
      <c r="D525" s="5">
        <v>60.137332258976</v>
      </c>
      <c r="E525" s="5">
        <v>9.18549757743859</v>
      </c>
      <c r="F525" s="5">
        <v>9.18549757743859</v>
      </c>
      <c r="G525" s="5">
        <v>-11.5363176243635</v>
      </c>
      <c r="H525" s="5">
        <v>-11.5363176243635</v>
      </c>
      <c r="I525" s="5">
        <v>-11.5363176243635</v>
      </c>
      <c r="J525" s="5">
        <v>0.00703780528287949</v>
      </c>
      <c r="K525" s="5">
        <v>0.00703780528287949</v>
      </c>
      <c r="L525" s="5">
        <v>0.00703780528287949</v>
      </c>
      <c r="M525" s="5">
        <v>-11.5433554296464</v>
      </c>
      <c r="N525" s="5">
        <v>-11.5433554296464</v>
      </c>
      <c r="O525" s="5">
        <v>-11.5433554296464</v>
      </c>
      <c r="P525" s="5">
        <v>0.0</v>
      </c>
      <c r="Q525" s="5">
        <v>0.0</v>
      </c>
      <c r="R525" s="5">
        <v>0.0</v>
      </c>
      <c r="S525" s="5">
        <v>-2.35082004692492</v>
      </c>
    </row>
    <row r="526">
      <c r="A526" s="6">
        <v>41116.0</v>
      </c>
      <c r="B526" s="5">
        <v>9.19613729881519</v>
      </c>
      <c r="C526" s="5">
        <v>-64.5755289221775</v>
      </c>
      <c r="D526" s="5">
        <v>57.7757103945854</v>
      </c>
      <c r="E526" s="5">
        <v>9.19613729881519</v>
      </c>
      <c r="F526" s="5">
        <v>9.19613729881519</v>
      </c>
      <c r="G526" s="5">
        <v>-12.5266497722067</v>
      </c>
      <c r="H526" s="5">
        <v>-12.5266497722067</v>
      </c>
      <c r="I526" s="5">
        <v>-12.5266497722067</v>
      </c>
      <c r="J526" s="5">
        <v>-0.776422525902935</v>
      </c>
      <c r="K526" s="5">
        <v>-0.776422525902935</v>
      </c>
      <c r="L526" s="5">
        <v>-0.776422525902935</v>
      </c>
      <c r="M526" s="5">
        <v>-11.7502272463037</v>
      </c>
      <c r="N526" s="5">
        <v>-11.7502272463037</v>
      </c>
      <c r="O526" s="5">
        <v>-11.7502272463037</v>
      </c>
      <c r="P526" s="5">
        <v>0.0</v>
      </c>
      <c r="Q526" s="5">
        <v>0.0</v>
      </c>
      <c r="R526" s="5">
        <v>0.0</v>
      </c>
      <c r="S526" s="5">
        <v>-3.33051247339154</v>
      </c>
    </row>
    <row r="527">
      <c r="A527" s="6">
        <v>41117.0</v>
      </c>
      <c r="B527" s="5">
        <v>9.20677702019178</v>
      </c>
      <c r="C527" s="5">
        <v>-70.6527598615107</v>
      </c>
      <c r="D527" s="5">
        <v>61.2446465871438</v>
      </c>
      <c r="E527" s="5">
        <v>9.20677702019178</v>
      </c>
      <c r="F527" s="5">
        <v>9.20677702019178</v>
      </c>
      <c r="G527" s="5">
        <v>-13.4875945960911</v>
      </c>
      <c r="H527" s="5">
        <v>-13.4875945960911</v>
      </c>
      <c r="I527" s="5">
        <v>-13.4875945960911</v>
      </c>
      <c r="J527" s="5">
        <v>-1.59155056649228</v>
      </c>
      <c r="K527" s="5">
        <v>-1.59155056649228</v>
      </c>
      <c r="L527" s="5">
        <v>-1.59155056649228</v>
      </c>
      <c r="M527" s="5">
        <v>-11.8960440295988</v>
      </c>
      <c r="N527" s="5">
        <v>-11.8960440295988</v>
      </c>
      <c r="O527" s="5">
        <v>-11.8960440295988</v>
      </c>
      <c r="P527" s="5">
        <v>0.0</v>
      </c>
      <c r="Q527" s="5">
        <v>0.0</v>
      </c>
      <c r="R527" s="5">
        <v>0.0</v>
      </c>
      <c r="S527" s="5">
        <v>-4.2808175758994</v>
      </c>
    </row>
    <row r="528">
      <c r="A528" s="6">
        <v>41120.0</v>
      </c>
      <c r="B528" s="5">
        <v>9.23869618432155</v>
      </c>
      <c r="C528" s="5">
        <v>-65.5738246373913</v>
      </c>
      <c r="D528" s="5">
        <v>58.1409813125694</v>
      </c>
      <c r="E528" s="5">
        <v>9.23869618432155</v>
      </c>
      <c r="F528" s="5">
        <v>9.23869618432155</v>
      </c>
      <c r="G528" s="5">
        <v>-11.8327428701195</v>
      </c>
      <c r="H528" s="5">
        <v>-11.8327428701195</v>
      </c>
      <c r="I528" s="5">
        <v>-11.8327428701195</v>
      </c>
      <c r="J528" s="5">
        <v>0.0905589421222812</v>
      </c>
      <c r="K528" s="5">
        <v>0.0905589421222812</v>
      </c>
      <c r="L528" s="5">
        <v>0.0905589421222812</v>
      </c>
      <c r="M528" s="5">
        <v>-11.9233018122418</v>
      </c>
      <c r="N528" s="5">
        <v>-11.9233018122418</v>
      </c>
      <c r="O528" s="5">
        <v>-11.9233018122418</v>
      </c>
      <c r="P528" s="5">
        <v>0.0</v>
      </c>
      <c r="Q528" s="5">
        <v>0.0</v>
      </c>
      <c r="R528" s="5">
        <v>0.0</v>
      </c>
      <c r="S528" s="5">
        <v>-2.59404668579803</v>
      </c>
    </row>
    <row r="529">
      <c r="A529" s="6">
        <v>41121.0</v>
      </c>
      <c r="B529" s="5">
        <v>9.24933590569815</v>
      </c>
      <c r="C529" s="5">
        <v>-63.6373153506148</v>
      </c>
      <c r="D529" s="5">
        <v>58.5352319245233</v>
      </c>
      <c r="E529" s="5">
        <v>9.24933590569815</v>
      </c>
      <c r="F529" s="5">
        <v>9.24933590569815</v>
      </c>
      <c r="G529" s="5">
        <v>-11.9342845042442</v>
      </c>
      <c r="H529" s="5">
        <v>-11.9342845042442</v>
      </c>
      <c r="I529" s="5">
        <v>-11.9342845042442</v>
      </c>
      <c r="J529" s="5">
        <v>-0.144118857242788</v>
      </c>
      <c r="K529" s="5">
        <v>-0.144118857242788</v>
      </c>
      <c r="L529" s="5">
        <v>-0.144118857242788</v>
      </c>
      <c r="M529" s="5">
        <v>-11.7901656470014</v>
      </c>
      <c r="N529" s="5">
        <v>-11.7901656470014</v>
      </c>
      <c r="O529" s="5">
        <v>-11.7901656470014</v>
      </c>
      <c r="P529" s="5">
        <v>0.0</v>
      </c>
      <c r="Q529" s="5">
        <v>0.0</v>
      </c>
      <c r="R529" s="5">
        <v>0.0</v>
      </c>
      <c r="S529" s="5">
        <v>-2.68494859854611</v>
      </c>
    </row>
    <row r="530">
      <c r="A530" s="6">
        <v>41122.0</v>
      </c>
      <c r="B530" s="5">
        <v>9.25997562707474</v>
      </c>
      <c r="C530" s="5">
        <v>-71.2563424856957</v>
      </c>
      <c r="D530" s="5">
        <v>63.6658502926181</v>
      </c>
      <c r="E530" s="5">
        <v>9.25997562707474</v>
      </c>
      <c r="F530" s="5">
        <v>9.25997562707474</v>
      </c>
      <c r="G530" s="5">
        <v>-11.5807479690099</v>
      </c>
      <c r="H530" s="5">
        <v>-11.5807479690099</v>
      </c>
      <c r="I530" s="5">
        <v>-11.5807479690099</v>
      </c>
      <c r="J530" s="5">
        <v>0.00703780528085444</v>
      </c>
      <c r="K530" s="5">
        <v>0.00703780528085444</v>
      </c>
      <c r="L530" s="5">
        <v>0.00703780528085444</v>
      </c>
      <c r="M530" s="5">
        <v>-11.5877857742908</v>
      </c>
      <c r="N530" s="5">
        <v>-11.5877857742908</v>
      </c>
      <c r="O530" s="5">
        <v>-11.5877857742908</v>
      </c>
      <c r="P530" s="5">
        <v>0.0</v>
      </c>
      <c r="Q530" s="5">
        <v>0.0</v>
      </c>
      <c r="R530" s="5">
        <v>0.0</v>
      </c>
      <c r="S530" s="5">
        <v>-2.32077234193524</v>
      </c>
    </row>
    <row r="531">
      <c r="A531" s="6">
        <v>41123.0</v>
      </c>
      <c r="B531" s="5">
        <v>9.27061534845133</v>
      </c>
      <c r="C531" s="5">
        <v>-69.4857323846202</v>
      </c>
      <c r="D531" s="5">
        <v>67.9574254401522</v>
      </c>
      <c r="E531" s="5">
        <v>9.27061534845133</v>
      </c>
      <c r="F531" s="5">
        <v>9.27061534845133</v>
      </c>
      <c r="G531" s="5">
        <v>-12.0963539405906</v>
      </c>
      <c r="H531" s="5">
        <v>-12.0963539405906</v>
      </c>
      <c r="I531" s="5">
        <v>-12.0963539405906</v>
      </c>
      <c r="J531" s="5">
        <v>-0.776422525902282</v>
      </c>
      <c r="K531" s="5">
        <v>-0.776422525902282</v>
      </c>
      <c r="L531" s="5">
        <v>-0.776422525902282</v>
      </c>
      <c r="M531" s="5">
        <v>-11.3199314146883</v>
      </c>
      <c r="N531" s="5">
        <v>-11.3199314146883</v>
      </c>
      <c r="O531" s="5">
        <v>-11.3199314146883</v>
      </c>
      <c r="P531" s="5">
        <v>0.0</v>
      </c>
      <c r="Q531" s="5">
        <v>0.0</v>
      </c>
      <c r="R531" s="5">
        <v>0.0</v>
      </c>
      <c r="S531" s="5">
        <v>-2.82573859213928</v>
      </c>
    </row>
    <row r="532">
      <c r="A532" s="6">
        <v>41124.0</v>
      </c>
      <c r="B532" s="5">
        <v>9.28125506982792</v>
      </c>
      <c r="C532" s="5">
        <v>-67.7851735808177</v>
      </c>
      <c r="D532" s="5">
        <v>55.1874939273801</v>
      </c>
      <c r="E532" s="5">
        <v>9.28125506982792</v>
      </c>
      <c r="F532" s="5">
        <v>9.28125506982792</v>
      </c>
      <c r="G532" s="5">
        <v>-12.5835151877166</v>
      </c>
      <c r="H532" s="5">
        <v>-12.5835151877166</v>
      </c>
      <c r="I532" s="5">
        <v>-12.5835151877166</v>
      </c>
      <c r="J532" s="5">
        <v>-1.59155056649379</v>
      </c>
      <c r="K532" s="5">
        <v>-1.59155056649379</v>
      </c>
      <c r="L532" s="5">
        <v>-1.59155056649379</v>
      </c>
      <c r="M532" s="5">
        <v>-10.9919646212228</v>
      </c>
      <c r="N532" s="5">
        <v>-10.9919646212228</v>
      </c>
      <c r="O532" s="5">
        <v>-10.9919646212228</v>
      </c>
      <c r="P532" s="5">
        <v>0.0</v>
      </c>
      <c r="Q532" s="5">
        <v>0.0</v>
      </c>
      <c r="R532" s="5">
        <v>0.0</v>
      </c>
      <c r="S532" s="5">
        <v>-3.30226011788868</v>
      </c>
    </row>
    <row r="533">
      <c r="A533" s="6">
        <v>41127.0</v>
      </c>
      <c r="B533" s="5">
        <v>9.3131742339577</v>
      </c>
      <c r="C533" s="5">
        <v>-63.5694424997709</v>
      </c>
      <c r="D533" s="5">
        <v>61.1584167814471</v>
      </c>
      <c r="E533" s="5">
        <v>9.3131742339577</v>
      </c>
      <c r="F533" s="5">
        <v>9.3131742339577</v>
      </c>
      <c r="G533" s="5">
        <v>-9.63022255572149</v>
      </c>
      <c r="H533" s="5">
        <v>-9.63022255572149</v>
      </c>
      <c r="I533" s="5">
        <v>-9.63022255572149</v>
      </c>
      <c r="J533" s="5">
        <v>0.0905589421232276</v>
      </c>
      <c r="K533" s="5">
        <v>0.0905589421232276</v>
      </c>
      <c r="L533" s="5">
        <v>0.0905589421232276</v>
      </c>
      <c r="M533" s="5">
        <v>-9.72078149784472</v>
      </c>
      <c r="N533" s="5">
        <v>-9.72078149784472</v>
      </c>
      <c r="O533" s="5">
        <v>-9.72078149784472</v>
      </c>
      <c r="P533" s="5">
        <v>0.0</v>
      </c>
      <c r="Q533" s="5">
        <v>0.0</v>
      </c>
      <c r="R533" s="5">
        <v>0.0</v>
      </c>
      <c r="S533" s="5">
        <v>-0.317048321763795</v>
      </c>
    </row>
    <row r="534">
      <c r="A534" s="6">
        <v>41128.0</v>
      </c>
      <c r="B534" s="5">
        <v>9.32381395533429</v>
      </c>
      <c r="C534" s="5">
        <v>-62.6994530818834</v>
      </c>
      <c r="D534" s="5">
        <v>62.272905091559</v>
      </c>
      <c r="E534" s="5">
        <v>9.32381395533429</v>
      </c>
      <c r="F534" s="5">
        <v>9.32381395533429</v>
      </c>
      <c r="G534" s="5">
        <v>-9.37477561497495</v>
      </c>
      <c r="H534" s="5">
        <v>-9.37477561497495</v>
      </c>
      <c r="I534" s="5">
        <v>-9.37477561497495</v>
      </c>
      <c r="J534" s="5">
        <v>-0.144118857244223</v>
      </c>
      <c r="K534" s="5">
        <v>-0.144118857244223</v>
      </c>
      <c r="L534" s="5">
        <v>-0.144118857244223</v>
      </c>
      <c r="M534" s="5">
        <v>-9.23065675773073</v>
      </c>
      <c r="N534" s="5">
        <v>-9.23065675773073</v>
      </c>
      <c r="O534" s="5">
        <v>-9.23065675773073</v>
      </c>
      <c r="P534" s="5">
        <v>0.0</v>
      </c>
      <c r="Q534" s="5">
        <v>0.0</v>
      </c>
      <c r="R534" s="5">
        <v>0.0</v>
      </c>
      <c r="S534" s="5">
        <v>-0.0509616596406612</v>
      </c>
    </row>
    <row r="535">
      <c r="A535" s="6">
        <v>41129.0</v>
      </c>
      <c r="B535" s="5">
        <v>9.33445367671088</v>
      </c>
      <c r="C535" s="5">
        <v>-63.5514692327532</v>
      </c>
      <c r="D535" s="5">
        <v>63.1611526716312</v>
      </c>
      <c r="E535" s="5">
        <v>9.33445367671088</v>
      </c>
      <c r="F535" s="5">
        <v>9.33445367671088</v>
      </c>
      <c r="G535" s="5">
        <v>-8.71646980926667</v>
      </c>
      <c r="H535" s="5">
        <v>-8.71646980926667</v>
      </c>
      <c r="I535" s="5">
        <v>-8.71646980926667</v>
      </c>
      <c r="J535" s="5">
        <v>0.00703780528099333</v>
      </c>
      <c r="K535" s="5">
        <v>0.00703780528099333</v>
      </c>
      <c r="L535" s="5">
        <v>0.00703780528099333</v>
      </c>
      <c r="M535" s="5">
        <v>-8.72350761454766</v>
      </c>
      <c r="N535" s="5">
        <v>-8.72350761454766</v>
      </c>
      <c r="O535" s="5">
        <v>-8.72350761454766</v>
      </c>
      <c r="P535" s="5">
        <v>0.0</v>
      </c>
      <c r="Q535" s="5">
        <v>0.0</v>
      </c>
      <c r="R535" s="5">
        <v>0.0</v>
      </c>
      <c r="S535" s="5">
        <v>0.617983867444214</v>
      </c>
    </row>
    <row r="536">
      <c r="A536" s="6">
        <v>41130.0</v>
      </c>
      <c r="B536" s="5">
        <v>9.34509339808747</v>
      </c>
      <c r="C536" s="5">
        <v>-61.3713104489205</v>
      </c>
      <c r="D536" s="5">
        <v>61.1339245786062</v>
      </c>
      <c r="E536" s="5">
        <v>9.34509339808747</v>
      </c>
      <c r="F536" s="5">
        <v>9.34509339808747</v>
      </c>
      <c r="G536" s="5">
        <v>-8.98574471094506</v>
      </c>
      <c r="H536" s="5">
        <v>-8.98574471094506</v>
      </c>
      <c r="I536" s="5">
        <v>-8.98574471094506</v>
      </c>
      <c r="J536" s="5">
        <v>-0.776422525901529</v>
      </c>
      <c r="K536" s="5">
        <v>-0.776422525901529</v>
      </c>
      <c r="L536" s="5">
        <v>-0.776422525901529</v>
      </c>
      <c r="M536" s="5">
        <v>-8.20932218504353</v>
      </c>
      <c r="N536" s="5">
        <v>-8.20932218504353</v>
      </c>
      <c r="O536" s="5">
        <v>-8.20932218504353</v>
      </c>
      <c r="P536" s="5">
        <v>0.0</v>
      </c>
      <c r="Q536" s="5">
        <v>0.0</v>
      </c>
      <c r="R536" s="5">
        <v>0.0</v>
      </c>
      <c r="S536" s="5">
        <v>0.359348687142411</v>
      </c>
    </row>
    <row r="537">
      <c r="A537" s="6">
        <v>41131.0</v>
      </c>
      <c r="B537" s="5">
        <v>9.35573311946407</v>
      </c>
      <c r="C537" s="5">
        <v>-65.2586719673032</v>
      </c>
      <c r="D537" s="5">
        <v>64.6800889626057</v>
      </c>
      <c r="E537" s="5">
        <v>9.35573311946407</v>
      </c>
      <c r="F537" s="5">
        <v>9.35573311946407</v>
      </c>
      <c r="G537" s="5">
        <v>-9.28941725312452</v>
      </c>
      <c r="H537" s="5">
        <v>-9.28941725312452</v>
      </c>
      <c r="I537" s="5">
        <v>-9.28941725312452</v>
      </c>
      <c r="J537" s="5">
        <v>-1.59155056649286</v>
      </c>
      <c r="K537" s="5">
        <v>-1.59155056649286</v>
      </c>
      <c r="L537" s="5">
        <v>-1.59155056649286</v>
      </c>
      <c r="M537" s="5">
        <v>-7.69786668663165</v>
      </c>
      <c r="N537" s="5">
        <v>-7.69786668663165</v>
      </c>
      <c r="O537" s="5">
        <v>-7.69786668663165</v>
      </c>
      <c r="P537" s="5">
        <v>0.0</v>
      </c>
      <c r="Q537" s="5">
        <v>0.0</v>
      </c>
      <c r="R537" s="5">
        <v>0.0</v>
      </c>
      <c r="S537" s="5">
        <v>0.0663158663395488</v>
      </c>
    </row>
    <row r="538">
      <c r="A538" s="6">
        <v>41134.0</v>
      </c>
      <c r="B538" s="5">
        <v>9.38765228359384</v>
      </c>
      <c r="C538" s="5">
        <v>-60.6390980648578</v>
      </c>
      <c r="D538" s="5">
        <v>64.8380277494908</v>
      </c>
      <c r="E538" s="5">
        <v>9.38765228359384</v>
      </c>
      <c r="F538" s="5">
        <v>9.38765228359384</v>
      </c>
      <c r="G538" s="5">
        <v>-6.17791668631988</v>
      </c>
      <c r="H538" s="5">
        <v>-6.17791668631988</v>
      </c>
      <c r="I538" s="5">
        <v>-6.17791668631988</v>
      </c>
      <c r="J538" s="5">
        <v>0.0905589421194065</v>
      </c>
      <c r="K538" s="5">
        <v>0.0905589421194065</v>
      </c>
      <c r="L538" s="5">
        <v>0.0905589421194065</v>
      </c>
      <c r="M538" s="5">
        <v>-6.26847562843929</v>
      </c>
      <c r="N538" s="5">
        <v>-6.26847562843929</v>
      </c>
      <c r="O538" s="5">
        <v>-6.26847562843929</v>
      </c>
      <c r="P538" s="5">
        <v>0.0</v>
      </c>
      <c r="Q538" s="5">
        <v>0.0</v>
      </c>
      <c r="R538" s="5">
        <v>0.0</v>
      </c>
      <c r="S538" s="5">
        <v>3.20973559727395</v>
      </c>
    </row>
    <row r="539">
      <c r="A539" s="6">
        <v>41135.0</v>
      </c>
      <c r="B539" s="5">
        <v>9.39829200497043</v>
      </c>
      <c r="C539" s="5">
        <v>-62.8506858849184</v>
      </c>
      <c r="D539" s="5">
        <v>65.2865890686117</v>
      </c>
      <c r="E539" s="5">
        <v>9.39829200497043</v>
      </c>
      <c r="F539" s="5">
        <v>9.39829200497043</v>
      </c>
      <c r="G539" s="5">
        <v>-5.99595436865989</v>
      </c>
      <c r="H539" s="5">
        <v>-5.99595436865989</v>
      </c>
      <c r="I539" s="5">
        <v>-5.99595436865989</v>
      </c>
      <c r="J539" s="5">
        <v>-0.144118857247073</v>
      </c>
      <c r="K539" s="5">
        <v>-0.144118857247073</v>
      </c>
      <c r="L539" s="5">
        <v>-0.144118857247073</v>
      </c>
      <c r="M539" s="5">
        <v>-5.85183551141282</v>
      </c>
      <c r="N539" s="5">
        <v>-5.85183551141282</v>
      </c>
      <c r="O539" s="5">
        <v>-5.85183551141282</v>
      </c>
      <c r="P539" s="5">
        <v>0.0</v>
      </c>
      <c r="Q539" s="5">
        <v>0.0</v>
      </c>
      <c r="R539" s="5">
        <v>0.0</v>
      </c>
      <c r="S539" s="5">
        <v>3.40233763631053</v>
      </c>
    </row>
    <row r="540">
      <c r="A540" s="6">
        <v>41136.0</v>
      </c>
      <c r="B540" s="5">
        <v>9.40893172634703</v>
      </c>
      <c r="C540" s="5">
        <v>-61.2758728012322</v>
      </c>
      <c r="D540" s="5">
        <v>69.7946691162187</v>
      </c>
      <c r="E540" s="5">
        <v>9.40893172634703</v>
      </c>
      <c r="F540" s="5">
        <v>9.40893172634703</v>
      </c>
      <c r="G540" s="5">
        <v>-5.4674556057601</v>
      </c>
      <c r="H540" s="5">
        <v>-5.4674556057601</v>
      </c>
      <c r="I540" s="5">
        <v>-5.4674556057601</v>
      </c>
      <c r="J540" s="5">
        <v>0.00703780528230453</v>
      </c>
      <c r="K540" s="5">
        <v>0.00703780528230453</v>
      </c>
      <c r="L540" s="5">
        <v>0.00703780528230453</v>
      </c>
      <c r="M540" s="5">
        <v>-5.47449341104241</v>
      </c>
      <c r="N540" s="5">
        <v>-5.47449341104241</v>
      </c>
      <c r="O540" s="5">
        <v>-5.47449341104241</v>
      </c>
      <c r="P540" s="5">
        <v>0.0</v>
      </c>
      <c r="Q540" s="5">
        <v>0.0</v>
      </c>
      <c r="R540" s="5">
        <v>0.0</v>
      </c>
      <c r="S540" s="5">
        <v>3.94147612058692</v>
      </c>
    </row>
    <row r="541">
      <c r="A541" s="6">
        <v>41137.0</v>
      </c>
      <c r="B541" s="5">
        <v>9.41957144772362</v>
      </c>
      <c r="C541" s="5">
        <v>-56.3797682660507</v>
      </c>
      <c r="D541" s="5">
        <v>61.7968920683346</v>
      </c>
      <c r="E541" s="5">
        <v>9.41957144772362</v>
      </c>
      <c r="F541" s="5">
        <v>9.41957144772362</v>
      </c>
      <c r="G541" s="5">
        <v>-5.91639414106718</v>
      </c>
      <c r="H541" s="5">
        <v>-5.91639414106718</v>
      </c>
      <c r="I541" s="5">
        <v>-5.91639414106718</v>
      </c>
      <c r="J541" s="5">
        <v>-0.776422525902251</v>
      </c>
      <c r="K541" s="5">
        <v>-0.776422525902251</v>
      </c>
      <c r="L541" s="5">
        <v>-0.776422525902251</v>
      </c>
      <c r="M541" s="5">
        <v>-5.13997161516492</v>
      </c>
      <c r="N541" s="5">
        <v>-5.13997161516492</v>
      </c>
      <c r="O541" s="5">
        <v>-5.13997161516492</v>
      </c>
      <c r="P541" s="5">
        <v>0.0</v>
      </c>
      <c r="Q541" s="5">
        <v>0.0</v>
      </c>
      <c r="R541" s="5">
        <v>0.0</v>
      </c>
      <c r="S541" s="5">
        <v>3.50317730665644</v>
      </c>
    </row>
    <row r="542">
      <c r="A542" s="6">
        <v>41138.0</v>
      </c>
      <c r="B542" s="5">
        <v>9.43021116910021</v>
      </c>
      <c r="C542" s="5">
        <v>-61.5970454981316</v>
      </c>
      <c r="D542" s="5">
        <v>66.7923298746988</v>
      </c>
      <c r="E542" s="5">
        <v>9.43021116910021</v>
      </c>
      <c r="F542" s="5">
        <v>9.43021116910021</v>
      </c>
      <c r="G542" s="5">
        <v>-6.44182925269059</v>
      </c>
      <c r="H542" s="5">
        <v>-6.44182925269059</v>
      </c>
      <c r="I542" s="5">
        <v>-6.44182925269059</v>
      </c>
      <c r="J542" s="5">
        <v>-1.59155056649162</v>
      </c>
      <c r="K542" s="5">
        <v>-1.59155056649162</v>
      </c>
      <c r="L542" s="5">
        <v>-1.59155056649162</v>
      </c>
      <c r="M542" s="5">
        <v>-4.85027868619896</v>
      </c>
      <c r="N542" s="5">
        <v>-4.85027868619896</v>
      </c>
      <c r="O542" s="5">
        <v>-4.85027868619896</v>
      </c>
      <c r="P542" s="5">
        <v>0.0</v>
      </c>
      <c r="Q542" s="5">
        <v>0.0</v>
      </c>
      <c r="R542" s="5">
        <v>0.0</v>
      </c>
      <c r="S542" s="5">
        <v>2.98838191640961</v>
      </c>
    </row>
    <row r="543">
      <c r="A543" s="6">
        <v>41141.0</v>
      </c>
      <c r="B543" s="5">
        <v>9.46213033322999</v>
      </c>
      <c r="C543" s="5">
        <v>-54.4263694872717</v>
      </c>
      <c r="D543" s="5">
        <v>72.7988433837098</v>
      </c>
      <c r="E543" s="5">
        <v>9.46213033322999</v>
      </c>
      <c r="F543" s="5">
        <v>9.46213033322999</v>
      </c>
      <c r="G543" s="5">
        <v>-4.15711317285133</v>
      </c>
      <c r="H543" s="5">
        <v>-4.15711317285133</v>
      </c>
      <c r="I543" s="5">
        <v>-4.15711317285133</v>
      </c>
      <c r="J543" s="5">
        <v>0.0905589421228168</v>
      </c>
      <c r="K543" s="5">
        <v>0.0905589421228168</v>
      </c>
      <c r="L543" s="5">
        <v>0.0905589421228168</v>
      </c>
      <c r="M543" s="5">
        <v>-4.24767211497415</v>
      </c>
      <c r="N543" s="5">
        <v>-4.24767211497415</v>
      </c>
      <c r="O543" s="5">
        <v>-4.24767211497415</v>
      </c>
      <c r="P543" s="5">
        <v>0.0</v>
      </c>
      <c r="Q543" s="5">
        <v>0.0</v>
      </c>
      <c r="R543" s="5">
        <v>0.0</v>
      </c>
      <c r="S543" s="5">
        <v>5.30501716037865</v>
      </c>
    </row>
    <row r="544">
      <c r="A544" s="6">
        <v>41142.0</v>
      </c>
      <c r="B544" s="5">
        <v>9.47277005460658</v>
      </c>
      <c r="C544" s="5">
        <v>-53.4519668249195</v>
      </c>
      <c r="D544" s="5">
        <v>72.8029871149611</v>
      </c>
      <c r="E544" s="5">
        <v>9.47277005460658</v>
      </c>
      <c r="F544" s="5">
        <v>9.47277005460658</v>
      </c>
      <c r="G544" s="5">
        <v>-4.2718772353638</v>
      </c>
      <c r="H544" s="5">
        <v>-4.2718772353638</v>
      </c>
      <c r="I544" s="5">
        <v>-4.2718772353638</v>
      </c>
      <c r="J544" s="5">
        <v>-0.144118857245985</v>
      </c>
      <c r="K544" s="5">
        <v>-0.144118857245985</v>
      </c>
      <c r="L544" s="5">
        <v>-0.144118857245985</v>
      </c>
      <c r="M544" s="5">
        <v>-4.12775837811781</v>
      </c>
      <c r="N544" s="5">
        <v>-4.12775837811781</v>
      </c>
      <c r="O544" s="5">
        <v>-4.12775837811781</v>
      </c>
      <c r="P544" s="5">
        <v>0.0</v>
      </c>
      <c r="Q544" s="5">
        <v>0.0</v>
      </c>
      <c r="R544" s="5">
        <v>0.0</v>
      </c>
      <c r="S544" s="5">
        <v>5.20089281924277</v>
      </c>
    </row>
    <row r="545">
      <c r="A545" s="6">
        <v>41143.0</v>
      </c>
      <c r="B545" s="5">
        <v>9.48340977598317</v>
      </c>
      <c r="C545" s="5">
        <v>-59.4245101956028</v>
      </c>
      <c r="D545" s="5">
        <v>70.3133318393177</v>
      </c>
      <c r="E545" s="5">
        <v>9.48340977598317</v>
      </c>
      <c r="F545" s="5">
        <v>9.48340977598317</v>
      </c>
      <c r="G545" s="5">
        <v>-4.03428910090607</v>
      </c>
      <c r="H545" s="5">
        <v>-4.03428910090607</v>
      </c>
      <c r="I545" s="5">
        <v>-4.03428910090607</v>
      </c>
      <c r="J545" s="5">
        <v>0.00703780528145194</v>
      </c>
      <c r="K545" s="5">
        <v>0.00703780528145194</v>
      </c>
      <c r="L545" s="5">
        <v>0.00703780528145194</v>
      </c>
      <c r="M545" s="5">
        <v>-4.04132690618753</v>
      </c>
      <c r="N545" s="5">
        <v>-4.04132690618753</v>
      </c>
      <c r="O545" s="5">
        <v>-4.04132690618753</v>
      </c>
      <c r="P545" s="5">
        <v>0.0</v>
      </c>
      <c r="Q545" s="5">
        <v>0.0</v>
      </c>
      <c r="R545" s="5">
        <v>0.0</v>
      </c>
      <c r="S545" s="5">
        <v>5.44912067507709</v>
      </c>
    </row>
    <row r="546">
      <c r="A546" s="6">
        <v>41144.0</v>
      </c>
      <c r="B546" s="5">
        <v>9.49404949735976</v>
      </c>
      <c r="C546" s="5">
        <v>-54.9810802181448</v>
      </c>
      <c r="D546" s="5">
        <v>69.356925531303</v>
      </c>
      <c r="E546" s="5">
        <v>9.49404949735976</v>
      </c>
      <c r="F546" s="5">
        <v>9.49404949735976</v>
      </c>
      <c r="G546" s="5">
        <v>-4.7591502136014</v>
      </c>
      <c r="H546" s="5">
        <v>-4.7591502136014</v>
      </c>
      <c r="I546" s="5">
        <v>-4.7591502136014</v>
      </c>
      <c r="J546" s="5">
        <v>-0.776422525902973</v>
      </c>
      <c r="K546" s="5">
        <v>-0.776422525902973</v>
      </c>
      <c r="L546" s="5">
        <v>-0.776422525902973</v>
      </c>
      <c r="M546" s="5">
        <v>-3.98272768769842</v>
      </c>
      <c r="N546" s="5">
        <v>-3.98272768769842</v>
      </c>
      <c r="O546" s="5">
        <v>-3.98272768769842</v>
      </c>
      <c r="P546" s="5">
        <v>0.0</v>
      </c>
      <c r="Q546" s="5">
        <v>0.0</v>
      </c>
      <c r="R546" s="5">
        <v>0.0</v>
      </c>
      <c r="S546" s="5">
        <v>4.73489928375836</v>
      </c>
    </row>
    <row r="547">
      <c r="A547" s="6">
        <v>41145.0</v>
      </c>
      <c r="B547" s="5">
        <v>9.50468921873635</v>
      </c>
      <c r="C547" s="5">
        <v>-63.2133079558139</v>
      </c>
      <c r="D547" s="5">
        <v>66.4445026814858</v>
      </c>
      <c r="E547" s="5">
        <v>9.50468921873635</v>
      </c>
      <c r="F547" s="5">
        <v>9.50468921873635</v>
      </c>
      <c r="G547" s="5">
        <v>-5.5372068643726</v>
      </c>
      <c r="H547" s="5">
        <v>-5.5372068643726</v>
      </c>
      <c r="I547" s="5">
        <v>-5.5372068643726</v>
      </c>
      <c r="J547" s="5">
        <v>-1.59155056649101</v>
      </c>
      <c r="K547" s="5">
        <v>-1.59155056649101</v>
      </c>
      <c r="L547" s="5">
        <v>-1.59155056649101</v>
      </c>
      <c r="M547" s="5">
        <v>-3.94565629788158</v>
      </c>
      <c r="N547" s="5">
        <v>-3.94565629788158</v>
      </c>
      <c r="O547" s="5">
        <v>-3.94565629788158</v>
      </c>
      <c r="P547" s="5">
        <v>0.0</v>
      </c>
      <c r="Q547" s="5">
        <v>0.0</v>
      </c>
      <c r="R547" s="5">
        <v>0.0</v>
      </c>
      <c r="S547" s="5">
        <v>3.96748235436375</v>
      </c>
    </row>
    <row r="548">
      <c r="A548" s="6">
        <v>41148.0</v>
      </c>
      <c r="B548" s="5">
        <v>9.53660838286613</v>
      </c>
      <c r="C548" s="5">
        <v>-57.5345926535584</v>
      </c>
      <c r="D548" s="5">
        <v>69.528415393544</v>
      </c>
      <c r="E548" s="5">
        <v>9.53660838286613</v>
      </c>
      <c r="F548" s="5">
        <v>9.53660838286613</v>
      </c>
      <c r="G548" s="5">
        <v>-3.80558173677255</v>
      </c>
      <c r="H548" s="5">
        <v>-3.80558173677255</v>
      </c>
      <c r="I548" s="5">
        <v>-3.80558173677255</v>
      </c>
      <c r="J548" s="5">
        <v>0.0905589421213794</v>
      </c>
      <c r="K548" s="5">
        <v>0.0905589421213794</v>
      </c>
      <c r="L548" s="5">
        <v>0.0905589421213794</v>
      </c>
      <c r="M548" s="5">
        <v>-3.89614067889393</v>
      </c>
      <c r="N548" s="5">
        <v>-3.89614067889393</v>
      </c>
      <c r="O548" s="5">
        <v>-3.89614067889393</v>
      </c>
      <c r="P548" s="5">
        <v>0.0</v>
      </c>
      <c r="Q548" s="5">
        <v>0.0</v>
      </c>
      <c r="R548" s="5">
        <v>0.0</v>
      </c>
      <c r="S548" s="5">
        <v>5.73102664609357</v>
      </c>
    </row>
    <row r="549">
      <c r="A549" s="6">
        <v>41149.0</v>
      </c>
      <c r="B549" s="5">
        <v>9.54724810424272</v>
      </c>
      <c r="C549" s="5">
        <v>-56.2660449321325</v>
      </c>
      <c r="D549" s="5">
        <v>66.3130602594679</v>
      </c>
      <c r="E549" s="5">
        <v>9.54724810424272</v>
      </c>
      <c r="F549" s="5">
        <v>9.54724810424272</v>
      </c>
      <c r="G549" s="5">
        <v>-4.02221098440854</v>
      </c>
      <c r="H549" s="5">
        <v>-4.02221098440854</v>
      </c>
      <c r="I549" s="5">
        <v>-4.02221098440854</v>
      </c>
      <c r="J549" s="5">
        <v>-0.144118857247421</v>
      </c>
      <c r="K549" s="5">
        <v>-0.144118857247421</v>
      </c>
      <c r="L549" s="5">
        <v>-0.144118857247421</v>
      </c>
      <c r="M549" s="5">
        <v>-3.87809212716112</v>
      </c>
      <c r="N549" s="5">
        <v>-3.87809212716112</v>
      </c>
      <c r="O549" s="5">
        <v>-3.87809212716112</v>
      </c>
      <c r="P549" s="5">
        <v>0.0</v>
      </c>
      <c r="Q549" s="5">
        <v>0.0</v>
      </c>
      <c r="R549" s="5">
        <v>0.0</v>
      </c>
      <c r="S549" s="5">
        <v>5.52503711983418</v>
      </c>
    </row>
    <row r="550">
      <c r="A550" s="6">
        <v>41150.0</v>
      </c>
      <c r="B550" s="5">
        <v>9.55788782561931</v>
      </c>
      <c r="C550" s="5">
        <v>-59.2766822379965</v>
      </c>
      <c r="D550" s="5">
        <v>66.5755824612252</v>
      </c>
      <c r="E550" s="5">
        <v>9.55788782561931</v>
      </c>
      <c r="F550" s="5">
        <v>9.55788782561931</v>
      </c>
      <c r="G550" s="5">
        <v>-3.8422725098703</v>
      </c>
      <c r="H550" s="5">
        <v>-3.8422725098703</v>
      </c>
      <c r="I550" s="5">
        <v>-3.8422725098703</v>
      </c>
      <c r="J550" s="5">
        <v>0.00703780528276304</v>
      </c>
      <c r="K550" s="5">
        <v>0.00703780528276304</v>
      </c>
      <c r="L550" s="5">
        <v>0.00703780528276304</v>
      </c>
      <c r="M550" s="5">
        <v>-3.84931031515306</v>
      </c>
      <c r="N550" s="5">
        <v>-3.84931031515306</v>
      </c>
      <c r="O550" s="5">
        <v>-3.84931031515306</v>
      </c>
      <c r="P550" s="5">
        <v>0.0</v>
      </c>
      <c r="Q550" s="5">
        <v>0.0</v>
      </c>
      <c r="R550" s="5">
        <v>0.0</v>
      </c>
      <c r="S550" s="5">
        <v>5.71561531574901</v>
      </c>
    </row>
    <row r="551">
      <c r="A551" s="6">
        <v>41151.0</v>
      </c>
      <c r="B551" s="5">
        <v>9.56852754699591</v>
      </c>
      <c r="C551" s="5">
        <v>-55.5034340182953</v>
      </c>
      <c r="D551" s="5">
        <v>65.373765365239</v>
      </c>
      <c r="E551" s="5">
        <v>9.56852754699591</v>
      </c>
      <c r="F551" s="5">
        <v>9.56852754699591</v>
      </c>
      <c r="G551" s="5">
        <v>-4.58139323198194</v>
      </c>
      <c r="H551" s="5">
        <v>-4.58139323198194</v>
      </c>
      <c r="I551" s="5">
        <v>-4.58139323198194</v>
      </c>
      <c r="J551" s="5">
        <v>-0.776422525900845</v>
      </c>
      <c r="K551" s="5">
        <v>-0.776422525900845</v>
      </c>
      <c r="L551" s="5">
        <v>-0.776422525900845</v>
      </c>
      <c r="M551" s="5">
        <v>-3.80497070608109</v>
      </c>
      <c r="N551" s="5">
        <v>-3.80497070608109</v>
      </c>
      <c r="O551" s="5">
        <v>-3.80497070608109</v>
      </c>
      <c r="P551" s="5">
        <v>0.0</v>
      </c>
      <c r="Q551" s="5">
        <v>0.0</v>
      </c>
      <c r="R551" s="5">
        <v>0.0</v>
      </c>
      <c r="S551" s="5">
        <v>4.98713431501396</v>
      </c>
    </row>
    <row r="552">
      <c r="A552" s="6">
        <v>41152.0</v>
      </c>
      <c r="B552" s="5">
        <v>9.5791672683725</v>
      </c>
      <c r="C552" s="5">
        <v>-62.5680969747619</v>
      </c>
      <c r="D552" s="5">
        <v>68.4138939977225</v>
      </c>
      <c r="E552" s="5">
        <v>9.5791672683725</v>
      </c>
      <c r="F552" s="5">
        <v>9.5791672683725</v>
      </c>
      <c r="G552" s="5">
        <v>-5.33284919776305</v>
      </c>
      <c r="H552" s="5">
        <v>-5.33284919776305</v>
      </c>
      <c r="I552" s="5">
        <v>-5.33284919776305</v>
      </c>
      <c r="J552" s="5">
        <v>-1.59155056649252</v>
      </c>
      <c r="K552" s="5">
        <v>-1.59155056649252</v>
      </c>
      <c r="L552" s="5">
        <v>-1.59155056649252</v>
      </c>
      <c r="M552" s="5">
        <v>-3.74129863127053</v>
      </c>
      <c r="N552" s="5">
        <v>-3.74129863127053</v>
      </c>
      <c r="O552" s="5">
        <v>-3.74129863127053</v>
      </c>
      <c r="P552" s="5">
        <v>0.0</v>
      </c>
      <c r="Q552" s="5">
        <v>0.0</v>
      </c>
      <c r="R552" s="5">
        <v>0.0</v>
      </c>
      <c r="S552" s="5">
        <v>4.24631807060944</v>
      </c>
    </row>
    <row r="553">
      <c r="A553" s="6">
        <v>41156.0</v>
      </c>
      <c r="B553" s="5">
        <v>9.62172615387887</v>
      </c>
      <c r="C553" s="5">
        <v>-58.213023444571</v>
      </c>
      <c r="D553" s="5">
        <v>69.7058238736155</v>
      </c>
      <c r="E553" s="5">
        <v>9.62172615387887</v>
      </c>
      <c r="F553" s="5">
        <v>9.62172615387887</v>
      </c>
      <c r="G553" s="5">
        <v>-3.40604902642131</v>
      </c>
      <c r="H553" s="5">
        <v>-3.40604902642131</v>
      </c>
      <c r="I553" s="5">
        <v>-3.40604902642131</v>
      </c>
      <c r="J553" s="5">
        <v>-0.144118857244114</v>
      </c>
      <c r="K553" s="5">
        <v>-0.144118857244114</v>
      </c>
      <c r="L553" s="5">
        <v>-0.144118857244114</v>
      </c>
      <c r="M553" s="5">
        <v>-3.2619301691772</v>
      </c>
      <c r="N553" s="5">
        <v>-3.2619301691772</v>
      </c>
      <c r="O553" s="5">
        <v>-3.2619301691772</v>
      </c>
      <c r="P553" s="5">
        <v>0.0</v>
      </c>
      <c r="Q553" s="5">
        <v>0.0</v>
      </c>
      <c r="R553" s="5">
        <v>0.0</v>
      </c>
      <c r="S553" s="5">
        <v>6.21567712745755</v>
      </c>
    </row>
    <row r="554">
      <c r="A554" s="6">
        <v>41157.0</v>
      </c>
      <c r="B554" s="5">
        <v>9.63236587525546</v>
      </c>
      <c r="C554" s="5">
        <v>-53.2169494190314</v>
      </c>
      <c r="D554" s="5">
        <v>67.1917448312721</v>
      </c>
      <c r="E554" s="5">
        <v>9.63236587525546</v>
      </c>
      <c r="F554" s="5">
        <v>9.63236587525546</v>
      </c>
      <c r="G554" s="5">
        <v>-3.08296594885835</v>
      </c>
      <c r="H554" s="5">
        <v>-3.08296594885835</v>
      </c>
      <c r="I554" s="5">
        <v>-3.08296594885835</v>
      </c>
      <c r="J554" s="5">
        <v>0.00703780528073837</v>
      </c>
      <c r="K554" s="5">
        <v>0.00703780528073837</v>
      </c>
      <c r="L554" s="5">
        <v>0.00703780528073837</v>
      </c>
      <c r="M554" s="5">
        <v>-3.09000375413909</v>
      </c>
      <c r="N554" s="5">
        <v>-3.09000375413909</v>
      </c>
      <c r="O554" s="5">
        <v>-3.09000375413909</v>
      </c>
      <c r="P554" s="5">
        <v>0.0</v>
      </c>
      <c r="Q554" s="5">
        <v>0.0</v>
      </c>
      <c r="R554" s="5">
        <v>0.0</v>
      </c>
      <c r="S554" s="5">
        <v>6.5493999263971</v>
      </c>
    </row>
    <row r="555">
      <c r="A555" s="6">
        <v>41158.0</v>
      </c>
      <c r="B555" s="5">
        <v>9.64300559663205</v>
      </c>
      <c r="C555" s="5">
        <v>-54.7733804671887</v>
      </c>
      <c r="D555" s="5">
        <v>64.8376021682873</v>
      </c>
      <c r="E555" s="5">
        <v>9.64300559663205</v>
      </c>
      <c r="F555" s="5">
        <v>9.64300559663205</v>
      </c>
      <c r="G555" s="5">
        <v>-3.6800155666313</v>
      </c>
      <c r="H555" s="5">
        <v>-3.6800155666313</v>
      </c>
      <c r="I555" s="5">
        <v>-3.6800155666313</v>
      </c>
      <c r="J555" s="5">
        <v>-0.776422525902941</v>
      </c>
      <c r="K555" s="5">
        <v>-0.776422525902941</v>
      </c>
      <c r="L555" s="5">
        <v>-0.776422525902941</v>
      </c>
      <c r="M555" s="5">
        <v>-2.90359304072836</v>
      </c>
      <c r="N555" s="5">
        <v>-2.90359304072836</v>
      </c>
      <c r="O555" s="5">
        <v>-2.90359304072836</v>
      </c>
      <c r="P555" s="5">
        <v>0.0</v>
      </c>
      <c r="Q555" s="5">
        <v>0.0</v>
      </c>
      <c r="R555" s="5">
        <v>0.0</v>
      </c>
      <c r="S555" s="5">
        <v>5.96299003000074</v>
      </c>
    </row>
    <row r="556">
      <c r="A556" s="6">
        <v>41159.0</v>
      </c>
      <c r="B556" s="5">
        <v>9.65364531800864</v>
      </c>
      <c r="C556" s="5">
        <v>-59.8555187811966</v>
      </c>
      <c r="D556" s="5">
        <v>69.507699322409</v>
      </c>
      <c r="E556" s="5">
        <v>9.65364531800864</v>
      </c>
      <c r="F556" s="5">
        <v>9.65364531800864</v>
      </c>
      <c r="G556" s="5">
        <v>-4.29954716352363</v>
      </c>
      <c r="H556" s="5">
        <v>-4.29954716352363</v>
      </c>
      <c r="I556" s="5">
        <v>-4.29954716352363</v>
      </c>
      <c r="J556" s="5">
        <v>-1.59155056649159</v>
      </c>
      <c r="K556" s="5">
        <v>-1.59155056649159</v>
      </c>
      <c r="L556" s="5">
        <v>-1.59155056649159</v>
      </c>
      <c r="M556" s="5">
        <v>-2.70799659703204</v>
      </c>
      <c r="N556" s="5">
        <v>-2.70799659703204</v>
      </c>
      <c r="O556" s="5">
        <v>-2.70799659703204</v>
      </c>
      <c r="P556" s="5">
        <v>0.0</v>
      </c>
      <c r="Q556" s="5">
        <v>0.0</v>
      </c>
      <c r="R556" s="5">
        <v>0.0</v>
      </c>
      <c r="S556" s="5">
        <v>5.354098154485</v>
      </c>
    </row>
    <row r="557">
      <c r="A557" s="6">
        <v>41162.0</v>
      </c>
      <c r="B557" s="5">
        <v>9.68556448213842</v>
      </c>
      <c r="C557" s="5">
        <v>-55.3365051856334</v>
      </c>
      <c r="D557" s="5">
        <v>68.1543938646298</v>
      </c>
      <c r="E557" s="5">
        <v>9.68556448213842</v>
      </c>
      <c r="F557" s="5">
        <v>9.68556448213842</v>
      </c>
      <c r="G557" s="5">
        <v>-2.04174256255619</v>
      </c>
      <c r="H557" s="5">
        <v>-2.04174256255619</v>
      </c>
      <c r="I557" s="5">
        <v>-2.04174256255619</v>
      </c>
      <c r="J557" s="5">
        <v>0.0905589421209682</v>
      </c>
      <c r="K557" s="5">
        <v>0.0905589421209682</v>
      </c>
      <c r="L557" s="5">
        <v>0.0905589421209682</v>
      </c>
      <c r="M557" s="5">
        <v>-2.13230150467716</v>
      </c>
      <c r="N557" s="5">
        <v>-2.13230150467716</v>
      </c>
      <c r="O557" s="5">
        <v>-2.13230150467716</v>
      </c>
      <c r="P557" s="5">
        <v>0.0</v>
      </c>
      <c r="Q557" s="5">
        <v>0.0</v>
      </c>
      <c r="R557" s="5">
        <v>0.0</v>
      </c>
      <c r="S557" s="5">
        <v>7.64382191958222</v>
      </c>
    </row>
    <row r="558">
      <c r="A558" s="6">
        <v>41163.0</v>
      </c>
      <c r="B558" s="5">
        <v>9.69620420351501</v>
      </c>
      <c r="C558" s="5">
        <v>-57.3949778117177</v>
      </c>
      <c r="D558" s="5">
        <v>68.5420320581324</v>
      </c>
      <c r="E558" s="5">
        <v>9.69620420351501</v>
      </c>
      <c r="F558" s="5">
        <v>9.69620420351501</v>
      </c>
      <c r="G558" s="5">
        <v>-2.11306131809132</v>
      </c>
      <c r="H558" s="5">
        <v>-2.11306131809132</v>
      </c>
      <c r="I558" s="5">
        <v>-2.11306131809132</v>
      </c>
      <c r="J558" s="5">
        <v>-0.144118857245549</v>
      </c>
      <c r="K558" s="5">
        <v>-0.144118857245549</v>
      </c>
      <c r="L558" s="5">
        <v>-0.144118857245549</v>
      </c>
      <c r="M558" s="5">
        <v>-1.96894246084577</v>
      </c>
      <c r="N558" s="5">
        <v>-1.96894246084577</v>
      </c>
      <c r="O558" s="5">
        <v>-1.96894246084577</v>
      </c>
      <c r="P558" s="5">
        <v>0.0</v>
      </c>
      <c r="Q558" s="5">
        <v>0.0</v>
      </c>
      <c r="R558" s="5">
        <v>0.0</v>
      </c>
      <c r="S558" s="5">
        <v>7.58314288542368</v>
      </c>
    </row>
    <row r="559">
      <c r="A559" s="6">
        <v>41164.0</v>
      </c>
      <c r="B559" s="5">
        <v>9.7068439248916</v>
      </c>
      <c r="C559" s="5">
        <v>-59.550237617759</v>
      </c>
      <c r="D559" s="5">
        <v>69.4808392981541</v>
      </c>
      <c r="E559" s="5">
        <v>9.7068439248916</v>
      </c>
      <c r="F559" s="5">
        <v>9.7068439248916</v>
      </c>
      <c r="G559" s="5">
        <v>-1.82568577366265</v>
      </c>
      <c r="H559" s="5">
        <v>-1.82568577366265</v>
      </c>
      <c r="I559" s="5">
        <v>-1.82568577366265</v>
      </c>
      <c r="J559" s="5">
        <v>0.00703780528204933</v>
      </c>
      <c r="K559" s="5">
        <v>0.00703780528204933</v>
      </c>
      <c r="L559" s="5">
        <v>0.00703780528204933</v>
      </c>
      <c r="M559" s="5">
        <v>-1.8327235789447</v>
      </c>
      <c r="N559" s="5">
        <v>-1.8327235789447</v>
      </c>
      <c r="O559" s="5">
        <v>-1.8327235789447</v>
      </c>
      <c r="P559" s="5">
        <v>0.0</v>
      </c>
      <c r="Q559" s="5">
        <v>0.0</v>
      </c>
      <c r="R559" s="5">
        <v>0.0</v>
      </c>
      <c r="S559" s="5">
        <v>7.88115815122894</v>
      </c>
    </row>
    <row r="560">
      <c r="A560" s="6">
        <v>41165.0</v>
      </c>
      <c r="B560" s="5">
        <v>9.71748364626819</v>
      </c>
      <c r="C560" s="5">
        <v>-56.5985856406688</v>
      </c>
      <c r="D560" s="5">
        <v>70.0111024647859</v>
      </c>
      <c r="E560" s="5">
        <v>9.71748364626819</v>
      </c>
      <c r="F560" s="5">
        <v>9.71748364626819</v>
      </c>
      <c r="G560" s="5">
        <v>-2.50745715500975</v>
      </c>
      <c r="H560" s="5">
        <v>-2.50745715500975</v>
      </c>
      <c r="I560" s="5">
        <v>-2.50745715500975</v>
      </c>
      <c r="J560" s="5">
        <v>-0.776422525903664</v>
      </c>
      <c r="K560" s="5">
        <v>-0.776422525903664</v>
      </c>
      <c r="L560" s="5">
        <v>-0.776422525903664</v>
      </c>
      <c r="M560" s="5">
        <v>-1.73103462910609</v>
      </c>
      <c r="N560" s="5">
        <v>-1.73103462910609</v>
      </c>
      <c r="O560" s="5">
        <v>-1.73103462910609</v>
      </c>
      <c r="P560" s="5">
        <v>0.0</v>
      </c>
      <c r="Q560" s="5">
        <v>0.0</v>
      </c>
      <c r="R560" s="5">
        <v>0.0</v>
      </c>
      <c r="S560" s="5">
        <v>7.21002649125844</v>
      </c>
    </row>
    <row r="561">
      <c r="A561" s="6">
        <v>41166.0</v>
      </c>
      <c r="B561" s="5">
        <v>9.72812336764479</v>
      </c>
      <c r="C561" s="5">
        <v>-57.0622123741334</v>
      </c>
      <c r="D561" s="5">
        <v>72.5981175618271</v>
      </c>
      <c r="E561" s="5">
        <v>9.72812336764479</v>
      </c>
      <c r="F561" s="5">
        <v>9.72812336764479</v>
      </c>
      <c r="G561" s="5">
        <v>-3.26218701735474</v>
      </c>
      <c r="H561" s="5">
        <v>-3.26218701735474</v>
      </c>
      <c r="I561" s="5">
        <v>-3.26218701735474</v>
      </c>
      <c r="J561" s="5">
        <v>-1.59155056649341</v>
      </c>
      <c r="K561" s="5">
        <v>-1.59155056649341</v>
      </c>
      <c r="L561" s="5">
        <v>-1.59155056649341</v>
      </c>
      <c r="M561" s="5">
        <v>-1.67063645086132</v>
      </c>
      <c r="N561" s="5">
        <v>-1.67063645086132</v>
      </c>
      <c r="O561" s="5">
        <v>-1.67063645086132</v>
      </c>
      <c r="P561" s="5">
        <v>0.0</v>
      </c>
      <c r="Q561" s="5">
        <v>0.0</v>
      </c>
      <c r="R561" s="5">
        <v>0.0</v>
      </c>
      <c r="S561" s="5">
        <v>6.46593635029004</v>
      </c>
    </row>
    <row r="562">
      <c r="A562" s="6">
        <v>41169.0</v>
      </c>
      <c r="B562" s="5">
        <v>9.76004253177456</v>
      </c>
      <c r="C562" s="5">
        <v>-58.8973324707813</v>
      </c>
      <c r="D562" s="5">
        <v>68.0051850660199</v>
      </c>
      <c r="E562" s="5">
        <v>9.76004253177456</v>
      </c>
      <c r="F562" s="5">
        <v>9.76004253177456</v>
      </c>
      <c r="G562" s="5">
        <v>-1.69909846766435</v>
      </c>
      <c r="H562" s="5">
        <v>-1.69909846766435</v>
      </c>
      <c r="I562" s="5">
        <v>-1.69909846766435</v>
      </c>
      <c r="J562" s="5">
        <v>0.0905589421219148</v>
      </c>
      <c r="K562" s="5">
        <v>0.0905589421219148</v>
      </c>
      <c r="L562" s="5">
        <v>0.0905589421219148</v>
      </c>
      <c r="M562" s="5">
        <v>-1.78965740978627</v>
      </c>
      <c r="N562" s="5">
        <v>-1.78965740978627</v>
      </c>
      <c r="O562" s="5">
        <v>-1.78965740978627</v>
      </c>
      <c r="P562" s="5">
        <v>0.0</v>
      </c>
      <c r="Q562" s="5">
        <v>0.0</v>
      </c>
      <c r="R562" s="5">
        <v>0.0</v>
      </c>
      <c r="S562" s="5">
        <v>8.0609440641102</v>
      </c>
    </row>
    <row r="563">
      <c r="A563" s="6">
        <v>41170.0</v>
      </c>
      <c r="B563" s="5">
        <v>9.77068225315115</v>
      </c>
      <c r="C563" s="5">
        <v>-53.3042803717288</v>
      </c>
      <c r="D563" s="5">
        <v>72.4657119269073</v>
      </c>
      <c r="E563" s="5">
        <v>9.77068225315115</v>
      </c>
      <c r="F563" s="5">
        <v>9.77068225315115</v>
      </c>
      <c r="G563" s="5">
        <v>-2.08430377382714</v>
      </c>
      <c r="H563" s="5">
        <v>-2.08430377382714</v>
      </c>
      <c r="I563" s="5">
        <v>-2.08430377382714</v>
      </c>
      <c r="J563" s="5">
        <v>-0.144118857244461</v>
      </c>
      <c r="K563" s="5">
        <v>-0.144118857244461</v>
      </c>
      <c r="L563" s="5">
        <v>-0.144118857244461</v>
      </c>
      <c r="M563" s="5">
        <v>-1.94018491658268</v>
      </c>
      <c r="N563" s="5">
        <v>-1.94018491658268</v>
      </c>
      <c r="O563" s="5">
        <v>-1.94018491658268</v>
      </c>
      <c r="P563" s="5">
        <v>0.0</v>
      </c>
      <c r="Q563" s="5">
        <v>0.0</v>
      </c>
      <c r="R563" s="5">
        <v>0.0</v>
      </c>
      <c r="S563" s="5">
        <v>7.68637847932401</v>
      </c>
    </row>
    <row r="564">
      <c r="A564" s="6">
        <v>41171.0</v>
      </c>
      <c r="B564" s="5">
        <v>9.78132197452774</v>
      </c>
      <c r="C564" s="5">
        <v>-56.0190492189659</v>
      </c>
      <c r="D564" s="5">
        <v>71.8557258238447</v>
      </c>
      <c r="E564" s="5">
        <v>9.78132197452774</v>
      </c>
      <c r="F564" s="5">
        <v>9.78132197452774</v>
      </c>
      <c r="G564" s="5">
        <v>-2.14047432571784</v>
      </c>
      <c r="H564" s="5">
        <v>-2.14047432571784</v>
      </c>
      <c r="I564" s="5">
        <v>-2.14047432571784</v>
      </c>
      <c r="J564" s="5">
        <v>0.00703780528336037</v>
      </c>
      <c r="K564" s="5">
        <v>0.00703780528336037</v>
      </c>
      <c r="L564" s="5">
        <v>0.00703780528336037</v>
      </c>
      <c r="M564" s="5">
        <v>-2.1475121310012</v>
      </c>
      <c r="N564" s="5">
        <v>-2.1475121310012</v>
      </c>
      <c r="O564" s="5">
        <v>-2.1475121310012</v>
      </c>
      <c r="P564" s="5">
        <v>0.0</v>
      </c>
      <c r="Q564" s="5">
        <v>0.0</v>
      </c>
      <c r="R564" s="5">
        <v>0.0</v>
      </c>
      <c r="S564" s="5">
        <v>7.6408476488099</v>
      </c>
    </row>
    <row r="565">
      <c r="A565" s="6">
        <v>41172.0</v>
      </c>
      <c r="B565" s="5">
        <v>9.79196169590434</v>
      </c>
      <c r="C565" s="5">
        <v>-52.6524864650787</v>
      </c>
      <c r="D565" s="5">
        <v>67.3673682385732</v>
      </c>
      <c r="E565" s="5">
        <v>9.79196169590434</v>
      </c>
      <c r="F565" s="5">
        <v>9.79196169590434</v>
      </c>
      <c r="G565" s="5">
        <v>-3.18620023118093</v>
      </c>
      <c r="H565" s="5">
        <v>-3.18620023118093</v>
      </c>
      <c r="I565" s="5">
        <v>-3.18620023118093</v>
      </c>
      <c r="J565" s="5">
        <v>-0.776422525905761</v>
      </c>
      <c r="K565" s="5">
        <v>-0.776422525905761</v>
      </c>
      <c r="L565" s="5">
        <v>-0.776422525905761</v>
      </c>
      <c r="M565" s="5">
        <v>-2.40977770527517</v>
      </c>
      <c r="N565" s="5">
        <v>-2.40977770527517</v>
      </c>
      <c r="O565" s="5">
        <v>-2.40977770527517</v>
      </c>
      <c r="P565" s="5">
        <v>0.0</v>
      </c>
      <c r="Q565" s="5">
        <v>0.0</v>
      </c>
      <c r="R565" s="5">
        <v>0.0</v>
      </c>
      <c r="S565" s="5">
        <v>6.6057614647234</v>
      </c>
    </row>
    <row r="566">
      <c r="A566" s="6">
        <v>41173.0</v>
      </c>
      <c r="B566" s="5">
        <v>9.80260141728093</v>
      </c>
      <c r="C566" s="5">
        <v>-55.8118420200792</v>
      </c>
      <c r="D566" s="5">
        <v>67.5322035675077</v>
      </c>
      <c r="E566" s="5">
        <v>9.80260141728093</v>
      </c>
      <c r="F566" s="5">
        <v>9.80260141728093</v>
      </c>
      <c r="G566" s="5">
        <v>-4.31479332247981</v>
      </c>
      <c r="H566" s="5">
        <v>-4.31479332247981</v>
      </c>
      <c r="I566" s="5">
        <v>-4.31479332247981</v>
      </c>
      <c r="J566" s="5">
        <v>-1.59155056649523</v>
      </c>
      <c r="K566" s="5">
        <v>-1.59155056649523</v>
      </c>
      <c r="L566" s="5">
        <v>-1.59155056649523</v>
      </c>
      <c r="M566" s="5">
        <v>-2.72324275598457</v>
      </c>
      <c r="N566" s="5">
        <v>-2.72324275598457</v>
      </c>
      <c r="O566" s="5">
        <v>-2.72324275598457</v>
      </c>
      <c r="P566" s="5">
        <v>0.0</v>
      </c>
      <c r="Q566" s="5">
        <v>0.0</v>
      </c>
      <c r="R566" s="5">
        <v>0.0</v>
      </c>
      <c r="S566" s="5">
        <v>5.48780809480111</v>
      </c>
    </row>
    <row r="567">
      <c r="A567" s="6">
        <v>41176.0</v>
      </c>
      <c r="B567" s="5">
        <v>9.83452058141071</v>
      </c>
      <c r="C567" s="5">
        <v>-56.0016803407552</v>
      </c>
      <c r="D567" s="5">
        <v>69.5889778783868</v>
      </c>
      <c r="E567" s="5">
        <v>9.83452058141071</v>
      </c>
      <c r="F567" s="5">
        <v>9.83452058141071</v>
      </c>
      <c r="G567" s="5">
        <v>-3.81535340048952</v>
      </c>
      <c r="H567" s="5">
        <v>-3.81535340048952</v>
      </c>
      <c r="I567" s="5">
        <v>-3.81535340048952</v>
      </c>
      <c r="J567" s="5">
        <v>0.0905589421204774</v>
      </c>
      <c r="K567" s="5">
        <v>0.0905589421204774</v>
      </c>
      <c r="L567" s="5">
        <v>0.0905589421204774</v>
      </c>
      <c r="M567" s="5">
        <v>-3.90591234261</v>
      </c>
      <c r="N567" s="5">
        <v>-3.90591234261</v>
      </c>
      <c r="O567" s="5">
        <v>-3.90591234261</v>
      </c>
      <c r="P567" s="5">
        <v>0.0</v>
      </c>
      <c r="Q567" s="5">
        <v>0.0</v>
      </c>
      <c r="R567" s="5">
        <v>0.0</v>
      </c>
      <c r="S567" s="5">
        <v>6.01916718092118</v>
      </c>
    </row>
    <row r="568">
      <c r="A568" s="6">
        <v>41177.0</v>
      </c>
      <c r="B568" s="5">
        <v>9.8451603027873</v>
      </c>
      <c r="C568" s="5">
        <v>-59.1705268332721</v>
      </c>
      <c r="D568" s="5">
        <v>69.9339673515799</v>
      </c>
      <c r="E568" s="5">
        <v>9.8451603027873</v>
      </c>
      <c r="F568" s="5">
        <v>9.8451603027873</v>
      </c>
      <c r="G568" s="5">
        <v>-4.49492744188501</v>
      </c>
      <c r="H568" s="5">
        <v>-4.49492744188501</v>
      </c>
      <c r="I568" s="5">
        <v>-4.49492744188501</v>
      </c>
      <c r="J568" s="5">
        <v>-0.144118857245897</v>
      </c>
      <c r="K568" s="5">
        <v>-0.144118857245897</v>
      </c>
      <c r="L568" s="5">
        <v>-0.144118857245897</v>
      </c>
      <c r="M568" s="5">
        <v>-4.35080858463911</v>
      </c>
      <c r="N568" s="5">
        <v>-4.35080858463911</v>
      </c>
      <c r="O568" s="5">
        <v>-4.35080858463911</v>
      </c>
      <c r="P568" s="5">
        <v>0.0</v>
      </c>
      <c r="Q568" s="5">
        <v>0.0</v>
      </c>
      <c r="R568" s="5">
        <v>0.0</v>
      </c>
      <c r="S568" s="5">
        <v>5.35023286090228</v>
      </c>
    </row>
    <row r="569">
      <c r="A569" s="6">
        <v>41178.0</v>
      </c>
      <c r="B569" s="5">
        <v>9.85580002416389</v>
      </c>
      <c r="C569" s="5">
        <v>-62.0164756825924</v>
      </c>
      <c r="D569" s="5">
        <v>67.7354072431855</v>
      </c>
      <c r="E569" s="5">
        <v>9.85580002416389</v>
      </c>
      <c r="F569" s="5">
        <v>9.85580002416389</v>
      </c>
      <c r="G569" s="5">
        <v>-4.79535469027669</v>
      </c>
      <c r="H569" s="5">
        <v>-4.79535469027669</v>
      </c>
      <c r="I569" s="5">
        <v>-4.79535469027669</v>
      </c>
      <c r="J569" s="5">
        <v>0.00703780528133573</v>
      </c>
      <c r="K569" s="5">
        <v>0.00703780528133573</v>
      </c>
      <c r="L569" s="5">
        <v>0.00703780528133573</v>
      </c>
      <c r="M569" s="5">
        <v>-4.80239249555803</v>
      </c>
      <c r="N569" s="5">
        <v>-4.80239249555803</v>
      </c>
      <c r="O569" s="5">
        <v>-4.80239249555803</v>
      </c>
      <c r="P569" s="5">
        <v>0.0</v>
      </c>
      <c r="Q569" s="5">
        <v>0.0</v>
      </c>
      <c r="R569" s="5">
        <v>0.0</v>
      </c>
      <c r="S569" s="5">
        <v>5.06044533388719</v>
      </c>
    </row>
    <row r="570">
      <c r="A570" s="6">
        <v>41179.0</v>
      </c>
      <c r="B570" s="5">
        <v>9.89246120981979</v>
      </c>
      <c r="C570" s="5">
        <v>-62.9390377813042</v>
      </c>
      <c r="D570" s="5">
        <v>66.0525477670448</v>
      </c>
      <c r="E570" s="5">
        <v>9.89246120981979</v>
      </c>
      <c r="F570" s="5">
        <v>9.89246120981979</v>
      </c>
      <c r="G570" s="5">
        <v>-6.02423740526854</v>
      </c>
      <c r="H570" s="5">
        <v>-6.02423740526854</v>
      </c>
      <c r="I570" s="5">
        <v>-6.02423740526854</v>
      </c>
      <c r="J570" s="5">
        <v>-0.776422525902257</v>
      </c>
      <c r="K570" s="5">
        <v>-0.776422525902257</v>
      </c>
      <c r="L570" s="5">
        <v>-0.776422525902257</v>
      </c>
      <c r="M570" s="5">
        <v>-5.24781487936628</v>
      </c>
      <c r="N570" s="5">
        <v>-5.24781487936628</v>
      </c>
      <c r="O570" s="5">
        <v>-5.24781487936628</v>
      </c>
      <c r="P570" s="5">
        <v>0.0</v>
      </c>
      <c r="Q570" s="5">
        <v>0.0</v>
      </c>
      <c r="R570" s="5">
        <v>0.0</v>
      </c>
      <c r="S570" s="5">
        <v>3.86822380455124</v>
      </c>
    </row>
    <row r="571">
      <c r="A571" s="6">
        <v>41180.0</v>
      </c>
      <c r="B571" s="5">
        <v>9.92912239547569</v>
      </c>
      <c r="C571" s="5">
        <v>-60.9146084822163</v>
      </c>
      <c r="D571" s="5">
        <v>64.0998522464762</v>
      </c>
      <c r="E571" s="5">
        <v>9.92912239547569</v>
      </c>
      <c r="F571" s="5">
        <v>9.92912239547569</v>
      </c>
      <c r="G571" s="5">
        <v>-7.26508153077881</v>
      </c>
      <c r="H571" s="5">
        <v>-7.26508153077881</v>
      </c>
      <c r="I571" s="5">
        <v>-7.26508153077881</v>
      </c>
      <c r="J571" s="5">
        <v>-1.59155056649431</v>
      </c>
      <c r="K571" s="5">
        <v>-1.59155056649431</v>
      </c>
      <c r="L571" s="5">
        <v>-1.59155056649431</v>
      </c>
      <c r="M571" s="5">
        <v>-5.6735309642845</v>
      </c>
      <c r="N571" s="5">
        <v>-5.6735309642845</v>
      </c>
      <c r="O571" s="5">
        <v>-5.6735309642845</v>
      </c>
      <c r="P571" s="5">
        <v>0.0</v>
      </c>
      <c r="Q571" s="5">
        <v>0.0</v>
      </c>
      <c r="R571" s="5">
        <v>0.0</v>
      </c>
      <c r="S571" s="5">
        <v>2.66404086469688</v>
      </c>
    </row>
    <row r="572">
      <c r="A572" s="6">
        <v>41183.0</v>
      </c>
      <c r="B572" s="5">
        <v>10.0391059524433</v>
      </c>
      <c r="C572" s="5">
        <v>-57.3611998865499</v>
      </c>
      <c r="D572" s="5">
        <v>68.5678140673622</v>
      </c>
      <c r="E572" s="5">
        <v>10.0391059524433</v>
      </c>
      <c r="F572" s="5">
        <v>10.0391059524433</v>
      </c>
      <c r="G572" s="5">
        <v>-6.60313837290916</v>
      </c>
      <c r="H572" s="5">
        <v>-6.60313837290916</v>
      </c>
      <c r="I572" s="5">
        <v>-6.60313837290916</v>
      </c>
      <c r="J572" s="5">
        <v>0.0905589421239679</v>
      </c>
      <c r="K572" s="5">
        <v>0.0905589421239679</v>
      </c>
      <c r="L572" s="5">
        <v>0.0905589421239679</v>
      </c>
      <c r="M572" s="5">
        <v>-6.69369731503313</v>
      </c>
      <c r="N572" s="5">
        <v>-6.69369731503313</v>
      </c>
      <c r="O572" s="5">
        <v>-6.69369731503313</v>
      </c>
      <c r="P572" s="5">
        <v>0.0</v>
      </c>
      <c r="Q572" s="5">
        <v>0.0</v>
      </c>
      <c r="R572" s="5">
        <v>0.0</v>
      </c>
      <c r="S572" s="5">
        <v>3.43596757953422</v>
      </c>
    </row>
    <row r="573">
      <c r="A573" s="6">
        <v>41184.0</v>
      </c>
      <c r="B573" s="5">
        <v>10.0757671380992</v>
      </c>
      <c r="C573" s="5">
        <v>-58.8738780420956</v>
      </c>
      <c r="D573" s="5">
        <v>65.1984549152153</v>
      </c>
      <c r="E573" s="5">
        <v>10.0757671380992</v>
      </c>
      <c r="F573" s="5">
        <v>10.0757671380992</v>
      </c>
      <c r="G573" s="5">
        <v>-7.04736596351177</v>
      </c>
      <c r="H573" s="5">
        <v>-7.04736596351177</v>
      </c>
      <c r="I573" s="5">
        <v>-7.04736596351177</v>
      </c>
      <c r="J573" s="5">
        <v>-0.144118857246223</v>
      </c>
      <c r="K573" s="5">
        <v>-0.144118857246223</v>
      </c>
      <c r="L573" s="5">
        <v>-0.144118857246223</v>
      </c>
      <c r="M573" s="5">
        <v>-6.90324710626555</v>
      </c>
      <c r="N573" s="5">
        <v>-6.90324710626555</v>
      </c>
      <c r="O573" s="5">
        <v>-6.90324710626555</v>
      </c>
      <c r="P573" s="5">
        <v>0.0</v>
      </c>
      <c r="Q573" s="5">
        <v>0.0</v>
      </c>
      <c r="R573" s="5">
        <v>0.0</v>
      </c>
      <c r="S573" s="5">
        <v>3.02840117458751</v>
      </c>
    </row>
    <row r="574">
      <c r="A574" s="6">
        <v>41185.0</v>
      </c>
      <c r="B574" s="5">
        <v>10.1124283237551</v>
      </c>
      <c r="C574" s="5">
        <v>-62.0685990850689</v>
      </c>
      <c r="D574" s="5">
        <v>60.413696141454</v>
      </c>
      <c r="E574" s="5">
        <v>10.1124283237551</v>
      </c>
      <c r="F574" s="5">
        <v>10.1124283237551</v>
      </c>
      <c r="G574" s="5">
        <v>-7.02003685603887</v>
      </c>
      <c r="H574" s="5">
        <v>-7.02003685603887</v>
      </c>
      <c r="I574" s="5">
        <v>-7.02003685603887</v>
      </c>
      <c r="J574" s="5">
        <v>0.00703780528264676</v>
      </c>
      <c r="K574" s="5">
        <v>0.00703780528264676</v>
      </c>
      <c r="L574" s="5">
        <v>0.00703780528264676</v>
      </c>
      <c r="M574" s="5">
        <v>-7.02707466132151</v>
      </c>
      <c r="N574" s="5">
        <v>-7.02707466132151</v>
      </c>
      <c r="O574" s="5">
        <v>-7.02707466132151</v>
      </c>
      <c r="P574" s="5">
        <v>0.0</v>
      </c>
      <c r="Q574" s="5">
        <v>0.0</v>
      </c>
      <c r="R574" s="5">
        <v>0.0</v>
      </c>
      <c r="S574" s="5">
        <v>3.09239146771631</v>
      </c>
    </row>
    <row r="575">
      <c r="A575" s="6">
        <v>41186.0</v>
      </c>
      <c r="B575" s="5">
        <v>10.149089509411</v>
      </c>
      <c r="C575" s="5">
        <v>-58.7071754859837</v>
      </c>
      <c r="D575" s="5">
        <v>64.3403535806479</v>
      </c>
      <c r="E575" s="5">
        <v>10.149089509411</v>
      </c>
      <c r="F575" s="5">
        <v>10.149089509411</v>
      </c>
      <c r="G575" s="5">
        <v>-7.83120718431337</v>
      </c>
      <c r="H575" s="5">
        <v>-7.83120718431337</v>
      </c>
      <c r="I575" s="5">
        <v>-7.83120718431337</v>
      </c>
      <c r="J575" s="5">
        <v>-0.776422525904354</v>
      </c>
      <c r="K575" s="5">
        <v>-0.776422525904354</v>
      </c>
      <c r="L575" s="5">
        <v>-0.776422525904354</v>
      </c>
      <c r="M575" s="5">
        <v>-7.05478465840901</v>
      </c>
      <c r="N575" s="5">
        <v>-7.05478465840901</v>
      </c>
      <c r="O575" s="5">
        <v>-7.05478465840901</v>
      </c>
      <c r="P575" s="5">
        <v>0.0</v>
      </c>
      <c r="Q575" s="5">
        <v>0.0</v>
      </c>
      <c r="R575" s="5">
        <v>0.0</v>
      </c>
      <c r="S575" s="5">
        <v>2.31788232509771</v>
      </c>
    </row>
    <row r="576">
      <c r="A576" s="6">
        <v>41187.0</v>
      </c>
      <c r="B576" s="5">
        <v>10.1857506950669</v>
      </c>
      <c r="C576" s="5">
        <v>-58.9968549088719</v>
      </c>
      <c r="D576" s="5">
        <v>66.463145568463</v>
      </c>
      <c r="E576" s="5">
        <v>10.1857506950669</v>
      </c>
      <c r="F576" s="5">
        <v>10.1857506950669</v>
      </c>
      <c r="G576" s="5">
        <v>-8.56921801689539</v>
      </c>
      <c r="H576" s="5">
        <v>-8.56921801689539</v>
      </c>
      <c r="I576" s="5">
        <v>-8.56921801689539</v>
      </c>
      <c r="J576" s="5">
        <v>-1.59155056649338</v>
      </c>
      <c r="K576" s="5">
        <v>-1.59155056649338</v>
      </c>
      <c r="L576" s="5">
        <v>-1.59155056649338</v>
      </c>
      <c r="M576" s="5">
        <v>-6.97766745040201</v>
      </c>
      <c r="N576" s="5">
        <v>-6.97766745040201</v>
      </c>
      <c r="O576" s="5">
        <v>-6.97766745040201</v>
      </c>
      <c r="P576" s="5">
        <v>0.0</v>
      </c>
      <c r="Q576" s="5">
        <v>0.0</v>
      </c>
      <c r="R576" s="5">
        <v>0.0</v>
      </c>
      <c r="S576" s="5">
        <v>1.61653267817159</v>
      </c>
    </row>
    <row r="577">
      <c r="A577" s="6">
        <v>41190.0</v>
      </c>
      <c r="B577" s="5">
        <v>10.2957342520346</v>
      </c>
      <c r="C577" s="5">
        <v>-61.0329156797697</v>
      </c>
      <c r="D577" s="5">
        <v>67.3030806320267</v>
      </c>
      <c r="E577" s="5">
        <v>10.2957342520346</v>
      </c>
      <c r="F577" s="5">
        <v>10.2957342520346</v>
      </c>
      <c r="G577" s="5">
        <v>-5.97001032928597</v>
      </c>
      <c r="H577" s="5">
        <v>-5.97001032928597</v>
      </c>
      <c r="I577" s="5">
        <v>-5.97001032928597</v>
      </c>
      <c r="J577" s="5">
        <v>0.0905589421201465</v>
      </c>
      <c r="K577" s="5">
        <v>0.0905589421201465</v>
      </c>
      <c r="L577" s="5">
        <v>0.0905589421201465</v>
      </c>
      <c r="M577" s="5">
        <v>-6.06056927140611</v>
      </c>
      <c r="N577" s="5">
        <v>-6.06056927140611</v>
      </c>
      <c r="O577" s="5">
        <v>-6.06056927140611</v>
      </c>
      <c r="P577" s="5">
        <v>0.0</v>
      </c>
      <c r="Q577" s="5">
        <v>0.0</v>
      </c>
      <c r="R577" s="5">
        <v>0.0</v>
      </c>
      <c r="S577" s="5">
        <v>4.32572392274872</v>
      </c>
    </row>
    <row r="578">
      <c r="A578" s="6">
        <v>41191.0</v>
      </c>
      <c r="B578" s="5">
        <v>10.3323954376905</v>
      </c>
      <c r="C578" s="5">
        <v>-61.7567873912964</v>
      </c>
      <c r="D578" s="5">
        <v>62.6076860461688</v>
      </c>
      <c r="E578" s="5">
        <v>10.3323954376905</v>
      </c>
      <c r="F578" s="5">
        <v>10.3323954376905</v>
      </c>
      <c r="G578" s="5">
        <v>-5.66278005933236</v>
      </c>
      <c r="H578" s="5">
        <v>-5.66278005933236</v>
      </c>
      <c r="I578" s="5">
        <v>-5.66278005933236</v>
      </c>
      <c r="J578" s="5">
        <v>-0.144118857245135</v>
      </c>
      <c r="K578" s="5">
        <v>-0.144118857245135</v>
      </c>
      <c r="L578" s="5">
        <v>-0.144118857245135</v>
      </c>
      <c r="M578" s="5">
        <v>-5.51866120208722</v>
      </c>
      <c r="N578" s="5">
        <v>-5.51866120208722</v>
      </c>
      <c r="O578" s="5">
        <v>-5.51866120208722</v>
      </c>
      <c r="P578" s="5">
        <v>0.0</v>
      </c>
      <c r="Q578" s="5">
        <v>0.0</v>
      </c>
      <c r="R578" s="5">
        <v>0.0</v>
      </c>
      <c r="S578" s="5">
        <v>4.66961537835822</v>
      </c>
    </row>
    <row r="579">
      <c r="A579" s="6">
        <v>41192.0</v>
      </c>
      <c r="B579" s="5">
        <v>10.3690566233464</v>
      </c>
      <c r="C579" s="5">
        <v>-58.6166530064339</v>
      </c>
      <c r="D579" s="5">
        <v>66.1634124001259</v>
      </c>
      <c r="E579" s="5">
        <v>10.3690566233464</v>
      </c>
      <c r="F579" s="5">
        <v>10.3690566233464</v>
      </c>
      <c r="G579" s="5">
        <v>-4.85377583729576</v>
      </c>
      <c r="H579" s="5">
        <v>-4.85377583729576</v>
      </c>
      <c r="I579" s="5">
        <v>-4.85377583729576</v>
      </c>
      <c r="J579" s="5">
        <v>0.00703780528179424</v>
      </c>
      <c r="K579" s="5">
        <v>0.00703780528179424</v>
      </c>
      <c r="L579" s="5">
        <v>0.00703780528179424</v>
      </c>
      <c r="M579" s="5">
        <v>-4.86081364257755</v>
      </c>
      <c r="N579" s="5">
        <v>-4.86081364257755</v>
      </c>
      <c r="O579" s="5">
        <v>-4.86081364257755</v>
      </c>
      <c r="P579" s="5">
        <v>0.0</v>
      </c>
      <c r="Q579" s="5">
        <v>0.0</v>
      </c>
      <c r="R579" s="5">
        <v>0.0</v>
      </c>
      <c r="S579" s="5">
        <v>5.51528078605072</v>
      </c>
    </row>
    <row r="580">
      <c r="A580" s="6">
        <v>41193.0</v>
      </c>
      <c r="B580" s="5">
        <v>10.4057178090023</v>
      </c>
      <c r="C580" s="5">
        <v>-61.1367609867591</v>
      </c>
      <c r="D580" s="5">
        <v>71.995053878234</v>
      </c>
      <c r="E580" s="5">
        <v>10.4057178090023</v>
      </c>
      <c r="F580" s="5">
        <v>10.4057178090023</v>
      </c>
      <c r="G580" s="5">
        <v>-4.86835724349798</v>
      </c>
      <c r="H580" s="5">
        <v>-4.86835724349798</v>
      </c>
      <c r="I580" s="5">
        <v>-4.86835724349798</v>
      </c>
      <c r="J580" s="5">
        <v>-0.776422525906452</v>
      </c>
      <c r="K580" s="5">
        <v>-0.776422525906452</v>
      </c>
      <c r="L580" s="5">
        <v>-0.776422525906452</v>
      </c>
      <c r="M580" s="5">
        <v>-4.09193471759153</v>
      </c>
      <c r="N580" s="5">
        <v>-4.09193471759153</v>
      </c>
      <c r="O580" s="5">
        <v>-4.09193471759153</v>
      </c>
      <c r="P580" s="5">
        <v>0.0</v>
      </c>
      <c r="Q580" s="5">
        <v>0.0</v>
      </c>
      <c r="R580" s="5">
        <v>0.0</v>
      </c>
      <c r="S580" s="5">
        <v>5.5373605655044</v>
      </c>
    </row>
    <row r="581">
      <c r="A581" s="6">
        <v>41194.0</v>
      </c>
      <c r="B581" s="5">
        <v>10.4423789946582</v>
      </c>
      <c r="C581" s="5">
        <v>-56.7036500847783</v>
      </c>
      <c r="D581" s="5">
        <v>66.3800258429166</v>
      </c>
      <c r="E581" s="5">
        <v>10.4423789946582</v>
      </c>
      <c r="F581" s="5">
        <v>10.4423789946582</v>
      </c>
      <c r="G581" s="5">
        <v>-4.8107857090861</v>
      </c>
      <c r="H581" s="5">
        <v>-4.8107857090861</v>
      </c>
      <c r="I581" s="5">
        <v>-4.8107857090861</v>
      </c>
      <c r="J581" s="5">
        <v>-1.59155056649489</v>
      </c>
      <c r="K581" s="5">
        <v>-1.59155056649489</v>
      </c>
      <c r="L581" s="5">
        <v>-1.59155056649489</v>
      </c>
      <c r="M581" s="5">
        <v>-3.21923514259121</v>
      </c>
      <c r="N581" s="5">
        <v>-3.21923514259121</v>
      </c>
      <c r="O581" s="5">
        <v>-3.21923514259121</v>
      </c>
      <c r="P581" s="5">
        <v>0.0</v>
      </c>
      <c r="Q581" s="5">
        <v>0.0</v>
      </c>
      <c r="R581" s="5">
        <v>0.0</v>
      </c>
      <c r="S581" s="5">
        <v>5.63159328557218</v>
      </c>
    </row>
    <row r="582">
      <c r="A582" s="6">
        <v>41197.0</v>
      </c>
      <c r="B582" s="5">
        <v>10.5523625516259</v>
      </c>
      <c r="C582" s="5">
        <v>-57.6941520900731</v>
      </c>
      <c r="D582" s="5">
        <v>71.3234044080177</v>
      </c>
      <c r="E582" s="5">
        <v>10.5523625516259</v>
      </c>
      <c r="F582" s="5">
        <v>10.5523625516259</v>
      </c>
      <c r="G582" s="5">
        <v>0.00938009918613229</v>
      </c>
      <c r="H582" s="5">
        <v>0.00938009918613229</v>
      </c>
      <c r="I582" s="5">
        <v>0.00938009918613229</v>
      </c>
      <c r="J582" s="5">
        <v>0.090558942121093</v>
      </c>
      <c r="K582" s="5">
        <v>0.090558942121093</v>
      </c>
      <c r="L582" s="5">
        <v>0.090558942121093</v>
      </c>
      <c r="M582" s="5">
        <v>-0.0811788429349607</v>
      </c>
      <c r="N582" s="5">
        <v>-0.0811788429349607</v>
      </c>
      <c r="O582" s="5">
        <v>-0.0811788429349607</v>
      </c>
      <c r="P582" s="5">
        <v>0.0</v>
      </c>
      <c r="Q582" s="5">
        <v>0.0</v>
      </c>
      <c r="R582" s="5">
        <v>0.0</v>
      </c>
      <c r="S582" s="5">
        <v>10.5617426508121</v>
      </c>
    </row>
    <row r="583">
      <c r="A583" s="6">
        <v>41198.0</v>
      </c>
      <c r="B583" s="5">
        <v>10.5890237372818</v>
      </c>
      <c r="C583" s="5">
        <v>-47.5985633539387</v>
      </c>
      <c r="D583" s="5">
        <v>76.3708550650278</v>
      </c>
      <c r="E583" s="5">
        <v>10.5890237372818</v>
      </c>
      <c r="F583" s="5">
        <v>10.5890237372818</v>
      </c>
      <c r="G583" s="5">
        <v>0.951161575329916</v>
      </c>
      <c r="H583" s="5">
        <v>0.951161575329916</v>
      </c>
      <c r="I583" s="5">
        <v>0.951161575329916</v>
      </c>
      <c r="J583" s="5">
        <v>-0.144118857244047</v>
      </c>
      <c r="K583" s="5">
        <v>-0.144118857244047</v>
      </c>
      <c r="L583" s="5">
        <v>-0.144118857244047</v>
      </c>
      <c r="M583" s="5">
        <v>1.09528043257396</v>
      </c>
      <c r="N583" s="5">
        <v>1.09528043257396</v>
      </c>
      <c r="O583" s="5">
        <v>1.09528043257396</v>
      </c>
      <c r="P583" s="5">
        <v>0.0</v>
      </c>
      <c r="Q583" s="5">
        <v>0.0</v>
      </c>
      <c r="R583" s="5">
        <v>0.0</v>
      </c>
      <c r="S583" s="5">
        <v>11.5401853126118</v>
      </c>
    </row>
    <row r="584">
      <c r="A584" s="6">
        <v>41199.0</v>
      </c>
      <c r="B584" s="5">
        <v>10.6256849229377</v>
      </c>
      <c r="C584" s="5">
        <v>-49.4066508587765</v>
      </c>
      <c r="D584" s="5">
        <v>79.9228696251207</v>
      </c>
      <c r="E584" s="5">
        <v>10.6256849229377</v>
      </c>
      <c r="F584" s="5">
        <v>10.6256849229377</v>
      </c>
      <c r="G584" s="5">
        <v>2.31935629994152</v>
      </c>
      <c r="H584" s="5">
        <v>2.31935629994152</v>
      </c>
      <c r="I584" s="5">
        <v>2.31935629994152</v>
      </c>
      <c r="J584" s="5">
        <v>0.00703780528310518</v>
      </c>
      <c r="K584" s="5">
        <v>0.00703780528310518</v>
      </c>
      <c r="L584" s="5">
        <v>0.00703780528310518</v>
      </c>
      <c r="M584" s="5">
        <v>2.31231849465842</v>
      </c>
      <c r="N584" s="5">
        <v>2.31231849465842</v>
      </c>
      <c r="O584" s="5">
        <v>2.31231849465842</v>
      </c>
      <c r="P584" s="5">
        <v>0.0</v>
      </c>
      <c r="Q584" s="5">
        <v>0.0</v>
      </c>
      <c r="R584" s="5">
        <v>0.0</v>
      </c>
      <c r="S584" s="5">
        <v>12.9450412228793</v>
      </c>
    </row>
    <row r="585">
      <c r="A585" s="6">
        <v>41200.0</v>
      </c>
      <c r="B585" s="5">
        <v>10.6623461085936</v>
      </c>
      <c r="C585" s="5">
        <v>-44.7629365475161</v>
      </c>
      <c r="D585" s="5">
        <v>80.7520297988416</v>
      </c>
      <c r="E585" s="5">
        <v>10.6623461085936</v>
      </c>
      <c r="F585" s="5">
        <v>10.6623461085936</v>
      </c>
      <c r="G585" s="5">
        <v>2.77754891733409</v>
      </c>
      <c r="H585" s="5">
        <v>2.77754891733409</v>
      </c>
      <c r="I585" s="5">
        <v>2.77754891733409</v>
      </c>
      <c r="J585" s="5">
        <v>-0.776422525900098</v>
      </c>
      <c r="K585" s="5">
        <v>-0.776422525900098</v>
      </c>
      <c r="L585" s="5">
        <v>-0.776422525900098</v>
      </c>
      <c r="M585" s="5">
        <v>3.55397144323418</v>
      </c>
      <c r="N585" s="5">
        <v>3.55397144323418</v>
      </c>
      <c r="O585" s="5">
        <v>3.55397144323418</v>
      </c>
      <c r="P585" s="5">
        <v>0.0</v>
      </c>
      <c r="Q585" s="5">
        <v>0.0</v>
      </c>
      <c r="R585" s="5">
        <v>0.0</v>
      </c>
      <c r="S585" s="5">
        <v>13.4398950259277</v>
      </c>
    </row>
    <row r="586">
      <c r="A586" s="6">
        <v>41201.0</v>
      </c>
      <c r="B586" s="5">
        <v>10.6990072942495</v>
      </c>
      <c r="C586" s="5">
        <v>-49.3599075131538</v>
      </c>
      <c r="D586" s="5">
        <v>79.148712466315</v>
      </c>
      <c r="E586" s="5">
        <v>10.6990072942495</v>
      </c>
      <c r="F586" s="5">
        <v>10.6990072942495</v>
      </c>
      <c r="G586" s="5">
        <v>3.21247477676153</v>
      </c>
      <c r="H586" s="5">
        <v>3.21247477676153</v>
      </c>
      <c r="I586" s="5">
        <v>3.21247477676153</v>
      </c>
      <c r="J586" s="5">
        <v>-1.59155056649428</v>
      </c>
      <c r="K586" s="5">
        <v>-1.59155056649428</v>
      </c>
      <c r="L586" s="5">
        <v>-1.59155056649428</v>
      </c>
      <c r="M586" s="5">
        <v>4.80402534325581</v>
      </c>
      <c r="N586" s="5">
        <v>4.80402534325581</v>
      </c>
      <c r="O586" s="5">
        <v>4.80402534325581</v>
      </c>
      <c r="P586" s="5">
        <v>0.0</v>
      </c>
      <c r="Q586" s="5">
        <v>0.0</v>
      </c>
      <c r="R586" s="5">
        <v>0.0</v>
      </c>
      <c r="S586" s="5">
        <v>13.9114820710111</v>
      </c>
    </row>
    <row r="587">
      <c r="A587" s="6">
        <v>41204.0</v>
      </c>
      <c r="B587" s="5">
        <v>10.8089908512172</v>
      </c>
      <c r="C587" s="5">
        <v>-41.0116781408439</v>
      </c>
      <c r="D587" s="5">
        <v>82.7655899313201</v>
      </c>
      <c r="E587" s="5">
        <v>10.8089908512172</v>
      </c>
      <c r="F587" s="5">
        <v>10.8089908512172</v>
      </c>
      <c r="G587" s="5">
        <v>8.53748841955381</v>
      </c>
      <c r="H587" s="5">
        <v>8.53748841955381</v>
      </c>
      <c r="I587" s="5">
        <v>8.53748841955381</v>
      </c>
      <c r="J587" s="5">
        <v>0.0905589421196554</v>
      </c>
      <c r="K587" s="5">
        <v>0.0905589421196554</v>
      </c>
      <c r="L587" s="5">
        <v>0.0905589421196554</v>
      </c>
      <c r="M587" s="5">
        <v>8.44692947743415</v>
      </c>
      <c r="N587" s="5">
        <v>8.44692947743415</v>
      </c>
      <c r="O587" s="5">
        <v>8.44692947743415</v>
      </c>
      <c r="P587" s="5">
        <v>0.0</v>
      </c>
      <c r="Q587" s="5">
        <v>0.0</v>
      </c>
      <c r="R587" s="5">
        <v>0.0</v>
      </c>
      <c r="S587" s="5">
        <v>19.3464792707711</v>
      </c>
    </row>
    <row r="588">
      <c r="A588" s="6">
        <v>41205.0</v>
      </c>
      <c r="B588" s="5">
        <v>10.8456520368731</v>
      </c>
      <c r="C588" s="5">
        <v>-42.6674626805188</v>
      </c>
      <c r="D588" s="5">
        <v>81.5459507902809</v>
      </c>
      <c r="E588" s="5">
        <v>10.8456520368731</v>
      </c>
      <c r="F588" s="5">
        <v>10.8456520368731</v>
      </c>
      <c r="G588" s="5">
        <v>9.43292916369248</v>
      </c>
      <c r="H588" s="5">
        <v>9.43292916369248</v>
      </c>
      <c r="I588" s="5">
        <v>9.43292916369248</v>
      </c>
      <c r="J588" s="5">
        <v>-0.144118857246897</v>
      </c>
      <c r="K588" s="5">
        <v>-0.144118857246897</v>
      </c>
      <c r="L588" s="5">
        <v>-0.144118857246897</v>
      </c>
      <c r="M588" s="5">
        <v>9.57704802093938</v>
      </c>
      <c r="N588" s="5">
        <v>9.57704802093938</v>
      </c>
      <c r="O588" s="5">
        <v>9.57704802093938</v>
      </c>
      <c r="P588" s="5">
        <v>0.0</v>
      </c>
      <c r="Q588" s="5">
        <v>0.0</v>
      </c>
      <c r="R588" s="5">
        <v>0.0</v>
      </c>
      <c r="S588" s="5">
        <v>20.2785812005656</v>
      </c>
    </row>
    <row r="589">
      <c r="A589" s="6">
        <v>41206.0</v>
      </c>
      <c r="B589" s="5">
        <v>10.882313222529</v>
      </c>
      <c r="C589" s="5">
        <v>-39.735221159686</v>
      </c>
      <c r="D589" s="5">
        <v>86.2500482022521</v>
      </c>
      <c r="E589" s="5">
        <v>10.882313222529</v>
      </c>
      <c r="F589" s="5">
        <v>10.882313222529</v>
      </c>
      <c r="G589" s="5">
        <v>10.6511578392136</v>
      </c>
      <c r="H589" s="5">
        <v>10.6511578392136</v>
      </c>
      <c r="I589" s="5">
        <v>10.6511578392136</v>
      </c>
      <c r="J589" s="5">
        <v>0.00703780528324409</v>
      </c>
      <c r="K589" s="5">
        <v>0.00703780528324409</v>
      </c>
      <c r="L589" s="5">
        <v>0.00703780528324409</v>
      </c>
      <c r="M589" s="5">
        <v>10.6441200339303</v>
      </c>
      <c r="N589" s="5">
        <v>10.6441200339303</v>
      </c>
      <c r="O589" s="5">
        <v>10.6441200339303</v>
      </c>
      <c r="P589" s="5">
        <v>0.0</v>
      </c>
      <c r="Q589" s="5">
        <v>0.0</v>
      </c>
      <c r="R589" s="5">
        <v>0.0</v>
      </c>
      <c r="S589" s="5">
        <v>21.5334710617426</v>
      </c>
    </row>
    <row r="590">
      <c r="A590" s="6">
        <v>41207.0</v>
      </c>
      <c r="B590" s="5">
        <v>10.9189744081849</v>
      </c>
      <c r="C590" s="5">
        <v>-41.628224955231</v>
      </c>
      <c r="D590" s="5">
        <v>84.3265348423674</v>
      </c>
      <c r="E590" s="5">
        <v>10.9189744081849</v>
      </c>
      <c r="F590" s="5">
        <v>10.9189744081849</v>
      </c>
      <c r="G590" s="5">
        <v>10.8617193338879</v>
      </c>
      <c r="H590" s="5">
        <v>10.8617193338879</v>
      </c>
      <c r="I590" s="5">
        <v>10.8617193338879</v>
      </c>
      <c r="J590" s="5">
        <v>-0.776422525902196</v>
      </c>
      <c r="K590" s="5">
        <v>-0.776422525902196</v>
      </c>
      <c r="L590" s="5">
        <v>-0.776422525902196</v>
      </c>
      <c r="M590" s="5">
        <v>11.6381418597901</v>
      </c>
      <c r="N590" s="5">
        <v>11.6381418597901</v>
      </c>
      <c r="O590" s="5">
        <v>11.6381418597901</v>
      </c>
      <c r="P590" s="5">
        <v>0.0</v>
      </c>
      <c r="Q590" s="5">
        <v>0.0</v>
      </c>
      <c r="R590" s="5">
        <v>0.0</v>
      </c>
      <c r="S590" s="5">
        <v>21.7806937420729</v>
      </c>
    </row>
    <row r="591">
      <c r="A591" s="6">
        <v>41208.0</v>
      </c>
      <c r="B591" s="5">
        <v>10.9556355938408</v>
      </c>
      <c r="C591" s="5">
        <v>-40.5680972855089</v>
      </c>
      <c r="D591" s="5">
        <v>89.1317640850027</v>
      </c>
      <c r="E591" s="5">
        <v>10.9556355938408</v>
      </c>
      <c r="F591" s="5">
        <v>10.9556355938408</v>
      </c>
      <c r="G591" s="5">
        <v>10.9595910107528</v>
      </c>
      <c r="H591" s="5">
        <v>10.9595910107528</v>
      </c>
      <c r="I591" s="5">
        <v>10.9595910107528</v>
      </c>
      <c r="J591" s="5">
        <v>-1.59155056649304</v>
      </c>
      <c r="K591" s="5">
        <v>-1.59155056649304</v>
      </c>
      <c r="L591" s="5">
        <v>-1.59155056649304</v>
      </c>
      <c r="M591" s="5">
        <v>12.5511415772458</v>
      </c>
      <c r="N591" s="5">
        <v>12.5511415772458</v>
      </c>
      <c r="O591" s="5">
        <v>12.5511415772458</v>
      </c>
      <c r="P591" s="5">
        <v>0.0</v>
      </c>
      <c r="Q591" s="5">
        <v>0.0</v>
      </c>
      <c r="R591" s="5">
        <v>0.0</v>
      </c>
      <c r="S591" s="5">
        <v>21.9152266045937</v>
      </c>
    </row>
    <row r="592">
      <c r="A592" s="6">
        <v>41213.0</v>
      </c>
      <c r="B592" s="5">
        <v>11.1389415221203</v>
      </c>
      <c r="C592" s="5">
        <v>-35.5363383774922</v>
      </c>
      <c r="D592" s="5">
        <v>91.9542190172484</v>
      </c>
      <c r="E592" s="5">
        <v>11.1389415221203</v>
      </c>
      <c r="F592" s="5">
        <v>11.1389415221203</v>
      </c>
      <c r="G592" s="5">
        <v>15.784889063464</v>
      </c>
      <c r="H592" s="5">
        <v>15.784889063464</v>
      </c>
      <c r="I592" s="5">
        <v>15.784889063464</v>
      </c>
      <c r="J592" s="5">
        <v>0.00703780528239154</v>
      </c>
      <c r="K592" s="5">
        <v>0.00703780528239154</v>
      </c>
      <c r="L592" s="5">
        <v>0.00703780528239154</v>
      </c>
      <c r="M592" s="5">
        <v>15.7778512581816</v>
      </c>
      <c r="N592" s="5">
        <v>15.7778512581816</v>
      </c>
      <c r="O592" s="5">
        <v>15.7778512581816</v>
      </c>
      <c r="P592" s="5">
        <v>0.0</v>
      </c>
      <c r="Q592" s="5">
        <v>0.0</v>
      </c>
      <c r="R592" s="5">
        <v>0.0</v>
      </c>
      <c r="S592" s="5">
        <v>26.9238305855844</v>
      </c>
    </row>
    <row r="593">
      <c r="A593" s="6">
        <v>41214.0</v>
      </c>
      <c r="B593" s="5">
        <v>11.1756027077762</v>
      </c>
      <c r="C593" s="5">
        <v>-33.2210467784936</v>
      </c>
      <c r="D593" s="5">
        <v>91.8311184546366</v>
      </c>
      <c r="E593" s="5">
        <v>11.1756027077762</v>
      </c>
      <c r="F593" s="5">
        <v>11.1756027077762</v>
      </c>
      <c r="G593" s="5">
        <v>15.3858128517117</v>
      </c>
      <c r="H593" s="5">
        <v>15.3858128517117</v>
      </c>
      <c r="I593" s="5">
        <v>15.3858128517117</v>
      </c>
      <c r="J593" s="5">
        <v>-0.776422525901542</v>
      </c>
      <c r="K593" s="5">
        <v>-0.776422525901542</v>
      </c>
      <c r="L593" s="5">
        <v>-0.776422525901542</v>
      </c>
      <c r="M593" s="5">
        <v>16.1622353776133</v>
      </c>
      <c r="N593" s="5">
        <v>16.1622353776133</v>
      </c>
      <c r="O593" s="5">
        <v>16.1622353776133</v>
      </c>
      <c r="P593" s="5">
        <v>0.0</v>
      </c>
      <c r="Q593" s="5">
        <v>0.0</v>
      </c>
      <c r="R593" s="5">
        <v>0.0</v>
      </c>
      <c r="S593" s="5">
        <v>26.561415559488</v>
      </c>
    </row>
    <row r="594">
      <c r="A594" s="6">
        <v>41215.0</v>
      </c>
      <c r="B594" s="5">
        <v>11.2122638934321</v>
      </c>
      <c r="C594" s="5">
        <v>-38.426738858514</v>
      </c>
      <c r="D594" s="5">
        <v>89.7038328573635</v>
      </c>
      <c r="E594" s="5">
        <v>11.2122638934321</v>
      </c>
      <c r="F594" s="5">
        <v>11.2122638934321</v>
      </c>
      <c r="G594" s="5">
        <v>14.8798886766824</v>
      </c>
      <c r="H594" s="5">
        <v>14.8798886766824</v>
      </c>
      <c r="I594" s="5">
        <v>14.8798886766824</v>
      </c>
      <c r="J594" s="5">
        <v>-1.59155056649211</v>
      </c>
      <c r="K594" s="5">
        <v>-1.59155056649211</v>
      </c>
      <c r="L594" s="5">
        <v>-1.59155056649211</v>
      </c>
      <c r="M594" s="5">
        <v>16.4714392431745</v>
      </c>
      <c r="N594" s="5">
        <v>16.4714392431745</v>
      </c>
      <c r="O594" s="5">
        <v>16.4714392431745</v>
      </c>
      <c r="P594" s="5">
        <v>0.0</v>
      </c>
      <c r="Q594" s="5">
        <v>0.0</v>
      </c>
      <c r="R594" s="5">
        <v>0.0</v>
      </c>
      <c r="S594" s="5">
        <v>26.0921525701146</v>
      </c>
    </row>
    <row r="595">
      <c r="A595" s="6">
        <v>41218.0</v>
      </c>
      <c r="B595" s="5">
        <v>11.3222474503998</v>
      </c>
      <c r="C595" s="5">
        <v>-33.9225857014383</v>
      </c>
      <c r="D595" s="5">
        <v>97.6828410787482</v>
      </c>
      <c r="E595" s="5">
        <v>11.3222474503998</v>
      </c>
      <c r="F595" s="5">
        <v>11.3222474503998</v>
      </c>
      <c r="G595" s="5">
        <v>17.1285961610133</v>
      </c>
      <c r="H595" s="5">
        <v>17.1285961610133</v>
      </c>
      <c r="I595" s="5">
        <v>17.1285961610133</v>
      </c>
      <c r="J595" s="5">
        <v>0.0905589421240123</v>
      </c>
      <c r="K595" s="5">
        <v>0.0905589421240123</v>
      </c>
      <c r="L595" s="5">
        <v>0.0905589421240123</v>
      </c>
      <c r="M595" s="5">
        <v>17.0380372188892</v>
      </c>
      <c r="N595" s="5">
        <v>17.0380372188892</v>
      </c>
      <c r="O595" s="5">
        <v>17.0380372188892</v>
      </c>
      <c r="P595" s="5">
        <v>0.0</v>
      </c>
      <c r="Q595" s="5">
        <v>0.0</v>
      </c>
      <c r="R595" s="5">
        <v>0.0</v>
      </c>
      <c r="S595" s="5">
        <v>28.4508436114131</v>
      </c>
    </row>
    <row r="596">
      <c r="A596" s="6">
        <v>41219.0</v>
      </c>
      <c r="B596" s="5">
        <v>11.3589086360557</v>
      </c>
      <c r="C596" s="5">
        <v>-34.3701910659462</v>
      </c>
      <c r="D596" s="5">
        <v>89.6266766437052</v>
      </c>
      <c r="E596" s="5">
        <v>11.3589086360557</v>
      </c>
      <c r="F596" s="5">
        <v>11.3589086360557</v>
      </c>
      <c r="G596" s="5">
        <v>16.997033346437</v>
      </c>
      <c r="H596" s="5">
        <v>16.997033346437</v>
      </c>
      <c r="I596" s="5">
        <v>16.997033346437</v>
      </c>
      <c r="J596" s="5">
        <v>-0.144118857244721</v>
      </c>
      <c r="K596" s="5">
        <v>-0.144118857244721</v>
      </c>
      <c r="L596" s="5">
        <v>-0.144118857244721</v>
      </c>
      <c r="M596" s="5">
        <v>17.1411522036817</v>
      </c>
      <c r="N596" s="5">
        <v>17.1411522036817</v>
      </c>
      <c r="O596" s="5">
        <v>17.1411522036817</v>
      </c>
      <c r="P596" s="5">
        <v>0.0</v>
      </c>
      <c r="Q596" s="5">
        <v>0.0</v>
      </c>
      <c r="R596" s="5">
        <v>0.0</v>
      </c>
      <c r="S596" s="5">
        <v>28.3559419824928</v>
      </c>
    </row>
    <row r="597">
      <c r="A597" s="6">
        <v>41220.0</v>
      </c>
      <c r="B597" s="5">
        <v>11.3955698217116</v>
      </c>
      <c r="C597" s="5">
        <v>-32.781584690903</v>
      </c>
      <c r="D597" s="5">
        <v>90.6069476482633</v>
      </c>
      <c r="E597" s="5">
        <v>11.3955698217116</v>
      </c>
      <c r="F597" s="5">
        <v>11.3955698217116</v>
      </c>
      <c r="G597" s="5">
        <v>17.2267531469153</v>
      </c>
      <c r="H597" s="5">
        <v>17.2267531469153</v>
      </c>
      <c r="I597" s="5">
        <v>17.2267531469153</v>
      </c>
      <c r="J597" s="5">
        <v>0.00703780528153902</v>
      </c>
      <c r="K597" s="5">
        <v>0.00703780528153902</v>
      </c>
      <c r="L597" s="5">
        <v>0.00703780528153902</v>
      </c>
      <c r="M597" s="5">
        <v>17.2197153416337</v>
      </c>
      <c r="N597" s="5">
        <v>17.2197153416337</v>
      </c>
      <c r="O597" s="5">
        <v>17.2197153416337</v>
      </c>
      <c r="P597" s="5">
        <v>0.0</v>
      </c>
      <c r="Q597" s="5">
        <v>0.0</v>
      </c>
      <c r="R597" s="5">
        <v>0.0</v>
      </c>
      <c r="S597" s="5">
        <v>28.622322968627</v>
      </c>
    </row>
    <row r="598">
      <c r="A598" s="6">
        <v>41221.0</v>
      </c>
      <c r="B598" s="5">
        <v>11.4322310073675</v>
      </c>
      <c r="C598" s="5">
        <v>-35.7997845607638</v>
      </c>
      <c r="D598" s="5">
        <v>90.2516300731967</v>
      </c>
      <c r="E598" s="5">
        <v>11.4322310073675</v>
      </c>
      <c r="F598" s="5">
        <v>11.4322310073675</v>
      </c>
      <c r="G598" s="5">
        <v>16.5081429289442</v>
      </c>
      <c r="H598" s="5">
        <v>16.5081429289442</v>
      </c>
      <c r="I598" s="5">
        <v>16.5081429289442</v>
      </c>
      <c r="J598" s="5">
        <v>-0.776422525900789</v>
      </c>
      <c r="K598" s="5">
        <v>-0.776422525900789</v>
      </c>
      <c r="L598" s="5">
        <v>-0.776422525900789</v>
      </c>
      <c r="M598" s="5">
        <v>17.284565454845</v>
      </c>
      <c r="N598" s="5">
        <v>17.284565454845</v>
      </c>
      <c r="O598" s="5">
        <v>17.284565454845</v>
      </c>
      <c r="P598" s="5">
        <v>0.0</v>
      </c>
      <c r="Q598" s="5">
        <v>0.0</v>
      </c>
      <c r="R598" s="5">
        <v>0.0</v>
      </c>
      <c r="S598" s="5">
        <v>27.9403739363118</v>
      </c>
    </row>
    <row r="599">
      <c r="A599" s="6">
        <v>41222.0</v>
      </c>
      <c r="B599" s="5">
        <v>11.4688921930234</v>
      </c>
      <c r="C599" s="5">
        <v>-37.1832390427597</v>
      </c>
      <c r="D599" s="5">
        <v>90.7604061711378</v>
      </c>
      <c r="E599" s="5">
        <v>11.4688921930234</v>
      </c>
      <c r="F599" s="5">
        <v>11.4688921930234</v>
      </c>
      <c r="G599" s="5">
        <v>15.7543834819628</v>
      </c>
      <c r="H599" s="5">
        <v>15.7543834819628</v>
      </c>
      <c r="I599" s="5">
        <v>15.7543834819628</v>
      </c>
      <c r="J599" s="5">
        <v>-1.59155056649362</v>
      </c>
      <c r="K599" s="5">
        <v>-1.59155056649362</v>
      </c>
      <c r="L599" s="5">
        <v>-1.59155056649362</v>
      </c>
      <c r="M599" s="5">
        <v>17.3459340484564</v>
      </c>
      <c r="N599" s="5">
        <v>17.3459340484564</v>
      </c>
      <c r="O599" s="5">
        <v>17.3459340484564</v>
      </c>
      <c r="P599" s="5">
        <v>0.0</v>
      </c>
      <c r="Q599" s="5">
        <v>0.0</v>
      </c>
      <c r="R599" s="5">
        <v>0.0</v>
      </c>
      <c r="S599" s="5">
        <v>27.2232756749863</v>
      </c>
    </row>
    <row r="600">
      <c r="A600" s="6">
        <v>41225.0</v>
      </c>
      <c r="B600" s="5">
        <v>11.5788757499911</v>
      </c>
      <c r="C600" s="5">
        <v>-30.7813599458846</v>
      </c>
      <c r="D600" s="5">
        <v>90.8585234140039</v>
      </c>
      <c r="E600" s="5">
        <v>11.5788757499911</v>
      </c>
      <c r="F600" s="5">
        <v>11.5788757499911</v>
      </c>
      <c r="G600" s="5">
        <v>17.6861799704394</v>
      </c>
      <c r="H600" s="5">
        <v>17.6861799704394</v>
      </c>
      <c r="I600" s="5">
        <v>17.6861799704394</v>
      </c>
      <c r="J600" s="5">
        <v>0.090558942120191</v>
      </c>
      <c r="K600" s="5">
        <v>0.090558942120191</v>
      </c>
      <c r="L600" s="5">
        <v>0.090558942120191</v>
      </c>
      <c r="M600" s="5">
        <v>17.5956210283193</v>
      </c>
      <c r="N600" s="5">
        <v>17.5956210283193</v>
      </c>
      <c r="O600" s="5">
        <v>17.5956210283193</v>
      </c>
      <c r="P600" s="5">
        <v>0.0</v>
      </c>
      <c r="Q600" s="5">
        <v>0.0</v>
      </c>
      <c r="R600" s="5">
        <v>0.0</v>
      </c>
      <c r="S600" s="5">
        <v>29.2650557204306</v>
      </c>
    </row>
    <row r="601">
      <c r="A601" s="6">
        <v>41226.0</v>
      </c>
      <c r="B601" s="5">
        <v>11.615536935647</v>
      </c>
      <c r="C601" s="5">
        <v>-33.893803771512</v>
      </c>
      <c r="D601" s="5">
        <v>96.6332595846394</v>
      </c>
      <c r="E601" s="5">
        <v>11.615536935647</v>
      </c>
      <c r="F601" s="5">
        <v>11.615536935647</v>
      </c>
      <c r="G601" s="5">
        <v>17.578251603193</v>
      </c>
      <c r="H601" s="5">
        <v>17.578251603193</v>
      </c>
      <c r="I601" s="5">
        <v>17.578251603193</v>
      </c>
      <c r="J601" s="5">
        <v>-0.144118857243633</v>
      </c>
      <c r="K601" s="5">
        <v>-0.144118857243633</v>
      </c>
      <c r="L601" s="5">
        <v>-0.144118857243633</v>
      </c>
      <c r="M601" s="5">
        <v>17.7223704604366</v>
      </c>
      <c r="N601" s="5">
        <v>17.7223704604366</v>
      </c>
      <c r="O601" s="5">
        <v>17.7223704604366</v>
      </c>
      <c r="P601" s="5">
        <v>0.0</v>
      </c>
      <c r="Q601" s="5">
        <v>0.0</v>
      </c>
      <c r="R601" s="5">
        <v>0.0</v>
      </c>
      <c r="S601" s="5">
        <v>29.1937885388401</v>
      </c>
    </row>
    <row r="602">
      <c r="A602" s="6">
        <v>41227.0</v>
      </c>
      <c r="B602" s="5">
        <v>11.6521981213029</v>
      </c>
      <c r="C602" s="5">
        <v>-32.0005943408467</v>
      </c>
      <c r="D602" s="5">
        <v>91.4982411694114</v>
      </c>
      <c r="E602" s="5">
        <v>11.6521981213029</v>
      </c>
      <c r="F602" s="5">
        <v>11.6521981213029</v>
      </c>
      <c r="G602" s="5">
        <v>17.8844559057768</v>
      </c>
      <c r="H602" s="5">
        <v>17.8844559057768</v>
      </c>
      <c r="I602" s="5">
        <v>17.8844559057768</v>
      </c>
      <c r="J602" s="5">
        <v>0.0070378052826693</v>
      </c>
      <c r="K602" s="5">
        <v>0.0070378052826693</v>
      </c>
      <c r="L602" s="5">
        <v>0.0070378052826693</v>
      </c>
      <c r="M602" s="5">
        <v>17.8774181004941</v>
      </c>
      <c r="N602" s="5">
        <v>17.8774181004941</v>
      </c>
      <c r="O602" s="5">
        <v>17.8774181004941</v>
      </c>
      <c r="P602" s="5">
        <v>0.0</v>
      </c>
      <c r="Q602" s="5">
        <v>0.0</v>
      </c>
      <c r="R602" s="5">
        <v>0.0</v>
      </c>
      <c r="S602" s="5">
        <v>29.5366540270798</v>
      </c>
    </row>
    <row r="603">
      <c r="A603" s="6">
        <v>41228.0</v>
      </c>
      <c r="B603" s="5">
        <v>11.6888593069588</v>
      </c>
      <c r="C603" s="5">
        <v>-30.8007712767866</v>
      </c>
      <c r="D603" s="5">
        <v>87.3671342838916</v>
      </c>
      <c r="E603" s="5">
        <v>11.6888593069588</v>
      </c>
      <c r="F603" s="5">
        <v>11.6888593069588</v>
      </c>
      <c r="G603" s="5">
        <v>17.2854238936536</v>
      </c>
      <c r="H603" s="5">
        <v>17.2854238936536</v>
      </c>
      <c r="I603" s="5">
        <v>17.2854238936536</v>
      </c>
      <c r="J603" s="5">
        <v>-0.776422525901511</v>
      </c>
      <c r="K603" s="5">
        <v>-0.776422525901511</v>
      </c>
      <c r="L603" s="5">
        <v>-0.776422525901511</v>
      </c>
      <c r="M603" s="5">
        <v>18.0618464195552</v>
      </c>
      <c r="N603" s="5">
        <v>18.0618464195552</v>
      </c>
      <c r="O603" s="5">
        <v>18.0618464195552</v>
      </c>
      <c r="P603" s="5">
        <v>0.0</v>
      </c>
      <c r="Q603" s="5">
        <v>0.0</v>
      </c>
      <c r="R603" s="5">
        <v>0.0</v>
      </c>
      <c r="S603" s="5">
        <v>28.9742832006125</v>
      </c>
    </row>
    <row r="604">
      <c r="A604" s="6">
        <v>41229.0</v>
      </c>
      <c r="B604" s="5">
        <v>11.7255204926147</v>
      </c>
      <c r="C604" s="5">
        <v>-35.3623196514832</v>
      </c>
      <c r="D604" s="5">
        <v>87.3057243915944</v>
      </c>
      <c r="E604" s="5">
        <v>11.7255204926147</v>
      </c>
      <c r="F604" s="5">
        <v>11.7255204926147</v>
      </c>
      <c r="G604" s="5">
        <v>16.683234452244</v>
      </c>
      <c r="H604" s="5">
        <v>16.683234452244</v>
      </c>
      <c r="I604" s="5">
        <v>16.683234452244</v>
      </c>
      <c r="J604" s="5">
        <v>-1.59155056649238</v>
      </c>
      <c r="K604" s="5">
        <v>-1.59155056649238</v>
      </c>
      <c r="L604" s="5">
        <v>-1.59155056649238</v>
      </c>
      <c r="M604" s="5">
        <v>18.2747850187363</v>
      </c>
      <c r="N604" s="5">
        <v>18.2747850187363</v>
      </c>
      <c r="O604" s="5">
        <v>18.2747850187363</v>
      </c>
      <c r="P604" s="5">
        <v>0.0</v>
      </c>
      <c r="Q604" s="5">
        <v>0.0</v>
      </c>
      <c r="R604" s="5">
        <v>0.0</v>
      </c>
      <c r="S604" s="5">
        <v>28.4087549448587</v>
      </c>
    </row>
    <row r="605">
      <c r="A605" s="6">
        <v>41232.0</v>
      </c>
      <c r="B605" s="5">
        <v>11.8355040495824</v>
      </c>
      <c r="C605" s="5">
        <v>-29.2574588937146</v>
      </c>
      <c r="D605" s="5">
        <v>93.8874182945146</v>
      </c>
      <c r="E605" s="5">
        <v>11.8355040495824</v>
      </c>
      <c r="F605" s="5">
        <v>11.8355040495824</v>
      </c>
      <c r="G605" s="5">
        <v>19.1386092152419</v>
      </c>
      <c r="H605" s="5">
        <v>19.1386092152419</v>
      </c>
      <c r="I605" s="5">
        <v>19.1386092152419</v>
      </c>
      <c r="J605" s="5">
        <v>0.0905589421236014</v>
      </c>
      <c r="K605" s="5">
        <v>0.0905589421236014</v>
      </c>
      <c r="L605" s="5">
        <v>0.0905589421236014</v>
      </c>
      <c r="M605" s="5">
        <v>19.0480502731183</v>
      </c>
      <c r="N605" s="5">
        <v>19.0480502731183</v>
      </c>
      <c r="O605" s="5">
        <v>19.0480502731183</v>
      </c>
      <c r="P605" s="5">
        <v>0.0</v>
      </c>
      <c r="Q605" s="5">
        <v>0.0</v>
      </c>
      <c r="R605" s="5">
        <v>0.0</v>
      </c>
      <c r="S605" s="5">
        <v>30.9741132648244</v>
      </c>
    </row>
    <row r="606">
      <c r="A606" s="6">
        <v>41233.0</v>
      </c>
      <c r="B606" s="5">
        <v>11.8721652352383</v>
      </c>
      <c r="C606" s="5">
        <v>-31.2276433088979</v>
      </c>
      <c r="D606" s="5">
        <v>95.7284110065959</v>
      </c>
      <c r="E606" s="5">
        <v>11.8721652352383</v>
      </c>
      <c r="F606" s="5">
        <v>11.8721652352383</v>
      </c>
      <c r="G606" s="5">
        <v>19.1860406509323</v>
      </c>
      <c r="H606" s="5">
        <v>19.1860406509323</v>
      </c>
      <c r="I606" s="5">
        <v>19.1860406509323</v>
      </c>
      <c r="J606" s="5">
        <v>-0.144118857246482</v>
      </c>
      <c r="K606" s="5">
        <v>-0.144118857246482</v>
      </c>
      <c r="L606" s="5">
        <v>-0.144118857246482</v>
      </c>
      <c r="M606" s="5">
        <v>19.3301595081788</v>
      </c>
      <c r="N606" s="5">
        <v>19.3301595081788</v>
      </c>
      <c r="O606" s="5">
        <v>19.3301595081788</v>
      </c>
      <c r="P606" s="5">
        <v>0.0</v>
      </c>
      <c r="Q606" s="5">
        <v>0.0</v>
      </c>
      <c r="R606" s="5">
        <v>0.0</v>
      </c>
      <c r="S606" s="5">
        <v>31.0582058861707</v>
      </c>
    </row>
    <row r="607">
      <c r="A607" s="6">
        <v>41234.0</v>
      </c>
      <c r="B607" s="5">
        <v>11.9088264208942</v>
      </c>
      <c r="C607" s="5">
        <v>-31.1690755781642</v>
      </c>
      <c r="D607" s="5">
        <v>93.5386266475951</v>
      </c>
      <c r="E607" s="5">
        <v>11.9088264208942</v>
      </c>
      <c r="F607" s="5">
        <v>11.9088264208942</v>
      </c>
      <c r="G607" s="5">
        <v>19.6179100899187</v>
      </c>
      <c r="H607" s="5">
        <v>19.6179100899187</v>
      </c>
      <c r="I607" s="5">
        <v>19.6179100899187</v>
      </c>
      <c r="J607" s="5">
        <v>0.00703780528181671</v>
      </c>
      <c r="K607" s="5">
        <v>0.00703780528181671</v>
      </c>
      <c r="L607" s="5">
        <v>0.00703780528181671</v>
      </c>
      <c r="M607" s="5">
        <v>19.6108722846369</v>
      </c>
      <c r="N607" s="5">
        <v>19.6108722846369</v>
      </c>
      <c r="O607" s="5">
        <v>19.6108722846369</v>
      </c>
      <c r="P607" s="5">
        <v>0.0</v>
      </c>
      <c r="Q607" s="5">
        <v>0.0</v>
      </c>
      <c r="R607" s="5">
        <v>0.0</v>
      </c>
      <c r="S607" s="5">
        <v>31.526736510813</v>
      </c>
    </row>
    <row r="608">
      <c r="A608" s="6">
        <v>41236.0</v>
      </c>
      <c r="B608" s="5">
        <v>11.982148792206</v>
      </c>
      <c r="C608" s="5">
        <v>-32.4069211672661</v>
      </c>
      <c r="D608" s="5">
        <v>93.9511629147394</v>
      </c>
      <c r="E608" s="5">
        <v>11.982148792206</v>
      </c>
      <c r="F608" s="5">
        <v>11.982148792206</v>
      </c>
      <c r="G608" s="5">
        <v>18.5379280027804</v>
      </c>
      <c r="H608" s="5">
        <v>18.5379280027804</v>
      </c>
      <c r="I608" s="5">
        <v>18.5379280027804</v>
      </c>
      <c r="J608" s="5">
        <v>-1.59155056649177</v>
      </c>
      <c r="K608" s="5">
        <v>-1.59155056649177</v>
      </c>
      <c r="L608" s="5">
        <v>-1.59155056649177</v>
      </c>
      <c r="M608" s="5">
        <v>20.1294785692722</v>
      </c>
      <c r="N608" s="5">
        <v>20.1294785692722</v>
      </c>
      <c r="O608" s="5">
        <v>20.1294785692722</v>
      </c>
      <c r="P608" s="5">
        <v>0.0</v>
      </c>
      <c r="Q608" s="5">
        <v>0.0</v>
      </c>
      <c r="R608" s="5">
        <v>0.0</v>
      </c>
      <c r="S608" s="5">
        <v>30.5200767949865</v>
      </c>
    </row>
    <row r="609">
      <c r="A609" s="6">
        <v>41239.0</v>
      </c>
      <c r="B609" s="5">
        <v>12.0921323491737</v>
      </c>
      <c r="C609" s="5">
        <v>-29.6691631801649</v>
      </c>
      <c r="D609" s="5">
        <v>93.6265345166905</v>
      </c>
      <c r="E609" s="5">
        <v>12.0921323491737</v>
      </c>
      <c r="F609" s="5">
        <v>12.0921323491737</v>
      </c>
      <c r="G609" s="5">
        <v>20.7418317474571</v>
      </c>
      <c r="H609" s="5">
        <v>20.7418317474571</v>
      </c>
      <c r="I609" s="5">
        <v>20.7418317474571</v>
      </c>
      <c r="J609" s="5">
        <v>0.090558942122164</v>
      </c>
      <c r="K609" s="5">
        <v>0.090558942122164</v>
      </c>
      <c r="L609" s="5">
        <v>0.090558942122164</v>
      </c>
      <c r="M609" s="5">
        <v>20.6512728053349</v>
      </c>
      <c r="N609" s="5">
        <v>20.6512728053349</v>
      </c>
      <c r="O609" s="5">
        <v>20.6512728053349</v>
      </c>
      <c r="P609" s="5">
        <v>0.0</v>
      </c>
      <c r="Q609" s="5">
        <v>0.0</v>
      </c>
      <c r="R609" s="5">
        <v>0.0</v>
      </c>
      <c r="S609" s="5">
        <v>32.8339640966308</v>
      </c>
    </row>
    <row r="610">
      <c r="A610" s="6">
        <v>41240.0</v>
      </c>
      <c r="B610" s="5">
        <v>12.1287935348296</v>
      </c>
      <c r="C610" s="5">
        <v>-34.4350113473038</v>
      </c>
      <c r="D610" s="5">
        <v>98.8235525681713</v>
      </c>
      <c r="E610" s="5">
        <v>12.1287935348296</v>
      </c>
      <c r="F610" s="5">
        <v>12.1287935348296</v>
      </c>
      <c r="G610" s="5">
        <v>20.5761228305274</v>
      </c>
      <c r="H610" s="5">
        <v>20.5761228305274</v>
      </c>
      <c r="I610" s="5">
        <v>20.5761228305274</v>
      </c>
      <c r="J610" s="5">
        <v>-0.144118857247918</v>
      </c>
      <c r="K610" s="5">
        <v>-0.144118857247918</v>
      </c>
      <c r="L610" s="5">
        <v>-0.144118857247918</v>
      </c>
      <c r="M610" s="5">
        <v>20.7202416877753</v>
      </c>
      <c r="N610" s="5">
        <v>20.7202416877753</v>
      </c>
      <c r="O610" s="5">
        <v>20.7202416877753</v>
      </c>
      <c r="P610" s="5">
        <v>0.0</v>
      </c>
      <c r="Q610" s="5">
        <v>0.0</v>
      </c>
      <c r="R610" s="5">
        <v>0.0</v>
      </c>
      <c r="S610" s="5">
        <v>32.7049163653571</v>
      </c>
    </row>
    <row r="611">
      <c r="A611" s="6">
        <v>41241.0</v>
      </c>
      <c r="B611" s="5">
        <v>12.1654547204855</v>
      </c>
      <c r="C611" s="5">
        <v>-29.3273547301874</v>
      </c>
      <c r="D611" s="5">
        <v>97.3936544345877</v>
      </c>
      <c r="E611" s="5">
        <v>12.1654547204855</v>
      </c>
      <c r="F611" s="5">
        <v>12.1654547204855</v>
      </c>
      <c r="G611" s="5">
        <v>20.731479193149</v>
      </c>
      <c r="H611" s="5">
        <v>20.731479193149</v>
      </c>
      <c r="I611" s="5">
        <v>20.731479193149</v>
      </c>
      <c r="J611" s="5">
        <v>0.00703780528312778</v>
      </c>
      <c r="K611" s="5">
        <v>0.00703780528312778</v>
      </c>
      <c r="L611" s="5">
        <v>0.00703780528312778</v>
      </c>
      <c r="M611" s="5">
        <v>20.7244413878658</v>
      </c>
      <c r="N611" s="5">
        <v>20.7244413878658</v>
      </c>
      <c r="O611" s="5">
        <v>20.7244413878658</v>
      </c>
      <c r="P611" s="5">
        <v>0.0</v>
      </c>
      <c r="Q611" s="5">
        <v>0.0</v>
      </c>
      <c r="R611" s="5">
        <v>0.0</v>
      </c>
      <c r="S611" s="5">
        <v>32.8969339136345</v>
      </c>
    </row>
    <row r="612">
      <c r="A612" s="6">
        <v>41242.0</v>
      </c>
      <c r="B612" s="5">
        <v>12.2021159061414</v>
      </c>
      <c r="C612" s="5">
        <v>-26.2000318602546</v>
      </c>
      <c r="D612" s="5">
        <v>96.0390220171973</v>
      </c>
      <c r="E612" s="5">
        <v>12.2021159061414</v>
      </c>
      <c r="F612" s="5">
        <v>12.2021159061414</v>
      </c>
      <c r="G612" s="5">
        <v>19.8824050840759</v>
      </c>
      <c r="H612" s="5">
        <v>19.8824050840759</v>
      </c>
      <c r="I612" s="5">
        <v>19.8824050840759</v>
      </c>
      <c r="J612" s="5">
        <v>-0.776422525902955</v>
      </c>
      <c r="K612" s="5">
        <v>-0.776422525902955</v>
      </c>
      <c r="L612" s="5">
        <v>-0.776422525902955</v>
      </c>
      <c r="M612" s="5">
        <v>20.6588276099788</v>
      </c>
      <c r="N612" s="5">
        <v>20.6588276099788</v>
      </c>
      <c r="O612" s="5">
        <v>20.6588276099788</v>
      </c>
      <c r="P612" s="5">
        <v>0.0</v>
      </c>
      <c r="Q612" s="5">
        <v>0.0</v>
      </c>
      <c r="R612" s="5">
        <v>0.0</v>
      </c>
      <c r="S612" s="5">
        <v>32.0845209902173</v>
      </c>
    </row>
    <row r="613">
      <c r="A613" s="6">
        <v>41243.0</v>
      </c>
      <c r="B613" s="5">
        <v>12.2387770917973</v>
      </c>
      <c r="C613" s="5">
        <v>-32.4441180192234</v>
      </c>
      <c r="D613" s="5">
        <v>96.6632837709478</v>
      </c>
      <c r="E613" s="5">
        <v>12.2387770917973</v>
      </c>
      <c r="F613" s="5">
        <v>12.2387770917973</v>
      </c>
      <c r="G613" s="5">
        <v>18.9287374928102</v>
      </c>
      <c r="H613" s="5">
        <v>18.9287374928102</v>
      </c>
      <c r="I613" s="5">
        <v>18.9287374928102</v>
      </c>
      <c r="J613" s="5">
        <v>-1.59155056649327</v>
      </c>
      <c r="K613" s="5">
        <v>-1.59155056649327</v>
      </c>
      <c r="L613" s="5">
        <v>-1.59155056649327</v>
      </c>
      <c r="M613" s="5">
        <v>20.5202880593035</v>
      </c>
      <c r="N613" s="5">
        <v>20.5202880593035</v>
      </c>
      <c r="O613" s="5">
        <v>20.5202880593035</v>
      </c>
      <c r="P613" s="5">
        <v>0.0</v>
      </c>
      <c r="Q613" s="5">
        <v>0.0</v>
      </c>
      <c r="R613" s="5">
        <v>0.0</v>
      </c>
      <c r="S613" s="5">
        <v>31.1675145846076</v>
      </c>
    </row>
    <row r="614">
      <c r="A614" s="6">
        <v>41246.0</v>
      </c>
      <c r="B614" s="5">
        <v>12.348760648765</v>
      </c>
      <c r="C614" s="5">
        <v>-33.5896103242773</v>
      </c>
      <c r="D614" s="5">
        <v>94.0224048167985</v>
      </c>
      <c r="E614" s="5">
        <v>12.348760648765</v>
      </c>
      <c r="F614" s="5">
        <v>12.348760648765</v>
      </c>
      <c r="G614" s="5">
        <v>19.7593205365792</v>
      </c>
      <c r="H614" s="5">
        <v>19.7593205365792</v>
      </c>
      <c r="I614" s="5">
        <v>19.7593205365792</v>
      </c>
      <c r="J614" s="5">
        <v>0.0905589421207265</v>
      </c>
      <c r="K614" s="5">
        <v>0.0905589421207265</v>
      </c>
      <c r="L614" s="5">
        <v>0.0905589421207265</v>
      </c>
      <c r="M614" s="5">
        <v>19.6687615944585</v>
      </c>
      <c r="N614" s="5">
        <v>19.6687615944585</v>
      </c>
      <c r="O614" s="5">
        <v>19.6687615944585</v>
      </c>
      <c r="P614" s="5">
        <v>0.0</v>
      </c>
      <c r="Q614" s="5">
        <v>0.0</v>
      </c>
      <c r="R614" s="5">
        <v>0.0</v>
      </c>
      <c r="S614" s="5">
        <v>32.1080811853443</v>
      </c>
    </row>
    <row r="615">
      <c r="A615" s="6">
        <v>41247.0</v>
      </c>
      <c r="B615" s="5">
        <v>12.3854218344209</v>
      </c>
      <c r="C615" s="5">
        <v>-33.1916792667547</v>
      </c>
      <c r="D615" s="5">
        <v>93.2748059033703</v>
      </c>
      <c r="E615" s="5">
        <v>12.3854218344209</v>
      </c>
      <c r="F615" s="5">
        <v>12.3854218344209</v>
      </c>
      <c r="G615" s="5">
        <v>19.1076282060445</v>
      </c>
      <c r="H615" s="5">
        <v>19.1076282060445</v>
      </c>
      <c r="I615" s="5">
        <v>19.1076282060445</v>
      </c>
      <c r="J615" s="5">
        <v>-0.144118857244306</v>
      </c>
      <c r="K615" s="5">
        <v>-0.144118857244306</v>
      </c>
      <c r="L615" s="5">
        <v>-0.144118857244306</v>
      </c>
      <c r="M615" s="5">
        <v>19.2517470632888</v>
      </c>
      <c r="N615" s="5">
        <v>19.2517470632888</v>
      </c>
      <c r="O615" s="5">
        <v>19.2517470632888</v>
      </c>
      <c r="P615" s="5">
        <v>0.0</v>
      </c>
      <c r="Q615" s="5">
        <v>0.0</v>
      </c>
      <c r="R615" s="5">
        <v>0.0</v>
      </c>
      <c r="S615" s="5">
        <v>31.4930500404655</v>
      </c>
    </row>
    <row r="616">
      <c r="A616" s="6">
        <v>41248.0</v>
      </c>
      <c r="B616" s="5">
        <v>12.4220830200768</v>
      </c>
      <c r="C616" s="5">
        <v>-28.3427965031356</v>
      </c>
      <c r="D616" s="5">
        <v>94.2853048057882</v>
      </c>
      <c r="E616" s="5">
        <v>12.4220830200768</v>
      </c>
      <c r="F616" s="5">
        <v>12.4220830200768</v>
      </c>
      <c r="G616" s="5">
        <v>18.7870430509025</v>
      </c>
      <c r="H616" s="5">
        <v>18.7870430509025</v>
      </c>
      <c r="I616" s="5">
        <v>18.7870430509025</v>
      </c>
      <c r="J616" s="5">
        <v>0.00703780528110287</v>
      </c>
      <c r="K616" s="5">
        <v>0.00703780528110287</v>
      </c>
      <c r="L616" s="5">
        <v>0.00703780528110287</v>
      </c>
      <c r="M616" s="5">
        <v>18.7800052456214</v>
      </c>
      <c r="N616" s="5">
        <v>18.7800052456214</v>
      </c>
      <c r="O616" s="5">
        <v>18.7800052456214</v>
      </c>
      <c r="P616" s="5">
        <v>0.0</v>
      </c>
      <c r="Q616" s="5">
        <v>0.0</v>
      </c>
      <c r="R616" s="5">
        <v>0.0</v>
      </c>
      <c r="S616" s="5">
        <v>31.2091260709794</v>
      </c>
    </row>
    <row r="617">
      <c r="A617" s="6">
        <v>41249.0</v>
      </c>
      <c r="B617" s="5">
        <v>12.4587442057327</v>
      </c>
      <c r="C617" s="5">
        <v>-27.4117412558365</v>
      </c>
      <c r="D617" s="5">
        <v>96.2215407936588</v>
      </c>
      <c r="E617" s="5">
        <v>12.4587442057327</v>
      </c>
      <c r="F617" s="5">
        <v>12.4587442057327</v>
      </c>
      <c r="G617" s="5">
        <v>17.4875067620088</v>
      </c>
      <c r="H617" s="5">
        <v>17.4875067620088</v>
      </c>
      <c r="I617" s="5">
        <v>17.4875067620088</v>
      </c>
      <c r="J617" s="5">
        <v>-0.776422525902202</v>
      </c>
      <c r="K617" s="5">
        <v>-0.776422525902202</v>
      </c>
      <c r="L617" s="5">
        <v>-0.776422525902202</v>
      </c>
      <c r="M617" s="5">
        <v>18.263929287911</v>
      </c>
      <c r="N617" s="5">
        <v>18.263929287911</v>
      </c>
      <c r="O617" s="5">
        <v>18.263929287911</v>
      </c>
      <c r="P617" s="5">
        <v>0.0</v>
      </c>
      <c r="Q617" s="5">
        <v>0.0</v>
      </c>
      <c r="R617" s="5">
        <v>0.0</v>
      </c>
      <c r="S617" s="5">
        <v>29.9462509677416</v>
      </c>
    </row>
    <row r="618">
      <c r="A618" s="6">
        <v>41250.0</v>
      </c>
      <c r="B618" s="5">
        <v>12.4954053913886</v>
      </c>
      <c r="C618" s="5">
        <v>-31.4812883306987</v>
      </c>
      <c r="D618" s="5">
        <v>91.2891354532142</v>
      </c>
      <c r="E618" s="5">
        <v>12.4954053913886</v>
      </c>
      <c r="F618" s="5">
        <v>12.4954053913886</v>
      </c>
      <c r="G618" s="5">
        <v>16.1242841698069</v>
      </c>
      <c r="H618" s="5">
        <v>16.1242841698069</v>
      </c>
      <c r="I618" s="5">
        <v>16.1242841698069</v>
      </c>
      <c r="J618" s="5">
        <v>-1.59155056649235</v>
      </c>
      <c r="K618" s="5">
        <v>-1.59155056649235</v>
      </c>
      <c r="L618" s="5">
        <v>-1.59155056649235</v>
      </c>
      <c r="M618" s="5">
        <v>17.7158347362993</v>
      </c>
      <c r="N618" s="5">
        <v>17.7158347362993</v>
      </c>
      <c r="O618" s="5">
        <v>17.7158347362993</v>
      </c>
      <c r="P618" s="5">
        <v>0.0</v>
      </c>
      <c r="Q618" s="5">
        <v>0.0</v>
      </c>
      <c r="R618" s="5">
        <v>0.0</v>
      </c>
      <c r="S618" s="5">
        <v>28.6196895611956</v>
      </c>
    </row>
    <row r="619">
      <c r="A619" s="6">
        <v>41253.0</v>
      </c>
      <c r="B619" s="5">
        <v>12.6053889483563</v>
      </c>
      <c r="C619" s="5">
        <v>-36.862367617428</v>
      </c>
      <c r="D619" s="5">
        <v>89.952655701649</v>
      </c>
      <c r="E619" s="5">
        <v>12.6053889483563</v>
      </c>
      <c r="F619" s="5">
        <v>12.6053889483563</v>
      </c>
      <c r="G619" s="5">
        <v>16.1158416496063</v>
      </c>
      <c r="H619" s="5">
        <v>16.1158416496063</v>
      </c>
      <c r="I619" s="5">
        <v>16.1158416496063</v>
      </c>
      <c r="J619" s="5">
        <v>0.0905589421192889</v>
      </c>
      <c r="K619" s="5">
        <v>0.0905589421192889</v>
      </c>
      <c r="L619" s="5">
        <v>0.0905589421192889</v>
      </c>
      <c r="M619" s="5">
        <v>16.025282707487</v>
      </c>
      <c r="N619" s="5">
        <v>16.025282707487</v>
      </c>
      <c r="O619" s="5">
        <v>16.025282707487</v>
      </c>
      <c r="P619" s="5">
        <v>0.0</v>
      </c>
      <c r="Q619" s="5">
        <v>0.0</v>
      </c>
      <c r="R619" s="5">
        <v>0.0</v>
      </c>
      <c r="S619" s="5">
        <v>28.7212305979627</v>
      </c>
    </row>
    <row r="620">
      <c r="A620" s="6">
        <v>41254.0</v>
      </c>
      <c r="B620" s="5">
        <v>12.6420501340122</v>
      </c>
      <c r="C620" s="5">
        <v>-36.0472817520985</v>
      </c>
      <c r="D620" s="5">
        <v>89.8702725771605</v>
      </c>
      <c r="E620" s="5">
        <v>12.6420501340122</v>
      </c>
      <c r="F620" s="5">
        <v>12.6420501340122</v>
      </c>
      <c r="G620" s="5">
        <v>15.3558689176271</v>
      </c>
      <c r="H620" s="5">
        <v>15.3558689176271</v>
      </c>
      <c r="I620" s="5">
        <v>15.3558689176271</v>
      </c>
      <c r="J620" s="5">
        <v>-0.144118857243523</v>
      </c>
      <c r="K620" s="5">
        <v>-0.144118857243523</v>
      </c>
      <c r="L620" s="5">
        <v>-0.144118857243523</v>
      </c>
      <c r="M620" s="5">
        <v>15.4999877748706</v>
      </c>
      <c r="N620" s="5">
        <v>15.4999877748706</v>
      </c>
      <c r="O620" s="5">
        <v>15.4999877748706</v>
      </c>
      <c r="P620" s="5">
        <v>0.0</v>
      </c>
      <c r="Q620" s="5">
        <v>0.0</v>
      </c>
      <c r="R620" s="5">
        <v>0.0</v>
      </c>
      <c r="S620" s="5">
        <v>27.9979190516394</v>
      </c>
    </row>
    <row r="621">
      <c r="A621" s="6">
        <v>41255.0</v>
      </c>
      <c r="B621" s="5">
        <v>12.6787113196681</v>
      </c>
      <c r="C621" s="5">
        <v>-36.327688334022</v>
      </c>
      <c r="D621" s="5">
        <v>89.2478495213454</v>
      </c>
      <c r="E621" s="5">
        <v>12.6787113196681</v>
      </c>
      <c r="F621" s="5">
        <v>12.6787113196681</v>
      </c>
      <c r="G621" s="5">
        <v>15.0287308089886</v>
      </c>
      <c r="H621" s="5">
        <v>15.0287308089886</v>
      </c>
      <c r="I621" s="5">
        <v>15.0287308089886</v>
      </c>
      <c r="J621" s="5">
        <v>0.00703780528241387</v>
      </c>
      <c r="K621" s="5">
        <v>0.00703780528241387</v>
      </c>
      <c r="L621" s="5">
        <v>0.00703780528241387</v>
      </c>
      <c r="M621" s="5">
        <v>15.0216930037061</v>
      </c>
      <c r="N621" s="5">
        <v>15.0216930037061</v>
      </c>
      <c r="O621" s="5">
        <v>15.0216930037061</v>
      </c>
      <c r="P621" s="5">
        <v>0.0</v>
      </c>
      <c r="Q621" s="5">
        <v>0.0</v>
      </c>
      <c r="R621" s="5">
        <v>0.0</v>
      </c>
      <c r="S621" s="5">
        <v>27.7074421286567</v>
      </c>
    </row>
    <row r="622">
      <c r="A622" s="6">
        <v>41256.0</v>
      </c>
      <c r="B622" s="5">
        <v>12.715372505324</v>
      </c>
      <c r="C622" s="5">
        <v>-39.4899594865343</v>
      </c>
      <c r="D622" s="5">
        <v>90.5138990770503</v>
      </c>
      <c r="E622" s="5">
        <v>12.715372505324</v>
      </c>
      <c r="F622" s="5">
        <v>12.715372505324</v>
      </c>
      <c r="G622" s="5">
        <v>13.8304101937019</v>
      </c>
      <c r="H622" s="5">
        <v>13.8304101937019</v>
      </c>
      <c r="I622" s="5">
        <v>13.8304101937019</v>
      </c>
      <c r="J622" s="5">
        <v>-0.776422525902924</v>
      </c>
      <c r="K622" s="5">
        <v>-0.776422525902924</v>
      </c>
      <c r="L622" s="5">
        <v>-0.776422525902924</v>
      </c>
      <c r="M622" s="5">
        <v>14.6068327196049</v>
      </c>
      <c r="N622" s="5">
        <v>14.6068327196049</v>
      </c>
      <c r="O622" s="5">
        <v>14.6068327196049</v>
      </c>
      <c r="P622" s="5">
        <v>0.0</v>
      </c>
      <c r="Q622" s="5">
        <v>0.0</v>
      </c>
      <c r="R622" s="5">
        <v>0.0</v>
      </c>
      <c r="S622" s="5">
        <v>26.545782699026</v>
      </c>
    </row>
    <row r="623">
      <c r="A623" s="6">
        <v>41257.0</v>
      </c>
      <c r="B623" s="5">
        <v>12.7520336909799</v>
      </c>
      <c r="C623" s="5">
        <v>-38.8938143063532</v>
      </c>
      <c r="D623" s="5">
        <v>86.4982562981454</v>
      </c>
      <c r="E623" s="5">
        <v>12.7520336909799</v>
      </c>
      <c r="F623" s="5">
        <v>12.7520336909799</v>
      </c>
      <c r="G623" s="5">
        <v>12.6794487199377</v>
      </c>
      <c r="H623" s="5">
        <v>12.6794487199377</v>
      </c>
      <c r="I623" s="5">
        <v>12.6794487199377</v>
      </c>
      <c r="J623" s="5">
        <v>-1.59155056649142</v>
      </c>
      <c r="K623" s="5">
        <v>-1.59155056649142</v>
      </c>
      <c r="L623" s="5">
        <v>-1.59155056649142</v>
      </c>
      <c r="M623" s="5">
        <v>14.2709992864292</v>
      </c>
      <c r="N623" s="5">
        <v>14.2709992864292</v>
      </c>
      <c r="O623" s="5">
        <v>14.2709992864292</v>
      </c>
      <c r="P623" s="5">
        <v>0.0</v>
      </c>
      <c r="Q623" s="5">
        <v>0.0</v>
      </c>
      <c r="R623" s="5">
        <v>0.0</v>
      </c>
      <c r="S623" s="5">
        <v>25.4314824109177</v>
      </c>
    </row>
    <row r="624">
      <c r="A624" s="6">
        <v>41260.0</v>
      </c>
      <c r="B624" s="5">
        <v>12.8620172479476</v>
      </c>
      <c r="C624" s="5">
        <v>-38.5172350414806</v>
      </c>
      <c r="D624" s="5">
        <v>88.0343945707664</v>
      </c>
      <c r="E624" s="5">
        <v>12.8620172479476</v>
      </c>
      <c r="F624" s="5">
        <v>12.8620172479476</v>
      </c>
      <c r="G624" s="5">
        <v>13.9622702939246</v>
      </c>
      <c r="H624" s="5">
        <v>13.9622702939246</v>
      </c>
      <c r="I624" s="5">
        <v>13.9622702939246</v>
      </c>
      <c r="J624" s="5">
        <v>0.0905589421226994</v>
      </c>
      <c r="K624" s="5">
        <v>0.0905589421226994</v>
      </c>
      <c r="L624" s="5">
        <v>0.0905589421226994</v>
      </c>
      <c r="M624" s="5">
        <v>13.8717113518019</v>
      </c>
      <c r="N624" s="5">
        <v>13.8717113518019</v>
      </c>
      <c r="O624" s="5">
        <v>13.8717113518019</v>
      </c>
      <c r="P624" s="5">
        <v>0.0</v>
      </c>
      <c r="Q624" s="5">
        <v>0.0</v>
      </c>
      <c r="R624" s="5">
        <v>0.0</v>
      </c>
      <c r="S624" s="5">
        <v>26.8242875418722</v>
      </c>
    </row>
    <row r="625">
      <c r="A625" s="6">
        <v>41261.0</v>
      </c>
      <c r="B625" s="5">
        <v>12.8986784336035</v>
      </c>
      <c r="C625" s="5">
        <v>-33.8694923736671</v>
      </c>
      <c r="D625" s="5">
        <v>90.2347829121829</v>
      </c>
      <c r="E625" s="5">
        <v>12.8986784336035</v>
      </c>
      <c r="F625" s="5">
        <v>12.8986784336035</v>
      </c>
      <c r="G625" s="5">
        <v>13.8318370949167</v>
      </c>
      <c r="H625" s="5">
        <v>13.8318370949167</v>
      </c>
      <c r="I625" s="5">
        <v>13.8318370949167</v>
      </c>
      <c r="J625" s="5">
        <v>-0.144118857244959</v>
      </c>
      <c r="K625" s="5">
        <v>-0.144118857244959</v>
      </c>
      <c r="L625" s="5">
        <v>-0.144118857244959</v>
      </c>
      <c r="M625" s="5">
        <v>13.9759559521617</v>
      </c>
      <c r="N625" s="5">
        <v>13.9759559521617</v>
      </c>
      <c r="O625" s="5">
        <v>13.9759559521617</v>
      </c>
      <c r="P625" s="5">
        <v>0.0</v>
      </c>
      <c r="Q625" s="5">
        <v>0.0</v>
      </c>
      <c r="R625" s="5">
        <v>0.0</v>
      </c>
      <c r="S625" s="5">
        <v>26.7305155285203</v>
      </c>
    </row>
    <row r="626">
      <c r="A626" s="6">
        <v>41262.0</v>
      </c>
      <c r="B626" s="5">
        <v>12.9353396192594</v>
      </c>
      <c r="C626" s="5">
        <v>-36.851241230625</v>
      </c>
      <c r="D626" s="5">
        <v>85.6752971266803</v>
      </c>
      <c r="E626" s="5">
        <v>12.9353396192594</v>
      </c>
      <c r="F626" s="5">
        <v>12.9353396192594</v>
      </c>
      <c r="G626" s="5">
        <v>14.2169903010202</v>
      </c>
      <c r="H626" s="5">
        <v>14.2169903010202</v>
      </c>
      <c r="I626" s="5">
        <v>14.2169903010202</v>
      </c>
      <c r="J626" s="5">
        <v>0.00703780528156152</v>
      </c>
      <c r="K626" s="5">
        <v>0.00703780528156152</v>
      </c>
      <c r="L626" s="5">
        <v>0.00703780528156152</v>
      </c>
      <c r="M626" s="5">
        <v>14.2099524957387</v>
      </c>
      <c r="N626" s="5">
        <v>14.2099524957387</v>
      </c>
      <c r="O626" s="5">
        <v>14.2099524957387</v>
      </c>
      <c r="P626" s="5">
        <v>0.0</v>
      </c>
      <c r="Q626" s="5">
        <v>0.0</v>
      </c>
      <c r="R626" s="5">
        <v>0.0</v>
      </c>
      <c r="S626" s="5">
        <v>27.1523299202797</v>
      </c>
    </row>
    <row r="627">
      <c r="A627" s="6">
        <v>41263.0</v>
      </c>
      <c r="B627" s="5">
        <v>12.9720008049153</v>
      </c>
      <c r="C627" s="5">
        <v>-41.2510158065357</v>
      </c>
      <c r="D627" s="5">
        <v>94.7930242302505</v>
      </c>
      <c r="E627" s="5">
        <v>12.9720008049153</v>
      </c>
      <c r="F627" s="5">
        <v>12.9720008049153</v>
      </c>
      <c r="G627" s="5">
        <v>13.7996534997823</v>
      </c>
      <c r="H627" s="5">
        <v>13.7996534997823</v>
      </c>
      <c r="I627" s="5">
        <v>13.7996534997823</v>
      </c>
      <c r="J627" s="5">
        <v>-0.776422525905021</v>
      </c>
      <c r="K627" s="5">
        <v>-0.776422525905021</v>
      </c>
      <c r="L627" s="5">
        <v>-0.776422525905021</v>
      </c>
      <c r="M627" s="5">
        <v>14.5760760256874</v>
      </c>
      <c r="N627" s="5">
        <v>14.5760760256874</v>
      </c>
      <c r="O627" s="5">
        <v>14.5760760256874</v>
      </c>
      <c r="P627" s="5">
        <v>0.0</v>
      </c>
      <c r="Q627" s="5">
        <v>0.0</v>
      </c>
      <c r="R627" s="5">
        <v>0.0</v>
      </c>
      <c r="S627" s="5">
        <v>26.7716543046977</v>
      </c>
    </row>
    <row r="628">
      <c r="A628" s="6">
        <v>41264.0</v>
      </c>
      <c r="B628" s="5">
        <v>13.0086619905712</v>
      </c>
      <c r="C628" s="5">
        <v>-38.5631137446785</v>
      </c>
      <c r="D628" s="5">
        <v>87.4874334875219</v>
      </c>
      <c r="E628" s="5">
        <v>13.0086619905712</v>
      </c>
      <c r="F628" s="5">
        <v>13.0086619905712</v>
      </c>
      <c r="G628" s="5">
        <v>13.4820706275907</v>
      </c>
      <c r="H628" s="5">
        <v>13.4820706275907</v>
      </c>
      <c r="I628" s="5">
        <v>13.4820706275907</v>
      </c>
      <c r="J628" s="5">
        <v>-1.59155056649049</v>
      </c>
      <c r="K628" s="5">
        <v>-1.59155056649049</v>
      </c>
      <c r="L628" s="5">
        <v>-1.59155056649049</v>
      </c>
      <c r="M628" s="5">
        <v>15.0736211940812</v>
      </c>
      <c r="N628" s="5">
        <v>15.0736211940812</v>
      </c>
      <c r="O628" s="5">
        <v>15.0736211940812</v>
      </c>
      <c r="P628" s="5">
        <v>0.0</v>
      </c>
      <c r="Q628" s="5">
        <v>0.0</v>
      </c>
      <c r="R628" s="5">
        <v>0.0</v>
      </c>
      <c r="S628" s="5">
        <v>26.4907326181619</v>
      </c>
    </row>
    <row r="629">
      <c r="A629" s="6">
        <v>41267.0</v>
      </c>
      <c r="B629" s="5">
        <v>13.1186455475389</v>
      </c>
      <c r="C629" s="5">
        <v>-31.661718124969</v>
      </c>
      <c r="D629" s="5">
        <v>92.1473714658889</v>
      </c>
      <c r="E629" s="5">
        <v>13.1186455475389</v>
      </c>
      <c r="F629" s="5">
        <v>13.1186455475389</v>
      </c>
      <c r="G629" s="5">
        <v>17.3913585915835</v>
      </c>
      <c r="H629" s="5">
        <v>17.3913585915835</v>
      </c>
      <c r="I629" s="5">
        <v>17.3913585915835</v>
      </c>
      <c r="J629" s="5">
        <v>0.0905589421212619</v>
      </c>
      <c r="K629" s="5">
        <v>0.0905589421212619</v>
      </c>
      <c r="L629" s="5">
        <v>0.0905589421212619</v>
      </c>
      <c r="M629" s="5">
        <v>17.3007996494623</v>
      </c>
      <c r="N629" s="5">
        <v>17.3007996494623</v>
      </c>
      <c r="O629" s="5">
        <v>17.3007996494623</v>
      </c>
      <c r="P629" s="5">
        <v>0.0</v>
      </c>
      <c r="Q629" s="5">
        <v>0.0</v>
      </c>
      <c r="R629" s="5">
        <v>0.0</v>
      </c>
      <c r="S629" s="5">
        <v>30.5100041391225</v>
      </c>
    </row>
    <row r="630">
      <c r="A630" s="6">
        <v>41269.0</v>
      </c>
      <c r="B630" s="5">
        <v>13.1919679188507</v>
      </c>
      <c r="C630" s="5">
        <v>-26.7531518616091</v>
      </c>
      <c r="D630" s="5">
        <v>100.70965976169</v>
      </c>
      <c r="E630" s="5">
        <v>13.1919679188507</v>
      </c>
      <c r="F630" s="5">
        <v>13.1919679188507</v>
      </c>
      <c r="G630" s="5">
        <v>19.2984549257317</v>
      </c>
      <c r="H630" s="5">
        <v>19.2984549257317</v>
      </c>
      <c r="I630" s="5">
        <v>19.2984549257317</v>
      </c>
      <c r="J630" s="5">
        <v>0.00703780528070893</v>
      </c>
      <c r="K630" s="5">
        <v>0.00703780528070893</v>
      </c>
      <c r="L630" s="5">
        <v>0.00703780528070893</v>
      </c>
      <c r="M630" s="5">
        <v>19.291417120451</v>
      </c>
      <c r="N630" s="5">
        <v>19.291417120451</v>
      </c>
      <c r="O630" s="5">
        <v>19.291417120451</v>
      </c>
      <c r="P630" s="5">
        <v>0.0</v>
      </c>
      <c r="Q630" s="5">
        <v>0.0</v>
      </c>
      <c r="R630" s="5">
        <v>0.0</v>
      </c>
      <c r="S630" s="5">
        <v>32.4904228445825</v>
      </c>
    </row>
    <row r="631">
      <c r="A631" s="6">
        <v>41270.0</v>
      </c>
      <c r="B631" s="5">
        <v>13.2286291045066</v>
      </c>
      <c r="C631" s="5">
        <v>-35.2013205609607</v>
      </c>
      <c r="D631" s="5">
        <v>90.3844816222483</v>
      </c>
      <c r="E631" s="5">
        <v>13.2286291045066</v>
      </c>
      <c r="F631" s="5">
        <v>13.2286291045066</v>
      </c>
      <c r="G631" s="5">
        <v>19.6162097693525</v>
      </c>
      <c r="H631" s="5">
        <v>19.6162097693525</v>
      </c>
      <c r="I631" s="5">
        <v>19.6162097693525</v>
      </c>
      <c r="J631" s="5">
        <v>-0.776422525901518</v>
      </c>
      <c r="K631" s="5">
        <v>-0.776422525901518</v>
      </c>
      <c r="L631" s="5">
        <v>-0.776422525901518</v>
      </c>
      <c r="M631" s="5">
        <v>20.392632295254</v>
      </c>
      <c r="N631" s="5">
        <v>20.392632295254</v>
      </c>
      <c r="O631" s="5">
        <v>20.392632295254</v>
      </c>
      <c r="P631" s="5">
        <v>0.0</v>
      </c>
      <c r="Q631" s="5">
        <v>0.0</v>
      </c>
      <c r="R631" s="5">
        <v>0.0</v>
      </c>
      <c r="S631" s="5">
        <v>32.8448388738592</v>
      </c>
    </row>
    <row r="632">
      <c r="A632" s="6">
        <v>41271.0</v>
      </c>
      <c r="B632" s="5">
        <v>13.2652902901625</v>
      </c>
      <c r="C632" s="5">
        <v>-29.7529180440435</v>
      </c>
      <c r="D632" s="5">
        <v>98.3218079706577</v>
      </c>
      <c r="E632" s="5">
        <v>13.2652902901625</v>
      </c>
      <c r="F632" s="5">
        <v>13.2652902901625</v>
      </c>
      <c r="G632" s="5">
        <v>19.9474986615626</v>
      </c>
      <c r="H632" s="5">
        <v>19.9474986615626</v>
      </c>
      <c r="I632" s="5">
        <v>19.9474986615626</v>
      </c>
      <c r="J632" s="5">
        <v>-1.59155056649506</v>
      </c>
      <c r="K632" s="5">
        <v>-1.59155056649506</v>
      </c>
      <c r="L632" s="5">
        <v>-1.59155056649506</v>
      </c>
      <c r="M632" s="5">
        <v>21.5390492280577</v>
      </c>
      <c r="N632" s="5">
        <v>21.5390492280577</v>
      </c>
      <c r="O632" s="5">
        <v>21.5390492280577</v>
      </c>
      <c r="P632" s="5">
        <v>0.0</v>
      </c>
      <c r="Q632" s="5">
        <v>0.0</v>
      </c>
      <c r="R632" s="5">
        <v>0.0</v>
      </c>
      <c r="S632" s="5">
        <v>33.2127889517252</v>
      </c>
    </row>
    <row r="633">
      <c r="A633" s="6">
        <v>41274.0</v>
      </c>
      <c r="B633" s="5">
        <v>13.3752738471302</v>
      </c>
      <c r="C633" s="5">
        <v>-22.0115363334917</v>
      </c>
      <c r="D633" s="5">
        <v>99.9196329290324</v>
      </c>
      <c r="E633" s="5">
        <v>13.3752738471302</v>
      </c>
      <c r="F633" s="5">
        <v>13.3752738471302</v>
      </c>
      <c r="G633" s="5">
        <v>25.1266197911875</v>
      </c>
      <c r="H633" s="5">
        <v>25.1266197911875</v>
      </c>
      <c r="I633" s="5">
        <v>25.1266197911875</v>
      </c>
      <c r="J633" s="5">
        <v>0.0905589421222084</v>
      </c>
      <c r="K633" s="5">
        <v>0.0905589421222084</v>
      </c>
      <c r="L633" s="5">
        <v>0.0905589421222084</v>
      </c>
      <c r="M633" s="5">
        <v>25.0360608490653</v>
      </c>
      <c r="N633" s="5">
        <v>25.0360608490653</v>
      </c>
      <c r="O633" s="5">
        <v>25.0360608490653</v>
      </c>
      <c r="P633" s="5">
        <v>0.0</v>
      </c>
      <c r="Q633" s="5">
        <v>0.0</v>
      </c>
      <c r="R633" s="5">
        <v>0.0</v>
      </c>
      <c r="S633" s="5">
        <v>38.5018936383178</v>
      </c>
    </row>
    <row r="634">
      <c r="A634" s="6">
        <v>41276.0</v>
      </c>
      <c r="B634" s="5">
        <v>13.448596218442</v>
      </c>
      <c r="C634" s="5">
        <v>-22.1539163899518</v>
      </c>
      <c r="D634" s="5">
        <v>101.021480327372</v>
      </c>
      <c r="E634" s="5">
        <v>13.448596218442</v>
      </c>
      <c r="F634" s="5">
        <v>13.448596218442</v>
      </c>
      <c r="G634" s="5">
        <v>27.201914361944</v>
      </c>
      <c r="H634" s="5">
        <v>27.201914361944</v>
      </c>
      <c r="I634" s="5">
        <v>27.201914361944</v>
      </c>
      <c r="J634" s="5">
        <v>0.00703780528084778</v>
      </c>
      <c r="K634" s="5">
        <v>0.00703780528084778</v>
      </c>
      <c r="L634" s="5">
        <v>0.00703780528084778</v>
      </c>
      <c r="M634" s="5">
        <v>27.1948765566632</v>
      </c>
      <c r="N634" s="5">
        <v>27.1948765566632</v>
      </c>
      <c r="O634" s="5">
        <v>27.1948765566632</v>
      </c>
      <c r="P634" s="5">
        <v>0.0</v>
      </c>
      <c r="Q634" s="5">
        <v>0.0</v>
      </c>
      <c r="R634" s="5">
        <v>0.0</v>
      </c>
      <c r="S634" s="5">
        <v>40.6505105803861</v>
      </c>
    </row>
    <row r="635">
      <c r="A635" s="6">
        <v>41277.0</v>
      </c>
      <c r="B635" s="5">
        <v>13.4852574040979</v>
      </c>
      <c r="C635" s="5">
        <v>-19.4993947744307</v>
      </c>
      <c r="D635" s="5">
        <v>105.198117665951</v>
      </c>
      <c r="E635" s="5">
        <v>13.4852574040979</v>
      </c>
      <c r="F635" s="5">
        <v>13.4852574040979</v>
      </c>
      <c r="G635" s="5">
        <v>27.3821394722073</v>
      </c>
      <c r="H635" s="5">
        <v>27.3821394722073</v>
      </c>
      <c r="I635" s="5">
        <v>27.3821394722073</v>
      </c>
      <c r="J635" s="5">
        <v>-0.776422525903615</v>
      </c>
      <c r="K635" s="5">
        <v>-0.776422525903615</v>
      </c>
      <c r="L635" s="5">
        <v>-0.776422525903615</v>
      </c>
      <c r="M635" s="5">
        <v>28.1585619981109</v>
      </c>
      <c r="N635" s="5">
        <v>28.1585619981109</v>
      </c>
      <c r="O635" s="5">
        <v>28.1585619981109</v>
      </c>
      <c r="P635" s="5">
        <v>0.0</v>
      </c>
      <c r="Q635" s="5">
        <v>0.0</v>
      </c>
      <c r="R635" s="5">
        <v>0.0</v>
      </c>
      <c r="S635" s="5">
        <v>40.8673968763052</v>
      </c>
    </row>
    <row r="636">
      <c r="A636" s="6">
        <v>41278.0</v>
      </c>
      <c r="B636" s="5">
        <v>13.5219185897538</v>
      </c>
      <c r="C636" s="5">
        <v>-22.0539207347859</v>
      </c>
      <c r="D636" s="5">
        <v>104.26699041635</v>
      </c>
      <c r="E636" s="5">
        <v>13.5219185897538</v>
      </c>
      <c r="F636" s="5">
        <v>13.5219185897538</v>
      </c>
      <c r="G636" s="5">
        <v>27.4280256344193</v>
      </c>
      <c r="H636" s="5">
        <v>27.4280256344193</v>
      </c>
      <c r="I636" s="5">
        <v>27.4280256344193</v>
      </c>
      <c r="J636" s="5">
        <v>-1.59155056649413</v>
      </c>
      <c r="K636" s="5">
        <v>-1.59155056649413</v>
      </c>
      <c r="L636" s="5">
        <v>-1.59155056649413</v>
      </c>
      <c r="M636" s="5">
        <v>29.0195762009135</v>
      </c>
      <c r="N636" s="5">
        <v>29.0195762009135</v>
      </c>
      <c r="O636" s="5">
        <v>29.0195762009135</v>
      </c>
      <c r="P636" s="5">
        <v>0.0</v>
      </c>
      <c r="Q636" s="5">
        <v>0.0</v>
      </c>
      <c r="R636" s="5">
        <v>0.0</v>
      </c>
      <c r="S636" s="5">
        <v>40.9499442241732</v>
      </c>
    </row>
    <row r="637">
      <c r="A637" s="6">
        <v>41281.0</v>
      </c>
      <c r="B637" s="5">
        <v>13.6319021467215</v>
      </c>
      <c r="C637" s="5">
        <v>-17.0351578022504</v>
      </c>
      <c r="D637" s="5">
        <v>105.800976106299</v>
      </c>
      <c r="E637" s="5">
        <v>13.6319021467215</v>
      </c>
      <c r="F637" s="5">
        <v>13.6319021467215</v>
      </c>
      <c r="G637" s="5">
        <v>30.9235043956989</v>
      </c>
      <c r="H637" s="5">
        <v>30.9235043956989</v>
      </c>
      <c r="I637" s="5">
        <v>30.9235043956989</v>
      </c>
      <c r="J637" s="5">
        <v>0.0905589421208511</v>
      </c>
      <c r="K637" s="5">
        <v>0.0905589421208511</v>
      </c>
      <c r="L637" s="5">
        <v>0.0905589421208511</v>
      </c>
      <c r="M637" s="5">
        <v>30.832945453578</v>
      </c>
      <c r="N637" s="5">
        <v>30.832945453578</v>
      </c>
      <c r="O637" s="5">
        <v>30.832945453578</v>
      </c>
      <c r="P637" s="5">
        <v>0.0</v>
      </c>
      <c r="Q637" s="5">
        <v>0.0</v>
      </c>
      <c r="R637" s="5">
        <v>0.0</v>
      </c>
      <c r="S637" s="5">
        <v>44.5554065424205</v>
      </c>
    </row>
    <row r="638">
      <c r="A638" s="6">
        <v>41282.0</v>
      </c>
      <c r="B638" s="5">
        <v>13.6685633323774</v>
      </c>
      <c r="C638" s="5">
        <v>-17.1163557376819</v>
      </c>
      <c r="D638" s="5">
        <v>106.090151587397</v>
      </c>
      <c r="E638" s="5">
        <v>13.6685633323774</v>
      </c>
      <c r="F638" s="5">
        <v>13.6685633323774</v>
      </c>
      <c r="G638" s="5">
        <v>30.9991999722486</v>
      </c>
      <c r="H638" s="5">
        <v>30.9991999722486</v>
      </c>
      <c r="I638" s="5">
        <v>30.9991999722486</v>
      </c>
      <c r="J638" s="5">
        <v>-0.144118857245632</v>
      </c>
      <c r="K638" s="5">
        <v>-0.144118857245632</v>
      </c>
      <c r="L638" s="5">
        <v>-0.144118857245632</v>
      </c>
      <c r="M638" s="5">
        <v>31.1433188294943</v>
      </c>
      <c r="N638" s="5">
        <v>31.1433188294943</v>
      </c>
      <c r="O638" s="5">
        <v>31.1433188294943</v>
      </c>
      <c r="P638" s="5">
        <v>0.0</v>
      </c>
      <c r="Q638" s="5">
        <v>0.0</v>
      </c>
      <c r="R638" s="5">
        <v>0.0</v>
      </c>
      <c r="S638" s="5">
        <v>44.6677633046261</v>
      </c>
    </row>
    <row r="639">
      <c r="A639" s="6">
        <v>41283.0</v>
      </c>
      <c r="B639" s="5">
        <v>13.7052245180333</v>
      </c>
      <c r="C639" s="5">
        <v>-19.1254294898496</v>
      </c>
      <c r="D639" s="5">
        <v>106.231031811738</v>
      </c>
      <c r="E639" s="5">
        <v>13.7052245180333</v>
      </c>
      <c r="F639" s="5">
        <v>13.7052245180333</v>
      </c>
      <c r="G639" s="5">
        <v>31.3026760257996</v>
      </c>
      <c r="H639" s="5">
        <v>31.3026760257996</v>
      </c>
      <c r="I639" s="5">
        <v>31.3026760257996</v>
      </c>
      <c r="J639" s="5">
        <v>0.00703780528215888</v>
      </c>
      <c r="K639" s="5">
        <v>0.00703780528215888</v>
      </c>
      <c r="L639" s="5">
        <v>0.00703780528215888</v>
      </c>
      <c r="M639" s="5">
        <v>31.2956382205175</v>
      </c>
      <c r="N639" s="5">
        <v>31.2956382205175</v>
      </c>
      <c r="O639" s="5">
        <v>31.2956382205175</v>
      </c>
      <c r="P639" s="5">
        <v>0.0</v>
      </c>
      <c r="Q639" s="5">
        <v>0.0</v>
      </c>
      <c r="R639" s="5">
        <v>0.0</v>
      </c>
      <c r="S639" s="5">
        <v>45.007900543833</v>
      </c>
    </row>
    <row r="640">
      <c r="A640" s="6">
        <v>41284.0</v>
      </c>
      <c r="B640" s="5">
        <v>13.7418857036892</v>
      </c>
      <c r="C640" s="5">
        <v>-22.5650691175248</v>
      </c>
      <c r="D640" s="5">
        <v>106.304723039447</v>
      </c>
      <c r="E640" s="5">
        <v>13.7418857036892</v>
      </c>
      <c r="F640" s="5">
        <v>13.7418857036892</v>
      </c>
      <c r="G640" s="5">
        <v>30.5118444618927</v>
      </c>
      <c r="H640" s="5">
        <v>30.5118444618927</v>
      </c>
      <c r="I640" s="5">
        <v>30.5118444618927</v>
      </c>
      <c r="J640" s="5">
        <v>-0.776422525904337</v>
      </c>
      <c r="K640" s="5">
        <v>-0.776422525904337</v>
      </c>
      <c r="L640" s="5">
        <v>-0.776422525904337</v>
      </c>
      <c r="M640" s="5">
        <v>31.2882669877971</v>
      </c>
      <c r="N640" s="5">
        <v>31.2882669877971</v>
      </c>
      <c r="O640" s="5">
        <v>31.2882669877971</v>
      </c>
      <c r="P640" s="5">
        <v>0.0</v>
      </c>
      <c r="Q640" s="5">
        <v>0.0</v>
      </c>
      <c r="R640" s="5">
        <v>0.0</v>
      </c>
      <c r="S640" s="5">
        <v>44.253730165582</v>
      </c>
    </row>
    <row r="641">
      <c r="A641" s="6">
        <v>41285.0</v>
      </c>
      <c r="B641" s="5">
        <v>13.7785468893451</v>
      </c>
      <c r="C641" s="5">
        <v>-19.4985553671575</v>
      </c>
      <c r="D641" s="5">
        <v>106.212587275645</v>
      </c>
      <c r="E641" s="5">
        <v>13.7785468893451</v>
      </c>
      <c r="F641" s="5">
        <v>13.7785468893451</v>
      </c>
      <c r="G641" s="5">
        <v>29.5313868985726</v>
      </c>
      <c r="H641" s="5">
        <v>29.5313868985726</v>
      </c>
      <c r="I641" s="5">
        <v>29.5313868985726</v>
      </c>
      <c r="J641" s="5">
        <v>-1.59155056649289</v>
      </c>
      <c r="K641" s="5">
        <v>-1.59155056649289</v>
      </c>
      <c r="L641" s="5">
        <v>-1.59155056649289</v>
      </c>
      <c r="M641" s="5">
        <v>31.1229374650655</v>
      </c>
      <c r="N641" s="5">
        <v>31.1229374650655</v>
      </c>
      <c r="O641" s="5">
        <v>31.1229374650655</v>
      </c>
      <c r="P641" s="5">
        <v>0.0</v>
      </c>
      <c r="Q641" s="5">
        <v>0.0</v>
      </c>
      <c r="R641" s="5">
        <v>0.0</v>
      </c>
      <c r="S641" s="5">
        <v>43.3099337879177</v>
      </c>
    </row>
    <row r="642">
      <c r="A642" s="6">
        <v>41288.0</v>
      </c>
      <c r="B642" s="5">
        <v>13.8885304463128</v>
      </c>
      <c r="C642" s="5">
        <v>-19.9865892179272</v>
      </c>
      <c r="D642" s="5">
        <v>105.309955101756</v>
      </c>
      <c r="E642" s="5">
        <v>13.8885304463128</v>
      </c>
      <c r="F642" s="5">
        <v>13.8885304463128</v>
      </c>
      <c r="G642" s="5">
        <v>29.8354147332498</v>
      </c>
      <c r="H642" s="5">
        <v>29.8354147332498</v>
      </c>
      <c r="I642" s="5">
        <v>29.8354147332498</v>
      </c>
      <c r="J642" s="5">
        <v>0.0905589421218776</v>
      </c>
      <c r="K642" s="5">
        <v>0.0905589421218776</v>
      </c>
      <c r="L642" s="5">
        <v>0.0905589421218776</v>
      </c>
      <c r="M642" s="5">
        <v>29.7448557911279</v>
      </c>
      <c r="N642" s="5">
        <v>29.7448557911279</v>
      </c>
      <c r="O642" s="5">
        <v>29.7448557911279</v>
      </c>
      <c r="P642" s="5">
        <v>0.0</v>
      </c>
      <c r="Q642" s="5">
        <v>0.0</v>
      </c>
      <c r="R642" s="5">
        <v>0.0</v>
      </c>
      <c r="S642" s="5">
        <v>43.7239451795627</v>
      </c>
    </row>
    <row r="643">
      <c r="A643" s="6">
        <v>41289.0</v>
      </c>
      <c r="B643" s="5">
        <v>13.9251916319687</v>
      </c>
      <c r="C643" s="5">
        <v>-24.5269979784421</v>
      </c>
      <c r="D643" s="5">
        <v>106.979534726325</v>
      </c>
      <c r="E643" s="5">
        <v>13.9251916319687</v>
      </c>
      <c r="F643" s="5">
        <v>13.9251916319687</v>
      </c>
      <c r="G643" s="5">
        <v>28.8838388630038</v>
      </c>
      <c r="H643" s="5">
        <v>28.8838388630038</v>
      </c>
      <c r="I643" s="5">
        <v>28.8838388630038</v>
      </c>
      <c r="J643" s="5">
        <v>-0.144118857244544</v>
      </c>
      <c r="K643" s="5">
        <v>-0.144118857244544</v>
      </c>
      <c r="L643" s="5">
        <v>-0.144118857244544</v>
      </c>
      <c r="M643" s="5">
        <v>29.0279577202483</v>
      </c>
      <c r="N643" s="5">
        <v>29.0279577202483</v>
      </c>
      <c r="O643" s="5">
        <v>29.0279577202483</v>
      </c>
      <c r="P643" s="5">
        <v>0.0</v>
      </c>
      <c r="Q643" s="5">
        <v>0.0</v>
      </c>
      <c r="R643" s="5">
        <v>0.0</v>
      </c>
      <c r="S643" s="5">
        <v>42.8090304949726</v>
      </c>
    </row>
    <row r="644">
      <c r="A644" s="6">
        <v>41290.0</v>
      </c>
      <c r="B644" s="5">
        <v>13.9618528176246</v>
      </c>
      <c r="C644" s="5">
        <v>-21.0094006240536</v>
      </c>
      <c r="D644" s="5">
        <v>107.283748743218</v>
      </c>
      <c r="E644" s="5">
        <v>13.9618528176246</v>
      </c>
      <c r="F644" s="5">
        <v>13.9618528176246</v>
      </c>
      <c r="G644" s="5">
        <v>28.2137790026703</v>
      </c>
      <c r="H644" s="5">
        <v>28.2137790026703</v>
      </c>
      <c r="I644" s="5">
        <v>28.2137790026703</v>
      </c>
      <c r="J644" s="5">
        <v>0.00703780528346995</v>
      </c>
      <c r="K644" s="5">
        <v>0.00703780528346995</v>
      </c>
      <c r="L644" s="5">
        <v>0.00703780528346995</v>
      </c>
      <c r="M644" s="5">
        <v>28.2067411973868</v>
      </c>
      <c r="N644" s="5">
        <v>28.2067411973868</v>
      </c>
      <c r="O644" s="5">
        <v>28.2067411973868</v>
      </c>
      <c r="P644" s="5">
        <v>0.0</v>
      </c>
      <c r="Q644" s="5">
        <v>0.0</v>
      </c>
      <c r="R644" s="5">
        <v>0.0</v>
      </c>
      <c r="S644" s="5">
        <v>42.1756318202949</v>
      </c>
    </row>
    <row r="645">
      <c r="A645" s="6">
        <v>41291.0</v>
      </c>
      <c r="B645" s="5">
        <v>13.9985140032805</v>
      </c>
      <c r="C645" s="5">
        <v>-18.9907074881251</v>
      </c>
      <c r="D645" s="5">
        <v>101.569298359768</v>
      </c>
      <c r="E645" s="5">
        <v>13.9985140032805</v>
      </c>
      <c r="F645" s="5">
        <v>13.9985140032805</v>
      </c>
      <c r="G645" s="5">
        <v>26.5223370245992</v>
      </c>
      <c r="H645" s="5">
        <v>26.5223370245992</v>
      </c>
      <c r="I645" s="5">
        <v>26.5223370245992</v>
      </c>
      <c r="J645" s="5">
        <v>-0.776422525905059</v>
      </c>
      <c r="K645" s="5">
        <v>-0.776422525905059</v>
      </c>
      <c r="L645" s="5">
        <v>-0.776422525905059</v>
      </c>
      <c r="M645" s="5">
        <v>27.2987595505043</v>
      </c>
      <c r="N645" s="5">
        <v>27.2987595505043</v>
      </c>
      <c r="O645" s="5">
        <v>27.2987595505043</v>
      </c>
      <c r="P645" s="5">
        <v>0.0</v>
      </c>
      <c r="Q645" s="5">
        <v>0.0</v>
      </c>
      <c r="R645" s="5">
        <v>0.0</v>
      </c>
      <c r="S645" s="5">
        <v>40.5208510278798</v>
      </c>
    </row>
    <row r="646">
      <c r="A646" s="6">
        <v>41292.0</v>
      </c>
      <c r="B646" s="5">
        <v>14.0351751889364</v>
      </c>
      <c r="C646" s="5">
        <v>-21.8802321192787</v>
      </c>
      <c r="D646" s="5">
        <v>99.8961484348201</v>
      </c>
      <c r="E646" s="5">
        <v>14.0351751889364</v>
      </c>
      <c r="F646" s="5">
        <v>14.0351751889364</v>
      </c>
      <c r="G646" s="5">
        <v>24.7312848283041</v>
      </c>
      <c r="H646" s="5">
        <v>24.7312848283041</v>
      </c>
      <c r="I646" s="5">
        <v>24.7312848283041</v>
      </c>
      <c r="J646" s="5">
        <v>-1.59155056649503</v>
      </c>
      <c r="K646" s="5">
        <v>-1.59155056649503</v>
      </c>
      <c r="L646" s="5">
        <v>-1.59155056649503</v>
      </c>
      <c r="M646" s="5">
        <v>26.3228353947992</v>
      </c>
      <c r="N646" s="5">
        <v>26.3228353947992</v>
      </c>
      <c r="O646" s="5">
        <v>26.3228353947992</v>
      </c>
      <c r="P646" s="5">
        <v>0.0</v>
      </c>
      <c r="Q646" s="5">
        <v>0.0</v>
      </c>
      <c r="R646" s="5">
        <v>0.0</v>
      </c>
      <c r="S646" s="5">
        <v>38.7664600172406</v>
      </c>
    </row>
    <row r="647">
      <c r="A647" s="6">
        <v>41296.0</v>
      </c>
      <c r="B647" s="5">
        <v>14.18181993156</v>
      </c>
      <c r="C647" s="5">
        <v>-26.1402219126406</v>
      </c>
      <c r="D647" s="5">
        <v>95.9638445070738</v>
      </c>
      <c r="E647" s="5">
        <v>14.18181993156</v>
      </c>
      <c r="F647" s="5">
        <v>14.18181993156</v>
      </c>
      <c r="G647" s="5">
        <v>21.987464243376</v>
      </c>
      <c r="H647" s="5">
        <v>21.987464243376</v>
      </c>
      <c r="I647" s="5">
        <v>21.987464243376</v>
      </c>
      <c r="J647" s="5">
        <v>-0.14411885724598</v>
      </c>
      <c r="K647" s="5">
        <v>-0.14411885724598</v>
      </c>
      <c r="L647" s="5">
        <v>-0.14411885724598</v>
      </c>
      <c r="M647" s="5">
        <v>22.131583100622</v>
      </c>
      <c r="N647" s="5">
        <v>22.131583100622</v>
      </c>
      <c r="O647" s="5">
        <v>22.131583100622</v>
      </c>
      <c r="P647" s="5">
        <v>0.0</v>
      </c>
      <c r="Q647" s="5">
        <v>0.0</v>
      </c>
      <c r="R647" s="5">
        <v>0.0</v>
      </c>
      <c r="S647" s="5">
        <v>36.169284174936</v>
      </c>
    </row>
    <row r="648">
      <c r="A648" s="6">
        <v>41297.0</v>
      </c>
      <c r="B648" s="5">
        <v>14.2184811172159</v>
      </c>
      <c r="C648" s="5">
        <v>-25.306240603085</v>
      </c>
      <c r="D648" s="5">
        <v>97.7115670643555</v>
      </c>
      <c r="E648" s="5">
        <v>14.2184811172159</v>
      </c>
      <c r="F648" s="5">
        <v>14.2184811172159</v>
      </c>
      <c r="G648" s="5">
        <v>21.1133982721692</v>
      </c>
      <c r="H648" s="5">
        <v>21.1133982721692</v>
      </c>
      <c r="I648" s="5">
        <v>21.1133982721692</v>
      </c>
      <c r="J648" s="5">
        <v>0.00703780528360886</v>
      </c>
      <c r="K648" s="5">
        <v>0.00703780528360886</v>
      </c>
      <c r="L648" s="5">
        <v>0.00703780528360886</v>
      </c>
      <c r="M648" s="5">
        <v>21.1063604668856</v>
      </c>
      <c r="N648" s="5">
        <v>21.1063604668856</v>
      </c>
      <c r="O648" s="5">
        <v>21.1063604668856</v>
      </c>
      <c r="P648" s="5">
        <v>0.0</v>
      </c>
      <c r="Q648" s="5">
        <v>0.0</v>
      </c>
      <c r="R648" s="5">
        <v>0.0</v>
      </c>
      <c r="S648" s="5">
        <v>35.3318793893852</v>
      </c>
    </row>
    <row r="649">
      <c r="A649" s="6">
        <v>41298.0</v>
      </c>
      <c r="B649" s="5">
        <v>14.2551423028718</v>
      </c>
      <c r="C649" s="5">
        <v>-31.3281018759232</v>
      </c>
      <c r="D649" s="5">
        <v>94.736234502814</v>
      </c>
      <c r="E649" s="5">
        <v>14.2551423028718</v>
      </c>
      <c r="F649" s="5">
        <v>14.2551423028718</v>
      </c>
      <c r="G649" s="5">
        <v>19.3473448790706</v>
      </c>
      <c r="H649" s="5">
        <v>19.3473448790706</v>
      </c>
      <c r="I649" s="5">
        <v>19.3473448790706</v>
      </c>
      <c r="J649" s="5">
        <v>-0.776422525900081</v>
      </c>
      <c r="K649" s="5">
        <v>-0.776422525900081</v>
      </c>
      <c r="L649" s="5">
        <v>-0.776422525900081</v>
      </c>
      <c r="M649" s="5">
        <v>20.1237674049707</v>
      </c>
      <c r="N649" s="5">
        <v>20.1237674049707</v>
      </c>
      <c r="O649" s="5">
        <v>20.1237674049707</v>
      </c>
      <c r="P649" s="5">
        <v>0.0</v>
      </c>
      <c r="Q649" s="5">
        <v>0.0</v>
      </c>
      <c r="R649" s="5">
        <v>0.0</v>
      </c>
      <c r="S649" s="5">
        <v>33.6024871819425</v>
      </c>
    </row>
    <row r="650">
      <c r="A650" s="6">
        <v>41299.0</v>
      </c>
      <c r="B650" s="5">
        <v>14.2918034885277</v>
      </c>
      <c r="C650" s="5">
        <v>-30.4183834947446</v>
      </c>
      <c r="D650" s="5">
        <v>91.9158636169326</v>
      </c>
      <c r="E650" s="5">
        <v>14.2918034885277</v>
      </c>
      <c r="F650" s="5">
        <v>14.2918034885277</v>
      </c>
      <c r="G650" s="5">
        <v>17.6056972039621</v>
      </c>
      <c r="H650" s="5">
        <v>17.6056972039621</v>
      </c>
      <c r="I650" s="5">
        <v>17.6056972039621</v>
      </c>
      <c r="J650" s="5">
        <v>-1.59155056649379</v>
      </c>
      <c r="K650" s="5">
        <v>-1.59155056649379</v>
      </c>
      <c r="L650" s="5">
        <v>-1.59155056649379</v>
      </c>
      <c r="M650" s="5">
        <v>19.1972477704559</v>
      </c>
      <c r="N650" s="5">
        <v>19.1972477704559</v>
      </c>
      <c r="O650" s="5">
        <v>19.1972477704559</v>
      </c>
      <c r="P650" s="5">
        <v>0.0</v>
      </c>
      <c r="Q650" s="5">
        <v>0.0</v>
      </c>
      <c r="R650" s="5">
        <v>0.0</v>
      </c>
      <c r="S650" s="5">
        <v>31.8975006924899</v>
      </c>
    </row>
    <row r="651">
      <c r="A651" s="6">
        <v>41302.0</v>
      </c>
      <c r="B651" s="5">
        <v>14.4017870454954</v>
      </c>
      <c r="C651" s="5">
        <v>-32.9277268978825</v>
      </c>
      <c r="D651" s="5">
        <v>100.111808254252</v>
      </c>
      <c r="E651" s="5">
        <v>14.4017870454954</v>
      </c>
      <c r="F651" s="5">
        <v>14.4017870454954</v>
      </c>
      <c r="G651" s="5">
        <v>16.9400063810146</v>
      </c>
      <c r="H651" s="5">
        <v>16.9400063810146</v>
      </c>
      <c r="I651" s="5">
        <v>16.9400063810146</v>
      </c>
      <c r="J651" s="5">
        <v>0.0905589421238505</v>
      </c>
      <c r="K651" s="5">
        <v>0.0905589421238505</v>
      </c>
      <c r="L651" s="5">
        <v>0.0905589421238505</v>
      </c>
      <c r="M651" s="5">
        <v>16.8494474388907</v>
      </c>
      <c r="N651" s="5">
        <v>16.8494474388907</v>
      </c>
      <c r="O651" s="5">
        <v>16.8494474388907</v>
      </c>
      <c r="P651" s="5">
        <v>0.0</v>
      </c>
      <c r="Q651" s="5">
        <v>0.0</v>
      </c>
      <c r="R651" s="5">
        <v>0.0</v>
      </c>
      <c r="S651" s="5">
        <v>31.34179342651</v>
      </c>
    </row>
    <row r="652">
      <c r="A652" s="6">
        <v>41303.0</v>
      </c>
      <c r="B652" s="5">
        <v>14.4384482311513</v>
      </c>
      <c r="C652" s="5">
        <v>-29.4728844307813</v>
      </c>
      <c r="D652" s="5">
        <v>89.8980627435143</v>
      </c>
      <c r="E652" s="5">
        <v>14.4384482311513</v>
      </c>
      <c r="F652" s="5">
        <v>14.4384482311513</v>
      </c>
      <c r="G652" s="5">
        <v>16.0838744689478</v>
      </c>
      <c r="H652" s="5">
        <v>16.0838744689478</v>
      </c>
      <c r="I652" s="5">
        <v>16.0838744689478</v>
      </c>
      <c r="J652" s="5">
        <v>-0.144118857243782</v>
      </c>
      <c r="K652" s="5">
        <v>-0.144118857243782</v>
      </c>
      <c r="L652" s="5">
        <v>-0.144118857243782</v>
      </c>
      <c r="M652" s="5">
        <v>16.2279933261916</v>
      </c>
      <c r="N652" s="5">
        <v>16.2279933261916</v>
      </c>
      <c r="O652" s="5">
        <v>16.2279933261916</v>
      </c>
      <c r="P652" s="5">
        <v>0.0</v>
      </c>
      <c r="Q652" s="5">
        <v>0.0</v>
      </c>
      <c r="R652" s="5">
        <v>0.0</v>
      </c>
      <c r="S652" s="5">
        <v>30.5223227000992</v>
      </c>
    </row>
    <row r="653">
      <c r="A653" s="6">
        <v>41304.0</v>
      </c>
      <c r="B653" s="5">
        <v>14.4751094168072</v>
      </c>
      <c r="C653" s="5">
        <v>-35.4550005015466</v>
      </c>
      <c r="D653" s="5">
        <v>95.9579479461689</v>
      </c>
      <c r="E653" s="5">
        <v>14.4751094168072</v>
      </c>
      <c r="F653" s="5">
        <v>14.4751094168072</v>
      </c>
      <c r="G653" s="5">
        <v>15.6951196432003</v>
      </c>
      <c r="H653" s="5">
        <v>15.6951196432003</v>
      </c>
      <c r="I653" s="5">
        <v>15.6951196432003</v>
      </c>
      <c r="J653" s="5">
        <v>0.00703780528275637</v>
      </c>
      <c r="K653" s="5">
        <v>0.00703780528275637</v>
      </c>
      <c r="L653" s="5">
        <v>0.00703780528275637</v>
      </c>
      <c r="M653" s="5">
        <v>15.6880818379175</v>
      </c>
      <c r="N653" s="5">
        <v>15.6880818379175</v>
      </c>
      <c r="O653" s="5">
        <v>15.6880818379175</v>
      </c>
      <c r="P653" s="5">
        <v>0.0</v>
      </c>
      <c r="Q653" s="5">
        <v>0.0</v>
      </c>
      <c r="R653" s="5">
        <v>0.0</v>
      </c>
      <c r="S653" s="5">
        <v>30.1702290600075</v>
      </c>
    </row>
    <row r="654">
      <c r="A654" s="6">
        <v>41305.0</v>
      </c>
      <c r="B654" s="5">
        <v>14.5117706024631</v>
      </c>
      <c r="C654" s="5">
        <v>-32.4792220981836</v>
      </c>
      <c r="D654" s="5">
        <v>95.8400769730778</v>
      </c>
      <c r="E654" s="5">
        <v>14.5117706024631</v>
      </c>
      <c r="F654" s="5">
        <v>14.5117706024631</v>
      </c>
      <c r="G654" s="5">
        <v>14.4493024792155</v>
      </c>
      <c r="H654" s="5">
        <v>14.4493024792155</v>
      </c>
      <c r="I654" s="5">
        <v>14.4493024792155</v>
      </c>
      <c r="J654" s="5">
        <v>-0.776422525900803</v>
      </c>
      <c r="K654" s="5">
        <v>-0.776422525900803</v>
      </c>
      <c r="L654" s="5">
        <v>-0.776422525900803</v>
      </c>
      <c r="M654" s="5">
        <v>15.2257250051163</v>
      </c>
      <c r="N654" s="5">
        <v>15.2257250051163</v>
      </c>
      <c r="O654" s="5">
        <v>15.2257250051163</v>
      </c>
      <c r="P654" s="5">
        <v>0.0</v>
      </c>
      <c r="Q654" s="5">
        <v>0.0</v>
      </c>
      <c r="R654" s="5">
        <v>0.0</v>
      </c>
      <c r="S654" s="5">
        <v>28.9610730816787</v>
      </c>
    </row>
    <row r="655">
      <c r="A655" s="6">
        <v>41306.0</v>
      </c>
      <c r="B655" s="5">
        <v>14.548431788119</v>
      </c>
      <c r="C655" s="5">
        <v>-32.6712464658629</v>
      </c>
      <c r="D655" s="5">
        <v>86.4543338958059</v>
      </c>
      <c r="E655" s="5">
        <v>14.548431788119</v>
      </c>
      <c r="F655" s="5">
        <v>14.548431788119</v>
      </c>
      <c r="G655" s="5">
        <v>13.2425070386222</v>
      </c>
      <c r="H655" s="5">
        <v>13.2425070386222</v>
      </c>
      <c r="I655" s="5">
        <v>13.2425070386222</v>
      </c>
      <c r="J655" s="5">
        <v>-1.59155056649286</v>
      </c>
      <c r="K655" s="5">
        <v>-1.59155056649286</v>
      </c>
      <c r="L655" s="5">
        <v>-1.59155056649286</v>
      </c>
      <c r="M655" s="5">
        <v>14.834057605115</v>
      </c>
      <c r="N655" s="5">
        <v>14.834057605115</v>
      </c>
      <c r="O655" s="5">
        <v>14.834057605115</v>
      </c>
      <c r="P655" s="5">
        <v>0.0</v>
      </c>
      <c r="Q655" s="5">
        <v>0.0</v>
      </c>
      <c r="R655" s="5">
        <v>0.0</v>
      </c>
      <c r="S655" s="5">
        <v>27.7909388267412</v>
      </c>
    </row>
    <row r="656">
      <c r="A656" s="6">
        <v>41309.0</v>
      </c>
      <c r="B656" s="5">
        <v>14.6584153450867</v>
      </c>
      <c r="C656" s="5">
        <v>-35.436850447481</v>
      </c>
      <c r="D656" s="5">
        <v>90.9869456268477</v>
      </c>
      <c r="E656" s="5">
        <v>14.6584153450867</v>
      </c>
      <c r="F656" s="5">
        <v>14.6584153450867</v>
      </c>
      <c r="G656" s="5">
        <v>14.067237059383</v>
      </c>
      <c r="H656" s="5">
        <v>14.067237059383</v>
      </c>
      <c r="I656" s="5">
        <v>14.067237059383</v>
      </c>
      <c r="J656" s="5">
        <v>0.0905589421224131</v>
      </c>
      <c r="K656" s="5">
        <v>0.0905589421224131</v>
      </c>
      <c r="L656" s="5">
        <v>0.0905589421224131</v>
      </c>
      <c r="M656" s="5">
        <v>13.9766781172606</v>
      </c>
      <c r="N656" s="5">
        <v>13.9766781172606</v>
      </c>
      <c r="O656" s="5">
        <v>13.9766781172606</v>
      </c>
      <c r="P656" s="5">
        <v>0.0</v>
      </c>
      <c r="Q656" s="5">
        <v>0.0</v>
      </c>
      <c r="R656" s="5">
        <v>0.0</v>
      </c>
      <c r="S656" s="5">
        <v>28.7256524044698</v>
      </c>
    </row>
    <row r="657">
      <c r="A657" s="6">
        <v>41310.0</v>
      </c>
      <c r="B657" s="5">
        <v>14.6950765307426</v>
      </c>
      <c r="C657" s="5">
        <v>-31.9069836900704</v>
      </c>
      <c r="D657" s="5">
        <v>88.6094927475247</v>
      </c>
      <c r="E657" s="5">
        <v>14.6950765307426</v>
      </c>
      <c r="F657" s="5">
        <v>14.6950765307426</v>
      </c>
      <c r="G657" s="5">
        <v>13.6069136608561</v>
      </c>
      <c r="H657" s="5">
        <v>13.6069136608561</v>
      </c>
      <c r="I657" s="5">
        <v>13.6069136608561</v>
      </c>
      <c r="J657" s="5">
        <v>-0.144118857245218</v>
      </c>
      <c r="K657" s="5">
        <v>-0.144118857245218</v>
      </c>
      <c r="L657" s="5">
        <v>-0.144118857245218</v>
      </c>
      <c r="M657" s="5">
        <v>13.7510325181013</v>
      </c>
      <c r="N657" s="5">
        <v>13.7510325181013</v>
      </c>
      <c r="O657" s="5">
        <v>13.7510325181013</v>
      </c>
      <c r="P657" s="5">
        <v>0.0</v>
      </c>
      <c r="Q657" s="5">
        <v>0.0</v>
      </c>
      <c r="R657" s="5">
        <v>0.0</v>
      </c>
      <c r="S657" s="5">
        <v>28.3019901915988</v>
      </c>
    </row>
    <row r="658">
      <c r="A658" s="6">
        <v>41311.0</v>
      </c>
      <c r="B658" s="5">
        <v>14.7317377163985</v>
      </c>
      <c r="C658" s="5">
        <v>-38.4586721928807</v>
      </c>
      <c r="D658" s="5">
        <v>88.4700629713673</v>
      </c>
      <c r="E658" s="5">
        <v>14.7317377163985</v>
      </c>
      <c r="F658" s="5">
        <v>14.7317377163985</v>
      </c>
      <c r="G658" s="5">
        <v>13.5359811019899</v>
      </c>
      <c r="H658" s="5">
        <v>13.5359811019899</v>
      </c>
      <c r="I658" s="5">
        <v>13.5359811019899</v>
      </c>
      <c r="J658" s="5">
        <v>0.00703780528190379</v>
      </c>
      <c r="K658" s="5">
        <v>0.00703780528190379</v>
      </c>
      <c r="L658" s="5">
        <v>0.00703780528190379</v>
      </c>
      <c r="M658" s="5">
        <v>13.528943296708</v>
      </c>
      <c r="N658" s="5">
        <v>13.528943296708</v>
      </c>
      <c r="O658" s="5">
        <v>13.528943296708</v>
      </c>
      <c r="P658" s="5">
        <v>0.0</v>
      </c>
      <c r="Q658" s="5">
        <v>0.0</v>
      </c>
      <c r="R658" s="5">
        <v>0.0</v>
      </c>
      <c r="S658" s="5">
        <v>28.2677188183885</v>
      </c>
    </row>
    <row r="659">
      <c r="A659" s="6">
        <v>41312.0</v>
      </c>
      <c r="B659" s="5">
        <v>14.7683989020544</v>
      </c>
      <c r="C659" s="5">
        <v>-32.8826388752372</v>
      </c>
      <c r="D659" s="5">
        <v>89.317614719743</v>
      </c>
      <c r="E659" s="5">
        <v>14.7683989020544</v>
      </c>
      <c r="F659" s="5">
        <v>14.7683989020544</v>
      </c>
      <c r="G659" s="5">
        <v>12.5168720568514</v>
      </c>
      <c r="H659" s="5">
        <v>12.5168720568514</v>
      </c>
      <c r="I659" s="5">
        <v>12.5168720568514</v>
      </c>
      <c r="J659" s="5">
        <v>-0.776422525901525</v>
      </c>
      <c r="K659" s="5">
        <v>-0.776422525901525</v>
      </c>
      <c r="L659" s="5">
        <v>-0.776422525901525</v>
      </c>
      <c r="M659" s="5">
        <v>13.2932945827529</v>
      </c>
      <c r="N659" s="5">
        <v>13.2932945827529</v>
      </c>
      <c r="O659" s="5">
        <v>13.2932945827529</v>
      </c>
      <c r="P659" s="5">
        <v>0.0</v>
      </c>
      <c r="Q659" s="5">
        <v>0.0</v>
      </c>
      <c r="R659" s="5">
        <v>0.0</v>
      </c>
      <c r="S659" s="5">
        <v>27.2852709589059</v>
      </c>
    </row>
    <row r="660">
      <c r="A660" s="6">
        <v>41313.0</v>
      </c>
      <c r="B660" s="5">
        <v>14.8050600877103</v>
      </c>
      <c r="C660" s="5">
        <v>-32.741015764314</v>
      </c>
      <c r="D660" s="5">
        <v>89.4930309683626</v>
      </c>
      <c r="E660" s="5">
        <v>14.8050600877103</v>
      </c>
      <c r="F660" s="5">
        <v>14.8050600877103</v>
      </c>
      <c r="G660" s="5">
        <v>11.4353185181122</v>
      </c>
      <c r="H660" s="5">
        <v>11.4353185181122</v>
      </c>
      <c r="I660" s="5">
        <v>11.4353185181122</v>
      </c>
      <c r="J660" s="5">
        <v>-1.59155056649437</v>
      </c>
      <c r="K660" s="5">
        <v>-1.59155056649437</v>
      </c>
      <c r="L660" s="5">
        <v>-1.59155056649437</v>
      </c>
      <c r="M660" s="5">
        <v>13.0268690846065</v>
      </c>
      <c r="N660" s="5">
        <v>13.0268690846065</v>
      </c>
      <c r="O660" s="5">
        <v>13.0268690846065</v>
      </c>
      <c r="P660" s="5">
        <v>0.0</v>
      </c>
      <c r="Q660" s="5">
        <v>0.0</v>
      </c>
      <c r="R660" s="5">
        <v>0.0</v>
      </c>
      <c r="S660" s="5">
        <v>26.2403786058225</v>
      </c>
    </row>
    <row r="661">
      <c r="A661" s="6">
        <v>41316.0</v>
      </c>
      <c r="B661" s="5">
        <v>14.915043644678</v>
      </c>
      <c r="C661" s="5">
        <v>-34.7941212146185</v>
      </c>
      <c r="D661" s="5">
        <v>93.251962686973</v>
      </c>
      <c r="E661" s="5">
        <v>14.915043644678</v>
      </c>
      <c r="F661" s="5">
        <v>14.915043644678</v>
      </c>
      <c r="G661" s="5">
        <v>11.9704026394416</v>
      </c>
      <c r="H661" s="5">
        <v>11.9704026394416</v>
      </c>
      <c r="I661" s="5">
        <v>11.9704026394416</v>
      </c>
      <c r="J661" s="5">
        <v>0.0905589421209756</v>
      </c>
      <c r="K661" s="5">
        <v>0.0905589421209756</v>
      </c>
      <c r="L661" s="5">
        <v>0.0905589421209756</v>
      </c>
      <c r="M661" s="5">
        <v>11.8798436973206</v>
      </c>
      <c r="N661" s="5">
        <v>11.8798436973206</v>
      </c>
      <c r="O661" s="5">
        <v>11.8798436973206</v>
      </c>
      <c r="P661" s="5">
        <v>0.0</v>
      </c>
      <c r="Q661" s="5">
        <v>0.0</v>
      </c>
      <c r="R661" s="5">
        <v>0.0</v>
      </c>
      <c r="S661" s="5">
        <v>26.8854462841197</v>
      </c>
    </row>
    <row r="662">
      <c r="A662" s="6">
        <v>41317.0</v>
      </c>
      <c r="B662" s="5">
        <v>14.9517048303339</v>
      </c>
      <c r="C662" s="5">
        <v>-36.1488783007645</v>
      </c>
      <c r="D662" s="5">
        <v>87.8014693834962</v>
      </c>
      <c r="E662" s="5">
        <v>14.9517048303339</v>
      </c>
      <c r="F662" s="5">
        <v>14.9517048303339</v>
      </c>
      <c r="G662" s="5">
        <v>11.18948595074</v>
      </c>
      <c r="H662" s="5">
        <v>11.18948595074</v>
      </c>
      <c r="I662" s="5">
        <v>11.18948595074</v>
      </c>
      <c r="J662" s="5">
        <v>-0.14411885724413</v>
      </c>
      <c r="K662" s="5">
        <v>-0.14411885724413</v>
      </c>
      <c r="L662" s="5">
        <v>-0.14411885724413</v>
      </c>
      <c r="M662" s="5">
        <v>11.3336048079842</v>
      </c>
      <c r="N662" s="5">
        <v>11.3336048079842</v>
      </c>
      <c r="O662" s="5">
        <v>11.3336048079842</v>
      </c>
      <c r="P662" s="5">
        <v>0.0</v>
      </c>
      <c r="Q662" s="5">
        <v>0.0</v>
      </c>
      <c r="R662" s="5">
        <v>0.0</v>
      </c>
      <c r="S662" s="5">
        <v>26.141190781074</v>
      </c>
    </row>
    <row r="663">
      <c r="A663" s="6">
        <v>41318.0</v>
      </c>
      <c r="B663" s="5">
        <v>14.9883660159898</v>
      </c>
      <c r="C663" s="5">
        <v>-37.8757318851775</v>
      </c>
      <c r="D663" s="5">
        <v>87.9814372699923</v>
      </c>
      <c r="E663" s="5">
        <v>14.9883660159898</v>
      </c>
      <c r="F663" s="5">
        <v>14.9883660159898</v>
      </c>
      <c r="G663" s="5">
        <v>10.6931645049548</v>
      </c>
      <c r="H663" s="5">
        <v>10.6931645049548</v>
      </c>
      <c r="I663" s="5">
        <v>10.6931645049548</v>
      </c>
      <c r="J663" s="5">
        <v>0.00703780528321489</v>
      </c>
      <c r="K663" s="5">
        <v>0.00703780528321489</v>
      </c>
      <c r="L663" s="5">
        <v>0.00703780528321489</v>
      </c>
      <c r="M663" s="5">
        <v>10.6861266996715</v>
      </c>
      <c r="N663" s="5">
        <v>10.6861266996715</v>
      </c>
      <c r="O663" s="5">
        <v>10.6861266996715</v>
      </c>
      <c r="P663" s="5">
        <v>0.0</v>
      </c>
      <c r="Q663" s="5">
        <v>0.0</v>
      </c>
      <c r="R663" s="5">
        <v>0.0</v>
      </c>
      <c r="S663" s="5">
        <v>25.6815305209446</v>
      </c>
    </row>
    <row r="664">
      <c r="A664" s="6">
        <v>41319.0</v>
      </c>
      <c r="B664" s="5">
        <v>15.0250272016457</v>
      </c>
      <c r="C664" s="5">
        <v>-34.2391864393308</v>
      </c>
      <c r="D664" s="5">
        <v>85.6877006254554</v>
      </c>
      <c r="E664" s="5">
        <v>15.0250272016457</v>
      </c>
      <c r="F664" s="5">
        <v>15.0250272016457</v>
      </c>
      <c r="G664" s="5">
        <v>9.15299514553149</v>
      </c>
      <c r="H664" s="5">
        <v>9.15299514553149</v>
      </c>
      <c r="I664" s="5">
        <v>9.15299514553149</v>
      </c>
      <c r="J664" s="5">
        <v>-0.776422525900772</v>
      </c>
      <c r="K664" s="5">
        <v>-0.776422525900772</v>
      </c>
      <c r="L664" s="5">
        <v>-0.776422525900772</v>
      </c>
      <c r="M664" s="5">
        <v>9.92941767143226</v>
      </c>
      <c r="N664" s="5">
        <v>9.92941767143226</v>
      </c>
      <c r="O664" s="5">
        <v>9.92941767143226</v>
      </c>
      <c r="P664" s="5">
        <v>0.0</v>
      </c>
      <c r="Q664" s="5">
        <v>0.0</v>
      </c>
      <c r="R664" s="5">
        <v>0.0</v>
      </c>
      <c r="S664" s="5">
        <v>24.1780223471772</v>
      </c>
    </row>
    <row r="665">
      <c r="A665" s="6">
        <v>41320.0</v>
      </c>
      <c r="B665" s="5">
        <v>15.0789585796836</v>
      </c>
      <c r="C665" s="5">
        <v>-39.1550112000611</v>
      </c>
      <c r="D665" s="5">
        <v>83.7211678901818</v>
      </c>
      <c r="E665" s="5">
        <v>15.0789585796836</v>
      </c>
      <c r="F665" s="5">
        <v>15.0789585796836</v>
      </c>
      <c r="G665" s="5">
        <v>7.46671423929356</v>
      </c>
      <c r="H665" s="5">
        <v>7.46671423929356</v>
      </c>
      <c r="I665" s="5">
        <v>7.46671423929356</v>
      </c>
      <c r="J665" s="5">
        <v>-1.59155056649344</v>
      </c>
      <c r="K665" s="5">
        <v>-1.59155056649344</v>
      </c>
      <c r="L665" s="5">
        <v>-1.59155056649344</v>
      </c>
      <c r="M665" s="5">
        <v>9.05826480578701</v>
      </c>
      <c r="N665" s="5">
        <v>9.05826480578701</v>
      </c>
      <c r="O665" s="5">
        <v>9.05826480578701</v>
      </c>
      <c r="P665" s="5">
        <v>0.0</v>
      </c>
      <c r="Q665" s="5">
        <v>0.0</v>
      </c>
      <c r="R665" s="5">
        <v>0.0</v>
      </c>
      <c r="S665" s="5">
        <v>22.5456728189772</v>
      </c>
    </row>
    <row r="666">
      <c r="A666" s="6">
        <v>41324.0</v>
      </c>
      <c r="B666" s="5">
        <v>15.2946840918352</v>
      </c>
      <c r="C666" s="5">
        <v>-39.0032500351836</v>
      </c>
      <c r="D666" s="5">
        <v>81.1696212239789</v>
      </c>
      <c r="E666" s="5">
        <v>15.2946840918352</v>
      </c>
      <c r="F666" s="5">
        <v>15.2946840918352</v>
      </c>
      <c r="G666" s="5">
        <v>4.28601638226555</v>
      </c>
      <c r="H666" s="5">
        <v>4.28601638226555</v>
      </c>
      <c r="I666" s="5">
        <v>4.28601638226555</v>
      </c>
      <c r="J666" s="5">
        <v>-0.14411885724698</v>
      </c>
      <c r="K666" s="5">
        <v>-0.14411885724698</v>
      </c>
      <c r="L666" s="5">
        <v>-0.14411885724698</v>
      </c>
      <c r="M666" s="5">
        <v>4.43013523951253</v>
      </c>
      <c r="N666" s="5">
        <v>4.43013523951253</v>
      </c>
      <c r="O666" s="5">
        <v>4.43013523951253</v>
      </c>
      <c r="P666" s="5">
        <v>0.0</v>
      </c>
      <c r="Q666" s="5">
        <v>0.0</v>
      </c>
      <c r="R666" s="5">
        <v>0.0</v>
      </c>
      <c r="S666" s="5">
        <v>19.5807004741007</v>
      </c>
    </row>
    <row r="667">
      <c r="A667" s="6">
        <v>41325.0</v>
      </c>
      <c r="B667" s="5">
        <v>15.3486154698731</v>
      </c>
      <c r="C667" s="5">
        <v>-38.2469912137171</v>
      </c>
      <c r="D667" s="5">
        <v>83.0177380950698</v>
      </c>
      <c r="E667" s="5">
        <v>15.3486154698731</v>
      </c>
      <c r="F667" s="5">
        <v>15.3486154698731</v>
      </c>
      <c r="G667" s="5">
        <v>3.0210724568357</v>
      </c>
      <c r="H667" s="5">
        <v>3.0210724568357</v>
      </c>
      <c r="I667" s="5">
        <v>3.0210724568357</v>
      </c>
      <c r="J667" s="5">
        <v>0.00703780528119008</v>
      </c>
      <c r="K667" s="5">
        <v>0.00703780528119008</v>
      </c>
      <c r="L667" s="5">
        <v>0.00703780528119008</v>
      </c>
      <c r="M667" s="5">
        <v>3.01403465155451</v>
      </c>
      <c r="N667" s="5">
        <v>3.01403465155451</v>
      </c>
      <c r="O667" s="5">
        <v>3.01403465155451</v>
      </c>
      <c r="P667" s="5">
        <v>0.0</v>
      </c>
      <c r="Q667" s="5">
        <v>0.0</v>
      </c>
      <c r="R667" s="5">
        <v>0.0</v>
      </c>
      <c r="S667" s="5">
        <v>18.3696879267088</v>
      </c>
    </row>
    <row r="668">
      <c r="A668" s="6">
        <v>41326.0</v>
      </c>
      <c r="B668" s="5">
        <v>15.402546847911</v>
      </c>
      <c r="C668" s="5">
        <v>-50.0259011673588</v>
      </c>
      <c r="D668" s="5">
        <v>80.1038125759005</v>
      </c>
      <c r="E668" s="5">
        <v>15.402546847911</v>
      </c>
      <c r="F668" s="5">
        <v>15.402546847911</v>
      </c>
      <c r="G668" s="5">
        <v>0.738681408501804</v>
      </c>
      <c r="H668" s="5">
        <v>0.738681408501804</v>
      </c>
      <c r="I668" s="5">
        <v>0.738681408501804</v>
      </c>
      <c r="J668" s="5">
        <v>-0.776422525900119</v>
      </c>
      <c r="K668" s="5">
        <v>-0.776422525900119</v>
      </c>
      <c r="L668" s="5">
        <v>-0.776422525900119</v>
      </c>
      <c r="M668" s="5">
        <v>1.51510393440192</v>
      </c>
      <c r="N668" s="5">
        <v>1.51510393440192</v>
      </c>
      <c r="O668" s="5">
        <v>1.51510393440192</v>
      </c>
      <c r="P668" s="5">
        <v>0.0</v>
      </c>
      <c r="Q668" s="5">
        <v>0.0</v>
      </c>
      <c r="R668" s="5">
        <v>0.0</v>
      </c>
      <c r="S668" s="5">
        <v>16.1412282564128</v>
      </c>
    </row>
    <row r="669">
      <c r="A669" s="6">
        <v>41327.0</v>
      </c>
      <c r="B669" s="5">
        <v>15.4564782259489</v>
      </c>
      <c r="C669" s="5">
        <v>-50.857347766292</v>
      </c>
      <c r="D669" s="5">
        <v>76.8430614398998</v>
      </c>
      <c r="E669" s="5">
        <v>15.4564782259489</v>
      </c>
      <c r="F669" s="5">
        <v>15.4564782259489</v>
      </c>
      <c r="G669" s="5">
        <v>-1.64337031150947</v>
      </c>
      <c r="H669" s="5">
        <v>-1.64337031150947</v>
      </c>
      <c r="I669" s="5">
        <v>-1.64337031150947</v>
      </c>
      <c r="J669" s="5">
        <v>-1.59155056649252</v>
      </c>
      <c r="K669" s="5">
        <v>-1.59155056649252</v>
      </c>
      <c r="L669" s="5">
        <v>-1.59155056649252</v>
      </c>
      <c r="M669" s="5">
        <v>-0.0518197450169548</v>
      </c>
      <c r="N669" s="5">
        <v>-0.0518197450169548</v>
      </c>
      <c r="O669" s="5">
        <v>-0.0518197450169548</v>
      </c>
      <c r="P669" s="5">
        <v>0.0</v>
      </c>
      <c r="Q669" s="5">
        <v>0.0</v>
      </c>
      <c r="R669" s="5">
        <v>0.0</v>
      </c>
      <c r="S669" s="5">
        <v>13.8131079144394</v>
      </c>
    </row>
    <row r="670">
      <c r="A670" s="6">
        <v>41330.0</v>
      </c>
      <c r="B670" s="5">
        <v>15.6182723600626</v>
      </c>
      <c r="C670" s="5">
        <v>-54.9207907932558</v>
      </c>
      <c r="D670" s="5">
        <v>71.9662196854647</v>
      </c>
      <c r="E670" s="5">
        <v>15.6182723600626</v>
      </c>
      <c r="F670" s="5">
        <v>15.6182723600626</v>
      </c>
      <c r="G670" s="5">
        <v>-4.89352581944154</v>
      </c>
      <c r="H670" s="5">
        <v>-4.89352581944154</v>
      </c>
      <c r="I670" s="5">
        <v>-4.89352581944154</v>
      </c>
      <c r="J670" s="5">
        <v>0.0905589421229486</v>
      </c>
      <c r="K670" s="5">
        <v>0.0905589421229486</v>
      </c>
      <c r="L670" s="5">
        <v>0.0905589421229486</v>
      </c>
      <c r="M670" s="5">
        <v>-4.98408476156449</v>
      </c>
      <c r="N670" s="5">
        <v>-4.98408476156449</v>
      </c>
      <c r="O670" s="5">
        <v>-4.98408476156449</v>
      </c>
      <c r="P670" s="5">
        <v>0.0</v>
      </c>
      <c r="Q670" s="5">
        <v>0.0</v>
      </c>
      <c r="R670" s="5">
        <v>0.0</v>
      </c>
      <c r="S670" s="5">
        <v>10.724746540621</v>
      </c>
    </row>
    <row r="671">
      <c r="A671" s="6">
        <v>41331.0</v>
      </c>
      <c r="B671" s="5">
        <v>15.6722037381005</v>
      </c>
      <c r="C671" s="5">
        <v>-55.8315017119669</v>
      </c>
      <c r="D671" s="5">
        <v>72.8986093896677</v>
      </c>
      <c r="E671" s="5">
        <v>15.6722037381005</v>
      </c>
      <c r="F671" s="5">
        <v>15.6722037381005</v>
      </c>
      <c r="G671" s="5">
        <v>-6.78421855931023</v>
      </c>
      <c r="H671" s="5">
        <v>-6.78421855931023</v>
      </c>
      <c r="I671" s="5">
        <v>-6.78421855931023</v>
      </c>
      <c r="J671" s="5">
        <v>-0.144118857245892</v>
      </c>
      <c r="K671" s="5">
        <v>-0.144118857245892</v>
      </c>
      <c r="L671" s="5">
        <v>-0.144118857245892</v>
      </c>
      <c r="M671" s="5">
        <v>-6.64009970206434</v>
      </c>
      <c r="N671" s="5">
        <v>-6.64009970206434</v>
      </c>
      <c r="O671" s="5">
        <v>-6.64009970206434</v>
      </c>
      <c r="P671" s="5">
        <v>0.0</v>
      </c>
      <c r="Q671" s="5">
        <v>0.0</v>
      </c>
      <c r="R671" s="5">
        <v>0.0</v>
      </c>
      <c r="S671" s="5">
        <v>8.88798517879027</v>
      </c>
    </row>
    <row r="672">
      <c r="A672" s="6">
        <v>41332.0</v>
      </c>
      <c r="B672" s="5">
        <v>15.7261351161384</v>
      </c>
      <c r="C672" s="5">
        <v>-53.3659898305125</v>
      </c>
      <c r="D672" s="5">
        <v>69.0165032641095</v>
      </c>
      <c r="E672" s="5">
        <v>15.7261351161384</v>
      </c>
      <c r="F672" s="5">
        <v>15.7261351161384</v>
      </c>
      <c r="G672" s="5">
        <v>-8.26082322156105</v>
      </c>
      <c r="H672" s="5">
        <v>-8.26082322156105</v>
      </c>
      <c r="I672" s="5">
        <v>-8.26082322156105</v>
      </c>
      <c r="J672" s="5">
        <v>0.00703780528349238</v>
      </c>
      <c r="K672" s="5">
        <v>0.00703780528349238</v>
      </c>
      <c r="L672" s="5">
        <v>0.00703780528349238</v>
      </c>
      <c r="M672" s="5">
        <v>-8.26786102684454</v>
      </c>
      <c r="N672" s="5">
        <v>-8.26786102684454</v>
      </c>
      <c r="O672" s="5">
        <v>-8.26786102684454</v>
      </c>
      <c r="P672" s="5">
        <v>0.0</v>
      </c>
      <c r="Q672" s="5">
        <v>0.0</v>
      </c>
      <c r="R672" s="5">
        <v>0.0</v>
      </c>
      <c r="S672" s="5">
        <v>7.46531189457735</v>
      </c>
    </row>
    <row r="673">
      <c r="A673" s="6">
        <v>41333.0</v>
      </c>
      <c r="B673" s="5">
        <v>15.7800664941763</v>
      </c>
      <c r="C673" s="5">
        <v>-56.4428530130638</v>
      </c>
      <c r="D673" s="5">
        <v>72.8733165961591</v>
      </c>
      <c r="E673" s="5">
        <v>15.7800664941763</v>
      </c>
      <c r="F673" s="5">
        <v>15.7800664941763</v>
      </c>
      <c r="G673" s="5">
        <v>-10.6233056581095</v>
      </c>
      <c r="H673" s="5">
        <v>-10.6233056581095</v>
      </c>
      <c r="I673" s="5">
        <v>-10.6233056581095</v>
      </c>
      <c r="J673" s="5">
        <v>-0.776422525902215</v>
      </c>
      <c r="K673" s="5">
        <v>-0.776422525902215</v>
      </c>
      <c r="L673" s="5">
        <v>-0.776422525902215</v>
      </c>
      <c r="M673" s="5">
        <v>-9.84688313220729</v>
      </c>
      <c r="N673" s="5">
        <v>-9.84688313220729</v>
      </c>
      <c r="O673" s="5">
        <v>-9.84688313220729</v>
      </c>
      <c r="P673" s="5">
        <v>0.0</v>
      </c>
      <c r="Q673" s="5">
        <v>0.0</v>
      </c>
      <c r="R673" s="5">
        <v>0.0</v>
      </c>
      <c r="S673" s="5">
        <v>5.15676083606678</v>
      </c>
    </row>
    <row r="674">
      <c r="A674" s="6">
        <v>41334.0</v>
      </c>
      <c r="B674" s="5">
        <v>15.8339978722141</v>
      </c>
      <c r="C674" s="5">
        <v>-57.1477853532267</v>
      </c>
      <c r="D674" s="5">
        <v>62.9859253670882</v>
      </c>
      <c r="E674" s="5">
        <v>15.8339978722141</v>
      </c>
      <c r="F674" s="5">
        <v>15.8339978722141</v>
      </c>
      <c r="G674" s="5">
        <v>-12.9489234053006</v>
      </c>
      <c r="H674" s="5">
        <v>-12.9489234053006</v>
      </c>
      <c r="I674" s="5">
        <v>-12.9489234053006</v>
      </c>
      <c r="J674" s="5">
        <v>-1.59155056649159</v>
      </c>
      <c r="K674" s="5">
        <v>-1.59155056649159</v>
      </c>
      <c r="L674" s="5">
        <v>-1.59155056649159</v>
      </c>
      <c r="M674" s="5">
        <v>-11.357372838809</v>
      </c>
      <c r="N674" s="5">
        <v>-11.357372838809</v>
      </c>
      <c r="O674" s="5">
        <v>-11.357372838809</v>
      </c>
      <c r="P674" s="5">
        <v>0.0</v>
      </c>
      <c r="Q674" s="5">
        <v>0.0</v>
      </c>
      <c r="R674" s="5">
        <v>0.0</v>
      </c>
      <c r="S674" s="5">
        <v>2.88507446691351</v>
      </c>
    </row>
    <row r="675">
      <c r="A675" s="6">
        <v>41337.0</v>
      </c>
      <c r="B675" s="5">
        <v>15.9957920063278</v>
      </c>
      <c r="C675" s="5">
        <v>-60.6013148557458</v>
      </c>
      <c r="D675" s="5">
        <v>67.415955196798</v>
      </c>
      <c r="E675" s="5">
        <v>15.9957920063278</v>
      </c>
      <c r="F675" s="5">
        <v>15.9957920063278</v>
      </c>
      <c r="G675" s="5">
        <v>-15.2086881892337</v>
      </c>
      <c r="H675" s="5">
        <v>-15.2086881892337</v>
      </c>
      <c r="I675" s="5">
        <v>-15.2086881892337</v>
      </c>
      <c r="J675" s="5">
        <v>0.0905589421191274</v>
      </c>
      <c r="K675" s="5">
        <v>0.0905589421191274</v>
      </c>
      <c r="L675" s="5">
        <v>0.0905589421191274</v>
      </c>
      <c r="M675" s="5">
        <v>-15.2992471313528</v>
      </c>
      <c r="N675" s="5">
        <v>-15.2992471313528</v>
      </c>
      <c r="O675" s="5">
        <v>-15.2992471313528</v>
      </c>
      <c r="P675" s="5">
        <v>0.0</v>
      </c>
      <c r="Q675" s="5">
        <v>0.0</v>
      </c>
      <c r="R675" s="5">
        <v>0.0</v>
      </c>
      <c r="S675" s="5">
        <v>0.787103817094182</v>
      </c>
    </row>
    <row r="676">
      <c r="A676" s="6">
        <v>41338.0</v>
      </c>
      <c r="B676" s="5">
        <v>16.0497233843657</v>
      </c>
      <c r="C676" s="5">
        <v>-65.3548461941199</v>
      </c>
      <c r="D676" s="5">
        <v>62.4704168179117</v>
      </c>
      <c r="E676" s="5">
        <v>16.0497233843657</v>
      </c>
      <c r="F676" s="5">
        <v>16.0497233843657</v>
      </c>
      <c r="G676" s="5">
        <v>-16.5105078548581</v>
      </c>
      <c r="H676" s="5">
        <v>-16.5105078548581</v>
      </c>
      <c r="I676" s="5">
        <v>-16.5105078548581</v>
      </c>
      <c r="J676" s="5">
        <v>-0.144118857244804</v>
      </c>
      <c r="K676" s="5">
        <v>-0.144118857244804</v>
      </c>
      <c r="L676" s="5">
        <v>-0.144118857244804</v>
      </c>
      <c r="M676" s="5">
        <v>-16.3663889976133</v>
      </c>
      <c r="N676" s="5">
        <v>-16.3663889976133</v>
      </c>
      <c r="O676" s="5">
        <v>-16.3663889976133</v>
      </c>
      <c r="P676" s="5">
        <v>0.0</v>
      </c>
      <c r="Q676" s="5">
        <v>0.0</v>
      </c>
      <c r="R676" s="5">
        <v>0.0</v>
      </c>
      <c r="S676" s="5">
        <v>-0.460784470492402</v>
      </c>
    </row>
    <row r="677">
      <c r="A677" s="6">
        <v>41339.0</v>
      </c>
      <c r="B677" s="5">
        <v>16.1036547624036</v>
      </c>
      <c r="C677" s="5">
        <v>-65.9171869867081</v>
      </c>
      <c r="D677" s="5">
        <v>64.5188098166666</v>
      </c>
      <c r="E677" s="5">
        <v>16.1036547624036</v>
      </c>
      <c r="F677" s="5">
        <v>16.1036547624036</v>
      </c>
      <c r="G677" s="5">
        <v>-17.2836250810534</v>
      </c>
      <c r="H677" s="5">
        <v>-17.2836250810534</v>
      </c>
      <c r="I677" s="5">
        <v>-17.2836250810534</v>
      </c>
      <c r="J677" s="5">
        <v>0.00703780528047621</v>
      </c>
      <c r="K677" s="5">
        <v>0.00703780528047621</v>
      </c>
      <c r="L677" s="5">
        <v>0.00703780528047621</v>
      </c>
      <c r="M677" s="5">
        <v>-17.2906628863339</v>
      </c>
      <c r="N677" s="5">
        <v>-17.2906628863339</v>
      </c>
      <c r="O677" s="5">
        <v>-17.2906628863339</v>
      </c>
      <c r="P677" s="5">
        <v>0.0</v>
      </c>
      <c r="Q677" s="5">
        <v>0.0</v>
      </c>
      <c r="R677" s="5">
        <v>0.0</v>
      </c>
      <c r="S677" s="5">
        <v>-1.17997031864979</v>
      </c>
    </row>
    <row r="678">
      <c r="A678" s="6">
        <v>41340.0</v>
      </c>
      <c r="B678" s="5">
        <v>16.1575861404415</v>
      </c>
      <c r="C678" s="5">
        <v>-69.8289219067286</v>
      </c>
      <c r="D678" s="5">
        <v>61.8534766585309</v>
      </c>
      <c r="E678" s="5">
        <v>16.1575861404415</v>
      </c>
      <c r="F678" s="5">
        <v>16.1575861404415</v>
      </c>
      <c r="G678" s="5">
        <v>-18.8407063994287</v>
      </c>
      <c r="H678" s="5">
        <v>-18.8407063994287</v>
      </c>
      <c r="I678" s="5">
        <v>-18.8407063994287</v>
      </c>
      <c r="J678" s="5">
        <v>-0.776422525901463</v>
      </c>
      <c r="K678" s="5">
        <v>-0.776422525901463</v>
      </c>
      <c r="L678" s="5">
        <v>-0.776422525901463</v>
      </c>
      <c r="M678" s="5">
        <v>-18.0642838735273</v>
      </c>
      <c r="N678" s="5">
        <v>-18.0642838735273</v>
      </c>
      <c r="O678" s="5">
        <v>-18.0642838735273</v>
      </c>
      <c r="P678" s="5">
        <v>0.0</v>
      </c>
      <c r="Q678" s="5">
        <v>0.0</v>
      </c>
      <c r="R678" s="5">
        <v>0.0</v>
      </c>
      <c r="S678" s="5">
        <v>-2.6831202589872</v>
      </c>
    </row>
    <row r="679">
      <c r="A679" s="6">
        <v>41341.0</v>
      </c>
      <c r="B679" s="5">
        <v>16.2115175184794</v>
      </c>
      <c r="C679" s="5">
        <v>-72.6144765614703</v>
      </c>
      <c r="D679" s="5">
        <v>54.664543176352</v>
      </c>
      <c r="E679" s="5">
        <v>16.2115175184794</v>
      </c>
      <c r="F679" s="5">
        <v>16.2115175184794</v>
      </c>
      <c r="G679" s="5">
        <v>-20.2738048178153</v>
      </c>
      <c r="H679" s="5">
        <v>-20.2738048178153</v>
      </c>
      <c r="I679" s="5">
        <v>-20.2738048178153</v>
      </c>
      <c r="J679" s="5">
        <v>-1.5915505664931</v>
      </c>
      <c r="K679" s="5">
        <v>-1.5915505664931</v>
      </c>
      <c r="L679" s="5">
        <v>-1.5915505664931</v>
      </c>
      <c r="M679" s="5">
        <v>-18.6822542513222</v>
      </c>
      <c r="N679" s="5">
        <v>-18.6822542513222</v>
      </c>
      <c r="O679" s="5">
        <v>-18.6822542513222</v>
      </c>
      <c r="P679" s="5">
        <v>0.0</v>
      </c>
      <c r="Q679" s="5">
        <v>0.0</v>
      </c>
      <c r="R679" s="5">
        <v>0.0</v>
      </c>
      <c r="S679" s="5">
        <v>-4.0622872993359</v>
      </c>
    </row>
    <row r="680">
      <c r="A680" s="6">
        <v>41344.0</v>
      </c>
      <c r="B680" s="5">
        <v>16.3733116525931</v>
      </c>
      <c r="C680" s="5">
        <v>-66.7590476126248</v>
      </c>
      <c r="D680" s="5">
        <v>59.0837987134087</v>
      </c>
      <c r="E680" s="5">
        <v>16.3733116525931</v>
      </c>
      <c r="F680" s="5">
        <v>16.3733116525931</v>
      </c>
      <c r="G680" s="5">
        <v>-19.503918069397</v>
      </c>
      <c r="H680" s="5">
        <v>-19.503918069397</v>
      </c>
      <c r="I680" s="5">
        <v>-19.503918069397</v>
      </c>
      <c r="J680" s="5">
        <v>0.0905589421200738</v>
      </c>
      <c r="K680" s="5">
        <v>0.0905589421200738</v>
      </c>
      <c r="L680" s="5">
        <v>0.0905589421200738</v>
      </c>
      <c r="M680" s="5">
        <v>-19.5944770115171</v>
      </c>
      <c r="N680" s="5">
        <v>-19.5944770115171</v>
      </c>
      <c r="O680" s="5">
        <v>-19.5944770115171</v>
      </c>
      <c r="P680" s="5">
        <v>0.0</v>
      </c>
      <c r="Q680" s="5">
        <v>0.0</v>
      </c>
      <c r="R680" s="5">
        <v>0.0</v>
      </c>
      <c r="S680" s="5">
        <v>-3.13060641680393</v>
      </c>
    </row>
    <row r="681">
      <c r="A681" s="6">
        <v>41345.0</v>
      </c>
      <c r="B681" s="5">
        <v>16.427243030631</v>
      </c>
      <c r="C681" s="5">
        <v>-71.0399960872277</v>
      </c>
      <c r="D681" s="5">
        <v>60.6870355019218</v>
      </c>
      <c r="E681" s="5">
        <v>16.427243030631</v>
      </c>
      <c r="F681" s="5">
        <v>16.427243030631</v>
      </c>
      <c r="G681" s="5">
        <v>-19.7397137857696</v>
      </c>
      <c r="H681" s="5">
        <v>-19.7397137857696</v>
      </c>
      <c r="I681" s="5">
        <v>-19.7397137857696</v>
      </c>
      <c r="J681" s="5">
        <v>-0.144118857243715</v>
      </c>
      <c r="K681" s="5">
        <v>-0.144118857243715</v>
      </c>
      <c r="L681" s="5">
        <v>-0.144118857243715</v>
      </c>
      <c r="M681" s="5">
        <v>-19.5955949285259</v>
      </c>
      <c r="N681" s="5">
        <v>-19.5955949285259</v>
      </c>
      <c r="O681" s="5">
        <v>-19.5955949285259</v>
      </c>
      <c r="P681" s="5">
        <v>0.0</v>
      </c>
      <c r="Q681" s="5">
        <v>0.0</v>
      </c>
      <c r="R681" s="5">
        <v>0.0</v>
      </c>
      <c r="S681" s="5">
        <v>-3.31247075513858</v>
      </c>
    </row>
    <row r="682">
      <c r="A682" s="6">
        <v>41346.0</v>
      </c>
      <c r="B682" s="5">
        <v>16.4811744086689</v>
      </c>
      <c r="C682" s="5">
        <v>-63.1591755630779</v>
      </c>
      <c r="D682" s="5">
        <v>56.3702476016052</v>
      </c>
      <c r="E682" s="5">
        <v>16.4811744086689</v>
      </c>
      <c r="F682" s="5">
        <v>16.4811744086689</v>
      </c>
      <c r="G682" s="5">
        <v>-19.4498634996283</v>
      </c>
      <c r="H682" s="5">
        <v>-19.4498634996283</v>
      </c>
      <c r="I682" s="5">
        <v>-19.4498634996283</v>
      </c>
      <c r="J682" s="5">
        <v>0.00703780528277868</v>
      </c>
      <c r="K682" s="5">
        <v>0.00703780528277868</v>
      </c>
      <c r="L682" s="5">
        <v>0.00703780528277868</v>
      </c>
      <c r="M682" s="5">
        <v>-19.4569013049111</v>
      </c>
      <c r="N682" s="5">
        <v>-19.4569013049111</v>
      </c>
      <c r="O682" s="5">
        <v>-19.4569013049111</v>
      </c>
      <c r="P682" s="5">
        <v>0.0</v>
      </c>
      <c r="Q682" s="5">
        <v>0.0</v>
      </c>
      <c r="R682" s="5">
        <v>0.0</v>
      </c>
      <c r="S682" s="5">
        <v>-2.96868909095944</v>
      </c>
    </row>
    <row r="683">
      <c r="A683" s="6">
        <v>41347.0</v>
      </c>
      <c r="B683" s="5">
        <v>16.5351057867068</v>
      </c>
      <c r="C683" s="5">
        <v>-66.0639554716582</v>
      </c>
      <c r="D683" s="5">
        <v>56.2078044725823</v>
      </c>
      <c r="E683" s="5">
        <v>16.5351057867068</v>
      </c>
      <c r="F683" s="5">
        <v>16.5351057867068</v>
      </c>
      <c r="G683" s="5">
        <v>-19.9650324000454</v>
      </c>
      <c r="H683" s="5">
        <v>-19.9650324000454</v>
      </c>
      <c r="I683" s="5">
        <v>-19.9650324000454</v>
      </c>
      <c r="J683" s="5">
        <v>-0.776422525902184</v>
      </c>
      <c r="K683" s="5">
        <v>-0.776422525902184</v>
      </c>
      <c r="L683" s="5">
        <v>-0.776422525902184</v>
      </c>
      <c r="M683" s="5">
        <v>-19.1886098741432</v>
      </c>
      <c r="N683" s="5">
        <v>-19.1886098741432</v>
      </c>
      <c r="O683" s="5">
        <v>-19.1886098741432</v>
      </c>
      <c r="P683" s="5">
        <v>0.0</v>
      </c>
      <c r="Q683" s="5">
        <v>0.0</v>
      </c>
      <c r="R683" s="5">
        <v>0.0</v>
      </c>
      <c r="S683" s="5">
        <v>-3.4299266133386</v>
      </c>
    </row>
    <row r="684">
      <c r="A684" s="6">
        <v>41348.0</v>
      </c>
      <c r="B684" s="5">
        <v>16.5890371647447</v>
      </c>
      <c r="C684" s="5">
        <v>-68.3735539622922</v>
      </c>
      <c r="D684" s="5">
        <v>59.5672699350437</v>
      </c>
      <c r="E684" s="5">
        <v>16.5890371647447</v>
      </c>
      <c r="F684" s="5">
        <v>16.5890371647447</v>
      </c>
      <c r="G684" s="5">
        <v>-20.3942022799853</v>
      </c>
      <c r="H684" s="5">
        <v>-20.3942022799853</v>
      </c>
      <c r="I684" s="5">
        <v>-20.3942022799853</v>
      </c>
      <c r="J684" s="5">
        <v>-1.59155056649249</v>
      </c>
      <c r="K684" s="5">
        <v>-1.59155056649249</v>
      </c>
      <c r="L684" s="5">
        <v>-1.59155056649249</v>
      </c>
      <c r="M684" s="5">
        <v>-18.8026517134928</v>
      </c>
      <c r="N684" s="5">
        <v>-18.8026517134928</v>
      </c>
      <c r="O684" s="5">
        <v>-18.8026517134928</v>
      </c>
      <c r="P684" s="5">
        <v>0.0</v>
      </c>
      <c r="Q684" s="5">
        <v>0.0</v>
      </c>
      <c r="R684" s="5">
        <v>0.0</v>
      </c>
      <c r="S684" s="5">
        <v>-3.80516511524065</v>
      </c>
    </row>
    <row r="685">
      <c r="A685" s="6">
        <v>41351.0</v>
      </c>
      <c r="B685" s="5">
        <v>16.7508312988584</v>
      </c>
      <c r="C685" s="5">
        <v>-59.2936831429805</v>
      </c>
      <c r="D685" s="5">
        <v>57.5849966948493</v>
      </c>
      <c r="E685" s="5">
        <v>16.7508312988584</v>
      </c>
      <c r="F685" s="5">
        <v>16.7508312988584</v>
      </c>
      <c r="G685" s="5">
        <v>-16.9857728725543</v>
      </c>
      <c r="H685" s="5">
        <v>-16.9857728725543</v>
      </c>
      <c r="I685" s="5">
        <v>-16.9857728725543</v>
      </c>
      <c r="J685" s="5">
        <v>0.090558942123484</v>
      </c>
      <c r="K685" s="5">
        <v>0.090558942123484</v>
      </c>
      <c r="L685" s="5">
        <v>0.090558942123484</v>
      </c>
      <c r="M685" s="5">
        <v>-17.0763318146778</v>
      </c>
      <c r="N685" s="5">
        <v>-17.0763318146778</v>
      </c>
      <c r="O685" s="5">
        <v>-17.0763318146778</v>
      </c>
      <c r="P685" s="5">
        <v>0.0</v>
      </c>
      <c r="Q685" s="5">
        <v>0.0</v>
      </c>
      <c r="R685" s="5">
        <v>0.0</v>
      </c>
      <c r="S685" s="5">
        <v>-0.234941573695909</v>
      </c>
    </row>
    <row r="686">
      <c r="A686" s="6">
        <v>41352.0</v>
      </c>
      <c r="B686" s="5">
        <v>16.8047626768963</v>
      </c>
      <c r="C686" s="5">
        <v>-64.0851246480405</v>
      </c>
      <c r="D686" s="5">
        <v>66.0695294038429</v>
      </c>
      <c r="E686" s="5">
        <v>16.8047626768963</v>
      </c>
      <c r="F686" s="5">
        <v>16.8047626768963</v>
      </c>
      <c r="G686" s="5">
        <v>-16.504810159673</v>
      </c>
      <c r="H686" s="5">
        <v>-16.504810159673</v>
      </c>
      <c r="I686" s="5">
        <v>-16.504810159673</v>
      </c>
      <c r="J686" s="5">
        <v>-0.144118857246565</v>
      </c>
      <c r="K686" s="5">
        <v>-0.144118857246565</v>
      </c>
      <c r="L686" s="5">
        <v>-0.144118857246565</v>
      </c>
      <c r="M686" s="5">
        <v>-16.3606913024265</v>
      </c>
      <c r="N686" s="5">
        <v>-16.3606913024265</v>
      </c>
      <c r="O686" s="5">
        <v>-16.3606913024265</v>
      </c>
      <c r="P686" s="5">
        <v>0.0</v>
      </c>
      <c r="Q686" s="5">
        <v>0.0</v>
      </c>
      <c r="R686" s="5">
        <v>0.0</v>
      </c>
      <c r="S686" s="5">
        <v>0.299952517223225</v>
      </c>
    </row>
    <row r="687">
      <c r="A687" s="6">
        <v>41353.0</v>
      </c>
      <c r="B687" s="5">
        <v>16.8586940549342</v>
      </c>
      <c r="C687" s="5">
        <v>-61.6921849612595</v>
      </c>
      <c r="D687" s="5">
        <v>63.9593117020624</v>
      </c>
      <c r="E687" s="5">
        <v>16.8586940549342</v>
      </c>
      <c r="F687" s="5">
        <v>16.8586940549342</v>
      </c>
      <c r="G687" s="5">
        <v>-15.5929356433088</v>
      </c>
      <c r="H687" s="5">
        <v>-15.5929356433088</v>
      </c>
      <c r="I687" s="5">
        <v>-15.5929356433088</v>
      </c>
      <c r="J687" s="5">
        <v>0.00703780528192616</v>
      </c>
      <c r="K687" s="5">
        <v>0.00703780528192616</v>
      </c>
      <c r="L687" s="5">
        <v>0.00703780528192616</v>
      </c>
      <c r="M687" s="5">
        <v>-15.5999734485907</v>
      </c>
      <c r="N687" s="5">
        <v>-15.5999734485907</v>
      </c>
      <c r="O687" s="5">
        <v>-15.5999734485907</v>
      </c>
      <c r="P687" s="5">
        <v>0.0</v>
      </c>
      <c r="Q687" s="5">
        <v>0.0</v>
      </c>
      <c r="R687" s="5">
        <v>0.0</v>
      </c>
      <c r="S687" s="5">
        <v>1.26575841162537</v>
      </c>
    </row>
    <row r="688">
      <c r="A688" s="6">
        <v>41354.0</v>
      </c>
      <c r="B688" s="5">
        <v>16.9126254329721</v>
      </c>
      <c r="C688" s="5">
        <v>-57.473979691248</v>
      </c>
      <c r="D688" s="5">
        <v>64.4405910986241</v>
      </c>
      <c r="E688" s="5">
        <v>16.9126254329721</v>
      </c>
      <c r="F688" s="5">
        <v>16.9126254329721</v>
      </c>
      <c r="G688" s="5">
        <v>-15.5850794815811</v>
      </c>
      <c r="H688" s="5">
        <v>-15.5850794815811</v>
      </c>
      <c r="I688" s="5">
        <v>-15.5850794815811</v>
      </c>
      <c r="J688" s="5">
        <v>-0.776422525904282</v>
      </c>
      <c r="K688" s="5">
        <v>-0.776422525904282</v>
      </c>
      <c r="L688" s="5">
        <v>-0.776422525904282</v>
      </c>
      <c r="M688" s="5">
        <v>-14.8086569556769</v>
      </c>
      <c r="N688" s="5">
        <v>-14.8086569556769</v>
      </c>
      <c r="O688" s="5">
        <v>-14.8086569556769</v>
      </c>
      <c r="P688" s="5">
        <v>0.0</v>
      </c>
      <c r="Q688" s="5">
        <v>0.0</v>
      </c>
      <c r="R688" s="5">
        <v>0.0</v>
      </c>
      <c r="S688" s="5">
        <v>1.32754595139091</v>
      </c>
    </row>
    <row r="689">
      <c r="A689" s="6">
        <v>41355.0</v>
      </c>
      <c r="B689" s="5">
        <v>16.9665568110099</v>
      </c>
      <c r="C689" s="5">
        <v>-58.462788525696</v>
      </c>
      <c r="D689" s="5">
        <v>63.6281082065893</v>
      </c>
      <c r="E689" s="5">
        <v>16.9665568110099</v>
      </c>
      <c r="F689" s="5">
        <v>16.9665568110099</v>
      </c>
      <c r="G689" s="5">
        <v>-15.5919523717364</v>
      </c>
      <c r="H689" s="5">
        <v>-15.5919523717364</v>
      </c>
      <c r="I689" s="5">
        <v>-15.5919523717364</v>
      </c>
      <c r="J689" s="5">
        <v>-1.59155056649125</v>
      </c>
      <c r="K689" s="5">
        <v>-1.59155056649125</v>
      </c>
      <c r="L689" s="5">
        <v>-1.59155056649125</v>
      </c>
      <c r="M689" s="5">
        <v>-14.0004018052451</v>
      </c>
      <c r="N689" s="5">
        <v>-14.0004018052451</v>
      </c>
      <c r="O689" s="5">
        <v>-14.0004018052451</v>
      </c>
      <c r="P689" s="5">
        <v>0.0</v>
      </c>
      <c r="Q689" s="5">
        <v>0.0</v>
      </c>
      <c r="R689" s="5">
        <v>0.0</v>
      </c>
      <c r="S689" s="5">
        <v>1.37460443927355</v>
      </c>
    </row>
    <row r="690">
      <c r="A690" s="6">
        <v>41358.0</v>
      </c>
      <c r="B690" s="5">
        <v>17.1283509451236</v>
      </c>
      <c r="C690" s="5">
        <v>-59.7355696130976</v>
      </c>
      <c r="D690" s="5">
        <v>67.8715753546265</v>
      </c>
      <c r="E690" s="5">
        <v>17.1283509451236</v>
      </c>
      <c r="F690" s="5">
        <v>17.1283509451236</v>
      </c>
      <c r="G690" s="5">
        <v>-11.502199465925</v>
      </c>
      <c r="H690" s="5">
        <v>-11.502199465925</v>
      </c>
      <c r="I690" s="5">
        <v>-11.502199465925</v>
      </c>
      <c r="J690" s="5">
        <v>0.0905589421220466</v>
      </c>
      <c r="K690" s="5">
        <v>0.0905589421220466</v>
      </c>
      <c r="L690" s="5">
        <v>0.0905589421220466</v>
      </c>
      <c r="M690" s="5">
        <v>-11.592758408047</v>
      </c>
      <c r="N690" s="5">
        <v>-11.592758408047</v>
      </c>
      <c r="O690" s="5">
        <v>-11.592758408047</v>
      </c>
      <c r="P690" s="5">
        <v>0.0</v>
      </c>
      <c r="Q690" s="5">
        <v>0.0</v>
      </c>
      <c r="R690" s="5">
        <v>0.0</v>
      </c>
      <c r="S690" s="5">
        <v>5.62615147919866</v>
      </c>
    </row>
    <row r="691">
      <c r="A691" s="6">
        <v>41359.0</v>
      </c>
      <c r="B691" s="5">
        <v>17.1822823231615</v>
      </c>
      <c r="C691" s="5">
        <v>-55.4292302164051</v>
      </c>
      <c r="D691" s="5">
        <v>70.7434990451978</v>
      </c>
      <c r="E691" s="5">
        <v>17.1822823231615</v>
      </c>
      <c r="F691" s="5">
        <v>17.1822823231615</v>
      </c>
      <c r="G691" s="5">
        <v>-10.9722784346902</v>
      </c>
      <c r="H691" s="5">
        <v>-10.9722784346902</v>
      </c>
      <c r="I691" s="5">
        <v>-10.9722784346902</v>
      </c>
      <c r="J691" s="5">
        <v>-0.144118857244368</v>
      </c>
      <c r="K691" s="5">
        <v>-0.144118857244368</v>
      </c>
      <c r="L691" s="5">
        <v>-0.144118857244368</v>
      </c>
      <c r="M691" s="5">
        <v>-10.8281595774459</v>
      </c>
      <c r="N691" s="5">
        <v>-10.8281595774459</v>
      </c>
      <c r="O691" s="5">
        <v>-10.8281595774459</v>
      </c>
      <c r="P691" s="5">
        <v>0.0</v>
      </c>
      <c r="Q691" s="5">
        <v>0.0</v>
      </c>
      <c r="R691" s="5">
        <v>0.0</v>
      </c>
      <c r="S691" s="5">
        <v>6.21000388847131</v>
      </c>
    </row>
    <row r="692">
      <c r="A692" s="6">
        <v>41360.0</v>
      </c>
      <c r="B692" s="5">
        <v>17.2362137011994</v>
      </c>
      <c r="C692" s="5">
        <v>-53.5379441434145</v>
      </c>
      <c r="D692" s="5">
        <v>66.6686542493267</v>
      </c>
      <c r="E692" s="5">
        <v>17.2362137011994</v>
      </c>
      <c r="F692" s="5">
        <v>17.2362137011994</v>
      </c>
      <c r="G692" s="5">
        <v>-10.0875048750301</v>
      </c>
      <c r="H692" s="5">
        <v>-10.0875048750301</v>
      </c>
      <c r="I692" s="5">
        <v>-10.0875048750301</v>
      </c>
      <c r="J692" s="5">
        <v>0.00703780528107373</v>
      </c>
      <c r="K692" s="5">
        <v>0.00703780528107373</v>
      </c>
      <c r="L692" s="5">
        <v>0.00703780528107373</v>
      </c>
      <c r="M692" s="5">
        <v>-10.0945426803112</v>
      </c>
      <c r="N692" s="5">
        <v>-10.0945426803112</v>
      </c>
      <c r="O692" s="5">
        <v>-10.0945426803112</v>
      </c>
      <c r="P692" s="5">
        <v>0.0</v>
      </c>
      <c r="Q692" s="5">
        <v>0.0</v>
      </c>
      <c r="R692" s="5">
        <v>0.0</v>
      </c>
      <c r="S692" s="5">
        <v>7.1487088261693</v>
      </c>
    </row>
    <row r="693">
      <c r="A693" s="6">
        <v>41361.0</v>
      </c>
      <c r="B693" s="5">
        <v>17.2901450792373</v>
      </c>
      <c r="C693" s="5">
        <v>-53.4344335731421</v>
      </c>
      <c r="D693" s="5">
        <v>72.9782750321429</v>
      </c>
      <c r="E693" s="5">
        <v>17.2901450792373</v>
      </c>
      <c r="F693" s="5">
        <v>17.2901450792373</v>
      </c>
      <c r="G693" s="5">
        <v>-10.1729620172785</v>
      </c>
      <c r="H693" s="5">
        <v>-10.1729620172785</v>
      </c>
      <c r="I693" s="5">
        <v>-10.1729620172785</v>
      </c>
      <c r="J693" s="5">
        <v>-0.776422525903628</v>
      </c>
      <c r="K693" s="5">
        <v>-0.776422525903628</v>
      </c>
      <c r="L693" s="5">
        <v>-0.776422525903628</v>
      </c>
      <c r="M693" s="5">
        <v>-9.39653949137491</v>
      </c>
      <c r="N693" s="5">
        <v>-9.39653949137491</v>
      </c>
      <c r="O693" s="5">
        <v>-9.39653949137491</v>
      </c>
      <c r="P693" s="5">
        <v>0.0</v>
      </c>
      <c r="Q693" s="5">
        <v>0.0</v>
      </c>
      <c r="R693" s="5">
        <v>0.0</v>
      </c>
      <c r="S693" s="5">
        <v>7.11718306195882</v>
      </c>
    </row>
    <row r="694">
      <c r="A694" s="6">
        <v>41365.0</v>
      </c>
      <c r="B694" s="5">
        <v>17.5058705913889</v>
      </c>
      <c r="C694" s="5">
        <v>-55.6541754034117</v>
      </c>
      <c r="D694" s="5">
        <v>73.5311461206095</v>
      </c>
      <c r="E694" s="5">
        <v>17.5058705913889</v>
      </c>
      <c r="F694" s="5">
        <v>17.5058705913889</v>
      </c>
      <c r="G694" s="5">
        <v>-6.90637870237065</v>
      </c>
      <c r="H694" s="5">
        <v>-6.90637870237065</v>
      </c>
      <c r="I694" s="5">
        <v>-6.90637870237065</v>
      </c>
      <c r="J694" s="5">
        <v>0.0905589421229931</v>
      </c>
      <c r="K694" s="5">
        <v>0.0905589421229931</v>
      </c>
      <c r="L694" s="5">
        <v>0.0905589421229931</v>
      </c>
      <c r="M694" s="5">
        <v>-6.99693764449364</v>
      </c>
      <c r="N694" s="5">
        <v>-6.99693764449364</v>
      </c>
      <c r="O694" s="5">
        <v>-6.99693764449364</v>
      </c>
      <c r="P694" s="5">
        <v>0.0</v>
      </c>
      <c r="Q694" s="5">
        <v>0.0</v>
      </c>
      <c r="R694" s="5">
        <v>0.0</v>
      </c>
      <c r="S694" s="5">
        <v>10.5994918890182</v>
      </c>
    </row>
    <row r="695">
      <c r="A695" s="6">
        <v>41366.0</v>
      </c>
      <c r="B695" s="5">
        <v>17.5598019694268</v>
      </c>
      <c r="C695" s="5">
        <v>-48.0452340781735</v>
      </c>
      <c r="D695" s="5">
        <v>71.3529603792752</v>
      </c>
      <c r="E695" s="5">
        <v>17.5598019694268</v>
      </c>
      <c r="F695" s="5">
        <v>17.5598019694268</v>
      </c>
      <c r="G695" s="5">
        <v>-6.63624279195586</v>
      </c>
      <c r="H695" s="5">
        <v>-6.63624279195586</v>
      </c>
      <c r="I695" s="5">
        <v>-6.63624279195586</v>
      </c>
      <c r="J695" s="5">
        <v>-0.144118857245803</v>
      </c>
      <c r="K695" s="5">
        <v>-0.144118857245803</v>
      </c>
      <c r="L695" s="5">
        <v>-0.144118857245803</v>
      </c>
      <c r="M695" s="5">
        <v>-6.49212393471006</v>
      </c>
      <c r="N695" s="5">
        <v>-6.49212393471006</v>
      </c>
      <c r="O695" s="5">
        <v>-6.49212393471006</v>
      </c>
      <c r="P695" s="5">
        <v>0.0</v>
      </c>
      <c r="Q695" s="5">
        <v>0.0</v>
      </c>
      <c r="R695" s="5">
        <v>0.0</v>
      </c>
      <c r="S695" s="5">
        <v>10.9235591774709</v>
      </c>
    </row>
    <row r="696">
      <c r="A696" s="6">
        <v>41367.0</v>
      </c>
      <c r="B696" s="5">
        <v>17.6137333474647</v>
      </c>
      <c r="C696" s="5">
        <v>-48.3562389166132</v>
      </c>
      <c r="D696" s="5">
        <v>72.8437423424216</v>
      </c>
      <c r="E696" s="5">
        <v>17.6137333474647</v>
      </c>
      <c r="F696" s="5">
        <v>17.6137333474647</v>
      </c>
      <c r="G696" s="5">
        <v>-6.01339947379861</v>
      </c>
      <c r="H696" s="5">
        <v>-6.01339947379861</v>
      </c>
      <c r="I696" s="5">
        <v>-6.01339947379861</v>
      </c>
      <c r="J696" s="5">
        <v>0.00703780528121252</v>
      </c>
      <c r="K696" s="5">
        <v>0.00703780528121252</v>
      </c>
      <c r="L696" s="5">
        <v>0.00703780528121252</v>
      </c>
      <c r="M696" s="5">
        <v>-6.02043727907983</v>
      </c>
      <c r="N696" s="5">
        <v>-6.02043727907983</v>
      </c>
      <c r="O696" s="5">
        <v>-6.02043727907983</v>
      </c>
      <c r="P696" s="5">
        <v>0.0</v>
      </c>
      <c r="Q696" s="5">
        <v>0.0</v>
      </c>
      <c r="R696" s="5">
        <v>0.0</v>
      </c>
      <c r="S696" s="5">
        <v>11.6003338736661</v>
      </c>
    </row>
    <row r="697">
      <c r="A697" s="6">
        <v>41368.0</v>
      </c>
      <c r="B697" s="5">
        <v>17.6676647255026</v>
      </c>
      <c r="C697" s="5">
        <v>-55.5025994854084</v>
      </c>
      <c r="D697" s="5">
        <v>77.6696448060565</v>
      </c>
      <c r="E697" s="5">
        <v>17.6676647255026</v>
      </c>
      <c r="F697" s="5">
        <v>17.6676647255026</v>
      </c>
      <c r="G697" s="5">
        <v>-6.35467988930924</v>
      </c>
      <c r="H697" s="5">
        <v>-6.35467988930924</v>
      </c>
      <c r="I697" s="5">
        <v>-6.35467988930924</v>
      </c>
      <c r="J697" s="5">
        <v>-0.776422525902875</v>
      </c>
      <c r="K697" s="5">
        <v>-0.776422525902875</v>
      </c>
      <c r="L697" s="5">
        <v>-0.776422525902875</v>
      </c>
      <c r="M697" s="5">
        <v>-5.57825736340636</v>
      </c>
      <c r="N697" s="5">
        <v>-5.57825736340636</v>
      </c>
      <c r="O697" s="5">
        <v>-5.57825736340636</v>
      </c>
      <c r="P697" s="5">
        <v>0.0</v>
      </c>
      <c r="Q697" s="5">
        <v>0.0</v>
      </c>
      <c r="R697" s="5">
        <v>0.0</v>
      </c>
      <c r="S697" s="5">
        <v>11.3129848361933</v>
      </c>
    </row>
    <row r="698">
      <c r="A698" s="6">
        <v>41369.0</v>
      </c>
      <c r="B698" s="5">
        <v>17.7215961035405</v>
      </c>
      <c r="C698" s="5">
        <v>-54.5021775171019</v>
      </c>
      <c r="D698" s="5">
        <v>78.2192185935912</v>
      </c>
      <c r="E698" s="5">
        <v>17.7215961035405</v>
      </c>
      <c r="F698" s="5">
        <v>17.7215961035405</v>
      </c>
      <c r="G698" s="5">
        <v>-6.75327562464887</v>
      </c>
      <c r="H698" s="5">
        <v>-6.75327562464887</v>
      </c>
      <c r="I698" s="5">
        <v>-6.75327562464887</v>
      </c>
      <c r="J698" s="5">
        <v>-1.59155056649183</v>
      </c>
      <c r="K698" s="5">
        <v>-1.59155056649183</v>
      </c>
      <c r="L698" s="5">
        <v>-1.59155056649183</v>
      </c>
      <c r="M698" s="5">
        <v>-5.16172505815704</v>
      </c>
      <c r="N698" s="5">
        <v>-5.16172505815704</v>
      </c>
      <c r="O698" s="5">
        <v>-5.16172505815704</v>
      </c>
      <c r="P698" s="5">
        <v>0.0</v>
      </c>
      <c r="Q698" s="5">
        <v>0.0</v>
      </c>
      <c r="R698" s="5">
        <v>0.0</v>
      </c>
      <c r="S698" s="5">
        <v>10.9683204788916</v>
      </c>
    </row>
    <row r="699">
      <c r="A699" s="6">
        <v>41372.0</v>
      </c>
      <c r="B699" s="5">
        <v>17.8833902376542</v>
      </c>
      <c r="C699" s="5">
        <v>-51.073959201361</v>
      </c>
      <c r="D699" s="5">
        <v>76.8405808603523</v>
      </c>
      <c r="E699" s="5">
        <v>17.8833902376542</v>
      </c>
      <c r="F699" s="5">
        <v>17.8833902376542</v>
      </c>
      <c r="G699" s="5">
        <v>-3.93886443393499</v>
      </c>
      <c r="H699" s="5">
        <v>-3.93886443393499</v>
      </c>
      <c r="I699" s="5">
        <v>-3.93886443393499</v>
      </c>
      <c r="J699" s="5">
        <v>0.0905589421191716</v>
      </c>
      <c r="K699" s="5">
        <v>0.0905589421191716</v>
      </c>
      <c r="L699" s="5">
        <v>0.0905589421191716</v>
      </c>
      <c r="M699" s="5">
        <v>-4.02942337605416</v>
      </c>
      <c r="N699" s="5">
        <v>-4.02942337605416</v>
      </c>
      <c r="O699" s="5">
        <v>-4.02942337605416</v>
      </c>
      <c r="P699" s="5">
        <v>0.0</v>
      </c>
      <c r="Q699" s="5">
        <v>0.0</v>
      </c>
      <c r="R699" s="5">
        <v>0.0</v>
      </c>
      <c r="S699" s="5">
        <v>13.9445258037192</v>
      </c>
    </row>
    <row r="700">
      <c r="A700" s="6">
        <v>41373.0</v>
      </c>
      <c r="B700" s="5">
        <v>17.9373216156921</v>
      </c>
      <c r="C700" s="5">
        <v>-42.4235545985539</v>
      </c>
      <c r="D700" s="5">
        <v>81.0495452802736</v>
      </c>
      <c r="E700" s="5">
        <v>17.9373216156921</v>
      </c>
      <c r="F700" s="5">
        <v>17.9373216156921</v>
      </c>
      <c r="G700" s="5">
        <v>-3.82538345558639</v>
      </c>
      <c r="H700" s="5">
        <v>-3.82538345558639</v>
      </c>
      <c r="I700" s="5">
        <v>-3.82538345558639</v>
      </c>
      <c r="J700" s="5">
        <v>-0.144118857243606</v>
      </c>
      <c r="K700" s="5">
        <v>-0.144118857243606</v>
      </c>
      <c r="L700" s="5">
        <v>-0.144118857243606</v>
      </c>
      <c r="M700" s="5">
        <v>-3.68126459834279</v>
      </c>
      <c r="N700" s="5">
        <v>-3.68126459834279</v>
      </c>
      <c r="O700" s="5">
        <v>-3.68126459834279</v>
      </c>
      <c r="P700" s="5">
        <v>0.0</v>
      </c>
      <c r="Q700" s="5">
        <v>0.0</v>
      </c>
      <c r="R700" s="5">
        <v>0.0</v>
      </c>
      <c r="S700" s="5">
        <v>14.1119381601057</v>
      </c>
    </row>
    <row r="701">
      <c r="A701" s="6">
        <v>41374.0</v>
      </c>
      <c r="B701" s="5">
        <v>17.99125299373</v>
      </c>
      <c r="C701" s="5">
        <v>-47.1024783740681</v>
      </c>
      <c r="D701" s="5">
        <v>71.3669666707077</v>
      </c>
      <c r="E701" s="5">
        <v>17.99125299373</v>
      </c>
      <c r="F701" s="5">
        <v>17.99125299373</v>
      </c>
      <c r="G701" s="5">
        <v>-3.33770738908642</v>
      </c>
      <c r="H701" s="5">
        <v>-3.33770738908642</v>
      </c>
      <c r="I701" s="5">
        <v>-3.33770738908642</v>
      </c>
      <c r="J701" s="5">
        <v>0.00703780528252362</v>
      </c>
      <c r="K701" s="5">
        <v>0.00703780528252362</v>
      </c>
      <c r="L701" s="5">
        <v>0.00703780528252362</v>
      </c>
      <c r="M701" s="5">
        <v>-3.34474519436894</v>
      </c>
      <c r="N701" s="5">
        <v>-3.34474519436894</v>
      </c>
      <c r="O701" s="5">
        <v>-3.34474519436894</v>
      </c>
      <c r="P701" s="5">
        <v>0.0</v>
      </c>
      <c r="Q701" s="5">
        <v>0.0</v>
      </c>
      <c r="R701" s="5">
        <v>0.0</v>
      </c>
      <c r="S701" s="5">
        <v>14.6535456046435</v>
      </c>
    </row>
    <row r="702">
      <c r="A702" s="6">
        <v>41375.0</v>
      </c>
      <c r="B702" s="5">
        <v>18.0451843717679</v>
      </c>
      <c r="C702" s="5">
        <v>-47.9834501087651</v>
      </c>
      <c r="D702" s="5">
        <v>77.0069526869059</v>
      </c>
      <c r="E702" s="5">
        <v>18.0451843717679</v>
      </c>
      <c r="F702" s="5">
        <v>18.0451843717679</v>
      </c>
      <c r="G702" s="5">
        <v>-3.79597179178232</v>
      </c>
      <c r="H702" s="5">
        <v>-3.79597179178232</v>
      </c>
      <c r="I702" s="5">
        <v>-3.79597179178232</v>
      </c>
      <c r="J702" s="5">
        <v>-0.776422525903598</v>
      </c>
      <c r="K702" s="5">
        <v>-0.776422525903598</v>
      </c>
      <c r="L702" s="5">
        <v>-0.776422525903598</v>
      </c>
      <c r="M702" s="5">
        <v>-3.01954926587873</v>
      </c>
      <c r="N702" s="5">
        <v>-3.01954926587873</v>
      </c>
      <c r="O702" s="5">
        <v>-3.01954926587873</v>
      </c>
      <c r="P702" s="5">
        <v>0.0</v>
      </c>
      <c r="Q702" s="5">
        <v>0.0</v>
      </c>
      <c r="R702" s="5">
        <v>0.0</v>
      </c>
      <c r="S702" s="5">
        <v>14.2492125799855</v>
      </c>
    </row>
    <row r="703">
      <c r="A703" s="6">
        <v>41376.0</v>
      </c>
      <c r="B703" s="5">
        <v>18.0991157498057</v>
      </c>
      <c r="C703" s="5">
        <v>-46.024735611792</v>
      </c>
      <c r="D703" s="5">
        <v>74.3020175477553</v>
      </c>
      <c r="E703" s="5">
        <v>18.0991157498057</v>
      </c>
      <c r="F703" s="5">
        <v>18.0991157498057</v>
      </c>
      <c r="G703" s="5">
        <v>-4.29804303730613</v>
      </c>
      <c r="H703" s="5">
        <v>-4.29804303730613</v>
      </c>
      <c r="I703" s="5">
        <v>-4.29804303730613</v>
      </c>
      <c r="J703" s="5">
        <v>-1.59155056649365</v>
      </c>
      <c r="K703" s="5">
        <v>-1.59155056649365</v>
      </c>
      <c r="L703" s="5">
        <v>-1.59155056649365</v>
      </c>
      <c r="M703" s="5">
        <v>-2.70649247081248</v>
      </c>
      <c r="N703" s="5">
        <v>-2.70649247081248</v>
      </c>
      <c r="O703" s="5">
        <v>-2.70649247081248</v>
      </c>
      <c r="P703" s="5">
        <v>0.0</v>
      </c>
      <c r="Q703" s="5">
        <v>0.0</v>
      </c>
      <c r="R703" s="5">
        <v>0.0</v>
      </c>
      <c r="S703" s="5">
        <v>13.8010727124996</v>
      </c>
    </row>
    <row r="704">
      <c r="A704" s="6">
        <v>41379.0</v>
      </c>
      <c r="B704" s="5">
        <v>18.2609098839194</v>
      </c>
      <c r="C704" s="5">
        <v>-44.2662804658147</v>
      </c>
      <c r="D704" s="5">
        <v>81.1361607932316</v>
      </c>
      <c r="E704" s="5">
        <v>18.2609098839194</v>
      </c>
      <c r="F704" s="5">
        <v>18.2609098839194</v>
      </c>
      <c r="G704" s="5">
        <v>-1.77518657334675</v>
      </c>
      <c r="H704" s="5">
        <v>-1.77518657334675</v>
      </c>
      <c r="I704" s="5">
        <v>-1.77518657334675</v>
      </c>
      <c r="J704" s="5">
        <v>0.0905589421225821</v>
      </c>
      <c r="K704" s="5">
        <v>0.0905589421225821</v>
      </c>
      <c r="L704" s="5">
        <v>0.0905589421225821</v>
      </c>
      <c r="M704" s="5">
        <v>-1.86574551546933</v>
      </c>
      <c r="N704" s="5">
        <v>-1.86574551546933</v>
      </c>
      <c r="O704" s="5">
        <v>-1.86574551546933</v>
      </c>
      <c r="P704" s="5">
        <v>0.0</v>
      </c>
      <c r="Q704" s="5">
        <v>0.0</v>
      </c>
      <c r="R704" s="5">
        <v>0.0</v>
      </c>
      <c r="S704" s="5">
        <v>16.4857233105727</v>
      </c>
    </row>
    <row r="705">
      <c r="A705" s="6">
        <v>41380.0</v>
      </c>
      <c r="B705" s="5">
        <v>18.3148412619573</v>
      </c>
      <c r="C705" s="5">
        <v>-45.9368731147027</v>
      </c>
      <c r="D705" s="5">
        <v>76.7237650821477</v>
      </c>
      <c r="E705" s="5">
        <v>18.3148412619573</v>
      </c>
      <c r="F705" s="5">
        <v>18.3148412619573</v>
      </c>
      <c r="G705" s="5">
        <v>-1.77645517115494</v>
      </c>
      <c r="H705" s="5">
        <v>-1.77645517115494</v>
      </c>
      <c r="I705" s="5">
        <v>-1.77645517115494</v>
      </c>
      <c r="J705" s="5">
        <v>-0.144118857245042</v>
      </c>
      <c r="K705" s="5">
        <v>-0.144118857245042</v>
      </c>
      <c r="L705" s="5">
        <v>-0.144118857245042</v>
      </c>
      <c r="M705" s="5">
        <v>-1.6323363139099</v>
      </c>
      <c r="N705" s="5">
        <v>-1.6323363139099</v>
      </c>
      <c r="O705" s="5">
        <v>-1.6323363139099</v>
      </c>
      <c r="P705" s="5">
        <v>0.0</v>
      </c>
      <c r="Q705" s="5">
        <v>0.0</v>
      </c>
      <c r="R705" s="5">
        <v>0.0</v>
      </c>
      <c r="S705" s="5">
        <v>16.5383860908024</v>
      </c>
    </row>
    <row r="706">
      <c r="A706" s="6">
        <v>41381.0</v>
      </c>
      <c r="B706" s="5">
        <v>18.3687726399952</v>
      </c>
      <c r="C706" s="5">
        <v>-45.2489343132499</v>
      </c>
      <c r="D706" s="5">
        <v>81.0355404394601</v>
      </c>
      <c r="E706" s="5">
        <v>18.3687726399952</v>
      </c>
      <c r="F706" s="5">
        <v>18.3687726399952</v>
      </c>
      <c r="G706" s="5">
        <v>-1.42470146006186</v>
      </c>
      <c r="H706" s="5">
        <v>-1.42470146006186</v>
      </c>
      <c r="I706" s="5">
        <v>-1.42470146006186</v>
      </c>
      <c r="J706" s="5">
        <v>0.00703780528167093</v>
      </c>
      <c r="K706" s="5">
        <v>0.00703780528167093</v>
      </c>
      <c r="L706" s="5">
        <v>0.00703780528167093</v>
      </c>
      <c r="M706" s="5">
        <v>-1.43173926534353</v>
      </c>
      <c r="N706" s="5">
        <v>-1.43173926534353</v>
      </c>
      <c r="O706" s="5">
        <v>-1.43173926534353</v>
      </c>
      <c r="P706" s="5">
        <v>0.0</v>
      </c>
      <c r="Q706" s="5">
        <v>0.0</v>
      </c>
      <c r="R706" s="5">
        <v>0.0</v>
      </c>
      <c r="S706" s="5">
        <v>16.9440711799334</v>
      </c>
    </row>
    <row r="707">
      <c r="A707" s="6">
        <v>41382.0</v>
      </c>
      <c r="B707" s="5">
        <v>18.4227040180331</v>
      </c>
      <c r="C707" s="5">
        <v>-48.2367511727901</v>
      </c>
      <c r="D707" s="5">
        <v>78.0243052788784</v>
      </c>
      <c r="E707" s="5">
        <v>18.4227040180331</v>
      </c>
      <c r="F707" s="5">
        <v>18.4227040180331</v>
      </c>
      <c r="G707" s="5">
        <v>-2.04709341390405</v>
      </c>
      <c r="H707" s="5">
        <v>-2.04709341390405</v>
      </c>
      <c r="I707" s="5">
        <v>-2.04709341390405</v>
      </c>
      <c r="J707" s="5">
        <v>-0.776422525904319</v>
      </c>
      <c r="K707" s="5">
        <v>-0.776422525904319</v>
      </c>
      <c r="L707" s="5">
        <v>-0.776422525904319</v>
      </c>
      <c r="M707" s="5">
        <v>-1.27067088799973</v>
      </c>
      <c r="N707" s="5">
        <v>-1.27067088799973</v>
      </c>
      <c r="O707" s="5">
        <v>-1.27067088799973</v>
      </c>
      <c r="P707" s="5">
        <v>0.0</v>
      </c>
      <c r="Q707" s="5">
        <v>0.0</v>
      </c>
      <c r="R707" s="5">
        <v>0.0</v>
      </c>
      <c r="S707" s="5">
        <v>16.3756106041291</v>
      </c>
    </row>
    <row r="708">
      <c r="A708" s="6">
        <v>41383.0</v>
      </c>
      <c r="B708" s="5">
        <v>18.476635396071</v>
      </c>
      <c r="C708" s="5">
        <v>-52.3701087531076</v>
      </c>
      <c r="D708" s="5">
        <v>74.5880244235986</v>
      </c>
      <c r="E708" s="5">
        <v>18.476635396071</v>
      </c>
      <c r="F708" s="5">
        <v>18.476635396071</v>
      </c>
      <c r="G708" s="5">
        <v>-2.7478223389108</v>
      </c>
      <c r="H708" s="5">
        <v>-2.7478223389108</v>
      </c>
      <c r="I708" s="5">
        <v>-2.7478223389108</v>
      </c>
      <c r="J708" s="5">
        <v>-1.59155056649578</v>
      </c>
      <c r="K708" s="5">
        <v>-1.59155056649578</v>
      </c>
      <c r="L708" s="5">
        <v>-1.59155056649578</v>
      </c>
      <c r="M708" s="5">
        <v>-1.15627177241502</v>
      </c>
      <c r="N708" s="5">
        <v>-1.15627177241502</v>
      </c>
      <c r="O708" s="5">
        <v>-1.15627177241502</v>
      </c>
      <c r="P708" s="5">
        <v>0.0</v>
      </c>
      <c r="Q708" s="5">
        <v>0.0</v>
      </c>
      <c r="R708" s="5">
        <v>0.0</v>
      </c>
      <c r="S708" s="5">
        <v>15.7288130571602</v>
      </c>
    </row>
    <row r="709">
      <c r="A709" s="6">
        <v>41386.0</v>
      </c>
      <c r="B709" s="5">
        <v>18.6384295301847</v>
      </c>
      <c r="C709" s="5">
        <v>-44.3216675529158</v>
      </c>
      <c r="D709" s="5">
        <v>79.8387614541371</v>
      </c>
      <c r="E709" s="5">
        <v>18.6384295301847</v>
      </c>
      <c r="F709" s="5">
        <v>18.6384295301847</v>
      </c>
      <c r="G709" s="5">
        <v>-1.07498006037841</v>
      </c>
      <c r="H709" s="5">
        <v>-1.07498006037841</v>
      </c>
      <c r="I709" s="5">
        <v>-1.07498006037841</v>
      </c>
      <c r="J709" s="5">
        <v>0.0905589421212247</v>
      </c>
      <c r="K709" s="5">
        <v>0.0905589421212247</v>
      </c>
      <c r="L709" s="5">
        <v>0.0905589421212247</v>
      </c>
      <c r="M709" s="5">
        <v>-1.16553900249963</v>
      </c>
      <c r="N709" s="5">
        <v>-1.16553900249963</v>
      </c>
      <c r="O709" s="5">
        <v>-1.16553900249963</v>
      </c>
      <c r="P709" s="5">
        <v>0.0</v>
      </c>
      <c r="Q709" s="5">
        <v>0.0</v>
      </c>
      <c r="R709" s="5">
        <v>0.0</v>
      </c>
      <c r="S709" s="5">
        <v>17.5634494698063</v>
      </c>
    </row>
    <row r="710">
      <c r="A710" s="6">
        <v>41387.0</v>
      </c>
      <c r="B710" s="5">
        <v>18.6923609082226</v>
      </c>
      <c r="C710" s="5">
        <v>-47.2347484014424</v>
      </c>
      <c r="D710" s="5">
        <v>83.1293803138062</v>
      </c>
      <c r="E710" s="5">
        <v>18.6923609082226</v>
      </c>
      <c r="F710" s="5">
        <v>18.6923609082226</v>
      </c>
      <c r="G710" s="5">
        <v>-1.452850176863</v>
      </c>
      <c r="H710" s="5">
        <v>-1.452850176863</v>
      </c>
      <c r="I710" s="5">
        <v>-1.452850176863</v>
      </c>
      <c r="J710" s="5">
        <v>-0.144118857246477</v>
      </c>
      <c r="K710" s="5">
        <v>-0.144118857246477</v>
      </c>
      <c r="L710" s="5">
        <v>-0.144118857246477</v>
      </c>
      <c r="M710" s="5">
        <v>-1.30873131961652</v>
      </c>
      <c r="N710" s="5">
        <v>-1.30873131961652</v>
      </c>
      <c r="O710" s="5">
        <v>-1.30873131961652</v>
      </c>
      <c r="P710" s="5">
        <v>0.0</v>
      </c>
      <c r="Q710" s="5">
        <v>0.0</v>
      </c>
      <c r="R710" s="5">
        <v>0.0</v>
      </c>
      <c r="S710" s="5">
        <v>17.2395107313596</v>
      </c>
    </row>
    <row r="711">
      <c r="A711" s="6">
        <v>41388.0</v>
      </c>
      <c r="B711" s="5">
        <v>18.7462922862605</v>
      </c>
      <c r="C711" s="5">
        <v>-49.1334489773916</v>
      </c>
      <c r="D711" s="5">
        <v>78.4292599106795</v>
      </c>
      <c r="E711" s="5">
        <v>18.7462922862605</v>
      </c>
      <c r="F711" s="5">
        <v>18.7462922862605</v>
      </c>
      <c r="G711" s="5">
        <v>-1.52453547847307</v>
      </c>
      <c r="H711" s="5">
        <v>-1.52453547847307</v>
      </c>
      <c r="I711" s="5">
        <v>-1.52453547847307</v>
      </c>
      <c r="J711" s="5">
        <v>0.0070378052829821</v>
      </c>
      <c r="K711" s="5">
        <v>0.0070378052829821</v>
      </c>
      <c r="L711" s="5">
        <v>0.0070378052829821</v>
      </c>
      <c r="M711" s="5">
        <v>-1.53157328375605</v>
      </c>
      <c r="N711" s="5">
        <v>-1.53157328375605</v>
      </c>
      <c r="O711" s="5">
        <v>-1.53157328375605</v>
      </c>
      <c r="P711" s="5">
        <v>0.0</v>
      </c>
      <c r="Q711" s="5">
        <v>0.0</v>
      </c>
      <c r="R711" s="5">
        <v>0.0</v>
      </c>
      <c r="S711" s="5">
        <v>17.2217568077874</v>
      </c>
    </row>
    <row r="712">
      <c r="A712" s="6">
        <v>41389.0</v>
      </c>
      <c r="B712" s="5">
        <v>18.8002236642984</v>
      </c>
      <c r="C712" s="5">
        <v>-50.2435318732402</v>
      </c>
      <c r="D712" s="5">
        <v>77.3814269269138</v>
      </c>
      <c r="E712" s="5">
        <v>18.8002236642984</v>
      </c>
      <c r="F712" s="5">
        <v>18.8002236642984</v>
      </c>
      <c r="G712" s="5">
        <v>-2.61468708660662</v>
      </c>
      <c r="H712" s="5">
        <v>-2.61468708660662</v>
      </c>
      <c r="I712" s="5">
        <v>-2.61468708660662</v>
      </c>
      <c r="J712" s="5">
        <v>-0.776422525902191</v>
      </c>
      <c r="K712" s="5">
        <v>-0.776422525902191</v>
      </c>
      <c r="L712" s="5">
        <v>-0.776422525902191</v>
      </c>
      <c r="M712" s="5">
        <v>-1.83826456070443</v>
      </c>
      <c r="N712" s="5">
        <v>-1.83826456070443</v>
      </c>
      <c r="O712" s="5">
        <v>-1.83826456070443</v>
      </c>
      <c r="P712" s="5">
        <v>0.0</v>
      </c>
      <c r="Q712" s="5">
        <v>0.0</v>
      </c>
      <c r="R712" s="5">
        <v>0.0</v>
      </c>
      <c r="S712" s="5">
        <v>16.1855365776918</v>
      </c>
    </row>
    <row r="713">
      <c r="A713" s="6">
        <v>41390.0</v>
      </c>
      <c r="B713" s="5">
        <v>18.8541550423363</v>
      </c>
      <c r="C713" s="5">
        <v>-46.4716718838277</v>
      </c>
      <c r="D713" s="5">
        <v>82.3934251591291</v>
      </c>
      <c r="E713" s="5">
        <v>18.8541550423363</v>
      </c>
      <c r="F713" s="5">
        <v>18.8541550423363</v>
      </c>
      <c r="G713" s="5">
        <v>-3.82320229550531</v>
      </c>
      <c r="H713" s="5">
        <v>-3.82320229550531</v>
      </c>
      <c r="I713" s="5">
        <v>-3.82320229550531</v>
      </c>
      <c r="J713" s="5">
        <v>-1.59155056649454</v>
      </c>
      <c r="K713" s="5">
        <v>-1.59155056649454</v>
      </c>
      <c r="L713" s="5">
        <v>-1.59155056649454</v>
      </c>
      <c r="M713" s="5">
        <v>-2.23165172901076</v>
      </c>
      <c r="N713" s="5">
        <v>-2.23165172901076</v>
      </c>
      <c r="O713" s="5">
        <v>-2.23165172901076</v>
      </c>
      <c r="P713" s="5">
        <v>0.0</v>
      </c>
      <c r="Q713" s="5">
        <v>0.0</v>
      </c>
      <c r="R713" s="5">
        <v>0.0</v>
      </c>
      <c r="S713" s="5">
        <v>15.030952746831</v>
      </c>
    </row>
    <row r="714">
      <c r="A714" s="6">
        <v>41393.0</v>
      </c>
      <c r="B714" s="5">
        <v>19.01594917645</v>
      </c>
      <c r="C714" s="5">
        <v>-48.606556282637</v>
      </c>
      <c r="D714" s="5">
        <v>77.8755887553224</v>
      </c>
      <c r="E714" s="5">
        <v>19.01594917645</v>
      </c>
      <c r="F714" s="5">
        <v>19.01594917645</v>
      </c>
      <c r="G714" s="5">
        <v>-3.84609981050498</v>
      </c>
      <c r="H714" s="5">
        <v>-3.84609981050498</v>
      </c>
      <c r="I714" s="5">
        <v>-3.84609981050498</v>
      </c>
      <c r="J714" s="5">
        <v>0.0905589421221713</v>
      </c>
      <c r="K714" s="5">
        <v>0.0905589421221713</v>
      </c>
      <c r="L714" s="5">
        <v>0.0905589421221713</v>
      </c>
      <c r="M714" s="5">
        <v>-3.93665875262715</v>
      </c>
      <c r="N714" s="5">
        <v>-3.93665875262715</v>
      </c>
      <c r="O714" s="5">
        <v>-3.93665875262715</v>
      </c>
      <c r="P714" s="5">
        <v>0.0</v>
      </c>
      <c r="Q714" s="5">
        <v>0.0</v>
      </c>
      <c r="R714" s="5">
        <v>0.0</v>
      </c>
      <c r="S714" s="5">
        <v>15.169849365945</v>
      </c>
    </row>
    <row r="715">
      <c r="A715" s="6">
        <v>41394.0</v>
      </c>
      <c r="B715" s="5">
        <v>19.0698805544879</v>
      </c>
      <c r="C715" s="5">
        <v>-48.7367802445373</v>
      </c>
      <c r="D715" s="5">
        <v>80.8285365899471</v>
      </c>
      <c r="E715" s="5">
        <v>19.0698805544879</v>
      </c>
      <c r="F715" s="5">
        <v>19.0698805544879</v>
      </c>
      <c r="G715" s="5">
        <v>-4.81693051678989</v>
      </c>
      <c r="H715" s="5">
        <v>-4.81693051678989</v>
      </c>
      <c r="I715" s="5">
        <v>-4.81693051678989</v>
      </c>
      <c r="J715" s="5">
        <v>-0.14411885724428</v>
      </c>
      <c r="K715" s="5">
        <v>-0.14411885724428</v>
      </c>
      <c r="L715" s="5">
        <v>-0.14411885724428</v>
      </c>
      <c r="M715" s="5">
        <v>-4.67281165954561</v>
      </c>
      <c r="N715" s="5">
        <v>-4.67281165954561</v>
      </c>
      <c r="O715" s="5">
        <v>-4.67281165954561</v>
      </c>
      <c r="P715" s="5">
        <v>0.0</v>
      </c>
      <c r="Q715" s="5">
        <v>0.0</v>
      </c>
      <c r="R715" s="5">
        <v>0.0</v>
      </c>
      <c r="S715" s="5">
        <v>14.252950037698</v>
      </c>
    </row>
    <row r="716">
      <c r="A716" s="6">
        <v>41395.0</v>
      </c>
      <c r="B716" s="5">
        <v>19.1238119325258</v>
      </c>
      <c r="C716" s="5">
        <v>-45.1173961970784</v>
      </c>
      <c r="D716" s="5">
        <v>74.0669862826621</v>
      </c>
      <c r="E716" s="5">
        <v>19.1238119325258</v>
      </c>
      <c r="F716" s="5">
        <v>19.1238119325258</v>
      </c>
      <c r="G716" s="5">
        <v>-5.47777738397401</v>
      </c>
      <c r="H716" s="5">
        <v>-5.47777738397401</v>
      </c>
      <c r="I716" s="5">
        <v>-5.47777738397401</v>
      </c>
      <c r="J716" s="5">
        <v>0.00703780528095732</v>
      </c>
      <c r="K716" s="5">
        <v>0.00703780528095732</v>
      </c>
      <c r="L716" s="5">
        <v>0.00703780528095732</v>
      </c>
      <c r="M716" s="5">
        <v>-5.48481518925497</v>
      </c>
      <c r="N716" s="5">
        <v>-5.48481518925497</v>
      </c>
      <c r="O716" s="5">
        <v>-5.48481518925497</v>
      </c>
      <c r="P716" s="5">
        <v>0.0</v>
      </c>
      <c r="Q716" s="5">
        <v>0.0</v>
      </c>
      <c r="R716" s="5">
        <v>0.0</v>
      </c>
      <c r="S716" s="5">
        <v>13.6460345485517</v>
      </c>
    </row>
    <row r="717">
      <c r="A717" s="6">
        <v>41396.0</v>
      </c>
      <c r="B717" s="5">
        <v>19.1777433105636</v>
      </c>
      <c r="C717" s="5">
        <v>-48.4517601716663</v>
      </c>
      <c r="D717" s="5">
        <v>79.7270824248804</v>
      </c>
      <c r="E717" s="5">
        <v>19.1777433105636</v>
      </c>
      <c r="F717" s="5">
        <v>19.1777433105636</v>
      </c>
      <c r="G717" s="5">
        <v>-7.14161841075972</v>
      </c>
      <c r="H717" s="5">
        <v>-7.14161841075972</v>
      </c>
      <c r="I717" s="5">
        <v>-7.14161841075972</v>
      </c>
      <c r="J717" s="5">
        <v>-0.776422525904288</v>
      </c>
      <c r="K717" s="5">
        <v>-0.776422525904288</v>
      </c>
      <c r="L717" s="5">
        <v>-0.776422525904288</v>
      </c>
      <c r="M717" s="5">
        <v>-6.36519588485543</v>
      </c>
      <c r="N717" s="5">
        <v>-6.36519588485543</v>
      </c>
      <c r="O717" s="5">
        <v>-6.36519588485543</v>
      </c>
      <c r="P717" s="5">
        <v>0.0</v>
      </c>
      <c r="Q717" s="5">
        <v>0.0</v>
      </c>
      <c r="R717" s="5">
        <v>0.0</v>
      </c>
      <c r="S717" s="5">
        <v>12.0361248998039</v>
      </c>
    </row>
    <row r="718">
      <c r="A718" s="6">
        <v>41397.0</v>
      </c>
      <c r="B718" s="5">
        <v>19.2316746886015</v>
      </c>
      <c r="C718" s="5">
        <v>-56.6142843702667</v>
      </c>
      <c r="D718" s="5">
        <v>72.7729243210414</v>
      </c>
      <c r="E718" s="5">
        <v>19.2316746886015</v>
      </c>
      <c r="F718" s="5">
        <v>19.2316746886015</v>
      </c>
      <c r="G718" s="5">
        <v>-8.89640726832103</v>
      </c>
      <c r="H718" s="5">
        <v>-8.89640726832103</v>
      </c>
      <c r="I718" s="5">
        <v>-8.89640726832103</v>
      </c>
      <c r="J718" s="5">
        <v>-1.59155056649362</v>
      </c>
      <c r="K718" s="5">
        <v>-1.59155056649362</v>
      </c>
      <c r="L718" s="5">
        <v>-1.59155056649362</v>
      </c>
      <c r="M718" s="5">
        <v>-7.30485670182741</v>
      </c>
      <c r="N718" s="5">
        <v>-7.30485670182741</v>
      </c>
      <c r="O718" s="5">
        <v>-7.30485670182741</v>
      </c>
      <c r="P718" s="5">
        <v>0.0</v>
      </c>
      <c r="Q718" s="5">
        <v>0.0</v>
      </c>
      <c r="R718" s="5">
        <v>0.0</v>
      </c>
      <c r="S718" s="5">
        <v>10.3352674202805</v>
      </c>
    </row>
    <row r="719">
      <c r="A719" s="6">
        <v>41400.0</v>
      </c>
      <c r="B719" s="5">
        <v>19.3934688227152</v>
      </c>
      <c r="C719" s="5">
        <v>-51.5372604445319</v>
      </c>
      <c r="D719" s="5">
        <v>69.7911458951345</v>
      </c>
      <c r="E719" s="5">
        <v>19.3934688227152</v>
      </c>
      <c r="F719" s="5">
        <v>19.3934688227152</v>
      </c>
      <c r="G719" s="5">
        <v>-10.2773803908587</v>
      </c>
      <c r="H719" s="5">
        <v>-10.2773803908587</v>
      </c>
      <c r="I719" s="5">
        <v>-10.2773803908587</v>
      </c>
      <c r="J719" s="5">
        <v>0.0905589421231977</v>
      </c>
      <c r="K719" s="5">
        <v>0.0905589421231977</v>
      </c>
      <c r="L719" s="5">
        <v>0.0905589421231977</v>
      </c>
      <c r="M719" s="5">
        <v>-10.3679393329819</v>
      </c>
      <c r="N719" s="5">
        <v>-10.3679393329819</v>
      </c>
      <c r="O719" s="5">
        <v>-10.3679393329819</v>
      </c>
      <c r="P719" s="5">
        <v>0.0</v>
      </c>
      <c r="Q719" s="5">
        <v>0.0</v>
      </c>
      <c r="R719" s="5">
        <v>0.0</v>
      </c>
      <c r="S719" s="5">
        <v>9.1160884318565</v>
      </c>
    </row>
    <row r="720">
      <c r="A720" s="6">
        <v>41401.0</v>
      </c>
      <c r="B720" s="5">
        <v>19.4474002007531</v>
      </c>
      <c r="C720" s="5">
        <v>-56.6767807918699</v>
      </c>
      <c r="D720" s="5">
        <v>71.7929707463122</v>
      </c>
      <c r="E720" s="5">
        <v>19.4474002007531</v>
      </c>
      <c r="F720" s="5">
        <v>19.4474002007531</v>
      </c>
      <c r="G720" s="5">
        <v>-11.572027649244</v>
      </c>
      <c r="H720" s="5">
        <v>-11.572027649244</v>
      </c>
      <c r="I720" s="5">
        <v>-11.572027649244</v>
      </c>
      <c r="J720" s="5">
        <v>-0.144118857245715</v>
      </c>
      <c r="K720" s="5">
        <v>-0.144118857245715</v>
      </c>
      <c r="L720" s="5">
        <v>-0.144118857245715</v>
      </c>
      <c r="M720" s="5">
        <v>-11.4279087919983</v>
      </c>
      <c r="N720" s="5">
        <v>-11.4279087919983</v>
      </c>
      <c r="O720" s="5">
        <v>-11.4279087919983</v>
      </c>
      <c r="P720" s="5">
        <v>0.0</v>
      </c>
      <c r="Q720" s="5">
        <v>0.0</v>
      </c>
      <c r="R720" s="5">
        <v>0.0</v>
      </c>
      <c r="S720" s="5">
        <v>7.87537255150914</v>
      </c>
    </row>
    <row r="721">
      <c r="A721" s="6">
        <v>41402.0</v>
      </c>
      <c r="B721" s="5">
        <v>19.501331578791</v>
      </c>
      <c r="C721" s="5">
        <v>-60.366657176339</v>
      </c>
      <c r="D721" s="5">
        <v>61.8831393612938</v>
      </c>
      <c r="E721" s="5">
        <v>19.501331578791</v>
      </c>
      <c r="F721" s="5">
        <v>19.501331578791</v>
      </c>
      <c r="G721" s="5">
        <v>-12.4774594543845</v>
      </c>
      <c r="H721" s="5">
        <v>-12.4774594543845</v>
      </c>
      <c r="I721" s="5">
        <v>-12.4774594543845</v>
      </c>
      <c r="J721" s="5">
        <v>0.00703780528226829</v>
      </c>
      <c r="K721" s="5">
        <v>0.00703780528226829</v>
      </c>
      <c r="L721" s="5">
        <v>0.00703780528226829</v>
      </c>
      <c r="M721" s="5">
        <v>-12.4844972596668</v>
      </c>
      <c r="N721" s="5">
        <v>-12.4844972596668</v>
      </c>
      <c r="O721" s="5">
        <v>-12.4844972596668</v>
      </c>
      <c r="P721" s="5">
        <v>0.0</v>
      </c>
      <c r="Q721" s="5">
        <v>0.0</v>
      </c>
      <c r="R721" s="5">
        <v>0.0</v>
      </c>
      <c r="S721" s="5">
        <v>7.02387212440649</v>
      </c>
    </row>
    <row r="722">
      <c r="A722" s="6">
        <v>41403.0</v>
      </c>
      <c r="B722" s="5">
        <v>19.5552629568289</v>
      </c>
      <c r="C722" s="5">
        <v>-56.2278850356855</v>
      </c>
      <c r="D722" s="5">
        <v>62.5484799272648</v>
      </c>
      <c r="E722" s="5">
        <v>19.5552629568289</v>
      </c>
      <c r="F722" s="5">
        <v>19.5552629568289</v>
      </c>
      <c r="G722" s="5">
        <v>-14.3000841055072</v>
      </c>
      <c r="H722" s="5">
        <v>-14.3000841055072</v>
      </c>
      <c r="I722" s="5">
        <v>-14.3000841055072</v>
      </c>
      <c r="J722" s="5">
        <v>-0.776422525900785</v>
      </c>
      <c r="K722" s="5">
        <v>-0.776422525900785</v>
      </c>
      <c r="L722" s="5">
        <v>-0.776422525900785</v>
      </c>
      <c r="M722" s="5">
        <v>-13.5236615796064</v>
      </c>
      <c r="N722" s="5">
        <v>-13.5236615796064</v>
      </c>
      <c r="O722" s="5">
        <v>-13.5236615796064</v>
      </c>
      <c r="P722" s="5">
        <v>0.0</v>
      </c>
      <c r="Q722" s="5">
        <v>0.0</v>
      </c>
      <c r="R722" s="5">
        <v>0.0</v>
      </c>
      <c r="S722" s="5">
        <v>5.25517885132174</v>
      </c>
    </row>
    <row r="723">
      <c r="A723" s="6">
        <v>41404.0</v>
      </c>
      <c r="B723" s="5">
        <v>19.6091943348668</v>
      </c>
      <c r="C723" s="5">
        <v>-55.0456161494239</v>
      </c>
      <c r="D723" s="5">
        <v>65.5720127540717</v>
      </c>
      <c r="E723" s="5">
        <v>19.6091943348668</v>
      </c>
      <c r="F723" s="5">
        <v>19.6091943348668</v>
      </c>
      <c r="G723" s="5">
        <v>-16.1231454189262</v>
      </c>
      <c r="H723" s="5">
        <v>-16.1231454189262</v>
      </c>
      <c r="I723" s="5">
        <v>-16.1231454189262</v>
      </c>
      <c r="J723" s="5">
        <v>-1.59155056649238</v>
      </c>
      <c r="K723" s="5">
        <v>-1.59155056649238</v>
      </c>
      <c r="L723" s="5">
        <v>-1.59155056649238</v>
      </c>
      <c r="M723" s="5">
        <v>-14.5315948524338</v>
      </c>
      <c r="N723" s="5">
        <v>-14.5315948524338</v>
      </c>
      <c r="O723" s="5">
        <v>-14.5315948524338</v>
      </c>
      <c r="P723" s="5">
        <v>0.0</v>
      </c>
      <c r="Q723" s="5">
        <v>0.0</v>
      </c>
      <c r="R723" s="5">
        <v>0.0</v>
      </c>
      <c r="S723" s="5">
        <v>3.4860489159406</v>
      </c>
    </row>
    <row r="724">
      <c r="A724" s="6">
        <v>41407.0</v>
      </c>
      <c r="B724" s="5">
        <v>19.7709884689805</v>
      </c>
      <c r="C724" s="5">
        <v>-58.5307796061314</v>
      </c>
      <c r="D724" s="5">
        <v>67.8166265441835</v>
      </c>
      <c r="E724" s="5">
        <v>19.7709884689805</v>
      </c>
      <c r="F724" s="5">
        <v>19.7709884689805</v>
      </c>
      <c r="G724" s="5">
        <v>-17.1497082261285</v>
      </c>
      <c r="H724" s="5">
        <v>-17.1497082261285</v>
      </c>
      <c r="I724" s="5">
        <v>-17.1497082261285</v>
      </c>
      <c r="J724" s="5">
        <v>0.0905589421217604</v>
      </c>
      <c r="K724" s="5">
        <v>0.0905589421217604</v>
      </c>
      <c r="L724" s="5">
        <v>0.0905589421217604</v>
      </c>
      <c r="M724" s="5">
        <v>-17.2402671682502</v>
      </c>
      <c r="N724" s="5">
        <v>-17.2402671682502</v>
      </c>
      <c r="O724" s="5">
        <v>-17.2402671682502</v>
      </c>
      <c r="P724" s="5">
        <v>0.0</v>
      </c>
      <c r="Q724" s="5">
        <v>0.0</v>
      </c>
      <c r="R724" s="5">
        <v>0.0</v>
      </c>
      <c r="S724" s="5">
        <v>2.62128024285202</v>
      </c>
    </row>
    <row r="725">
      <c r="A725" s="6">
        <v>41408.0</v>
      </c>
      <c r="B725" s="5">
        <v>19.8249198470184</v>
      </c>
      <c r="C725" s="5">
        <v>-61.6953925411306</v>
      </c>
      <c r="D725" s="5">
        <v>61.9876472647861</v>
      </c>
      <c r="E725" s="5">
        <v>19.8249198470184</v>
      </c>
      <c r="F725" s="5">
        <v>19.8249198470184</v>
      </c>
      <c r="G725" s="5">
        <v>-18.1452000428273</v>
      </c>
      <c r="H725" s="5">
        <v>-18.1452000428273</v>
      </c>
      <c r="I725" s="5">
        <v>-18.1452000428273</v>
      </c>
      <c r="J725" s="5">
        <v>-0.144118857244627</v>
      </c>
      <c r="K725" s="5">
        <v>-0.144118857244627</v>
      </c>
      <c r="L725" s="5">
        <v>-0.144118857244627</v>
      </c>
      <c r="M725" s="5">
        <v>-18.0010811855827</v>
      </c>
      <c r="N725" s="5">
        <v>-18.0010811855827</v>
      </c>
      <c r="O725" s="5">
        <v>-18.0010811855827</v>
      </c>
      <c r="P725" s="5">
        <v>0.0</v>
      </c>
      <c r="Q725" s="5">
        <v>0.0</v>
      </c>
      <c r="R725" s="5">
        <v>0.0</v>
      </c>
      <c r="S725" s="5">
        <v>1.67971980419104</v>
      </c>
    </row>
    <row r="726">
      <c r="A726" s="6">
        <v>41409.0</v>
      </c>
      <c r="B726" s="5">
        <v>19.8788512250563</v>
      </c>
      <c r="C726" s="5">
        <v>-57.6746409680681</v>
      </c>
      <c r="D726" s="5">
        <v>68.5124605583146</v>
      </c>
      <c r="E726" s="5">
        <v>19.8788512250563</v>
      </c>
      <c r="F726" s="5">
        <v>19.8788512250563</v>
      </c>
      <c r="G726" s="5">
        <v>-18.6689957971089</v>
      </c>
      <c r="H726" s="5">
        <v>-18.6689957971089</v>
      </c>
      <c r="I726" s="5">
        <v>-18.6689957971089</v>
      </c>
      <c r="J726" s="5">
        <v>0.00703780528357949</v>
      </c>
      <c r="K726" s="5">
        <v>0.00703780528357949</v>
      </c>
      <c r="L726" s="5">
        <v>0.00703780528357949</v>
      </c>
      <c r="M726" s="5">
        <v>-18.6760336023925</v>
      </c>
      <c r="N726" s="5">
        <v>-18.6760336023925</v>
      </c>
      <c r="O726" s="5">
        <v>-18.6760336023925</v>
      </c>
      <c r="P726" s="5">
        <v>0.0</v>
      </c>
      <c r="Q726" s="5">
        <v>0.0</v>
      </c>
      <c r="R726" s="5">
        <v>0.0</v>
      </c>
      <c r="S726" s="5">
        <v>1.20985542794739</v>
      </c>
    </row>
    <row r="727">
      <c r="A727" s="6">
        <v>41410.0</v>
      </c>
      <c r="B727" s="5">
        <v>19.9327826030942</v>
      </c>
      <c r="C727" s="5">
        <v>-59.0790665062464</v>
      </c>
      <c r="D727" s="5">
        <v>64.3413885789668</v>
      </c>
      <c r="E727" s="5">
        <v>19.9327826030942</v>
      </c>
      <c r="F727" s="5">
        <v>19.9327826030942</v>
      </c>
      <c r="G727" s="5">
        <v>-20.0353156138851</v>
      </c>
      <c r="H727" s="5">
        <v>-20.0353156138851</v>
      </c>
      <c r="I727" s="5">
        <v>-20.0353156138851</v>
      </c>
      <c r="J727" s="5">
        <v>-0.776422525900032</v>
      </c>
      <c r="K727" s="5">
        <v>-0.776422525900032</v>
      </c>
      <c r="L727" s="5">
        <v>-0.776422525900032</v>
      </c>
      <c r="M727" s="5">
        <v>-19.2588930879851</v>
      </c>
      <c r="N727" s="5">
        <v>-19.2588930879851</v>
      </c>
      <c r="O727" s="5">
        <v>-19.2588930879851</v>
      </c>
      <c r="P727" s="5">
        <v>0.0</v>
      </c>
      <c r="Q727" s="5">
        <v>0.0</v>
      </c>
      <c r="R727" s="5">
        <v>0.0</v>
      </c>
      <c r="S727" s="5">
        <v>-0.102533010790946</v>
      </c>
    </row>
    <row r="728">
      <c r="A728" s="6">
        <v>41411.0</v>
      </c>
      <c r="B728" s="5">
        <v>19.9867139811321</v>
      </c>
      <c r="C728" s="5">
        <v>-64.9282968713158</v>
      </c>
      <c r="D728" s="5">
        <v>57.4972164143534</v>
      </c>
      <c r="E728" s="5">
        <v>19.9867139811321</v>
      </c>
      <c r="F728" s="5">
        <v>19.9867139811321</v>
      </c>
      <c r="G728" s="5">
        <v>-21.3369654309169</v>
      </c>
      <c r="H728" s="5">
        <v>-21.3369654309169</v>
      </c>
      <c r="I728" s="5">
        <v>-21.3369654309169</v>
      </c>
      <c r="J728" s="5">
        <v>-1.5915505664942</v>
      </c>
      <c r="K728" s="5">
        <v>-1.5915505664942</v>
      </c>
      <c r="L728" s="5">
        <v>-1.5915505664942</v>
      </c>
      <c r="M728" s="5">
        <v>-19.7454148644227</v>
      </c>
      <c r="N728" s="5">
        <v>-19.7454148644227</v>
      </c>
      <c r="O728" s="5">
        <v>-19.7454148644227</v>
      </c>
      <c r="P728" s="5">
        <v>0.0</v>
      </c>
      <c r="Q728" s="5">
        <v>0.0</v>
      </c>
      <c r="R728" s="5">
        <v>0.0</v>
      </c>
      <c r="S728" s="5">
        <v>-1.35025144978486</v>
      </c>
    </row>
    <row r="729">
      <c r="A729" s="6">
        <v>41414.0</v>
      </c>
      <c r="B729" s="5">
        <v>20.1485081152458</v>
      </c>
      <c r="C729" s="5">
        <v>-67.5673040003467</v>
      </c>
      <c r="D729" s="5">
        <v>60.3310341847991</v>
      </c>
      <c r="E729" s="5">
        <v>20.1485081152458</v>
      </c>
      <c r="F729" s="5">
        <v>20.1485081152458</v>
      </c>
      <c r="G729" s="5">
        <v>-20.5250677980736</v>
      </c>
      <c r="H729" s="5">
        <v>-20.5250677980736</v>
      </c>
      <c r="I729" s="5">
        <v>-20.5250677980736</v>
      </c>
      <c r="J729" s="5">
        <v>0.0905589421203228</v>
      </c>
      <c r="K729" s="5">
        <v>0.0905589421203228</v>
      </c>
      <c r="L729" s="5">
        <v>0.0905589421203228</v>
      </c>
      <c r="M729" s="5">
        <v>-20.615626740194</v>
      </c>
      <c r="N729" s="5">
        <v>-20.615626740194</v>
      </c>
      <c r="O729" s="5">
        <v>-20.615626740194</v>
      </c>
      <c r="P729" s="5">
        <v>0.0</v>
      </c>
      <c r="Q729" s="5">
        <v>0.0</v>
      </c>
      <c r="R729" s="5">
        <v>0.0</v>
      </c>
      <c r="S729" s="5">
        <v>-0.376559682827874</v>
      </c>
    </row>
    <row r="730">
      <c r="A730" s="6">
        <v>41415.0</v>
      </c>
      <c r="B730" s="5">
        <v>20.2024394932837</v>
      </c>
      <c r="C730" s="5">
        <v>-61.0129022274489</v>
      </c>
      <c r="D730" s="5">
        <v>62.7840135412935</v>
      </c>
      <c r="E730" s="5">
        <v>20.2024394932837</v>
      </c>
      <c r="F730" s="5">
        <v>20.2024394932837</v>
      </c>
      <c r="G730" s="5">
        <v>-20.8598808736675</v>
      </c>
      <c r="H730" s="5">
        <v>-20.8598808736675</v>
      </c>
      <c r="I730" s="5">
        <v>-20.8598808736675</v>
      </c>
      <c r="J730" s="5">
        <v>-0.144118857246063</v>
      </c>
      <c r="K730" s="5">
        <v>-0.144118857246063</v>
      </c>
      <c r="L730" s="5">
        <v>-0.144118857246063</v>
      </c>
      <c r="M730" s="5">
        <v>-20.7157620164215</v>
      </c>
      <c r="N730" s="5">
        <v>-20.7157620164215</v>
      </c>
      <c r="O730" s="5">
        <v>-20.7157620164215</v>
      </c>
      <c r="P730" s="5">
        <v>0.0</v>
      </c>
      <c r="Q730" s="5">
        <v>0.0</v>
      </c>
      <c r="R730" s="5">
        <v>0.0</v>
      </c>
      <c r="S730" s="5">
        <v>-0.657441380383886</v>
      </c>
    </row>
    <row r="731">
      <c r="A731" s="6">
        <v>41416.0</v>
      </c>
      <c r="B731" s="5">
        <v>20.2563708713216</v>
      </c>
      <c r="C731" s="5">
        <v>-63.7041757588077</v>
      </c>
      <c r="D731" s="5">
        <v>62.989981691863</v>
      </c>
      <c r="E731" s="5">
        <v>20.2563708713216</v>
      </c>
      <c r="F731" s="5">
        <v>20.2563708713216</v>
      </c>
      <c r="G731" s="5">
        <v>-20.7219957285292</v>
      </c>
      <c r="H731" s="5">
        <v>-20.7219957285292</v>
      </c>
      <c r="I731" s="5">
        <v>-20.7219957285292</v>
      </c>
      <c r="J731" s="5">
        <v>0.00703780528155468</v>
      </c>
      <c r="K731" s="5">
        <v>0.00703780528155468</v>
      </c>
      <c r="L731" s="5">
        <v>0.00703780528155468</v>
      </c>
      <c r="M731" s="5">
        <v>-20.7290335338107</v>
      </c>
      <c r="N731" s="5">
        <v>-20.7290335338107</v>
      </c>
      <c r="O731" s="5">
        <v>-20.7290335338107</v>
      </c>
      <c r="P731" s="5">
        <v>0.0</v>
      </c>
      <c r="Q731" s="5">
        <v>0.0</v>
      </c>
      <c r="R731" s="5">
        <v>0.0</v>
      </c>
      <c r="S731" s="5">
        <v>-0.4656248572076</v>
      </c>
    </row>
    <row r="732">
      <c r="A732" s="6">
        <v>41417.0</v>
      </c>
      <c r="B732" s="5">
        <v>20.3103022493594</v>
      </c>
      <c r="C732" s="5">
        <v>-62.6371904253299</v>
      </c>
      <c r="D732" s="5">
        <v>65.3172735013668</v>
      </c>
      <c r="E732" s="5">
        <v>20.3103022493594</v>
      </c>
      <c r="F732" s="5">
        <v>20.3103022493594</v>
      </c>
      <c r="G732" s="5">
        <v>-21.4393075516901</v>
      </c>
      <c r="H732" s="5">
        <v>-21.4393075516901</v>
      </c>
      <c r="I732" s="5">
        <v>-21.4393075516901</v>
      </c>
      <c r="J732" s="5">
        <v>-0.776422525899379</v>
      </c>
      <c r="K732" s="5">
        <v>-0.776422525899379</v>
      </c>
      <c r="L732" s="5">
        <v>-0.776422525899379</v>
      </c>
      <c r="M732" s="5">
        <v>-20.6628850257908</v>
      </c>
      <c r="N732" s="5">
        <v>-20.6628850257908</v>
      </c>
      <c r="O732" s="5">
        <v>-20.6628850257908</v>
      </c>
      <c r="P732" s="5">
        <v>0.0</v>
      </c>
      <c r="Q732" s="5">
        <v>0.0</v>
      </c>
      <c r="R732" s="5">
        <v>0.0</v>
      </c>
      <c r="S732" s="5">
        <v>-1.12900530233068</v>
      </c>
    </row>
    <row r="733">
      <c r="A733" s="6">
        <v>41418.0</v>
      </c>
      <c r="B733" s="5">
        <v>20.3642336273973</v>
      </c>
      <c r="C733" s="5">
        <v>-68.1373604250307</v>
      </c>
      <c r="D733" s="5">
        <v>61.743642611763</v>
      </c>
      <c r="E733" s="5">
        <v>20.3642336273973</v>
      </c>
      <c r="F733" s="5">
        <v>20.3642336273973</v>
      </c>
      <c r="G733" s="5">
        <v>-22.1177271814057</v>
      </c>
      <c r="H733" s="5">
        <v>-22.1177271814057</v>
      </c>
      <c r="I733" s="5">
        <v>-22.1177271814057</v>
      </c>
      <c r="J733" s="5">
        <v>-1.59155056649327</v>
      </c>
      <c r="K733" s="5">
        <v>-1.59155056649327</v>
      </c>
      <c r="L733" s="5">
        <v>-1.59155056649327</v>
      </c>
      <c r="M733" s="5">
        <v>-20.5261766149125</v>
      </c>
      <c r="N733" s="5">
        <v>-20.5261766149125</v>
      </c>
      <c r="O733" s="5">
        <v>-20.5261766149125</v>
      </c>
      <c r="P733" s="5">
        <v>0.0</v>
      </c>
      <c r="Q733" s="5">
        <v>0.0</v>
      </c>
      <c r="R733" s="5">
        <v>0.0</v>
      </c>
      <c r="S733" s="5">
        <v>-1.75349355400839</v>
      </c>
    </row>
    <row r="734">
      <c r="A734" s="6">
        <v>41422.0</v>
      </c>
      <c r="B734" s="5">
        <v>20.5799591395489</v>
      </c>
      <c r="C734" s="5">
        <v>-59.9126852774885</v>
      </c>
      <c r="D734" s="5">
        <v>65.5251032895666</v>
      </c>
      <c r="E734" s="5">
        <v>20.5799591395489</v>
      </c>
      <c r="F734" s="5">
        <v>20.5799591395489</v>
      </c>
      <c r="G734" s="5">
        <v>-19.6288198582689</v>
      </c>
      <c r="H734" s="5">
        <v>-19.6288198582689</v>
      </c>
      <c r="I734" s="5">
        <v>-19.6288198582689</v>
      </c>
      <c r="J734" s="5">
        <v>-0.144118857246389</v>
      </c>
      <c r="K734" s="5">
        <v>-0.144118857246389</v>
      </c>
      <c r="L734" s="5">
        <v>-0.144118857246389</v>
      </c>
      <c r="M734" s="5">
        <v>-19.4847010010225</v>
      </c>
      <c r="N734" s="5">
        <v>-19.4847010010225</v>
      </c>
      <c r="O734" s="5">
        <v>-19.4847010010225</v>
      </c>
      <c r="P734" s="5">
        <v>0.0</v>
      </c>
      <c r="Q734" s="5">
        <v>0.0</v>
      </c>
      <c r="R734" s="5">
        <v>0.0</v>
      </c>
      <c r="S734" s="5">
        <v>0.951139281280024</v>
      </c>
    </row>
    <row r="735">
      <c r="A735" s="6">
        <v>41423.0</v>
      </c>
      <c r="B735" s="5">
        <v>20.6338905175868</v>
      </c>
      <c r="C735" s="5">
        <v>-62.970078169386</v>
      </c>
      <c r="D735" s="5">
        <v>61.1960933385403</v>
      </c>
      <c r="E735" s="5">
        <v>20.6338905175868</v>
      </c>
      <c r="F735" s="5">
        <v>20.6338905175868</v>
      </c>
      <c r="G735" s="5">
        <v>-19.1504075021613</v>
      </c>
      <c r="H735" s="5">
        <v>-19.1504075021613</v>
      </c>
      <c r="I735" s="5">
        <v>-19.1504075021613</v>
      </c>
      <c r="J735" s="5">
        <v>0.00703780528286585</v>
      </c>
      <c r="K735" s="5">
        <v>0.00703780528286585</v>
      </c>
      <c r="L735" s="5">
        <v>0.00703780528286585</v>
      </c>
      <c r="M735" s="5">
        <v>-19.1574453074442</v>
      </c>
      <c r="N735" s="5">
        <v>-19.1574453074442</v>
      </c>
      <c r="O735" s="5">
        <v>-19.1574453074442</v>
      </c>
      <c r="P735" s="5">
        <v>0.0</v>
      </c>
      <c r="Q735" s="5">
        <v>0.0</v>
      </c>
      <c r="R735" s="5">
        <v>0.0</v>
      </c>
      <c r="S735" s="5">
        <v>1.4834830154255</v>
      </c>
    </row>
    <row r="736">
      <c r="A736" s="6">
        <v>41424.0</v>
      </c>
      <c r="B736" s="5">
        <v>20.6878218956247</v>
      </c>
      <c r="C736" s="5">
        <v>-62.6263463693057</v>
      </c>
      <c r="D736" s="5">
        <v>66.0825983102803</v>
      </c>
      <c r="E736" s="5">
        <v>20.6878218956247</v>
      </c>
      <c r="F736" s="5">
        <v>20.6878218956247</v>
      </c>
      <c r="G736" s="5">
        <v>-19.6023498643884</v>
      </c>
      <c r="H736" s="5">
        <v>-19.6023498643884</v>
      </c>
      <c r="I736" s="5">
        <v>-19.6023498643884</v>
      </c>
      <c r="J736" s="5">
        <v>-0.776422525901476</v>
      </c>
      <c r="K736" s="5">
        <v>-0.776422525901476</v>
      </c>
      <c r="L736" s="5">
        <v>-0.776422525901476</v>
      </c>
      <c r="M736" s="5">
        <v>-18.825927338487</v>
      </c>
      <c r="N736" s="5">
        <v>-18.825927338487</v>
      </c>
      <c r="O736" s="5">
        <v>-18.825927338487</v>
      </c>
      <c r="P736" s="5">
        <v>0.0</v>
      </c>
      <c r="Q736" s="5">
        <v>0.0</v>
      </c>
      <c r="R736" s="5">
        <v>0.0</v>
      </c>
      <c r="S736" s="5">
        <v>1.08547203123626</v>
      </c>
    </row>
    <row r="737">
      <c r="A737" s="6">
        <v>41425.0</v>
      </c>
      <c r="B737" s="5">
        <v>20.7417532736626</v>
      </c>
      <c r="C737" s="5">
        <v>-58.2047712828335</v>
      </c>
      <c r="D737" s="5">
        <v>63.2985825476919</v>
      </c>
      <c r="E737" s="5">
        <v>20.7417532736626</v>
      </c>
      <c r="F737" s="5">
        <v>20.7417532736626</v>
      </c>
      <c r="G737" s="5">
        <v>-20.0919425054186</v>
      </c>
      <c r="H737" s="5">
        <v>-20.0919425054186</v>
      </c>
      <c r="I737" s="5">
        <v>-20.0919425054186</v>
      </c>
      <c r="J737" s="5">
        <v>-1.59155056649235</v>
      </c>
      <c r="K737" s="5">
        <v>-1.59155056649235</v>
      </c>
      <c r="L737" s="5">
        <v>-1.59155056649235</v>
      </c>
      <c r="M737" s="5">
        <v>-18.5003919389263</v>
      </c>
      <c r="N737" s="5">
        <v>-18.5003919389263</v>
      </c>
      <c r="O737" s="5">
        <v>-18.5003919389263</v>
      </c>
      <c r="P737" s="5">
        <v>0.0</v>
      </c>
      <c r="Q737" s="5">
        <v>0.0</v>
      </c>
      <c r="R737" s="5">
        <v>0.0</v>
      </c>
      <c r="S737" s="5">
        <v>0.649810768243973</v>
      </c>
    </row>
    <row r="738">
      <c r="A738" s="6">
        <v>41428.0</v>
      </c>
      <c r="B738" s="5">
        <v>20.9035474077763</v>
      </c>
      <c r="C738" s="5">
        <v>-57.4305234678777</v>
      </c>
      <c r="D738" s="5">
        <v>64.0818526375973</v>
      </c>
      <c r="E738" s="5">
        <v>20.9035474077763</v>
      </c>
      <c r="F738" s="5">
        <v>20.9035474077763</v>
      </c>
      <c r="G738" s="5">
        <v>-17.5545801668987</v>
      </c>
      <c r="H738" s="5">
        <v>-17.5545801668987</v>
      </c>
      <c r="I738" s="5">
        <v>-17.5545801668987</v>
      </c>
      <c r="J738" s="5">
        <v>0.0905589421199119</v>
      </c>
      <c r="K738" s="5">
        <v>0.0905589421199119</v>
      </c>
      <c r="L738" s="5">
        <v>0.0905589421199119</v>
      </c>
      <c r="M738" s="5">
        <v>-17.6451391090186</v>
      </c>
      <c r="N738" s="5">
        <v>-17.6451391090186</v>
      </c>
      <c r="O738" s="5">
        <v>-17.6451391090186</v>
      </c>
      <c r="P738" s="5">
        <v>0.0</v>
      </c>
      <c r="Q738" s="5">
        <v>0.0</v>
      </c>
      <c r="R738" s="5">
        <v>0.0</v>
      </c>
      <c r="S738" s="5">
        <v>3.34896724087763</v>
      </c>
    </row>
    <row r="739">
      <c r="A739" s="6">
        <v>41429.0</v>
      </c>
      <c r="B739" s="5">
        <v>20.9574787858142</v>
      </c>
      <c r="C739" s="5">
        <v>-61.5172099827332</v>
      </c>
      <c r="D739" s="5">
        <v>65.6933215358024</v>
      </c>
      <c r="E739" s="5">
        <v>20.9574787858142</v>
      </c>
      <c r="F739" s="5">
        <v>20.9574787858142</v>
      </c>
      <c r="G739" s="5">
        <v>-17.5659346413302</v>
      </c>
      <c r="H739" s="5">
        <v>-17.5659346413302</v>
      </c>
      <c r="I739" s="5">
        <v>-17.5659346413302</v>
      </c>
      <c r="J739" s="5">
        <v>-0.144118857245301</v>
      </c>
      <c r="K739" s="5">
        <v>-0.144118857245301</v>
      </c>
      <c r="L739" s="5">
        <v>-0.144118857245301</v>
      </c>
      <c r="M739" s="5">
        <v>-17.4218157840849</v>
      </c>
      <c r="N739" s="5">
        <v>-17.4218157840849</v>
      </c>
      <c r="O739" s="5">
        <v>-17.4218157840849</v>
      </c>
      <c r="P739" s="5">
        <v>0.0</v>
      </c>
      <c r="Q739" s="5">
        <v>0.0</v>
      </c>
      <c r="R739" s="5">
        <v>0.0</v>
      </c>
      <c r="S739" s="5">
        <v>3.39154414448396</v>
      </c>
    </row>
    <row r="740">
      <c r="A740" s="6">
        <v>41430.0</v>
      </c>
      <c r="B740" s="5">
        <v>21.0114101638521</v>
      </c>
      <c r="C740" s="5">
        <v>-54.9553459299335</v>
      </c>
      <c r="D740" s="5">
        <v>67.5739742824808</v>
      </c>
      <c r="E740" s="5">
        <v>21.0114101638521</v>
      </c>
      <c r="F740" s="5">
        <v>21.0114101638521</v>
      </c>
      <c r="G740" s="5">
        <v>-17.2288606500775</v>
      </c>
      <c r="H740" s="5">
        <v>-17.2288606500775</v>
      </c>
      <c r="I740" s="5">
        <v>-17.2288606500775</v>
      </c>
      <c r="J740" s="5">
        <v>0.00703780528084098</v>
      </c>
      <c r="K740" s="5">
        <v>0.00703780528084098</v>
      </c>
      <c r="L740" s="5">
        <v>0.00703780528084098</v>
      </c>
      <c r="M740" s="5">
        <v>-17.2358984553583</v>
      </c>
      <c r="N740" s="5">
        <v>-17.2358984553583</v>
      </c>
      <c r="O740" s="5">
        <v>-17.2358984553583</v>
      </c>
      <c r="P740" s="5">
        <v>0.0</v>
      </c>
      <c r="Q740" s="5">
        <v>0.0</v>
      </c>
      <c r="R740" s="5">
        <v>0.0</v>
      </c>
      <c r="S740" s="5">
        <v>3.7825495137746</v>
      </c>
    </row>
    <row r="741">
      <c r="A741" s="6">
        <v>41431.0</v>
      </c>
      <c r="B741" s="5">
        <v>21.06534154189</v>
      </c>
      <c r="C741" s="5">
        <v>-60.9250662305894</v>
      </c>
      <c r="D741" s="5">
        <v>69.3216578251889</v>
      </c>
      <c r="E741" s="5">
        <v>21.06534154189</v>
      </c>
      <c r="F741" s="5">
        <v>21.06534154189</v>
      </c>
      <c r="G741" s="5">
        <v>-17.8650670771522</v>
      </c>
      <c r="H741" s="5">
        <v>-17.8650670771522</v>
      </c>
      <c r="I741" s="5">
        <v>-17.8650670771522</v>
      </c>
      <c r="J741" s="5">
        <v>-0.776422525902198</v>
      </c>
      <c r="K741" s="5">
        <v>-0.776422525902198</v>
      </c>
      <c r="L741" s="5">
        <v>-0.776422525902198</v>
      </c>
      <c r="M741" s="5">
        <v>-17.08864455125</v>
      </c>
      <c r="N741" s="5">
        <v>-17.08864455125</v>
      </c>
      <c r="O741" s="5">
        <v>-17.08864455125</v>
      </c>
      <c r="P741" s="5">
        <v>0.0</v>
      </c>
      <c r="Q741" s="5">
        <v>0.0</v>
      </c>
      <c r="R741" s="5">
        <v>0.0</v>
      </c>
      <c r="S741" s="5">
        <v>3.2002744647378</v>
      </c>
    </row>
    <row r="742">
      <c r="A742" s="6">
        <v>41432.0</v>
      </c>
      <c r="B742" s="5">
        <v>21.1192729199279</v>
      </c>
      <c r="C742" s="5">
        <v>-56.3359338635202</v>
      </c>
      <c r="D742" s="5">
        <v>64.2087490160819</v>
      </c>
      <c r="E742" s="5">
        <v>21.1192729199279</v>
      </c>
      <c r="F742" s="5">
        <v>21.1192729199279</v>
      </c>
      <c r="G742" s="5">
        <v>-18.5710720783634</v>
      </c>
      <c r="H742" s="5">
        <v>-18.5710720783634</v>
      </c>
      <c r="I742" s="5">
        <v>-18.5710720783634</v>
      </c>
      <c r="J742" s="5">
        <v>-1.59155056649385</v>
      </c>
      <c r="K742" s="5">
        <v>-1.59155056649385</v>
      </c>
      <c r="L742" s="5">
        <v>-1.59155056649385</v>
      </c>
      <c r="M742" s="5">
        <v>-16.9795215118696</v>
      </c>
      <c r="N742" s="5">
        <v>-16.9795215118696</v>
      </c>
      <c r="O742" s="5">
        <v>-16.9795215118696</v>
      </c>
      <c r="P742" s="5">
        <v>0.0</v>
      </c>
      <c r="Q742" s="5">
        <v>0.0</v>
      </c>
      <c r="R742" s="5">
        <v>0.0</v>
      </c>
      <c r="S742" s="5">
        <v>2.54820084156443</v>
      </c>
    </row>
    <row r="743">
      <c r="A743" s="6">
        <v>41435.0</v>
      </c>
      <c r="B743" s="5">
        <v>21.2810670540416</v>
      </c>
      <c r="C743" s="5">
        <v>-60.4941144092234</v>
      </c>
      <c r="D743" s="5">
        <v>66.1579516931073</v>
      </c>
      <c r="E743" s="5">
        <v>21.2810670540416</v>
      </c>
      <c r="F743" s="5">
        <v>21.2810670540416</v>
      </c>
      <c r="G743" s="5">
        <v>-16.7598436239338</v>
      </c>
      <c r="H743" s="5">
        <v>-16.7598436239338</v>
      </c>
      <c r="I743" s="5">
        <v>-16.7598436239338</v>
      </c>
      <c r="J743" s="5">
        <v>0.0905589421208584</v>
      </c>
      <c r="K743" s="5">
        <v>0.0905589421208584</v>
      </c>
      <c r="L743" s="5">
        <v>0.0905589421208584</v>
      </c>
      <c r="M743" s="5">
        <v>-16.8504025660546</v>
      </c>
      <c r="N743" s="5">
        <v>-16.8504025660546</v>
      </c>
      <c r="O743" s="5">
        <v>-16.8504025660546</v>
      </c>
      <c r="P743" s="5">
        <v>0.0</v>
      </c>
      <c r="Q743" s="5">
        <v>0.0</v>
      </c>
      <c r="R743" s="5">
        <v>0.0</v>
      </c>
      <c r="S743" s="5">
        <v>4.52122343010777</v>
      </c>
    </row>
    <row r="744">
      <c r="A744" s="6">
        <v>41436.0</v>
      </c>
      <c r="B744" s="5">
        <v>21.3349984320795</v>
      </c>
      <c r="C744" s="5">
        <v>-60.394328316946</v>
      </c>
      <c r="D744" s="5">
        <v>69.6691313974714</v>
      </c>
      <c r="E744" s="5">
        <v>21.3349984320795</v>
      </c>
      <c r="F744" s="5">
        <v>21.3349984320795</v>
      </c>
      <c r="G744" s="5">
        <v>-17.000003733932</v>
      </c>
      <c r="H744" s="5">
        <v>-17.000003733932</v>
      </c>
      <c r="I744" s="5">
        <v>-17.000003733932</v>
      </c>
      <c r="J744" s="5">
        <v>-0.144118857244213</v>
      </c>
      <c r="K744" s="5">
        <v>-0.144118857244213</v>
      </c>
      <c r="L744" s="5">
        <v>-0.144118857244213</v>
      </c>
      <c r="M744" s="5">
        <v>-16.8558848766877</v>
      </c>
      <c r="N744" s="5">
        <v>-16.8558848766877</v>
      </c>
      <c r="O744" s="5">
        <v>-16.8558848766877</v>
      </c>
      <c r="P744" s="5">
        <v>0.0</v>
      </c>
      <c r="Q744" s="5">
        <v>0.0</v>
      </c>
      <c r="R744" s="5">
        <v>0.0</v>
      </c>
      <c r="S744" s="5">
        <v>4.33499469814749</v>
      </c>
    </row>
    <row r="745">
      <c r="A745" s="6">
        <v>41437.0</v>
      </c>
      <c r="B745" s="5">
        <v>21.3889298101174</v>
      </c>
      <c r="C745" s="5">
        <v>-63.5699429597034</v>
      </c>
      <c r="D745" s="5">
        <v>70.1129229517425</v>
      </c>
      <c r="E745" s="5">
        <v>21.3889298101174</v>
      </c>
      <c r="F745" s="5">
        <v>21.3889298101174</v>
      </c>
      <c r="G745" s="5">
        <v>-16.8668361889679</v>
      </c>
      <c r="H745" s="5">
        <v>-16.8668361889679</v>
      </c>
      <c r="I745" s="5">
        <v>-16.8668361889679</v>
      </c>
      <c r="J745" s="5">
        <v>0.00703780528314335</v>
      </c>
      <c r="K745" s="5">
        <v>0.00703780528314335</v>
      </c>
      <c r="L745" s="5">
        <v>0.00703780528314335</v>
      </c>
      <c r="M745" s="5">
        <v>-16.873873994251</v>
      </c>
      <c r="N745" s="5">
        <v>-16.873873994251</v>
      </c>
      <c r="O745" s="5">
        <v>-16.873873994251</v>
      </c>
      <c r="P745" s="5">
        <v>0.0</v>
      </c>
      <c r="Q745" s="5">
        <v>0.0</v>
      </c>
      <c r="R745" s="5">
        <v>0.0</v>
      </c>
      <c r="S745" s="5">
        <v>4.52209362114949</v>
      </c>
    </row>
    <row r="746">
      <c r="A746" s="6">
        <v>41438.0</v>
      </c>
      <c r="B746" s="5">
        <v>21.4428611881552</v>
      </c>
      <c r="C746" s="5">
        <v>-58.8239715370167</v>
      </c>
      <c r="D746" s="5">
        <v>67.6235441477081</v>
      </c>
      <c r="E746" s="5">
        <v>21.4428611881552</v>
      </c>
      <c r="F746" s="5">
        <v>21.4428611881552</v>
      </c>
      <c r="G746" s="5">
        <v>-17.6724884963222</v>
      </c>
      <c r="H746" s="5">
        <v>-17.6724884963222</v>
      </c>
      <c r="I746" s="5">
        <v>-17.6724884963222</v>
      </c>
      <c r="J746" s="5">
        <v>-0.776422525901445</v>
      </c>
      <c r="K746" s="5">
        <v>-0.776422525901445</v>
      </c>
      <c r="L746" s="5">
        <v>-0.776422525901445</v>
      </c>
      <c r="M746" s="5">
        <v>-16.8960659704207</v>
      </c>
      <c r="N746" s="5">
        <v>-16.8960659704207</v>
      </c>
      <c r="O746" s="5">
        <v>-16.8960659704207</v>
      </c>
      <c r="P746" s="5">
        <v>0.0</v>
      </c>
      <c r="Q746" s="5">
        <v>0.0</v>
      </c>
      <c r="R746" s="5">
        <v>0.0</v>
      </c>
      <c r="S746" s="5">
        <v>3.77037269183308</v>
      </c>
    </row>
    <row r="747">
      <c r="A747" s="6">
        <v>41439.0</v>
      </c>
      <c r="B747" s="5">
        <v>21.4967925661931</v>
      </c>
      <c r="C747" s="5">
        <v>-61.0183115599528</v>
      </c>
      <c r="D747" s="5">
        <v>68.8575165396638</v>
      </c>
      <c r="E747" s="5">
        <v>21.4967925661931</v>
      </c>
      <c r="F747" s="5">
        <v>21.4967925661931</v>
      </c>
      <c r="G747" s="5">
        <v>-18.5052774399479</v>
      </c>
      <c r="H747" s="5">
        <v>-18.5052774399479</v>
      </c>
      <c r="I747" s="5">
        <v>-18.5052774399479</v>
      </c>
      <c r="J747" s="5">
        <v>-1.59155056649324</v>
      </c>
      <c r="K747" s="5">
        <v>-1.59155056649324</v>
      </c>
      <c r="L747" s="5">
        <v>-1.59155056649324</v>
      </c>
      <c r="M747" s="5">
        <v>-16.9137268734546</v>
      </c>
      <c r="N747" s="5">
        <v>-16.9137268734546</v>
      </c>
      <c r="O747" s="5">
        <v>-16.9137268734546</v>
      </c>
      <c r="P747" s="5">
        <v>0.0</v>
      </c>
      <c r="Q747" s="5">
        <v>0.0</v>
      </c>
      <c r="R747" s="5">
        <v>0.0</v>
      </c>
      <c r="S747" s="5">
        <v>2.99151512624528</v>
      </c>
    </row>
    <row r="748">
      <c r="A748" s="6">
        <v>41442.0</v>
      </c>
      <c r="B748" s="5">
        <v>21.6585867003068</v>
      </c>
      <c r="C748" s="5">
        <v>-57.0860258838063</v>
      </c>
      <c r="D748" s="5">
        <v>67.1273412282384</v>
      </c>
      <c r="E748" s="5">
        <v>21.6585867003068</v>
      </c>
      <c r="F748" s="5">
        <v>21.6585867003068</v>
      </c>
      <c r="G748" s="5">
        <v>-16.7616748552536</v>
      </c>
      <c r="H748" s="5">
        <v>-16.7616748552536</v>
      </c>
      <c r="I748" s="5">
        <v>-16.7616748552536</v>
      </c>
      <c r="J748" s="5">
        <v>0.0905589421194209</v>
      </c>
      <c r="K748" s="5">
        <v>0.0905589421194209</v>
      </c>
      <c r="L748" s="5">
        <v>0.0905589421194209</v>
      </c>
      <c r="M748" s="5">
        <v>-16.852233797373</v>
      </c>
      <c r="N748" s="5">
        <v>-16.852233797373</v>
      </c>
      <c r="O748" s="5">
        <v>-16.852233797373</v>
      </c>
      <c r="P748" s="5">
        <v>0.0</v>
      </c>
      <c r="Q748" s="5">
        <v>0.0</v>
      </c>
      <c r="R748" s="5">
        <v>0.0</v>
      </c>
      <c r="S748" s="5">
        <v>4.89691184505325</v>
      </c>
    </row>
    <row r="749">
      <c r="A749" s="6">
        <v>41443.0</v>
      </c>
      <c r="B749" s="5">
        <v>21.7125180783447</v>
      </c>
      <c r="C749" s="5">
        <v>-57.0664453816227</v>
      </c>
      <c r="D749" s="5">
        <v>68.1473524082809</v>
      </c>
      <c r="E749" s="5">
        <v>21.7125180783447</v>
      </c>
      <c r="F749" s="5">
        <v>21.7125180783447</v>
      </c>
      <c r="G749" s="5">
        <v>-16.9107611643961</v>
      </c>
      <c r="H749" s="5">
        <v>-16.9107611643961</v>
      </c>
      <c r="I749" s="5">
        <v>-16.9107611643961</v>
      </c>
      <c r="J749" s="5">
        <v>-0.144118857247063</v>
      </c>
      <c r="K749" s="5">
        <v>-0.144118857247063</v>
      </c>
      <c r="L749" s="5">
        <v>-0.144118857247063</v>
      </c>
      <c r="M749" s="5">
        <v>-16.766642307149</v>
      </c>
      <c r="N749" s="5">
        <v>-16.766642307149</v>
      </c>
      <c r="O749" s="5">
        <v>-16.766642307149</v>
      </c>
      <c r="P749" s="5">
        <v>0.0</v>
      </c>
      <c r="Q749" s="5">
        <v>0.0</v>
      </c>
      <c r="R749" s="5">
        <v>0.0</v>
      </c>
      <c r="S749" s="5">
        <v>4.80175691394864</v>
      </c>
    </row>
    <row r="750">
      <c r="A750" s="6">
        <v>41444.0</v>
      </c>
      <c r="B750" s="5">
        <v>21.7664494563826</v>
      </c>
      <c r="C750" s="5">
        <v>-57.6987455456884</v>
      </c>
      <c r="D750" s="5">
        <v>67.0246439053563</v>
      </c>
      <c r="E750" s="5">
        <v>21.7664494563826</v>
      </c>
      <c r="F750" s="5">
        <v>21.7664494563826</v>
      </c>
      <c r="G750" s="5">
        <v>-16.6300844129623</v>
      </c>
      <c r="H750" s="5">
        <v>-16.6300844129623</v>
      </c>
      <c r="I750" s="5">
        <v>-16.6300844129623</v>
      </c>
      <c r="J750" s="5">
        <v>0.00703780528229093</v>
      </c>
      <c r="K750" s="5">
        <v>0.00703780528229093</v>
      </c>
      <c r="L750" s="5">
        <v>0.00703780528229093</v>
      </c>
      <c r="M750" s="5">
        <v>-16.6371222182446</v>
      </c>
      <c r="N750" s="5">
        <v>-16.6371222182446</v>
      </c>
      <c r="O750" s="5">
        <v>-16.6371222182446</v>
      </c>
      <c r="P750" s="5">
        <v>0.0</v>
      </c>
      <c r="Q750" s="5">
        <v>0.0</v>
      </c>
      <c r="R750" s="5">
        <v>0.0</v>
      </c>
      <c r="S750" s="5">
        <v>5.13636504342034</v>
      </c>
    </row>
    <row r="751">
      <c r="A751" s="6">
        <v>41445.0</v>
      </c>
      <c r="B751" s="5">
        <v>21.8203808344205</v>
      </c>
      <c r="C751" s="5">
        <v>-56.4243325756908</v>
      </c>
      <c r="D751" s="5">
        <v>64.5786675884908</v>
      </c>
      <c r="E751" s="5">
        <v>21.8203808344205</v>
      </c>
      <c r="F751" s="5">
        <v>21.8203808344205</v>
      </c>
      <c r="G751" s="5">
        <v>-17.2350499523238</v>
      </c>
      <c r="H751" s="5">
        <v>-17.2350499523238</v>
      </c>
      <c r="I751" s="5">
        <v>-17.2350499523238</v>
      </c>
      <c r="J751" s="5">
        <v>-0.776422525903542</v>
      </c>
      <c r="K751" s="5">
        <v>-0.776422525903542</v>
      </c>
      <c r="L751" s="5">
        <v>-0.776422525903542</v>
      </c>
      <c r="M751" s="5">
        <v>-16.4586274264203</v>
      </c>
      <c r="N751" s="5">
        <v>-16.4586274264203</v>
      </c>
      <c r="O751" s="5">
        <v>-16.4586274264203</v>
      </c>
      <c r="P751" s="5">
        <v>0.0</v>
      </c>
      <c r="Q751" s="5">
        <v>0.0</v>
      </c>
      <c r="R751" s="5">
        <v>0.0</v>
      </c>
      <c r="S751" s="5">
        <v>4.58533088209667</v>
      </c>
    </row>
    <row r="752">
      <c r="A752" s="6">
        <v>41446.0</v>
      </c>
      <c r="B752" s="5">
        <v>21.8743122124584</v>
      </c>
      <c r="C752" s="5">
        <v>-59.2451285788137</v>
      </c>
      <c r="D752" s="5">
        <v>68.3031704483954</v>
      </c>
      <c r="E752" s="5">
        <v>21.8743122124584</v>
      </c>
      <c r="F752" s="5">
        <v>21.8743122124584</v>
      </c>
      <c r="G752" s="5">
        <v>-17.8191386490978</v>
      </c>
      <c r="H752" s="5">
        <v>-17.8191386490978</v>
      </c>
      <c r="I752" s="5">
        <v>-17.8191386490978</v>
      </c>
      <c r="J752" s="5">
        <v>-1.591550566492</v>
      </c>
      <c r="K752" s="5">
        <v>-1.591550566492</v>
      </c>
      <c r="L752" s="5">
        <v>-1.591550566492</v>
      </c>
      <c r="M752" s="5">
        <v>-16.2275880826058</v>
      </c>
      <c r="N752" s="5">
        <v>-16.2275880826058</v>
      </c>
      <c r="O752" s="5">
        <v>-16.2275880826058</v>
      </c>
      <c r="P752" s="5">
        <v>0.0</v>
      </c>
      <c r="Q752" s="5">
        <v>0.0</v>
      </c>
      <c r="R752" s="5">
        <v>0.0</v>
      </c>
      <c r="S752" s="5">
        <v>4.05517356336061</v>
      </c>
    </row>
    <row r="753">
      <c r="A753" s="6">
        <v>41449.0</v>
      </c>
      <c r="B753" s="5">
        <v>22.0361063465721</v>
      </c>
      <c r="C753" s="5">
        <v>-55.186726967929</v>
      </c>
      <c r="D753" s="5">
        <v>71.1365130255592</v>
      </c>
      <c r="E753" s="5">
        <v>22.0361063465721</v>
      </c>
      <c r="F753" s="5">
        <v>22.0361063465721</v>
      </c>
      <c r="G753" s="5">
        <v>-15.117816230371</v>
      </c>
      <c r="H753" s="5">
        <v>-15.117816230371</v>
      </c>
      <c r="I753" s="5">
        <v>-15.117816230371</v>
      </c>
      <c r="J753" s="5">
        <v>0.0905589421228312</v>
      </c>
      <c r="K753" s="5">
        <v>0.0905589421228312</v>
      </c>
      <c r="L753" s="5">
        <v>0.0905589421228312</v>
      </c>
      <c r="M753" s="5">
        <v>-15.2083751724939</v>
      </c>
      <c r="N753" s="5">
        <v>-15.2083751724939</v>
      </c>
      <c r="O753" s="5">
        <v>-15.2083751724939</v>
      </c>
      <c r="P753" s="5">
        <v>0.0</v>
      </c>
      <c r="Q753" s="5">
        <v>0.0</v>
      </c>
      <c r="R753" s="5">
        <v>0.0</v>
      </c>
      <c r="S753" s="5">
        <v>6.91829011620106</v>
      </c>
    </row>
    <row r="754">
      <c r="A754" s="6">
        <v>41450.0</v>
      </c>
      <c r="B754" s="5">
        <v>22.09003772461</v>
      </c>
      <c r="C754" s="5">
        <v>-50.8693526583841</v>
      </c>
      <c r="D754" s="5">
        <v>76.3385068909716</v>
      </c>
      <c r="E754" s="5">
        <v>22.09003772461</v>
      </c>
      <c r="F754" s="5">
        <v>22.09003772461</v>
      </c>
      <c r="G754" s="5">
        <v>-14.9091645307361</v>
      </c>
      <c r="H754" s="5">
        <v>-14.9091645307361</v>
      </c>
      <c r="I754" s="5">
        <v>-14.9091645307361</v>
      </c>
      <c r="J754" s="5">
        <v>-0.144118857243451</v>
      </c>
      <c r="K754" s="5">
        <v>-0.144118857243451</v>
      </c>
      <c r="L754" s="5">
        <v>-0.144118857243451</v>
      </c>
      <c r="M754" s="5">
        <v>-14.7650456734926</v>
      </c>
      <c r="N754" s="5">
        <v>-14.7650456734926</v>
      </c>
      <c r="O754" s="5">
        <v>-14.7650456734926</v>
      </c>
      <c r="P754" s="5">
        <v>0.0</v>
      </c>
      <c r="Q754" s="5">
        <v>0.0</v>
      </c>
      <c r="R754" s="5">
        <v>0.0</v>
      </c>
      <c r="S754" s="5">
        <v>7.1808731938739</v>
      </c>
    </row>
    <row r="755">
      <c r="A755" s="6">
        <v>41451.0</v>
      </c>
      <c r="B755" s="5">
        <v>22.1439691026479</v>
      </c>
      <c r="C755" s="5">
        <v>-52.8269229017875</v>
      </c>
      <c r="D755" s="5">
        <v>69.9157225695108</v>
      </c>
      <c r="E755" s="5">
        <v>22.1439691026479</v>
      </c>
      <c r="F755" s="5">
        <v>22.1439691026479</v>
      </c>
      <c r="G755" s="5">
        <v>-14.2697534337237</v>
      </c>
      <c r="H755" s="5">
        <v>-14.2697534337237</v>
      </c>
      <c r="I755" s="5">
        <v>-14.2697534337237</v>
      </c>
      <c r="J755" s="5">
        <v>0.00703780528143837</v>
      </c>
      <c r="K755" s="5">
        <v>0.00703780528143837</v>
      </c>
      <c r="L755" s="5">
        <v>0.00703780528143837</v>
      </c>
      <c r="M755" s="5">
        <v>-14.2767912390051</v>
      </c>
      <c r="N755" s="5">
        <v>-14.2767912390051</v>
      </c>
      <c r="O755" s="5">
        <v>-14.2767912390051</v>
      </c>
      <c r="P755" s="5">
        <v>0.0</v>
      </c>
      <c r="Q755" s="5">
        <v>0.0</v>
      </c>
      <c r="R755" s="5">
        <v>0.0</v>
      </c>
      <c r="S755" s="5">
        <v>7.87421566892421</v>
      </c>
    </row>
    <row r="756">
      <c r="A756" s="6">
        <v>41452.0</v>
      </c>
      <c r="B756" s="5">
        <v>22.1979004806858</v>
      </c>
      <c r="C756" s="5">
        <v>-51.1414016981823</v>
      </c>
      <c r="D756" s="5">
        <v>68.5681098917066</v>
      </c>
      <c r="E756" s="5">
        <v>22.1979004806858</v>
      </c>
      <c r="F756" s="5">
        <v>22.1979004806858</v>
      </c>
      <c r="G756" s="5">
        <v>-14.5265728622693</v>
      </c>
      <c r="H756" s="5">
        <v>-14.5265728622693</v>
      </c>
      <c r="I756" s="5">
        <v>-14.5265728622693</v>
      </c>
      <c r="J756" s="5">
        <v>-0.776422525902889</v>
      </c>
      <c r="K756" s="5">
        <v>-0.776422525902889</v>
      </c>
      <c r="L756" s="5">
        <v>-0.776422525902889</v>
      </c>
      <c r="M756" s="5">
        <v>-13.7501503363664</v>
      </c>
      <c r="N756" s="5">
        <v>-13.7501503363664</v>
      </c>
      <c r="O756" s="5">
        <v>-13.7501503363664</v>
      </c>
      <c r="P756" s="5">
        <v>0.0</v>
      </c>
      <c r="Q756" s="5">
        <v>0.0</v>
      </c>
      <c r="R756" s="5">
        <v>0.0</v>
      </c>
      <c r="S756" s="5">
        <v>7.67132761841645</v>
      </c>
    </row>
    <row r="757">
      <c r="A757" s="6">
        <v>41453.0</v>
      </c>
      <c r="B757" s="5">
        <v>22.2518318587237</v>
      </c>
      <c r="C757" s="5">
        <v>-51.5707151936805</v>
      </c>
      <c r="D757" s="5">
        <v>71.2333632827214</v>
      </c>
      <c r="E757" s="5">
        <v>22.2518318587237</v>
      </c>
      <c r="F757" s="5">
        <v>22.2518318587237</v>
      </c>
      <c r="G757" s="5">
        <v>-14.784610935574</v>
      </c>
      <c r="H757" s="5">
        <v>-14.784610935574</v>
      </c>
      <c r="I757" s="5">
        <v>-14.784610935574</v>
      </c>
      <c r="J757" s="5">
        <v>-1.59155056649108</v>
      </c>
      <c r="K757" s="5">
        <v>-1.59155056649108</v>
      </c>
      <c r="L757" s="5">
        <v>-1.59155056649108</v>
      </c>
      <c r="M757" s="5">
        <v>-13.193060369083</v>
      </c>
      <c r="N757" s="5">
        <v>-13.193060369083</v>
      </c>
      <c r="O757" s="5">
        <v>-13.193060369083</v>
      </c>
      <c r="P757" s="5">
        <v>0.0</v>
      </c>
      <c r="Q757" s="5">
        <v>0.0</v>
      </c>
      <c r="R757" s="5">
        <v>0.0</v>
      </c>
      <c r="S757" s="5">
        <v>7.46722092314963</v>
      </c>
    </row>
    <row r="758">
      <c r="A758" s="6">
        <v>41456.0</v>
      </c>
      <c r="B758" s="5">
        <v>22.4136259928374</v>
      </c>
      <c r="C758" s="5">
        <v>-47.6199657441933</v>
      </c>
      <c r="D758" s="5">
        <v>77.9686137244813</v>
      </c>
      <c r="E758" s="5">
        <v>22.4136259928374</v>
      </c>
      <c r="F758" s="5">
        <v>22.4136259928374</v>
      </c>
      <c r="G758" s="5">
        <v>-11.3441857637515</v>
      </c>
      <c r="H758" s="5">
        <v>-11.3441857637515</v>
      </c>
      <c r="I758" s="5">
        <v>-11.3441857637515</v>
      </c>
      <c r="J758" s="5">
        <v>0.0905589421237777</v>
      </c>
      <c r="K758" s="5">
        <v>0.0905589421237777</v>
      </c>
      <c r="L758" s="5">
        <v>0.0905589421237777</v>
      </c>
      <c r="M758" s="5">
        <v>-11.4347447058752</v>
      </c>
      <c r="N758" s="5">
        <v>-11.4347447058752</v>
      </c>
      <c r="O758" s="5">
        <v>-11.4347447058752</v>
      </c>
      <c r="P758" s="5">
        <v>0.0</v>
      </c>
      <c r="Q758" s="5">
        <v>0.0</v>
      </c>
      <c r="R758" s="5">
        <v>0.0</v>
      </c>
      <c r="S758" s="5">
        <v>11.0694402290858</v>
      </c>
    </row>
    <row r="759">
      <c r="A759" s="6">
        <v>41457.0</v>
      </c>
      <c r="B759" s="5">
        <v>22.4675573739753</v>
      </c>
      <c r="C759" s="5">
        <v>-49.4182707337671</v>
      </c>
      <c r="D759" s="5">
        <v>75.2138552399181</v>
      </c>
      <c r="E759" s="5">
        <v>22.4675573739753</v>
      </c>
      <c r="F759" s="5">
        <v>22.4675573739753</v>
      </c>
      <c r="G759" s="5">
        <v>-10.9991668700388</v>
      </c>
      <c r="H759" s="5">
        <v>-10.9991668700388</v>
      </c>
      <c r="I759" s="5">
        <v>-10.9991668700388</v>
      </c>
      <c r="J759" s="5">
        <v>-0.144118857244887</v>
      </c>
      <c r="K759" s="5">
        <v>-0.144118857244887</v>
      </c>
      <c r="L759" s="5">
        <v>-0.144118857244887</v>
      </c>
      <c r="M759" s="5">
        <v>-10.8550480127939</v>
      </c>
      <c r="N759" s="5">
        <v>-10.8550480127939</v>
      </c>
      <c r="O759" s="5">
        <v>-10.8550480127939</v>
      </c>
      <c r="P759" s="5">
        <v>0.0</v>
      </c>
      <c r="Q759" s="5">
        <v>0.0</v>
      </c>
      <c r="R759" s="5">
        <v>0.0</v>
      </c>
      <c r="S759" s="5">
        <v>11.4683905039365</v>
      </c>
    </row>
    <row r="760">
      <c r="A760" s="6">
        <v>41458.0</v>
      </c>
      <c r="B760" s="5">
        <v>22.5214887551133</v>
      </c>
      <c r="C760" s="5">
        <v>-49.6963529511873</v>
      </c>
      <c r="D760" s="5">
        <v>75.375755376663</v>
      </c>
      <c r="E760" s="5">
        <v>22.5214887551133</v>
      </c>
      <c r="F760" s="5">
        <v>22.5214887551133</v>
      </c>
      <c r="G760" s="5">
        <v>-10.2899493031563</v>
      </c>
      <c r="H760" s="5">
        <v>-10.2899493031563</v>
      </c>
      <c r="I760" s="5">
        <v>-10.2899493031563</v>
      </c>
      <c r="J760" s="5">
        <v>0.00703780528058578</v>
      </c>
      <c r="K760" s="5">
        <v>0.00703780528058578</v>
      </c>
      <c r="L760" s="5">
        <v>0.00703780528058578</v>
      </c>
      <c r="M760" s="5">
        <v>-10.2969871084368</v>
      </c>
      <c r="N760" s="5">
        <v>-10.2969871084368</v>
      </c>
      <c r="O760" s="5">
        <v>-10.2969871084368</v>
      </c>
      <c r="P760" s="5">
        <v>0.0</v>
      </c>
      <c r="Q760" s="5">
        <v>0.0</v>
      </c>
      <c r="R760" s="5">
        <v>0.0</v>
      </c>
      <c r="S760" s="5">
        <v>12.2315394519569</v>
      </c>
    </row>
    <row r="761">
      <c r="A761" s="6">
        <v>41460.0</v>
      </c>
      <c r="B761" s="5">
        <v>22.6293515173892</v>
      </c>
      <c r="C761" s="5">
        <v>-53.719428386946</v>
      </c>
      <c r="D761" s="5">
        <v>72.9897677001075</v>
      </c>
      <c r="E761" s="5">
        <v>22.6293515173892</v>
      </c>
      <c r="F761" s="5">
        <v>22.6293515173892</v>
      </c>
      <c r="G761" s="5">
        <v>-10.8800342645484</v>
      </c>
      <c r="H761" s="5">
        <v>-10.8800342645484</v>
      </c>
      <c r="I761" s="5">
        <v>-10.8800342645484</v>
      </c>
      <c r="J761" s="5">
        <v>-1.59155056649258</v>
      </c>
      <c r="K761" s="5">
        <v>-1.59155056649258</v>
      </c>
      <c r="L761" s="5">
        <v>-1.59155056649258</v>
      </c>
      <c r="M761" s="5">
        <v>-9.28848369805582</v>
      </c>
      <c r="N761" s="5">
        <v>-9.28848369805582</v>
      </c>
      <c r="O761" s="5">
        <v>-9.28848369805582</v>
      </c>
      <c r="P761" s="5">
        <v>0.0</v>
      </c>
      <c r="Q761" s="5">
        <v>0.0</v>
      </c>
      <c r="R761" s="5">
        <v>0.0</v>
      </c>
      <c r="S761" s="5">
        <v>11.7493172528408</v>
      </c>
    </row>
    <row r="762">
      <c r="A762" s="6">
        <v>41463.0</v>
      </c>
      <c r="B762" s="5">
        <v>22.791145660803</v>
      </c>
      <c r="C762" s="5">
        <v>-50.622597637285</v>
      </c>
      <c r="D762" s="5">
        <v>72.6648643571292</v>
      </c>
      <c r="E762" s="5">
        <v>22.791145660803</v>
      </c>
      <c r="F762" s="5">
        <v>22.791145660803</v>
      </c>
      <c r="G762" s="5">
        <v>-8.09260151688889</v>
      </c>
      <c r="H762" s="5">
        <v>-8.09260151688889</v>
      </c>
      <c r="I762" s="5">
        <v>-8.09260151688889</v>
      </c>
      <c r="J762" s="5">
        <v>0.0905589421199564</v>
      </c>
      <c r="K762" s="5">
        <v>0.0905589421199564</v>
      </c>
      <c r="L762" s="5">
        <v>0.0905589421199564</v>
      </c>
      <c r="M762" s="5">
        <v>-8.18316045900885</v>
      </c>
      <c r="N762" s="5">
        <v>-8.18316045900885</v>
      </c>
      <c r="O762" s="5">
        <v>-8.18316045900885</v>
      </c>
      <c r="P762" s="5">
        <v>0.0</v>
      </c>
      <c r="Q762" s="5">
        <v>0.0</v>
      </c>
      <c r="R762" s="5">
        <v>0.0</v>
      </c>
      <c r="S762" s="5">
        <v>14.6985441439141</v>
      </c>
    </row>
    <row r="763">
      <c r="A763" s="6">
        <v>41464.0</v>
      </c>
      <c r="B763" s="5">
        <v>22.845077041941</v>
      </c>
      <c r="C763" s="5">
        <v>-48.1432661224144</v>
      </c>
      <c r="D763" s="5">
        <v>79.091740920974</v>
      </c>
      <c r="E763" s="5">
        <v>22.845077041941</v>
      </c>
      <c r="F763" s="5">
        <v>22.845077041941</v>
      </c>
      <c r="G763" s="5">
        <v>-8.09558585498852</v>
      </c>
      <c r="H763" s="5">
        <v>-8.09558585498852</v>
      </c>
      <c r="I763" s="5">
        <v>-8.09558585498852</v>
      </c>
      <c r="J763" s="5">
        <v>-0.144118857244103</v>
      </c>
      <c r="K763" s="5">
        <v>-0.144118857244103</v>
      </c>
      <c r="L763" s="5">
        <v>-0.144118857244103</v>
      </c>
      <c r="M763" s="5">
        <v>-7.95146699774442</v>
      </c>
      <c r="N763" s="5">
        <v>-7.95146699774442</v>
      </c>
      <c r="O763" s="5">
        <v>-7.95146699774442</v>
      </c>
      <c r="P763" s="5">
        <v>0.0</v>
      </c>
      <c r="Q763" s="5">
        <v>0.0</v>
      </c>
      <c r="R763" s="5">
        <v>0.0</v>
      </c>
      <c r="S763" s="5">
        <v>14.7494911869524</v>
      </c>
    </row>
    <row r="764">
      <c r="A764" s="6">
        <v>41465.0</v>
      </c>
      <c r="B764" s="5">
        <v>22.8990084230789</v>
      </c>
      <c r="C764" s="5">
        <v>-46.9331717548575</v>
      </c>
      <c r="D764" s="5">
        <v>81.4958177470014</v>
      </c>
      <c r="E764" s="5">
        <v>22.8990084230789</v>
      </c>
      <c r="F764" s="5">
        <v>22.8990084230789</v>
      </c>
      <c r="G764" s="5">
        <v>-7.78814477070919</v>
      </c>
      <c r="H764" s="5">
        <v>-7.78814477070919</v>
      </c>
      <c r="I764" s="5">
        <v>-7.78814477070919</v>
      </c>
      <c r="J764" s="5">
        <v>0.00703780528288825</v>
      </c>
      <c r="K764" s="5">
        <v>0.00703780528288825</v>
      </c>
      <c r="L764" s="5">
        <v>0.00703780528288825</v>
      </c>
      <c r="M764" s="5">
        <v>-7.79518257599208</v>
      </c>
      <c r="N764" s="5">
        <v>-7.79518257599208</v>
      </c>
      <c r="O764" s="5">
        <v>-7.79518257599208</v>
      </c>
      <c r="P764" s="5">
        <v>0.0</v>
      </c>
      <c r="Q764" s="5">
        <v>0.0</v>
      </c>
      <c r="R764" s="5">
        <v>0.0</v>
      </c>
      <c r="S764" s="5">
        <v>15.1108636523697</v>
      </c>
    </row>
    <row r="765">
      <c r="A765" s="6">
        <v>41466.0</v>
      </c>
      <c r="B765" s="5">
        <v>22.9529398042169</v>
      </c>
      <c r="C765" s="5">
        <v>-47.8684521188669</v>
      </c>
      <c r="D765" s="5">
        <v>75.0569696080536</v>
      </c>
      <c r="E765" s="5">
        <v>22.9529398042169</v>
      </c>
      <c r="F765" s="5">
        <v>22.9529398042169</v>
      </c>
      <c r="G765" s="5">
        <v>-8.4921897155288</v>
      </c>
      <c r="H765" s="5">
        <v>-8.4921897155288</v>
      </c>
      <c r="I765" s="5">
        <v>-8.4921897155288</v>
      </c>
      <c r="J765" s="5">
        <v>-0.776422525902858</v>
      </c>
      <c r="K765" s="5">
        <v>-0.776422525902858</v>
      </c>
      <c r="L765" s="5">
        <v>-0.776422525902858</v>
      </c>
      <c r="M765" s="5">
        <v>-7.71576718962594</v>
      </c>
      <c r="N765" s="5">
        <v>-7.71576718962594</v>
      </c>
      <c r="O765" s="5">
        <v>-7.71576718962594</v>
      </c>
      <c r="P765" s="5">
        <v>0.0</v>
      </c>
      <c r="Q765" s="5">
        <v>0.0</v>
      </c>
      <c r="R765" s="5">
        <v>0.0</v>
      </c>
      <c r="S765" s="5">
        <v>14.4607500886881</v>
      </c>
    </row>
    <row r="766">
      <c r="A766" s="6">
        <v>41467.0</v>
      </c>
      <c r="B766" s="5">
        <v>23.0068711853548</v>
      </c>
      <c r="C766" s="5">
        <v>-46.2556386778666</v>
      </c>
      <c r="D766" s="5">
        <v>74.8040577998533</v>
      </c>
      <c r="E766" s="5">
        <v>23.0068711853548</v>
      </c>
      <c r="F766" s="5">
        <v>23.0068711853548</v>
      </c>
      <c r="G766" s="5">
        <v>-9.30428836569443</v>
      </c>
      <c r="H766" s="5">
        <v>-9.30428836569443</v>
      </c>
      <c r="I766" s="5">
        <v>-9.30428836569443</v>
      </c>
      <c r="J766" s="5">
        <v>-1.59155056649134</v>
      </c>
      <c r="K766" s="5">
        <v>-1.59155056649134</v>
      </c>
      <c r="L766" s="5">
        <v>-1.59155056649134</v>
      </c>
      <c r="M766" s="5">
        <v>-7.71273779920308</v>
      </c>
      <c r="N766" s="5">
        <v>-7.71273779920308</v>
      </c>
      <c r="O766" s="5">
        <v>-7.71273779920308</v>
      </c>
      <c r="P766" s="5">
        <v>0.0</v>
      </c>
      <c r="Q766" s="5">
        <v>0.0</v>
      </c>
      <c r="R766" s="5">
        <v>0.0</v>
      </c>
      <c r="S766" s="5">
        <v>13.7025828196604</v>
      </c>
    </row>
    <row r="767">
      <c r="A767" s="6">
        <v>41470.0</v>
      </c>
      <c r="B767" s="5">
        <v>23.1686653287687</v>
      </c>
      <c r="C767" s="5">
        <v>-49.6374630228668</v>
      </c>
      <c r="D767" s="5">
        <v>75.1219294188182</v>
      </c>
      <c r="E767" s="5">
        <v>23.1686653287687</v>
      </c>
      <c r="F767" s="5">
        <v>23.1686653287687</v>
      </c>
      <c r="G767" s="5">
        <v>-8.03780813052019</v>
      </c>
      <c r="H767" s="5">
        <v>-8.03780813052019</v>
      </c>
      <c r="I767" s="5">
        <v>-8.03780813052019</v>
      </c>
      <c r="J767" s="5">
        <v>0.0905589421233668</v>
      </c>
      <c r="K767" s="5">
        <v>0.0905589421233668</v>
      </c>
      <c r="L767" s="5">
        <v>0.0905589421233668</v>
      </c>
      <c r="M767" s="5">
        <v>-8.12836707264355</v>
      </c>
      <c r="N767" s="5">
        <v>-8.12836707264355</v>
      </c>
      <c r="O767" s="5">
        <v>-8.12836707264355</v>
      </c>
      <c r="P767" s="5">
        <v>0.0</v>
      </c>
      <c r="Q767" s="5">
        <v>0.0</v>
      </c>
      <c r="R767" s="5">
        <v>0.0</v>
      </c>
      <c r="S767" s="5">
        <v>15.1308571982485</v>
      </c>
    </row>
    <row r="768">
      <c r="A768" s="6">
        <v>41471.0</v>
      </c>
      <c r="B768" s="5">
        <v>23.2225967099066</v>
      </c>
      <c r="C768" s="5">
        <v>-49.5414852313268</v>
      </c>
      <c r="D768" s="5">
        <v>78.0906389925823</v>
      </c>
      <c r="E768" s="5">
        <v>23.2225967099066</v>
      </c>
      <c r="F768" s="5">
        <v>23.2225967099066</v>
      </c>
      <c r="G768" s="5">
        <v>-8.53244304416622</v>
      </c>
      <c r="H768" s="5">
        <v>-8.53244304416622</v>
      </c>
      <c r="I768" s="5">
        <v>-8.53244304416622</v>
      </c>
      <c r="J768" s="5">
        <v>-0.144118857245539</v>
      </c>
      <c r="K768" s="5">
        <v>-0.144118857245539</v>
      </c>
      <c r="L768" s="5">
        <v>-0.144118857245539</v>
      </c>
      <c r="M768" s="5">
        <v>-8.38832418692068</v>
      </c>
      <c r="N768" s="5">
        <v>-8.38832418692068</v>
      </c>
      <c r="O768" s="5">
        <v>-8.38832418692068</v>
      </c>
      <c r="P768" s="5">
        <v>0.0</v>
      </c>
      <c r="Q768" s="5">
        <v>0.0</v>
      </c>
      <c r="R768" s="5">
        <v>0.0</v>
      </c>
      <c r="S768" s="5">
        <v>14.6901536657404</v>
      </c>
    </row>
    <row r="769">
      <c r="A769" s="6">
        <v>41472.0</v>
      </c>
      <c r="B769" s="5">
        <v>23.2765280910446</v>
      </c>
      <c r="C769" s="5">
        <v>-45.3312149549551</v>
      </c>
      <c r="D769" s="5">
        <v>76.3001304814499</v>
      </c>
      <c r="E769" s="5">
        <v>23.2765280910446</v>
      </c>
      <c r="F769" s="5">
        <v>23.2765280910446</v>
      </c>
      <c r="G769" s="5">
        <v>-8.68794290561677</v>
      </c>
      <c r="H769" s="5">
        <v>-8.68794290561677</v>
      </c>
      <c r="I769" s="5">
        <v>-8.68794290561677</v>
      </c>
      <c r="J769" s="5">
        <v>0.00703780528203567</v>
      </c>
      <c r="K769" s="5">
        <v>0.00703780528203567</v>
      </c>
      <c r="L769" s="5">
        <v>0.00703780528203567</v>
      </c>
      <c r="M769" s="5">
        <v>-8.69498071089881</v>
      </c>
      <c r="N769" s="5">
        <v>-8.69498071089881</v>
      </c>
      <c r="O769" s="5">
        <v>-8.69498071089881</v>
      </c>
      <c r="P769" s="5">
        <v>0.0</v>
      </c>
      <c r="Q769" s="5">
        <v>0.0</v>
      </c>
      <c r="R769" s="5">
        <v>0.0</v>
      </c>
      <c r="S769" s="5">
        <v>14.5885851854278</v>
      </c>
    </row>
    <row r="770">
      <c r="A770" s="6">
        <v>41473.0</v>
      </c>
      <c r="B770" s="5">
        <v>23.3304594721825</v>
      </c>
      <c r="C770" s="5">
        <v>-52.1961897415178</v>
      </c>
      <c r="D770" s="5">
        <v>76.430284548331</v>
      </c>
      <c r="E770" s="5">
        <v>23.3304594721825</v>
      </c>
      <c r="F770" s="5">
        <v>23.3304594721825</v>
      </c>
      <c r="G770" s="5">
        <v>-9.81445324537145</v>
      </c>
      <c r="H770" s="5">
        <v>-9.81445324537145</v>
      </c>
      <c r="I770" s="5">
        <v>-9.81445324537145</v>
      </c>
      <c r="J770" s="5">
        <v>-0.77642252590358</v>
      </c>
      <c r="K770" s="5">
        <v>-0.77642252590358</v>
      </c>
      <c r="L770" s="5">
        <v>-0.77642252590358</v>
      </c>
      <c r="M770" s="5">
        <v>-9.03803071946787</v>
      </c>
      <c r="N770" s="5">
        <v>-9.03803071946787</v>
      </c>
      <c r="O770" s="5">
        <v>-9.03803071946787</v>
      </c>
      <c r="P770" s="5">
        <v>0.0</v>
      </c>
      <c r="Q770" s="5">
        <v>0.0</v>
      </c>
      <c r="R770" s="5">
        <v>0.0</v>
      </c>
      <c r="S770" s="5">
        <v>13.5160062268111</v>
      </c>
    </row>
    <row r="771">
      <c r="A771" s="6">
        <v>41474.0</v>
      </c>
      <c r="B771" s="5">
        <v>23.3843908533205</v>
      </c>
      <c r="C771" s="5">
        <v>-54.2250615296641</v>
      </c>
      <c r="D771" s="5">
        <v>73.7576594013287</v>
      </c>
      <c r="E771" s="5">
        <v>23.3843908533205</v>
      </c>
      <c r="F771" s="5">
        <v>23.3843908533205</v>
      </c>
      <c r="G771" s="5">
        <v>-10.9978234211152</v>
      </c>
      <c r="H771" s="5">
        <v>-10.9978234211152</v>
      </c>
      <c r="I771" s="5">
        <v>-10.9978234211152</v>
      </c>
      <c r="J771" s="5">
        <v>-1.59155056649073</v>
      </c>
      <c r="K771" s="5">
        <v>-1.59155056649073</v>
      </c>
      <c r="L771" s="5">
        <v>-1.59155056649073</v>
      </c>
      <c r="M771" s="5">
        <v>-9.40627285462448</v>
      </c>
      <c r="N771" s="5">
        <v>-9.40627285462448</v>
      </c>
      <c r="O771" s="5">
        <v>-9.40627285462448</v>
      </c>
      <c r="P771" s="5">
        <v>0.0</v>
      </c>
      <c r="Q771" s="5">
        <v>0.0</v>
      </c>
      <c r="R771" s="5">
        <v>0.0</v>
      </c>
      <c r="S771" s="5">
        <v>12.3865674322053</v>
      </c>
    </row>
    <row r="772">
      <c r="A772" s="6">
        <v>41477.0</v>
      </c>
      <c r="B772" s="5">
        <v>23.5461849967343</v>
      </c>
      <c r="C772" s="5">
        <v>-47.4483888357108</v>
      </c>
      <c r="D772" s="5">
        <v>73.897878335895</v>
      </c>
      <c r="E772" s="5">
        <v>23.5461849967343</v>
      </c>
      <c r="F772" s="5">
        <v>23.5461849967343</v>
      </c>
      <c r="G772" s="5">
        <v>-10.4525837419675</v>
      </c>
      <c r="H772" s="5">
        <v>-10.4525837419675</v>
      </c>
      <c r="I772" s="5">
        <v>-10.4525837419675</v>
      </c>
      <c r="J772" s="5">
        <v>0.0905589421219293</v>
      </c>
      <c r="K772" s="5">
        <v>0.0905589421219293</v>
      </c>
      <c r="L772" s="5">
        <v>0.0905589421219293</v>
      </c>
      <c r="M772" s="5">
        <v>-10.5431426840895</v>
      </c>
      <c r="N772" s="5">
        <v>-10.5431426840895</v>
      </c>
      <c r="O772" s="5">
        <v>-10.5431426840895</v>
      </c>
      <c r="P772" s="5">
        <v>0.0</v>
      </c>
      <c r="Q772" s="5">
        <v>0.0</v>
      </c>
      <c r="R772" s="5">
        <v>0.0</v>
      </c>
      <c r="S772" s="5">
        <v>13.0936012547668</v>
      </c>
    </row>
    <row r="773">
      <c r="A773" s="6">
        <v>41478.0</v>
      </c>
      <c r="B773" s="5">
        <v>23.6001163778723</v>
      </c>
      <c r="C773" s="5">
        <v>-47.2477092985601</v>
      </c>
      <c r="D773" s="5">
        <v>78.0541844965857</v>
      </c>
      <c r="E773" s="5">
        <v>23.6001163778723</v>
      </c>
      <c r="F773" s="5">
        <v>23.6001163778723</v>
      </c>
      <c r="G773" s="5">
        <v>-11.0371742300275</v>
      </c>
      <c r="H773" s="5">
        <v>-11.0371742300275</v>
      </c>
      <c r="I773" s="5">
        <v>-11.0371742300275</v>
      </c>
      <c r="J773" s="5">
        <v>-0.144118857244451</v>
      </c>
      <c r="K773" s="5">
        <v>-0.144118857244451</v>
      </c>
      <c r="L773" s="5">
        <v>-0.144118857244451</v>
      </c>
      <c r="M773" s="5">
        <v>-10.8930553727831</v>
      </c>
      <c r="N773" s="5">
        <v>-10.8930553727831</v>
      </c>
      <c r="O773" s="5">
        <v>-10.8930553727831</v>
      </c>
      <c r="P773" s="5">
        <v>0.0</v>
      </c>
      <c r="Q773" s="5">
        <v>0.0</v>
      </c>
      <c r="R773" s="5">
        <v>0.0</v>
      </c>
      <c r="S773" s="5">
        <v>12.5629421478447</v>
      </c>
    </row>
    <row r="774">
      <c r="A774" s="6">
        <v>41479.0</v>
      </c>
      <c r="B774" s="5">
        <v>23.6540477590102</v>
      </c>
      <c r="C774" s="5">
        <v>-49.4746675086417</v>
      </c>
      <c r="D774" s="5">
        <v>73.6002985649505</v>
      </c>
      <c r="E774" s="5">
        <v>23.6540477590102</v>
      </c>
      <c r="F774" s="5">
        <v>23.6540477590102</v>
      </c>
      <c r="G774" s="5">
        <v>-11.2025996026696</v>
      </c>
      <c r="H774" s="5">
        <v>-11.2025996026696</v>
      </c>
      <c r="I774" s="5">
        <v>-11.2025996026696</v>
      </c>
      <c r="J774" s="5">
        <v>0.00703780528334677</v>
      </c>
      <c r="K774" s="5">
        <v>0.00703780528334677</v>
      </c>
      <c r="L774" s="5">
        <v>0.00703780528334677</v>
      </c>
      <c r="M774" s="5">
        <v>-11.209637407953</v>
      </c>
      <c r="N774" s="5">
        <v>-11.209637407953</v>
      </c>
      <c r="O774" s="5">
        <v>-11.209637407953</v>
      </c>
      <c r="P774" s="5">
        <v>0.0</v>
      </c>
      <c r="Q774" s="5">
        <v>0.0</v>
      </c>
      <c r="R774" s="5">
        <v>0.0</v>
      </c>
      <c r="S774" s="5">
        <v>12.4514481563406</v>
      </c>
    </row>
    <row r="775">
      <c r="A775" s="6">
        <v>41480.0</v>
      </c>
      <c r="B775" s="5">
        <v>23.7079791401482</v>
      </c>
      <c r="C775" s="5">
        <v>-52.2436449076619</v>
      </c>
      <c r="D775" s="5">
        <v>74.4288752951497</v>
      </c>
      <c r="E775" s="5">
        <v>23.7079791401482</v>
      </c>
      <c r="F775" s="5">
        <v>23.7079791401482</v>
      </c>
      <c r="G775" s="5">
        <v>-12.2593000369423</v>
      </c>
      <c r="H775" s="5">
        <v>-12.2593000369423</v>
      </c>
      <c r="I775" s="5">
        <v>-12.2593000369423</v>
      </c>
      <c r="J775" s="5">
        <v>-0.776422525904302</v>
      </c>
      <c r="K775" s="5">
        <v>-0.776422525904302</v>
      </c>
      <c r="L775" s="5">
        <v>-0.776422525904302</v>
      </c>
      <c r="M775" s="5">
        <v>-11.482877511038</v>
      </c>
      <c r="N775" s="5">
        <v>-11.482877511038</v>
      </c>
      <c r="O775" s="5">
        <v>-11.482877511038</v>
      </c>
      <c r="P775" s="5">
        <v>0.0</v>
      </c>
      <c r="Q775" s="5">
        <v>0.0</v>
      </c>
      <c r="R775" s="5">
        <v>0.0</v>
      </c>
      <c r="S775" s="5">
        <v>11.4486791032058</v>
      </c>
    </row>
    <row r="776">
      <c r="A776" s="6">
        <v>41481.0</v>
      </c>
      <c r="B776" s="5">
        <v>23.7619105212861</v>
      </c>
      <c r="C776" s="5">
        <v>-57.7846710963123</v>
      </c>
      <c r="D776" s="5">
        <v>70.9793194792286</v>
      </c>
      <c r="E776" s="5">
        <v>23.7619105212861</v>
      </c>
      <c r="F776" s="5">
        <v>23.7619105212861</v>
      </c>
      <c r="G776" s="5">
        <v>-13.2955396639393</v>
      </c>
      <c r="H776" s="5">
        <v>-13.2955396639393</v>
      </c>
      <c r="I776" s="5">
        <v>-13.2955396639393</v>
      </c>
      <c r="J776" s="5">
        <v>-1.59155056649561</v>
      </c>
      <c r="K776" s="5">
        <v>-1.59155056649561</v>
      </c>
      <c r="L776" s="5">
        <v>-1.59155056649561</v>
      </c>
      <c r="M776" s="5">
        <v>-11.7039890974437</v>
      </c>
      <c r="N776" s="5">
        <v>-11.7039890974437</v>
      </c>
      <c r="O776" s="5">
        <v>-11.7039890974437</v>
      </c>
      <c r="P776" s="5">
        <v>0.0</v>
      </c>
      <c r="Q776" s="5">
        <v>0.0</v>
      </c>
      <c r="R776" s="5">
        <v>0.0</v>
      </c>
      <c r="S776" s="5">
        <v>10.4663708573468</v>
      </c>
    </row>
    <row r="777">
      <c r="A777" s="6">
        <v>41484.0</v>
      </c>
      <c r="B777" s="5">
        <v>23.9237046647</v>
      </c>
      <c r="C777" s="5">
        <v>-48.0509293747312</v>
      </c>
      <c r="D777" s="5">
        <v>75.7251363489003</v>
      </c>
      <c r="E777" s="5">
        <v>23.9237046647</v>
      </c>
      <c r="F777" s="5">
        <v>23.9237046647</v>
      </c>
      <c r="G777" s="5">
        <v>-11.8988596178455</v>
      </c>
      <c r="H777" s="5">
        <v>-11.8988596178455</v>
      </c>
      <c r="I777" s="5">
        <v>-11.8988596178455</v>
      </c>
      <c r="J777" s="5">
        <v>0.0905589421204919</v>
      </c>
      <c r="K777" s="5">
        <v>0.0905589421204919</v>
      </c>
      <c r="L777" s="5">
        <v>0.0905589421204919</v>
      </c>
      <c r="M777" s="5">
        <v>-11.989418559966</v>
      </c>
      <c r="N777" s="5">
        <v>-11.989418559966</v>
      </c>
      <c r="O777" s="5">
        <v>-11.989418559966</v>
      </c>
      <c r="P777" s="5">
        <v>0.0</v>
      </c>
      <c r="Q777" s="5">
        <v>0.0</v>
      </c>
      <c r="R777" s="5">
        <v>0.0</v>
      </c>
      <c r="S777" s="5">
        <v>12.0248450468544</v>
      </c>
    </row>
    <row r="778">
      <c r="A778" s="6">
        <v>41485.0</v>
      </c>
      <c r="B778" s="5">
        <v>23.9776360458379</v>
      </c>
      <c r="C778" s="5">
        <v>-53.4188096101822</v>
      </c>
      <c r="D778" s="5">
        <v>76.8209425353969</v>
      </c>
      <c r="E778" s="5">
        <v>23.9776360458379</v>
      </c>
      <c r="F778" s="5">
        <v>23.9776360458379</v>
      </c>
      <c r="G778" s="5">
        <v>-12.0896071453195</v>
      </c>
      <c r="H778" s="5">
        <v>-12.0896071453195</v>
      </c>
      <c r="I778" s="5">
        <v>-12.0896071453195</v>
      </c>
      <c r="J778" s="5">
        <v>-0.144118857243363</v>
      </c>
      <c r="K778" s="5">
        <v>-0.144118857243363</v>
      </c>
      <c r="L778" s="5">
        <v>-0.144118857243363</v>
      </c>
      <c r="M778" s="5">
        <v>-11.9454882880761</v>
      </c>
      <c r="N778" s="5">
        <v>-11.9454882880761</v>
      </c>
      <c r="O778" s="5">
        <v>-11.9454882880761</v>
      </c>
      <c r="P778" s="5">
        <v>0.0</v>
      </c>
      <c r="Q778" s="5">
        <v>0.0</v>
      </c>
      <c r="R778" s="5">
        <v>0.0</v>
      </c>
      <c r="S778" s="5">
        <v>11.8880289005184</v>
      </c>
    </row>
    <row r="779">
      <c r="A779" s="6">
        <v>41486.0</v>
      </c>
      <c r="B779" s="5">
        <v>24.0315674269759</v>
      </c>
      <c r="C779" s="5">
        <v>-50.5541040792133</v>
      </c>
      <c r="D779" s="5">
        <v>74.1945802147083</v>
      </c>
      <c r="E779" s="5">
        <v>24.0315674269759</v>
      </c>
      <c r="F779" s="5">
        <v>24.0315674269759</v>
      </c>
      <c r="G779" s="5">
        <v>-11.8230135223391</v>
      </c>
      <c r="H779" s="5">
        <v>-11.8230135223391</v>
      </c>
      <c r="I779" s="5">
        <v>-11.8230135223391</v>
      </c>
      <c r="J779" s="5">
        <v>0.00703780528132209</v>
      </c>
      <c r="K779" s="5">
        <v>0.00703780528132209</v>
      </c>
      <c r="L779" s="5">
        <v>0.00703780528132209</v>
      </c>
      <c r="M779" s="5">
        <v>-11.8300513276204</v>
      </c>
      <c r="N779" s="5">
        <v>-11.8300513276204</v>
      </c>
      <c r="O779" s="5">
        <v>-11.8300513276204</v>
      </c>
      <c r="P779" s="5">
        <v>0.0</v>
      </c>
      <c r="Q779" s="5">
        <v>0.0</v>
      </c>
      <c r="R779" s="5">
        <v>0.0</v>
      </c>
      <c r="S779" s="5">
        <v>12.2085539046368</v>
      </c>
    </row>
    <row r="780">
      <c r="A780" s="6">
        <v>41487.0</v>
      </c>
      <c r="B780" s="5">
        <v>24.0854988081138</v>
      </c>
      <c r="C780" s="5">
        <v>-51.4406554877652</v>
      </c>
      <c r="D780" s="5">
        <v>75.6191761332239</v>
      </c>
      <c r="E780" s="5">
        <v>24.0854988081138</v>
      </c>
      <c r="F780" s="5">
        <v>24.0854988081138</v>
      </c>
      <c r="G780" s="5">
        <v>-12.4211171977144</v>
      </c>
      <c r="H780" s="5">
        <v>-12.4211171977144</v>
      </c>
      <c r="I780" s="5">
        <v>-12.4211171977144</v>
      </c>
      <c r="J780" s="5">
        <v>-0.776422525903549</v>
      </c>
      <c r="K780" s="5">
        <v>-0.776422525903549</v>
      </c>
      <c r="L780" s="5">
        <v>-0.776422525903549</v>
      </c>
      <c r="M780" s="5">
        <v>-11.6446946718108</v>
      </c>
      <c r="N780" s="5">
        <v>-11.6446946718108</v>
      </c>
      <c r="O780" s="5">
        <v>-11.6446946718108</v>
      </c>
      <c r="P780" s="5">
        <v>0.0</v>
      </c>
      <c r="Q780" s="5">
        <v>0.0</v>
      </c>
      <c r="R780" s="5">
        <v>0.0</v>
      </c>
      <c r="S780" s="5">
        <v>11.6643816103994</v>
      </c>
    </row>
    <row r="781">
      <c r="A781" s="6">
        <v>41488.0</v>
      </c>
      <c r="B781" s="5">
        <v>24.1394301892518</v>
      </c>
      <c r="C781" s="5">
        <v>-55.7783243281112</v>
      </c>
      <c r="D781" s="5">
        <v>72.2433599597451</v>
      </c>
      <c r="E781" s="5">
        <v>24.1394301892518</v>
      </c>
      <c r="F781" s="5">
        <v>24.1394301892518</v>
      </c>
      <c r="G781" s="5">
        <v>-12.9843162043784</v>
      </c>
      <c r="H781" s="5">
        <v>-12.9843162043784</v>
      </c>
      <c r="I781" s="5">
        <v>-12.9843162043784</v>
      </c>
      <c r="J781" s="5">
        <v>-1.59155056649437</v>
      </c>
      <c r="K781" s="5">
        <v>-1.59155056649437</v>
      </c>
      <c r="L781" s="5">
        <v>-1.59155056649437</v>
      </c>
      <c r="M781" s="5">
        <v>-11.392765637884</v>
      </c>
      <c r="N781" s="5">
        <v>-11.392765637884</v>
      </c>
      <c r="O781" s="5">
        <v>-11.392765637884</v>
      </c>
      <c r="P781" s="5">
        <v>0.0</v>
      </c>
      <c r="Q781" s="5">
        <v>0.0</v>
      </c>
      <c r="R781" s="5">
        <v>0.0</v>
      </c>
      <c r="S781" s="5">
        <v>11.1551139848734</v>
      </c>
    </row>
    <row r="782">
      <c r="A782" s="6">
        <v>41491.0</v>
      </c>
      <c r="B782" s="5">
        <v>24.3012243326657</v>
      </c>
      <c r="C782" s="5">
        <v>-44.2029768074527</v>
      </c>
      <c r="D782" s="5">
        <v>77.0242043181997</v>
      </c>
      <c r="E782" s="5">
        <v>24.3012243326657</v>
      </c>
      <c r="F782" s="5">
        <v>24.3012243326657</v>
      </c>
      <c r="G782" s="5">
        <v>-10.2038605121757</v>
      </c>
      <c r="H782" s="5">
        <v>-10.2038605121757</v>
      </c>
      <c r="I782" s="5">
        <v>-10.2038605121757</v>
      </c>
      <c r="J782" s="5">
        <v>0.0905589421239824</v>
      </c>
      <c r="K782" s="5">
        <v>0.0905589421239824</v>
      </c>
      <c r="L782" s="5">
        <v>0.0905589421239824</v>
      </c>
      <c r="M782" s="5">
        <v>-10.2944194542997</v>
      </c>
      <c r="N782" s="5">
        <v>-10.2944194542997</v>
      </c>
      <c r="O782" s="5">
        <v>-10.2944194542997</v>
      </c>
      <c r="P782" s="5">
        <v>0.0</v>
      </c>
      <c r="Q782" s="5">
        <v>0.0</v>
      </c>
      <c r="R782" s="5">
        <v>0.0</v>
      </c>
      <c r="S782" s="5">
        <v>14.0973638204899</v>
      </c>
    </row>
    <row r="783">
      <c r="A783" s="6">
        <v>41492.0</v>
      </c>
      <c r="B783" s="5">
        <v>24.3551557138036</v>
      </c>
      <c r="C783" s="5">
        <v>-43.4742680108086</v>
      </c>
      <c r="D783" s="5">
        <v>80.5065885841165</v>
      </c>
      <c r="E783" s="5">
        <v>24.3551557138036</v>
      </c>
      <c r="F783" s="5">
        <v>24.3551557138036</v>
      </c>
      <c r="G783" s="5">
        <v>-9.98360351065251</v>
      </c>
      <c r="H783" s="5">
        <v>-9.98360351065251</v>
      </c>
      <c r="I783" s="5">
        <v>-9.98360351065251</v>
      </c>
      <c r="J783" s="5">
        <v>-0.144118857243689</v>
      </c>
      <c r="K783" s="5">
        <v>-0.144118857243689</v>
      </c>
      <c r="L783" s="5">
        <v>-0.144118857243689</v>
      </c>
      <c r="M783" s="5">
        <v>-9.83948465340882</v>
      </c>
      <c r="N783" s="5">
        <v>-9.83948465340882</v>
      </c>
      <c r="O783" s="5">
        <v>-9.83948465340882</v>
      </c>
      <c r="P783" s="5">
        <v>0.0</v>
      </c>
      <c r="Q783" s="5">
        <v>0.0</v>
      </c>
      <c r="R783" s="5">
        <v>0.0</v>
      </c>
      <c r="S783" s="5">
        <v>14.3715522031511</v>
      </c>
    </row>
    <row r="784">
      <c r="A784" s="6">
        <v>41493.0</v>
      </c>
      <c r="B784" s="5">
        <v>24.4090870949416</v>
      </c>
      <c r="C784" s="5">
        <v>-48.4437257028336</v>
      </c>
      <c r="D784" s="5">
        <v>76.2078909098963</v>
      </c>
      <c r="E784" s="5">
        <v>24.4090870949416</v>
      </c>
      <c r="F784" s="5">
        <v>24.4090870949416</v>
      </c>
      <c r="G784" s="5">
        <v>-9.34813705823982</v>
      </c>
      <c r="H784" s="5">
        <v>-9.34813705823982</v>
      </c>
      <c r="I784" s="5">
        <v>-9.34813705823982</v>
      </c>
      <c r="J784" s="5">
        <v>0.00703780528263303</v>
      </c>
      <c r="K784" s="5">
        <v>0.00703780528263303</v>
      </c>
      <c r="L784" s="5">
        <v>0.00703780528263303</v>
      </c>
      <c r="M784" s="5">
        <v>-9.35517486352245</v>
      </c>
      <c r="N784" s="5">
        <v>-9.35517486352245</v>
      </c>
      <c r="O784" s="5">
        <v>-9.35517486352245</v>
      </c>
      <c r="P784" s="5">
        <v>0.0</v>
      </c>
      <c r="Q784" s="5">
        <v>0.0</v>
      </c>
      <c r="R784" s="5">
        <v>0.0</v>
      </c>
      <c r="S784" s="5">
        <v>15.0609500367017</v>
      </c>
    </row>
    <row r="785">
      <c r="A785" s="6">
        <v>41494.0</v>
      </c>
      <c r="B785" s="5">
        <v>24.4630184760795</v>
      </c>
      <c r="C785" s="5">
        <v>-48.3709300651812</v>
      </c>
      <c r="D785" s="5">
        <v>77.090366055306</v>
      </c>
      <c r="E785" s="5">
        <v>24.4630184760795</v>
      </c>
      <c r="F785" s="5">
        <v>24.4630184760795</v>
      </c>
      <c r="G785" s="5">
        <v>-9.62776566974034</v>
      </c>
      <c r="H785" s="5">
        <v>-9.62776566974034</v>
      </c>
      <c r="I785" s="5">
        <v>-9.62776566974034</v>
      </c>
      <c r="J785" s="5">
        <v>-0.776422525904271</v>
      </c>
      <c r="K785" s="5">
        <v>-0.776422525904271</v>
      </c>
      <c r="L785" s="5">
        <v>-0.776422525904271</v>
      </c>
      <c r="M785" s="5">
        <v>-8.85134314383607</v>
      </c>
      <c r="N785" s="5">
        <v>-8.85134314383607</v>
      </c>
      <c r="O785" s="5">
        <v>-8.85134314383607</v>
      </c>
      <c r="P785" s="5">
        <v>0.0</v>
      </c>
      <c r="Q785" s="5">
        <v>0.0</v>
      </c>
      <c r="R785" s="5">
        <v>0.0</v>
      </c>
      <c r="S785" s="5">
        <v>14.8352528063392</v>
      </c>
    </row>
    <row r="786">
      <c r="A786" s="6">
        <v>41495.0</v>
      </c>
      <c r="B786" s="5">
        <v>24.5169498572175</v>
      </c>
      <c r="C786" s="5">
        <v>-46.8762997395775</v>
      </c>
      <c r="D786" s="5">
        <v>75.5351948509009</v>
      </c>
      <c r="E786" s="5">
        <v>24.5169498572175</v>
      </c>
      <c r="F786" s="5">
        <v>24.5169498572175</v>
      </c>
      <c r="G786" s="5">
        <v>-9.9295381818354</v>
      </c>
      <c r="H786" s="5">
        <v>-9.9295381818354</v>
      </c>
      <c r="I786" s="5">
        <v>-9.9295381818354</v>
      </c>
      <c r="J786" s="5">
        <v>-1.59155056649313</v>
      </c>
      <c r="K786" s="5">
        <v>-1.59155056649313</v>
      </c>
      <c r="L786" s="5">
        <v>-1.59155056649313</v>
      </c>
      <c r="M786" s="5">
        <v>-8.33798761534227</v>
      </c>
      <c r="N786" s="5">
        <v>-8.33798761534227</v>
      </c>
      <c r="O786" s="5">
        <v>-8.33798761534227</v>
      </c>
      <c r="P786" s="5">
        <v>0.0</v>
      </c>
      <c r="Q786" s="5">
        <v>0.0</v>
      </c>
      <c r="R786" s="5">
        <v>0.0</v>
      </c>
      <c r="S786" s="5">
        <v>14.5874116753821</v>
      </c>
    </row>
    <row r="787">
      <c r="A787" s="6">
        <v>41498.0</v>
      </c>
      <c r="B787" s="5">
        <v>24.6787440006313</v>
      </c>
      <c r="C787" s="5">
        <v>-47.7805303090706</v>
      </c>
      <c r="D787" s="5">
        <v>82.2888709921109</v>
      </c>
      <c r="E787" s="5">
        <v>24.6787440006313</v>
      </c>
      <c r="F787" s="5">
        <v>24.6787440006313</v>
      </c>
      <c r="G787" s="5">
        <v>-6.74627013634789</v>
      </c>
      <c r="H787" s="5">
        <v>-6.74627013634789</v>
      </c>
      <c r="I787" s="5">
        <v>-6.74627013634789</v>
      </c>
      <c r="J787" s="5">
        <v>0.090558942122545</v>
      </c>
      <c r="K787" s="5">
        <v>0.090558942122545</v>
      </c>
      <c r="L787" s="5">
        <v>0.090558942122545</v>
      </c>
      <c r="M787" s="5">
        <v>-6.83682907847044</v>
      </c>
      <c r="N787" s="5">
        <v>-6.83682907847044</v>
      </c>
      <c r="O787" s="5">
        <v>-6.83682907847044</v>
      </c>
      <c r="P787" s="5">
        <v>0.0</v>
      </c>
      <c r="Q787" s="5">
        <v>0.0</v>
      </c>
      <c r="R787" s="5">
        <v>0.0</v>
      </c>
      <c r="S787" s="5">
        <v>17.9324738642834</v>
      </c>
    </row>
    <row r="788">
      <c r="A788" s="6">
        <v>41499.0</v>
      </c>
      <c r="B788" s="5">
        <v>24.7326753817693</v>
      </c>
      <c r="C788" s="5">
        <v>-43.6086269074961</v>
      </c>
      <c r="D788" s="5">
        <v>80.1969813227981</v>
      </c>
      <c r="E788" s="5">
        <v>24.7326753817693</v>
      </c>
      <c r="F788" s="5">
        <v>24.7326753817693</v>
      </c>
      <c r="G788" s="5">
        <v>-6.52234235046513</v>
      </c>
      <c r="H788" s="5">
        <v>-6.52234235046513</v>
      </c>
      <c r="I788" s="5">
        <v>-6.52234235046513</v>
      </c>
      <c r="J788" s="5">
        <v>-0.144118857245125</v>
      </c>
      <c r="K788" s="5">
        <v>-0.144118857245125</v>
      </c>
      <c r="L788" s="5">
        <v>-0.144118857245125</v>
      </c>
      <c r="M788" s="5">
        <v>-6.37822349322</v>
      </c>
      <c r="N788" s="5">
        <v>-6.37822349322</v>
      </c>
      <c r="O788" s="5">
        <v>-6.37822349322</v>
      </c>
      <c r="P788" s="5">
        <v>0.0</v>
      </c>
      <c r="Q788" s="5">
        <v>0.0</v>
      </c>
      <c r="R788" s="5">
        <v>0.0</v>
      </c>
      <c r="S788" s="5">
        <v>18.2103330313041</v>
      </c>
    </row>
    <row r="789">
      <c r="A789" s="6">
        <v>41500.0</v>
      </c>
      <c r="B789" s="5">
        <v>24.7866067629072</v>
      </c>
      <c r="C789" s="5">
        <v>-38.1746523811462</v>
      </c>
      <c r="D789" s="5">
        <v>79.9586066180657</v>
      </c>
      <c r="E789" s="5">
        <v>24.7866067629072</v>
      </c>
      <c r="F789" s="5">
        <v>24.7866067629072</v>
      </c>
      <c r="G789" s="5">
        <v>-5.94544373463681</v>
      </c>
      <c r="H789" s="5">
        <v>-5.94544373463681</v>
      </c>
      <c r="I789" s="5">
        <v>-5.94544373463681</v>
      </c>
      <c r="J789" s="5">
        <v>0.00703780528178061</v>
      </c>
      <c r="K789" s="5">
        <v>0.00703780528178061</v>
      </c>
      <c r="L789" s="5">
        <v>0.00703780528178061</v>
      </c>
      <c r="M789" s="5">
        <v>-5.95248153991859</v>
      </c>
      <c r="N789" s="5">
        <v>-5.95248153991859</v>
      </c>
      <c r="O789" s="5">
        <v>-5.95248153991859</v>
      </c>
      <c r="P789" s="5">
        <v>0.0</v>
      </c>
      <c r="Q789" s="5">
        <v>0.0</v>
      </c>
      <c r="R789" s="5">
        <v>0.0</v>
      </c>
      <c r="S789" s="5">
        <v>18.8411630282704</v>
      </c>
    </row>
    <row r="790">
      <c r="A790" s="6">
        <v>41501.0</v>
      </c>
      <c r="B790" s="5">
        <v>24.8405381440452</v>
      </c>
      <c r="C790" s="5">
        <v>-42.1238935755158</v>
      </c>
      <c r="D790" s="5">
        <v>80.484697945731</v>
      </c>
      <c r="E790" s="5">
        <v>24.8405381440452</v>
      </c>
      <c r="F790" s="5">
        <v>24.8405381440452</v>
      </c>
      <c r="G790" s="5">
        <v>-6.34134907076692</v>
      </c>
      <c r="H790" s="5">
        <v>-6.34134907076692</v>
      </c>
      <c r="I790" s="5">
        <v>-6.34134907076692</v>
      </c>
      <c r="J790" s="5">
        <v>-0.776422525906368</v>
      </c>
      <c r="K790" s="5">
        <v>-0.776422525906368</v>
      </c>
      <c r="L790" s="5">
        <v>-0.776422525906368</v>
      </c>
      <c r="M790" s="5">
        <v>-5.56492654486056</v>
      </c>
      <c r="N790" s="5">
        <v>-5.56492654486056</v>
      </c>
      <c r="O790" s="5">
        <v>-5.56492654486056</v>
      </c>
      <c r="P790" s="5">
        <v>0.0</v>
      </c>
      <c r="Q790" s="5">
        <v>0.0</v>
      </c>
      <c r="R790" s="5">
        <v>0.0</v>
      </c>
      <c r="S790" s="5">
        <v>18.4991890732782</v>
      </c>
    </row>
    <row r="791">
      <c r="A791" s="6">
        <v>41502.0</v>
      </c>
      <c r="B791" s="5">
        <v>24.8944695251831</v>
      </c>
      <c r="C791" s="5">
        <v>-44.6946826417634</v>
      </c>
      <c r="D791" s="5">
        <v>77.3337968915538</v>
      </c>
      <c r="E791" s="5">
        <v>24.8944695251831</v>
      </c>
      <c r="F791" s="5">
        <v>24.8944695251831</v>
      </c>
      <c r="G791" s="5">
        <v>-6.81100223593224</v>
      </c>
      <c r="H791" s="5">
        <v>-6.81100223593224</v>
      </c>
      <c r="I791" s="5">
        <v>-6.81100223593224</v>
      </c>
      <c r="J791" s="5">
        <v>-1.59155056649495</v>
      </c>
      <c r="K791" s="5">
        <v>-1.59155056649495</v>
      </c>
      <c r="L791" s="5">
        <v>-1.59155056649495</v>
      </c>
      <c r="M791" s="5">
        <v>-5.21945166943729</v>
      </c>
      <c r="N791" s="5">
        <v>-5.21945166943729</v>
      </c>
      <c r="O791" s="5">
        <v>-5.21945166943729</v>
      </c>
      <c r="P791" s="5">
        <v>0.0</v>
      </c>
      <c r="Q791" s="5">
        <v>0.0</v>
      </c>
      <c r="R791" s="5">
        <v>0.0</v>
      </c>
      <c r="S791" s="5">
        <v>18.0834672892509</v>
      </c>
    </row>
    <row r="792">
      <c r="A792" s="6">
        <v>41505.0</v>
      </c>
      <c r="B792" s="5">
        <v>25.056263668597</v>
      </c>
      <c r="C792" s="5">
        <v>-38.6035202636501</v>
      </c>
      <c r="D792" s="5">
        <v>83.4879689353569</v>
      </c>
      <c r="E792" s="5">
        <v>25.056263668597</v>
      </c>
      <c r="F792" s="5">
        <v>25.056263668597</v>
      </c>
      <c r="G792" s="5">
        <v>-4.3612423782376</v>
      </c>
      <c r="H792" s="5">
        <v>-4.3612423782376</v>
      </c>
      <c r="I792" s="5">
        <v>-4.3612423782376</v>
      </c>
      <c r="J792" s="5">
        <v>0.0905589421211074</v>
      </c>
      <c r="K792" s="5">
        <v>0.0905589421211074</v>
      </c>
      <c r="L792" s="5">
        <v>0.0905589421211074</v>
      </c>
      <c r="M792" s="5">
        <v>-4.45180132035871</v>
      </c>
      <c r="N792" s="5">
        <v>-4.45180132035871</v>
      </c>
      <c r="O792" s="5">
        <v>-4.45180132035871</v>
      </c>
      <c r="P792" s="5">
        <v>0.0</v>
      </c>
      <c r="Q792" s="5">
        <v>0.0</v>
      </c>
      <c r="R792" s="5">
        <v>0.0</v>
      </c>
      <c r="S792" s="5">
        <v>20.6950212903594</v>
      </c>
    </row>
    <row r="793">
      <c r="A793" s="6">
        <v>41506.0</v>
      </c>
      <c r="B793" s="5">
        <v>25.1101950497349</v>
      </c>
      <c r="C793" s="5">
        <v>-44.0023086776373</v>
      </c>
      <c r="D793" s="5">
        <v>82.852878425731</v>
      </c>
      <c r="E793" s="5">
        <v>25.1101950497349</v>
      </c>
      <c r="F793" s="5">
        <v>25.1101950497349</v>
      </c>
      <c r="G793" s="5">
        <v>-4.42758162566642</v>
      </c>
      <c r="H793" s="5">
        <v>-4.42758162566642</v>
      </c>
      <c r="I793" s="5">
        <v>-4.42758162566642</v>
      </c>
      <c r="J793" s="5">
        <v>-0.14411885724656</v>
      </c>
      <c r="K793" s="5">
        <v>-0.14411885724656</v>
      </c>
      <c r="L793" s="5">
        <v>-0.14411885724656</v>
      </c>
      <c r="M793" s="5">
        <v>-4.28346276841986</v>
      </c>
      <c r="N793" s="5">
        <v>-4.28346276841986</v>
      </c>
      <c r="O793" s="5">
        <v>-4.28346276841986</v>
      </c>
      <c r="P793" s="5">
        <v>0.0</v>
      </c>
      <c r="Q793" s="5">
        <v>0.0</v>
      </c>
      <c r="R793" s="5">
        <v>0.0</v>
      </c>
      <c r="S793" s="5">
        <v>20.6826134240685</v>
      </c>
    </row>
    <row r="794">
      <c r="A794" s="6">
        <v>41507.0</v>
      </c>
      <c r="B794" s="5">
        <v>25.1641264308729</v>
      </c>
      <c r="C794" s="5">
        <v>-39.7391935031262</v>
      </c>
      <c r="D794" s="5">
        <v>82.2429686649973</v>
      </c>
      <c r="E794" s="5">
        <v>25.1641264308729</v>
      </c>
      <c r="F794" s="5">
        <v>25.1641264308729</v>
      </c>
      <c r="G794" s="5">
        <v>-4.14735716240951</v>
      </c>
      <c r="H794" s="5">
        <v>-4.14735716240951</v>
      </c>
      <c r="I794" s="5">
        <v>-4.14735716240951</v>
      </c>
      <c r="J794" s="5">
        <v>0.00703780528092802</v>
      </c>
      <c r="K794" s="5">
        <v>0.00703780528092802</v>
      </c>
      <c r="L794" s="5">
        <v>0.00703780528092802</v>
      </c>
      <c r="M794" s="5">
        <v>-4.15439496769044</v>
      </c>
      <c r="N794" s="5">
        <v>-4.15439496769044</v>
      </c>
      <c r="O794" s="5">
        <v>-4.15439496769044</v>
      </c>
      <c r="P794" s="5">
        <v>0.0</v>
      </c>
      <c r="Q794" s="5">
        <v>0.0</v>
      </c>
      <c r="R794" s="5">
        <v>0.0</v>
      </c>
      <c r="S794" s="5">
        <v>21.0167692684634</v>
      </c>
    </row>
    <row r="795">
      <c r="A795" s="6">
        <v>41508.0</v>
      </c>
      <c r="B795" s="5">
        <v>25.2180578120108</v>
      </c>
      <c r="C795" s="5">
        <v>-43.8918385110024</v>
      </c>
      <c r="D795" s="5">
        <v>80.854415713167</v>
      </c>
      <c r="E795" s="5">
        <v>25.2180578120108</v>
      </c>
      <c r="F795" s="5">
        <v>25.2180578120108</v>
      </c>
      <c r="G795" s="5">
        <v>-4.8365142580145</v>
      </c>
      <c r="H795" s="5">
        <v>-4.8365142580145</v>
      </c>
      <c r="I795" s="5">
        <v>-4.8365142580145</v>
      </c>
      <c r="J795" s="5">
        <v>-0.77642252589864</v>
      </c>
      <c r="K795" s="5">
        <v>-0.77642252589864</v>
      </c>
      <c r="L795" s="5">
        <v>-0.77642252589864</v>
      </c>
      <c r="M795" s="5">
        <v>-4.06009173211586</v>
      </c>
      <c r="N795" s="5">
        <v>-4.06009173211586</v>
      </c>
      <c r="O795" s="5">
        <v>-4.06009173211586</v>
      </c>
      <c r="P795" s="5">
        <v>0.0</v>
      </c>
      <c r="Q795" s="5">
        <v>0.0</v>
      </c>
      <c r="R795" s="5">
        <v>0.0</v>
      </c>
      <c r="S795" s="5">
        <v>20.3815435539963</v>
      </c>
    </row>
    <row r="796">
      <c r="A796" s="6">
        <v>41509.0</v>
      </c>
      <c r="B796" s="5">
        <v>25.2719891931488</v>
      </c>
      <c r="C796" s="5">
        <v>-44.8729309393477</v>
      </c>
      <c r="D796" s="5">
        <v>79.6321656058653</v>
      </c>
      <c r="E796" s="5">
        <v>25.2719891931488</v>
      </c>
      <c r="F796" s="5">
        <v>25.2719891931488</v>
      </c>
      <c r="G796" s="5">
        <v>-5.58665470327692</v>
      </c>
      <c r="H796" s="5">
        <v>-5.58665470327692</v>
      </c>
      <c r="I796" s="5">
        <v>-5.58665470327692</v>
      </c>
      <c r="J796" s="5">
        <v>-1.59155056649403</v>
      </c>
      <c r="K796" s="5">
        <v>-1.59155056649403</v>
      </c>
      <c r="L796" s="5">
        <v>-1.59155056649403</v>
      </c>
      <c r="M796" s="5">
        <v>-3.99510413678289</v>
      </c>
      <c r="N796" s="5">
        <v>-3.99510413678289</v>
      </c>
      <c r="O796" s="5">
        <v>-3.99510413678289</v>
      </c>
      <c r="P796" s="5">
        <v>0.0</v>
      </c>
      <c r="Q796" s="5">
        <v>0.0</v>
      </c>
      <c r="R796" s="5">
        <v>0.0</v>
      </c>
      <c r="S796" s="5">
        <v>19.6853344898719</v>
      </c>
    </row>
    <row r="797">
      <c r="A797" s="6">
        <v>41512.0</v>
      </c>
      <c r="B797" s="5">
        <v>25.4337833365626</v>
      </c>
      <c r="C797" s="5">
        <v>-40.3310252723704</v>
      </c>
      <c r="D797" s="5">
        <v>84.2642361805104</v>
      </c>
      <c r="E797" s="5">
        <v>25.4337833365626</v>
      </c>
      <c r="F797" s="5">
        <v>25.4337833365626</v>
      </c>
      <c r="G797" s="5">
        <v>-3.82177080057662</v>
      </c>
      <c r="H797" s="5">
        <v>-3.82177080057662</v>
      </c>
      <c r="I797" s="5">
        <v>-3.82177080057662</v>
      </c>
      <c r="J797" s="5">
        <v>0.0905589421220539</v>
      </c>
      <c r="K797" s="5">
        <v>0.0905589421220539</v>
      </c>
      <c r="L797" s="5">
        <v>0.0905589421220539</v>
      </c>
      <c r="M797" s="5">
        <v>-3.91232974269868</v>
      </c>
      <c r="N797" s="5">
        <v>-3.91232974269868</v>
      </c>
      <c r="O797" s="5">
        <v>-3.91232974269868</v>
      </c>
      <c r="P797" s="5">
        <v>0.0</v>
      </c>
      <c r="Q797" s="5">
        <v>0.0</v>
      </c>
      <c r="R797" s="5">
        <v>0.0</v>
      </c>
      <c r="S797" s="5">
        <v>21.612012535986</v>
      </c>
    </row>
    <row r="798">
      <c r="A798" s="6">
        <v>41513.0</v>
      </c>
      <c r="B798" s="5">
        <v>25.4877147177006</v>
      </c>
      <c r="C798" s="5">
        <v>-43.3442282133106</v>
      </c>
      <c r="D798" s="5">
        <v>86.0429843180639</v>
      </c>
      <c r="E798" s="5">
        <v>25.4877147177006</v>
      </c>
      <c r="F798" s="5">
        <v>25.4877147177006</v>
      </c>
      <c r="G798" s="5">
        <v>-4.04374479474004</v>
      </c>
      <c r="H798" s="5">
        <v>-4.04374479474004</v>
      </c>
      <c r="I798" s="5">
        <v>-4.04374479474004</v>
      </c>
      <c r="J798" s="5">
        <v>-0.144118857246886</v>
      </c>
      <c r="K798" s="5">
        <v>-0.144118857246886</v>
      </c>
      <c r="L798" s="5">
        <v>-0.144118857246886</v>
      </c>
      <c r="M798" s="5">
        <v>-3.89962593749315</v>
      </c>
      <c r="N798" s="5">
        <v>-3.89962593749315</v>
      </c>
      <c r="O798" s="5">
        <v>-3.89962593749315</v>
      </c>
      <c r="P798" s="5">
        <v>0.0</v>
      </c>
      <c r="Q798" s="5">
        <v>0.0</v>
      </c>
      <c r="R798" s="5">
        <v>0.0</v>
      </c>
      <c r="S798" s="5">
        <v>21.4439699229605</v>
      </c>
    </row>
    <row r="799">
      <c r="A799" s="6">
        <v>41514.0</v>
      </c>
      <c r="B799" s="5">
        <v>25.5416460988385</v>
      </c>
      <c r="C799" s="5">
        <v>-38.868330708242</v>
      </c>
      <c r="D799" s="5">
        <v>78.5153476341931</v>
      </c>
      <c r="E799" s="5">
        <v>25.5416460988385</v>
      </c>
      <c r="F799" s="5">
        <v>25.5416460988385</v>
      </c>
      <c r="G799" s="5">
        <v>-3.87636376717306</v>
      </c>
      <c r="H799" s="5">
        <v>-3.87636376717306</v>
      </c>
      <c r="I799" s="5">
        <v>-3.87636376717306</v>
      </c>
      <c r="J799" s="5">
        <v>0.00703780528106687</v>
      </c>
      <c r="K799" s="5">
        <v>0.00703780528106687</v>
      </c>
      <c r="L799" s="5">
        <v>0.00703780528106687</v>
      </c>
      <c r="M799" s="5">
        <v>-3.88340157245413</v>
      </c>
      <c r="N799" s="5">
        <v>-3.88340157245413</v>
      </c>
      <c r="O799" s="5">
        <v>-3.88340157245413</v>
      </c>
      <c r="P799" s="5">
        <v>0.0</v>
      </c>
      <c r="Q799" s="5">
        <v>0.0</v>
      </c>
      <c r="R799" s="5">
        <v>0.0</v>
      </c>
      <c r="S799" s="5">
        <v>21.6652823316655</v>
      </c>
    </row>
    <row r="800">
      <c r="A800" s="6">
        <v>41515.0</v>
      </c>
      <c r="B800" s="5">
        <v>25.5955774799765</v>
      </c>
      <c r="C800" s="5">
        <v>-42.7515591626509</v>
      </c>
      <c r="D800" s="5">
        <v>84.284507126513</v>
      </c>
      <c r="E800" s="5">
        <v>25.5955774799765</v>
      </c>
      <c r="F800" s="5">
        <v>25.5955774799765</v>
      </c>
      <c r="G800" s="5">
        <v>-4.63421497234746</v>
      </c>
      <c r="H800" s="5">
        <v>-4.63421497234746</v>
      </c>
      <c r="I800" s="5">
        <v>-4.63421497234746</v>
      </c>
      <c r="J800" s="5">
        <v>-0.776422525900737</v>
      </c>
      <c r="K800" s="5">
        <v>-0.776422525900737</v>
      </c>
      <c r="L800" s="5">
        <v>-0.776422525900737</v>
      </c>
      <c r="M800" s="5">
        <v>-3.85779244644672</v>
      </c>
      <c r="N800" s="5">
        <v>-3.85779244644672</v>
      </c>
      <c r="O800" s="5">
        <v>-3.85779244644672</v>
      </c>
      <c r="P800" s="5">
        <v>0.0</v>
      </c>
      <c r="Q800" s="5">
        <v>0.0</v>
      </c>
      <c r="R800" s="5">
        <v>0.0</v>
      </c>
      <c r="S800" s="5">
        <v>20.961362507629</v>
      </c>
    </row>
    <row r="801">
      <c r="A801" s="6">
        <v>41516.0</v>
      </c>
      <c r="B801" s="5">
        <v>25.6495088611144</v>
      </c>
      <c r="C801" s="5">
        <v>-43.4290221644074</v>
      </c>
      <c r="D801" s="5">
        <v>75.3767226657907</v>
      </c>
      <c r="E801" s="5">
        <v>25.6495088611144</v>
      </c>
      <c r="F801" s="5">
        <v>25.6495088611144</v>
      </c>
      <c r="G801" s="5">
        <v>-5.40929067668843</v>
      </c>
      <c r="H801" s="5">
        <v>-5.40929067668843</v>
      </c>
      <c r="I801" s="5">
        <v>-5.40929067668843</v>
      </c>
      <c r="J801" s="5">
        <v>-1.5915505664931</v>
      </c>
      <c r="K801" s="5">
        <v>-1.5915505664931</v>
      </c>
      <c r="L801" s="5">
        <v>-1.5915505664931</v>
      </c>
      <c r="M801" s="5">
        <v>-3.81774011019533</v>
      </c>
      <c r="N801" s="5">
        <v>-3.81774011019533</v>
      </c>
      <c r="O801" s="5">
        <v>-3.81774011019533</v>
      </c>
      <c r="P801" s="5">
        <v>0.0</v>
      </c>
      <c r="Q801" s="5">
        <v>0.0</v>
      </c>
      <c r="R801" s="5">
        <v>0.0</v>
      </c>
      <c r="S801" s="5">
        <v>20.240218184426</v>
      </c>
    </row>
    <row r="802">
      <c r="A802" s="6">
        <v>41520.0</v>
      </c>
      <c r="B802" s="5">
        <v>25.8652343856662</v>
      </c>
      <c r="C802" s="5">
        <v>-44.8925758269561</v>
      </c>
      <c r="D802" s="5">
        <v>82.7593636983997</v>
      </c>
      <c r="E802" s="5">
        <v>25.8652343856662</v>
      </c>
      <c r="F802" s="5">
        <v>25.8652343856662</v>
      </c>
      <c r="G802" s="5">
        <v>-3.59437964072677</v>
      </c>
      <c r="H802" s="5">
        <v>-3.59437964072677</v>
      </c>
      <c r="I802" s="5">
        <v>-3.59437964072677</v>
      </c>
      <c r="J802" s="5">
        <v>-0.144118857245798</v>
      </c>
      <c r="K802" s="5">
        <v>-0.144118857245798</v>
      </c>
      <c r="L802" s="5">
        <v>-0.144118857245798</v>
      </c>
      <c r="M802" s="5">
        <v>-3.45026078348098</v>
      </c>
      <c r="N802" s="5">
        <v>-3.45026078348098</v>
      </c>
      <c r="O802" s="5">
        <v>-3.45026078348098</v>
      </c>
      <c r="P802" s="5">
        <v>0.0</v>
      </c>
      <c r="Q802" s="5">
        <v>0.0</v>
      </c>
      <c r="R802" s="5">
        <v>0.0</v>
      </c>
      <c r="S802" s="5">
        <v>22.2708547449395</v>
      </c>
    </row>
    <row r="803">
      <c r="A803" s="6">
        <v>41521.0</v>
      </c>
      <c r="B803" s="5">
        <v>25.9191657668042</v>
      </c>
      <c r="C803" s="5">
        <v>-43.4402574737178</v>
      </c>
      <c r="D803" s="5">
        <v>83.0727769752327</v>
      </c>
      <c r="E803" s="5">
        <v>25.9191657668042</v>
      </c>
      <c r="F803" s="5">
        <v>25.9191657668042</v>
      </c>
      <c r="G803" s="5">
        <v>-3.2950967428451</v>
      </c>
      <c r="H803" s="5">
        <v>-3.2950967428451</v>
      </c>
      <c r="I803" s="5">
        <v>-3.2950967428451</v>
      </c>
      <c r="J803" s="5">
        <v>0.0070378052823779</v>
      </c>
      <c r="K803" s="5">
        <v>0.0070378052823779</v>
      </c>
      <c r="L803" s="5">
        <v>0.0070378052823779</v>
      </c>
      <c r="M803" s="5">
        <v>-3.30213454812747</v>
      </c>
      <c r="N803" s="5">
        <v>-3.30213454812747</v>
      </c>
      <c r="O803" s="5">
        <v>-3.30213454812747</v>
      </c>
      <c r="P803" s="5">
        <v>0.0</v>
      </c>
      <c r="Q803" s="5">
        <v>0.0</v>
      </c>
      <c r="R803" s="5">
        <v>0.0</v>
      </c>
      <c r="S803" s="5">
        <v>22.6240690239591</v>
      </c>
    </row>
    <row r="804">
      <c r="A804" s="6">
        <v>41522.0</v>
      </c>
      <c r="B804" s="5">
        <v>25.9730971479421</v>
      </c>
      <c r="C804" s="5">
        <v>-41.7985846114209</v>
      </c>
      <c r="D804" s="5">
        <v>84.600758697606</v>
      </c>
      <c r="E804" s="5">
        <v>25.9730971479421</v>
      </c>
      <c r="F804" s="5">
        <v>25.9730971479421</v>
      </c>
      <c r="G804" s="5">
        <v>-3.9109487938572</v>
      </c>
      <c r="H804" s="5">
        <v>-3.9109487938572</v>
      </c>
      <c r="I804" s="5">
        <v>-3.9109487938572</v>
      </c>
      <c r="J804" s="5">
        <v>-0.776422525901459</v>
      </c>
      <c r="K804" s="5">
        <v>-0.776422525901459</v>
      </c>
      <c r="L804" s="5">
        <v>-0.776422525901459</v>
      </c>
      <c r="M804" s="5">
        <v>-3.13452626795574</v>
      </c>
      <c r="N804" s="5">
        <v>-3.13452626795574</v>
      </c>
      <c r="O804" s="5">
        <v>-3.13452626795574</v>
      </c>
      <c r="P804" s="5">
        <v>0.0</v>
      </c>
      <c r="Q804" s="5">
        <v>0.0</v>
      </c>
      <c r="R804" s="5">
        <v>0.0</v>
      </c>
      <c r="S804" s="5">
        <v>22.0621483540849</v>
      </c>
    </row>
    <row r="805">
      <c r="A805" s="6">
        <v>41523.0</v>
      </c>
      <c r="B805" s="5">
        <v>26.0270285290801</v>
      </c>
      <c r="C805" s="5">
        <v>-45.2566880037555</v>
      </c>
      <c r="D805" s="5">
        <v>82.2989216594956</v>
      </c>
      <c r="E805" s="5">
        <v>26.0270285290801</v>
      </c>
      <c r="F805" s="5">
        <v>26.0270285290801</v>
      </c>
      <c r="G805" s="5">
        <v>-4.54283247577381</v>
      </c>
      <c r="H805" s="5">
        <v>-4.54283247577381</v>
      </c>
      <c r="I805" s="5">
        <v>-4.54283247577381</v>
      </c>
      <c r="J805" s="5">
        <v>-1.59155056649186</v>
      </c>
      <c r="K805" s="5">
        <v>-1.59155056649186</v>
      </c>
      <c r="L805" s="5">
        <v>-1.59155056649186</v>
      </c>
      <c r="M805" s="5">
        <v>-2.95128190928195</v>
      </c>
      <c r="N805" s="5">
        <v>-2.95128190928195</v>
      </c>
      <c r="O805" s="5">
        <v>-2.95128190928195</v>
      </c>
      <c r="P805" s="5">
        <v>0.0</v>
      </c>
      <c r="Q805" s="5">
        <v>0.0</v>
      </c>
      <c r="R805" s="5">
        <v>0.0</v>
      </c>
      <c r="S805" s="5">
        <v>21.4841960533063</v>
      </c>
    </row>
    <row r="806">
      <c r="A806" s="6">
        <v>41526.0</v>
      </c>
      <c r="B806" s="5">
        <v>26.188822672494</v>
      </c>
      <c r="C806" s="5">
        <v>-40.5008885923229</v>
      </c>
      <c r="D806" s="5">
        <v>83.8774016298093</v>
      </c>
      <c r="E806" s="5">
        <v>26.188822672494</v>
      </c>
      <c r="F806" s="5">
        <v>26.188822672494</v>
      </c>
      <c r="G806" s="5">
        <v>-2.27232542843153</v>
      </c>
      <c r="H806" s="5">
        <v>-2.27232542843153</v>
      </c>
      <c r="I806" s="5">
        <v>-2.27232542843153</v>
      </c>
      <c r="J806" s="5">
        <v>0.090558942121643</v>
      </c>
      <c r="K806" s="5">
        <v>0.090558942121643</v>
      </c>
      <c r="L806" s="5">
        <v>0.090558942121643</v>
      </c>
      <c r="M806" s="5">
        <v>-2.36288437055317</v>
      </c>
      <c r="N806" s="5">
        <v>-2.36288437055317</v>
      </c>
      <c r="O806" s="5">
        <v>-2.36288437055317</v>
      </c>
      <c r="P806" s="5">
        <v>0.0</v>
      </c>
      <c r="Q806" s="5">
        <v>0.0</v>
      </c>
      <c r="R806" s="5">
        <v>0.0</v>
      </c>
      <c r="S806" s="5">
        <v>23.9164972440624</v>
      </c>
    </row>
    <row r="807">
      <c r="A807" s="6">
        <v>41527.0</v>
      </c>
      <c r="B807" s="5">
        <v>26.2427540536319</v>
      </c>
      <c r="C807" s="5">
        <v>-41.6463794995981</v>
      </c>
      <c r="D807" s="5">
        <v>87.5790289082367</v>
      </c>
      <c r="E807" s="5">
        <v>26.2427540536319</v>
      </c>
      <c r="F807" s="5">
        <v>26.2427540536319</v>
      </c>
      <c r="G807" s="5">
        <v>-2.32059837070653</v>
      </c>
      <c r="H807" s="5">
        <v>-2.32059837070653</v>
      </c>
      <c r="I807" s="5">
        <v>-2.32059837070653</v>
      </c>
      <c r="J807" s="5">
        <v>-0.14411885724471</v>
      </c>
      <c r="K807" s="5">
        <v>-0.14411885724471</v>
      </c>
      <c r="L807" s="5">
        <v>-0.14411885724471</v>
      </c>
      <c r="M807" s="5">
        <v>-2.17647951346182</v>
      </c>
      <c r="N807" s="5">
        <v>-2.17647951346182</v>
      </c>
      <c r="O807" s="5">
        <v>-2.17647951346182</v>
      </c>
      <c r="P807" s="5">
        <v>0.0</v>
      </c>
      <c r="Q807" s="5">
        <v>0.0</v>
      </c>
      <c r="R807" s="5">
        <v>0.0</v>
      </c>
      <c r="S807" s="5">
        <v>23.9221556829254</v>
      </c>
    </row>
    <row r="808">
      <c r="A808" s="6">
        <v>41528.0</v>
      </c>
      <c r="B808" s="5">
        <v>26.2966854347699</v>
      </c>
      <c r="C808" s="5">
        <v>-37.6496619672364</v>
      </c>
      <c r="D808" s="5">
        <v>91.3959849372135</v>
      </c>
      <c r="E808" s="5">
        <v>26.2966854347699</v>
      </c>
      <c r="F808" s="5">
        <v>26.2966854347699</v>
      </c>
      <c r="G808" s="5">
        <v>-2.00049838342178</v>
      </c>
      <c r="H808" s="5">
        <v>-2.00049838342178</v>
      </c>
      <c r="I808" s="5">
        <v>-2.00049838342178</v>
      </c>
      <c r="J808" s="5">
        <v>0.0070378052836889</v>
      </c>
      <c r="K808" s="5">
        <v>0.0070378052836889</v>
      </c>
      <c r="L808" s="5">
        <v>0.0070378052836889</v>
      </c>
      <c r="M808" s="5">
        <v>-2.00753618870547</v>
      </c>
      <c r="N808" s="5">
        <v>-2.00753618870547</v>
      </c>
      <c r="O808" s="5">
        <v>-2.00753618870547</v>
      </c>
      <c r="P808" s="5">
        <v>0.0</v>
      </c>
      <c r="Q808" s="5">
        <v>0.0</v>
      </c>
      <c r="R808" s="5">
        <v>0.0</v>
      </c>
      <c r="S808" s="5">
        <v>24.2961870513481</v>
      </c>
    </row>
    <row r="809">
      <c r="A809" s="6">
        <v>41529.0</v>
      </c>
      <c r="B809" s="5">
        <v>26.3506168159078</v>
      </c>
      <c r="C809" s="5">
        <v>-38.3227507221645</v>
      </c>
      <c r="D809" s="5">
        <v>93.3577663093286</v>
      </c>
      <c r="E809" s="5">
        <v>26.3506168159078</v>
      </c>
      <c r="F809" s="5">
        <v>26.3506168159078</v>
      </c>
      <c r="G809" s="5">
        <v>-2.64024376756324</v>
      </c>
      <c r="H809" s="5">
        <v>-2.64024376756324</v>
      </c>
      <c r="I809" s="5">
        <v>-2.64024376756324</v>
      </c>
      <c r="J809" s="5">
        <v>-0.776422525900705</v>
      </c>
      <c r="K809" s="5">
        <v>-0.776422525900705</v>
      </c>
      <c r="L809" s="5">
        <v>-0.776422525900705</v>
      </c>
      <c r="M809" s="5">
        <v>-1.86382124166253</v>
      </c>
      <c r="N809" s="5">
        <v>-1.86382124166253</v>
      </c>
      <c r="O809" s="5">
        <v>-1.86382124166253</v>
      </c>
      <c r="P809" s="5">
        <v>0.0</v>
      </c>
      <c r="Q809" s="5">
        <v>0.0</v>
      </c>
      <c r="R809" s="5">
        <v>0.0</v>
      </c>
      <c r="S809" s="5">
        <v>23.7103730483446</v>
      </c>
    </row>
    <row r="810">
      <c r="A810" s="6">
        <v>41530.0</v>
      </c>
      <c r="B810" s="5">
        <v>26.4045481970458</v>
      </c>
      <c r="C810" s="5">
        <v>-39.2707897277219</v>
      </c>
      <c r="D810" s="5">
        <v>82.8687891657124</v>
      </c>
      <c r="E810" s="5">
        <v>26.4045481970458</v>
      </c>
      <c r="F810" s="5">
        <v>26.4045481970458</v>
      </c>
      <c r="G810" s="5">
        <v>-3.3443870898842</v>
      </c>
      <c r="H810" s="5">
        <v>-3.3443870898842</v>
      </c>
      <c r="I810" s="5">
        <v>-3.3443870898842</v>
      </c>
      <c r="J810" s="5">
        <v>-1.59155056649399</v>
      </c>
      <c r="K810" s="5">
        <v>-1.59155056649399</v>
      </c>
      <c r="L810" s="5">
        <v>-1.59155056649399</v>
      </c>
      <c r="M810" s="5">
        <v>-1.7528365233902</v>
      </c>
      <c r="N810" s="5">
        <v>-1.7528365233902</v>
      </c>
      <c r="O810" s="5">
        <v>-1.7528365233902</v>
      </c>
      <c r="P810" s="5">
        <v>0.0</v>
      </c>
      <c r="Q810" s="5">
        <v>0.0</v>
      </c>
      <c r="R810" s="5">
        <v>0.0</v>
      </c>
      <c r="S810" s="5">
        <v>23.0601611071616</v>
      </c>
    </row>
    <row r="811">
      <c r="A811" s="6">
        <v>41533.0</v>
      </c>
      <c r="B811" s="5">
        <v>26.5663423404596</v>
      </c>
      <c r="C811" s="5">
        <v>-35.3970793441805</v>
      </c>
      <c r="D811" s="5">
        <v>88.7762701115803</v>
      </c>
      <c r="E811" s="5">
        <v>26.5663423404596</v>
      </c>
      <c r="F811" s="5">
        <v>26.5663423404596</v>
      </c>
      <c r="G811" s="5">
        <v>-1.59069034632488</v>
      </c>
      <c r="H811" s="5">
        <v>-1.59069034632488</v>
      </c>
      <c r="I811" s="5">
        <v>-1.59069034632488</v>
      </c>
      <c r="J811" s="5">
        <v>0.0905589421202057</v>
      </c>
      <c r="K811" s="5">
        <v>0.0905589421202057</v>
      </c>
      <c r="L811" s="5">
        <v>0.0905589421202057</v>
      </c>
      <c r="M811" s="5">
        <v>-1.68124928844508</v>
      </c>
      <c r="N811" s="5">
        <v>-1.68124928844508</v>
      </c>
      <c r="O811" s="5">
        <v>-1.68124928844508</v>
      </c>
      <c r="P811" s="5">
        <v>0.0</v>
      </c>
      <c r="Q811" s="5">
        <v>0.0</v>
      </c>
      <c r="R811" s="5">
        <v>0.0</v>
      </c>
      <c r="S811" s="5">
        <v>24.9756519941347</v>
      </c>
    </row>
    <row r="812">
      <c r="A812" s="6">
        <v>41534.0</v>
      </c>
      <c r="B812" s="5">
        <v>26.6202737215976</v>
      </c>
      <c r="C812" s="5">
        <v>-36.17250718966</v>
      </c>
      <c r="D812" s="5">
        <v>88.8884705382063</v>
      </c>
      <c r="E812" s="5">
        <v>26.6202737215976</v>
      </c>
      <c r="F812" s="5">
        <v>26.6202737215976</v>
      </c>
      <c r="G812" s="5">
        <v>-1.90506178490423</v>
      </c>
      <c r="H812" s="5">
        <v>-1.90506178490423</v>
      </c>
      <c r="I812" s="5">
        <v>-1.90506178490423</v>
      </c>
      <c r="J812" s="5">
        <v>-0.144118857246146</v>
      </c>
      <c r="K812" s="5">
        <v>-0.144118857246146</v>
      </c>
      <c r="L812" s="5">
        <v>-0.144118857246146</v>
      </c>
      <c r="M812" s="5">
        <v>-1.76094292765808</v>
      </c>
      <c r="N812" s="5">
        <v>-1.76094292765808</v>
      </c>
      <c r="O812" s="5">
        <v>-1.76094292765808</v>
      </c>
      <c r="P812" s="5">
        <v>0.0</v>
      </c>
      <c r="Q812" s="5">
        <v>0.0</v>
      </c>
      <c r="R812" s="5">
        <v>0.0</v>
      </c>
      <c r="S812" s="5">
        <v>24.7152119366933</v>
      </c>
    </row>
    <row r="813">
      <c r="A813" s="6">
        <v>41535.0</v>
      </c>
      <c r="B813" s="5">
        <v>26.6742051027355</v>
      </c>
      <c r="C813" s="5">
        <v>-36.993242398504</v>
      </c>
      <c r="D813" s="5">
        <v>89.3146111181643</v>
      </c>
      <c r="E813" s="5">
        <v>26.6742051027355</v>
      </c>
      <c r="F813" s="5">
        <v>26.6742051027355</v>
      </c>
      <c r="G813" s="5">
        <v>-1.89015839472876</v>
      </c>
      <c r="H813" s="5">
        <v>-1.89015839472876</v>
      </c>
      <c r="I813" s="5">
        <v>-1.89015839472876</v>
      </c>
      <c r="J813" s="5">
        <v>0.00703780528265566</v>
      </c>
      <c r="K813" s="5">
        <v>0.00703780528265566</v>
      </c>
      <c r="L813" s="5">
        <v>0.00703780528265566</v>
      </c>
      <c r="M813" s="5">
        <v>-1.89719620001141</v>
      </c>
      <c r="N813" s="5">
        <v>-1.89719620001141</v>
      </c>
      <c r="O813" s="5">
        <v>-1.89719620001141</v>
      </c>
      <c r="P813" s="5">
        <v>0.0</v>
      </c>
      <c r="Q813" s="5">
        <v>0.0</v>
      </c>
      <c r="R813" s="5">
        <v>0.0</v>
      </c>
      <c r="S813" s="5">
        <v>24.7840467080068</v>
      </c>
    </row>
    <row r="814">
      <c r="A814" s="6">
        <v>41536.0</v>
      </c>
      <c r="B814" s="5">
        <v>26.7281364838735</v>
      </c>
      <c r="C814" s="5">
        <v>-42.7500731967994</v>
      </c>
      <c r="D814" s="5">
        <v>86.2861409359362</v>
      </c>
      <c r="E814" s="5">
        <v>26.7281364838735</v>
      </c>
      <c r="F814" s="5">
        <v>26.7281364838735</v>
      </c>
      <c r="G814" s="5">
        <v>-2.86684773712461</v>
      </c>
      <c r="H814" s="5">
        <v>-2.86684773712461</v>
      </c>
      <c r="I814" s="5">
        <v>-2.86684773712461</v>
      </c>
      <c r="J814" s="5">
        <v>-0.776422525901428</v>
      </c>
      <c r="K814" s="5">
        <v>-0.776422525901428</v>
      </c>
      <c r="L814" s="5">
        <v>-0.776422525901428</v>
      </c>
      <c r="M814" s="5">
        <v>-2.09042521122318</v>
      </c>
      <c r="N814" s="5">
        <v>-2.09042521122318</v>
      </c>
      <c r="O814" s="5">
        <v>-2.09042521122318</v>
      </c>
      <c r="P814" s="5">
        <v>0.0</v>
      </c>
      <c r="Q814" s="5">
        <v>0.0</v>
      </c>
      <c r="R814" s="5">
        <v>0.0</v>
      </c>
      <c r="S814" s="5">
        <v>23.8612887467489</v>
      </c>
    </row>
    <row r="815">
      <c r="A815" s="6">
        <v>41537.0</v>
      </c>
      <c r="B815" s="5">
        <v>26.7820678650114</v>
      </c>
      <c r="C815" s="5">
        <v>-42.0445953696954</v>
      </c>
      <c r="D815" s="5">
        <v>87.635899223539</v>
      </c>
      <c r="E815" s="5">
        <v>26.7820678650114</v>
      </c>
      <c r="F815" s="5">
        <v>26.7820678650114</v>
      </c>
      <c r="G815" s="5">
        <v>-3.93078369437739</v>
      </c>
      <c r="H815" s="5">
        <v>-3.93078369437739</v>
      </c>
      <c r="I815" s="5">
        <v>-3.93078369437739</v>
      </c>
      <c r="J815" s="5">
        <v>-1.59155056649276</v>
      </c>
      <c r="K815" s="5">
        <v>-1.59155056649276</v>
      </c>
      <c r="L815" s="5">
        <v>-1.59155056649276</v>
      </c>
      <c r="M815" s="5">
        <v>-2.33923312788463</v>
      </c>
      <c r="N815" s="5">
        <v>-2.33923312788463</v>
      </c>
      <c r="O815" s="5">
        <v>-2.33923312788463</v>
      </c>
      <c r="P815" s="5">
        <v>0.0</v>
      </c>
      <c r="Q815" s="5">
        <v>0.0</v>
      </c>
      <c r="R815" s="5">
        <v>0.0</v>
      </c>
      <c r="S815" s="5">
        <v>22.851284170634</v>
      </c>
    </row>
    <row r="816">
      <c r="A816" s="6">
        <v>41540.0</v>
      </c>
      <c r="B816" s="5">
        <v>26.9438620084253</v>
      </c>
      <c r="C816" s="5">
        <v>-42.7169080028211</v>
      </c>
      <c r="D816" s="5">
        <v>84.0072735199421</v>
      </c>
      <c r="E816" s="5">
        <v>26.9438620084253</v>
      </c>
      <c r="F816" s="5">
        <v>26.9438620084253</v>
      </c>
      <c r="G816" s="5">
        <v>-3.28656908827745</v>
      </c>
      <c r="H816" s="5">
        <v>-3.28656908827745</v>
      </c>
      <c r="I816" s="5">
        <v>-3.28656908827745</v>
      </c>
      <c r="J816" s="5">
        <v>0.0905589421236159</v>
      </c>
      <c r="K816" s="5">
        <v>0.0905589421236159</v>
      </c>
      <c r="L816" s="5">
        <v>0.0905589421236159</v>
      </c>
      <c r="M816" s="5">
        <v>-3.37712803040106</v>
      </c>
      <c r="N816" s="5">
        <v>-3.37712803040106</v>
      </c>
      <c r="O816" s="5">
        <v>-3.37712803040106</v>
      </c>
      <c r="P816" s="5">
        <v>0.0</v>
      </c>
      <c r="Q816" s="5">
        <v>0.0</v>
      </c>
      <c r="R816" s="5">
        <v>0.0</v>
      </c>
      <c r="S816" s="5">
        <v>23.6572929201478</v>
      </c>
    </row>
    <row r="817">
      <c r="A817" s="6">
        <v>41541.0</v>
      </c>
      <c r="B817" s="5">
        <v>26.9977933895632</v>
      </c>
      <c r="C817" s="5">
        <v>-37.753755124829</v>
      </c>
      <c r="D817" s="5">
        <v>89.8728080185834</v>
      </c>
      <c r="E817" s="5">
        <v>26.9977933895632</v>
      </c>
      <c r="F817" s="5">
        <v>26.9977933895632</v>
      </c>
      <c r="G817" s="5">
        <v>-3.94126650818986</v>
      </c>
      <c r="H817" s="5">
        <v>-3.94126650818986</v>
      </c>
      <c r="I817" s="5">
        <v>-3.94126650818986</v>
      </c>
      <c r="J817" s="5">
        <v>-0.144118857243948</v>
      </c>
      <c r="K817" s="5">
        <v>-0.144118857243948</v>
      </c>
      <c r="L817" s="5">
        <v>-0.144118857243948</v>
      </c>
      <c r="M817" s="5">
        <v>-3.79714765094591</v>
      </c>
      <c r="N817" s="5">
        <v>-3.79714765094591</v>
      </c>
      <c r="O817" s="5">
        <v>-3.79714765094591</v>
      </c>
      <c r="P817" s="5">
        <v>0.0</v>
      </c>
      <c r="Q817" s="5">
        <v>0.0</v>
      </c>
      <c r="R817" s="5">
        <v>0.0</v>
      </c>
      <c r="S817" s="5">
        <v>23.0565268813734</v>
      </c>
    </row>
    <row r="818">
      <c r="A818" s="6">
        <v>41542.0</v>
      </c>
      <c r="B818" s="5">
        <v>27.0517247707012</v>
      </c>
      <c r="C818" s="5">
        <v>-42.9222094718101</v>
      </c>
      <c r="D818" s="5">
        <v>86.6138557646788</v>
      </c>
      <c r="E818" s="5">
        <v>27.0517247707012</v>
      </c>
      <c r="F818" s="5">
        <v>27.0517247707012</v>
      </c>
      <c r="G818" s="5">
        <v>-4.23143762116162</v>
      </c>
      <c r="H818" s="5">
        <v>-4.23143762116162</v>
      </c>
      <c r="I818" s="5">
        <v>-4.23143762116162</v>
      </c>
      <c r="J818" s="5">
        <v>0.00703780527963949</v>
      </c>
      <c r="K818" s="5">
        <v>0.00703780527963949</v>
      </c>
      <c r="L818" s="5">
        <v>0.00703780527963949</v>
      </c>
      <c r="M818" s="5">
        <v>-4.23847542644126</v>
      </c>
      <c r="N818" s="5">
        <v>-4.23847542644126</v>
      </c>
      <c r="O818" s="5">
        <v>-4.23847542644126</v>
      </c>
      <c r="P818" s="5">
        <v>0.0</v>
      </c>
      <c r="Q818" s="5">
        <v>0.0</v>
      </c>
      <c r="R818" s="5">
        <v>0.0</v>
      </c>
      <c r="S818" s="5">
        <v>22.8202871495395</v>
      </c>
    </row>
    <row r="819">
      <c r="A819" s="6">
        <v>41543.0</v>
      </c>
      <c r="B819" s="5">
        <v>27.1056561518391</v>
      </c>
      <c r="C819" s="5">
        <v>-41.2498842842157</v>
      </c>
      <c r="D819" s="5">
        <v>79.6319515483332</v>
      </c>
      <c r="E819" s="5">
        <v>27.1056561518391</v>
      </c>
      <c r="F819" s="5">
        <v>27.1056561518391</v>
      </c>
      <c r="G819" s="5">
        <v>-5.46598041127869</v>
      </c>
      <c r="H819" s="5">
        <v>-5.46598041127869</v>
      </c>
      <c r="I819" s="5">
        <v>-5.46598041127869</v>
      </c>
      <c r="J819" s="5">
        <v>-0.776422525902149</v>
      </c>
      <c r="K819" s="5">
        <v>-0.776422525902149</v>
      </c>
      <c r="L819" s="5">
        <v>-0.776422525902149</v>
      </c>
      <c r="M819" s="5">
        <v>-4.68955788537654</v>
      </c>
      <c r="N819" s="5">
        <v>-4.68955788537654</v>
      </c>
      <c r="O819" s="5">
        <v>-4.68955788537654</v>
      </c>
      <c r="P819" s="5">
        <v>0.0</v>
      </c>
      <c r="Q819" s="5">
        <v>0.0</v>
      </c>
      <c r="R819" s="5">
        <v>0.0</v>
      </c>
      <c r="S819" s="5">
        <v>21.6396757405604</v>
      </c>
    </row>
    <row r="820">
      <c r="A820" s="6">
        <v>41544.0</v>
      </c>
      <c r="B820" s="5">
        <v>27.1595875329771</v>
      </c>
      <c r="C820" s="5">
        <v>-45.8115451492196</v>
      </c>
      <c r="D820" s="5">
        <v>83.2745851913322</v>
      </c>
      <c r="E820" s="5">
        <v>27.1595875329771</v>
      </c>
      <c r="F820" s="5">
        <v>27.1595875329771</v>
      </c>
      <c r="G820" s="5">
        <v>-6.72931939341509</v>
      </c>
      <c r="H820" s="5">
        <v>-6.72931939341509</v>
      </c>
      <c r="I820" s="5">
        <v>-6.72931939341509</v>
      </c>
      <c r="J820" s="5">
        <v>-1.59155056649183</v>
      </c>
      <c r="K820" s="5">
        <v>-1.59155056649183</v>
      </c>
      <c r="L820" s="5">
        <v>-1.59155056649183</v>
      </c>
      <c r="M820" s="5">
        <v>-5.13776882692326</v>
      </c>
      <c r="N820" s="5">
        <v>-5.13776882692326</v>
      </c>
      <c r="O820" s="5">
        <v>-5.13776882692326</v>
      </c>
      <c r="P820" s="5">
        <v>0.0</v>
      </c>
      <c r="Q820" s="5">
        <v>0.0</v>
      </c>
      <c r="R820" s="5">
        <v>0.0</v>
      </c>
      <c r="S820" s="5">
        <v>20.430268139562</v>
      </c>
    </row>
    <row r="821">
      <c r="A821" s="6">
        <v>41547.0</v>
      </c>
      <c r="B821" s="5">
        <v>27.3213816763909</v>
      </c>
      <c r="C821" s="5">
        <v>-40.5624121656561</v>
      </c>
      <c r="D821" s="5">
        <v>83.6601677539125</v>
      </c>
      <c r="E821" s="5">
        <v>27.3213816763909</v>
      </c>
      <c r="F821" s="5">
        <v>27.3213816763909</v>
      </c>
      <c r="G821" s="5">
        <v>-6.23871433411212</v>
      </c>
      <c r="H821" s="5">
        <v>-6.23871433411212</v>
      </c>
      <c r="I821" s="5">
        <v>-6.23871433411212</v>
      </c>
      <c r="J821" s="5">
        <v>0.0905589421221785</v>
      </c>
      <c r="K821" s="5">
        <v>0.0905589421221785</v>
      </c>
      <c r="L821" s="5">
        <v>0.0905589421221785</v>
      </c>
      <c r="M821" s="5">
        <v>-6.32927327623429</v>
      </c>
      <c r="N821" s="5">
        <v>-6.32927327623429</v>
      </c>
      <c r="O821" s="5">
        <v>-6.32927327623429</v>
      </c>
      <c r="P821" s="5">
        <v>0.0</v>
      </c>
      <c r="Q821" s="5">
        <v>0.0</v>
      </c>
      <c r="R821" s="5">
        <v>0.0</v>
      </c>
      <c r="S821" s="5">
        <v>21.0826673422788</v>
      </c>
    </row>
    <row r="822">
      <c r="A822" s="6">
        <v>41548.0</v>
      </c>
      <c r="B822" s="5">
        <v>27.3753130575289</v>
      </c>
      <c r="C822" s="5">
        <v>-41.9708933087829</v>
      </c>
      <c r="D822" s="5">
        <v>81.563635501032</v>
      </c>
      <c r="E822" s="5">
        <v>27.3753130575289</v>
      </c>
      <c r="F822" s="5">
        <v>27.3753130575289</v>
      </c>
      <c r="G822" s="5">
        <v>-6.77338972808797</v>
      </c>
      <c r="H822" s="5">
        <v>-6.77338972808797</v>
      </c>
      <c r="I822" s="5">
        <v>-6.77338972808797</v>
      </c>
      <c r="J822" s="5">
        <v>-0.144118857245384</v>
      </c>
      <c r="K822" s="5">
        <v>-0.144118857245384</v>
      </c>
      <c r="L822" s="5">
        <v>-0.144118857245384</v>
      </c>
      <c r="M822" s="5">
        <v>-6.62927087084259</v>
      </c>
      <c r="N822" s="5">
        <v>-6.62927087084259</v>
      </c>
      <c r="O822" s="5">
        <v>-6.62927087084259</v>
      </c>
      <c r="P822" s="5">
        <v>0.0</v>
      </c>
      <c r="Q822" s="5">
        <v>0.0</v>
      </c>
      <c r="R822" s="5">
        <v>0.0</v>
      </c>
      <c r="S822" s="5">
        <v>20.6019233294409</v>
      </c>
    </row>
    <row r="823">
      <c r="A823" s="6">
        <v>41549.0</v>
      </c>
      <c r="B823" s="5">
        <v>27.4292444386668</v>
      </c>
      <c r="C823" s="5">
        <v>-40.7215556371952</v>
      </c>
      <c r="D823" s="5">
        <v>86.9669142329528</v>
      </c>
      <c r="E823" s="5">
        <v>27.4292444386668</v>
      </c>
      <c r="F823" s="5">
        <v>27.4292444386668</v>
      </c>
      <c r="G823" s="5">
        <v>-6.85141928590403</v>
      </c>
      <c r="H823" s="5">
        <v>-6.85141928590403</v>
      </c>
      <c r="I823" s="5">
        <v>-6.85141928590403</v>
      </c>
      <c r="J823" s="5">
        <v>0.00703780528095055</v>
      </c>
      <c r="K823" s="5">
        <v>0.00703780528095055</v>
      </c>
      <c r="L823" s="5">
        <v>0.00703780528095055</v>
      </c>
      <c r="M823" s="5">
        <v>-6.85845709118498</v>
      </c>
      <c r="N823" s="5">
        <v>-6.85845709118498</v>
      </c>
      <c r="O823" s="5">
        <v>-6.85845709118498</v>
      </c>
      <c r="P823" s="5">
        <v>0.0</v>
      </c>
      <c r="Q823" s="5">
        <v>0.0</v>
      </c>
      <c r="R823" s="5">
        <v>0.0</v>
      </c>
      <c r="S823" s="5">
        <v>20.5778251527628</v>
      </c>
    </row>
    <row r="824">
      <c r="A824" s="6">
        <v>41550.0</v>
      </c>
      <c r="B824" s="5">
        <v>27.4831758198048</v>
      </c>
      <c r="C824" s="5">
        <v>-49.3148868148014</v>
      </c>
      <c r="D824" s="5">
        <v>82.8261151113332</v>
      </c>
      <c r="E824" s="5">
        <v>27.4831758198048</v>
      </c>
      <c r="F824" s="5">
        <v>27.4831758198048</v>
      </c>
      <c r="G824" s="5">
        <v>-7.78117191307052</v>
      </c>
      <c r="H824" s="5">
        <v>-7.78117191307052</v>
      </c>
      <c r="I824" s="5">
        <v>-7.78117191307052</v>
      </c>
      <c r="J824" s="5">
        <v>-0.776422525902871</v>
      </c>
      <c r="K824" s="5">
        <v>-0.776422525902871</v>
      </c>
      <c r="L824" s="5">
        <v>-0.776422525902871</v>
      </c>
      <c r="M824" s="5">
        <v>-7.00474938716765</v>
      </c>
      <c r="N824" s="5">
        <v>-7.00474938716765</v>
      </c>
      <c r="O824" s="5">
        <v>-7.00474938716765</v>
      </c>
      <c r="P824" s="5">
        <v>0.0</v>
      </c>
      <c r="Q824" s="5">
        <v>0.0</v>
      </c>
      <c r="R824" s="5">
        <v>0.0</v>
      </c>
      <c r="S824" s="5">
        <v>19.7020039067343</v>
      </c>
    </row>
    <row r="825">
      <c r="A825" s="6">
        <v>41551.0</v>
      </c>
      <c r="B825" s="5">
        <v>27.5371072009427</v>
      </c>
      <c r="C825" s="5">
        <v>-47.4027567881159</v>
      </c>
      <c r="D825" s="5">
        <v>84.4890833336658</v>
      </c>
      <c r="E825" s="5">
        <v>27.5371072009427</v>
      </c>
      <c r="F825" s="5">
        <v>27.5371072009427</v>
      </c>
      <c r="G825" s="5">
        <v>-8.64892642361548</v>
      </c>
      <c r="H825" s="5">
        <v>-8.64892642361548</v>
      </c>
      <c r="I825" s="5">
        <v>-8.64892642361548</v>
      </c>
      <c r="J825" s="5">
        <v>-1.59155056649334</v>
      </c>
      <c r="K825" s="5">
        <v>-1.59155056649334</v>
      </c>
      <c r="L825" s="5">
        <v>-1.59155056649334</v>
      </c>
      <c r="M825" s="5">
        <v>-7.05737585712214</v>
      </c>
      <c r="N825" s="5">
        <v>-7.05737585712214</v>
      </c>
      <c r="O825" s="5">
        <v>-7.05737585712214</v>
      </c>
      <c r="P825" s="5">
        <v>0.0</v>
      </c>
      <c r="Q825" s="5">
        <v>0.0</v>
      </c>
      <c r="R825" s="5">
        <v>0.0</v>
      </c>
      <c r="S825" s="5">
        <v>18.8881807773273</v>
      </c>
    </row>
    <row r="826">
      <c r="A826" s="6">
        <v>41554.0</v>
      </c>
      <c r="B826" s="5">
        <v>27.6989013443566</v>
      </c>
      <c r="C826" s="5">
        <v>-39.898044245506</v>
      </c>
      <c r="D826" s="5">
        <v>85.4989332668471</v>
      </c>
      <c r="E826" s="5">
        <v>27.6989013443566</v>
      </c>
      <c r="F826" s="5">
        <v>27.6989013443566</v>
      </c>
      <c r="G826" s="5">
        <v>-6.4807625801042</v>
      </c>
      <c r="H826" s="5">
        <v>-6.4807625801042</v>
      </c>
      <c r="I826" s="5">
        <v>-6.4807625801042</v>
      </c>
      <c r="J826" s="5">
        <v>0.0905589421207411</v>
      </c>
      <c r="K826" s="5">
        <v>0.0905589421207411</v>
      </c>
      <c r="L826" s="5">
        <v>0.0905589421207411</v>
      </c>
      <c r="M826" s="5">
        <v>-6.57132152222494</v>
      </c>
      <c r="N826" s="5">
        <v>-6.57132152222494</v>
      </c>
      <c r="O826" s="5">
        <v>-6.57132152222494</v>
      </c>
      <c r="P826" s="5">
        <v>0.0</v>
      </c>
      <c r="Q826" s="5">
        <v>0.0</v>
      </c>
      <c r="R826" s="5">
        <v>0.0</v>
      </c>
      <c r="S826" s="5">
        <v>21.2181387642524</v>
      </c>
    </row>
    <row r="827">
      <c r="A827" s="6">
        <v>41555.0</v>
      </c>
      <c r="B827" s="5">
        <v>27.7528327254945</v>
      </c>
      <c r="C827" s="5">
        <v>-43.3875498580717</v>
      </c>
      <c r="D827" s="5">
        <v>86.701193736494</v>
      </c>
      <c r="E827" s="5">
        <v>27.7528327254945</v>
      </c>
      <c r="F827" s="5">
        <v>27.7528327254945</v>
      </c>
      <c r="G827" s="5">
        <v>-6.32170200932408</v>
      </c>
      <c r="H827" s="5">
        <v>-6.32170200932408</v>
      </c>
      <c r="I827" s="5">
        <v>-6.32170200932408</v>
      </c>
      <c r="J827" s="5">
        <v>-0.144118857244296</v>
      </c>
      <c r="K827" s="5">
        <v>-0.144118857244296</v>
      </c>
      <c r="L827" s="5">
        <v>-0.144118857244296</v>
      </c>
      <c r="M827" s="5">
        <v>-6.17758315207978</v>
      </c>
      <c r="N827" s="5">
        <v>-6.17758315207978</v>
      </c>
      <c r="O827" s="5">
        <v>-6.17758315207978</v>
      </c>
      <c r="P827" s="5">
        <v>0.0</v>
      </c>
      <c r="Q827" s="5">
        <v>0.0</v>
      </c>
      <c r="R827" s="5">
        <v>0.0</v>
      </c>
      <c r="S827" s="5">
        <v>21.4311307161705</v>
      </c>
    </row>
    <row r="828">
      <c r="A828" s="6">
        <v>41556.0</v>
      </c>
      <c r="B828" s="5">
        <v>27.8067641066325</v>
      </c>
      <c r="C828" s="5">
        <v>-37.6655688917241</v>
      </c>
      <c r="D828" s="5">
        <v>84.5555632362778</v>
      </c>
      <c r="E828" s="5">
        <v>27.8067641066325</v>
      </c>
      <c r="F828" s="5">
        <v>27.8067641066325</v>
      </c>
      <c r="G828" s="5">
        <v>-5.65810924991611</v>
      </c>
      <c r="H828" s="5">
        <v>-5.65810924991611</v>
      </c>
      <c r="I828" s="5">
        <v>-5.65810924991611</v>
      </c>
      <c r="J828" s="5">
        <v>0.00703780528325299</v>
      </c>
      <c r="K828" s="5">
        <v>0.00703780528325299</v>
      </c>
      <c r="L828" s="5">
        <v>0.00703780528325299</v>
      </c>
      <c r="M828" s="5">
        <v>-5.66514705519936</v>
      </c>
      <c r="N828" s="5">
        <v>-5.66514705519936</v>
      </c>
      <c r="O828" s="5">
        <v>-5.66514705519936</v>
      </c>
      <c r="P828" s="5">
        <v>0.0</v>
      </c>
      <c r="Q828" s="5">
        <v>0.0</v>
      </c>
      <c r="R828" s="5">
        <v>0.0</v>
      </c>
      <c r="S828" s="5">
        <v>22.1486548567164</v>
      </c>
    </row>
    <row r="829">
      <c r="A829" s="6">
        <v>41557.0</v>
      </c>
      <c r="B829" s="5">
        <v>27.8606954877704</v>
      </c>
      <c r="C829" s="5">
        <v>-44.4732310874432</v>
      </c>
      <c r="D829" s="5">
        <v>83.2887010100546</v>
      </c>
      <c r="E829" s="5">
        <v>27.8606954877704</v>
      </c>
      <c r="F829" s="5">
        <v>27.8606954877704</v>
      </c>
      <c r="G829" s="5">
        <v>-5.81233927591644</v>
      </c>
      <c r="H829" s="5">
        <v>-5.81233927591644</v>
      </c>
      <c r="I829" s="5">
        <v>-5.81233927591644</v>
      </c>
      <c r="J829" s="5">
        <v>-0.776422525902119</v>
      </c>
      <c r="K829" s="5">
        <v>-0.776422525902119</v>
      </c>
      <c r="L829" s="5">
        <v>-0.776422525902119</v>
      </c>
      <c r="M829" s="5">
        <v>-5.03591675001432</v>
      </c>
      <c r="N829" s="5">
        <v>-5.03591675001432</v>
      </c>
      <c r="O829" s="5">
        <v>-5.03591675001432</v>
      </c>
      <c r="P829" s="5">
        <v>0.0</v>
      </c>
      <c r="Q829" s="5">
        <v>0.0</v>
      </c>
      <c r="R829" s="5">
        <v>0.0</v>
      </c>
      <c r="S829" s="5">
        <v>22.048356211854</v>
      </c>
    </row>
    <row r="830">
      <c r="A830" s="6">
        <v>41558.0</v>
      </c>
      <c r="B830" s="5">
        <v>27.9146268689084</v>
      </c>
      <c r="C830" s="5">
        <v>-45.9668893040414</v>
      </c>
      <c r="D830" s="5">
        <v>88.3003047105447</v>
      </c>
      <c r="E830" s="5">
        <v>27.9146268689084</v>
      </c>
      <c r="F830" s="5">
        <v>27.9146268689084</v>
      </c>
      <c r="G830" s="5">
        <v>-5.88575796053532</v>
      </c>
      <c r="H830" s="5">
        <v>-5.88575796053532</v>
      </c>
      <c r="I830" s="5">
        <v>-5.88575796053532</v>
      </c>
      <c r="J830" s="5">
        <v>-1.59155056649241</v>
      </c>
      <c r="K830" s="5">
        <v>-1.59155056649241</v>
      </c>
      <c r="L830" s="5">
        <v>-1.59155056649241</v>
      </c>
      <c r="M830" s="5">
        <v>-4.29420739404291</v>
      </c>
      <c r="N830" s="5">
        <v>-4.29420739404291</v>
      </c>
      <c r="O830" s="5">
        <v>-4.29420739404291</v>
      </c>
      <c r="P830" s="5">
        <v>0.0</v>
      </c>
      <c r="Q830" s="5">
        <v>0.0</v>
      </c>
      <c r="R830" s="5">
        <v>0.0</v>
      </c>
      <c r="S830" s="5">
        <v>22.0288689083731</v>
      </c>
    </row>
    <row r="831">
      <c r="A831" s="6">
        <v>41561.0</v>
      </c>
      <c r="B831" s="5">
        <v>28.0764210123223</v>
      </c>
      <c r="C831" s="5">
        <v>-30.3967754837318</v>
      </c>
      <c r="D831" s="5">
        <v>93.8393832911686</v>
      </c>
      <c r="E831" s="5">
        <v>28.0764210123223</v>
      </c>
      <c r="F831" s="5">
        <v>28.0764210123223</v>
      </c>
      <c r="G831" s="5">
        <v>-1.38087442157547</v>
      </c>
      <c r="H831" s="5">
        <v>-1.38087442157547</v>
      </c>
      <c r="I831" s="5">
        <v>-1.38087442157547</v>
      </c>
      <c r="J831" s="5">
        <v>0.0905589421193035</v>
      </c>
      <c r="K831" s="5">
        <v>0.0905589421193035</v>
      </c>
      <c r="L831" s="5">
        <v>0.0905589421193035</v>
      </c>
      <c r="M831" s="5">
        <v>-1.47143336369477</v>
      </c>
      <c r="N831" s="5">
        <v>-1.47143336369477</v>
      </c>
      <c r="O831" s="5">
        <v>-1.47143336369477</v>
      </c>
      <c r="P831" s="5">
        <v>0.0</v>
      </c>
      <c r="Q831" s="5">
        <v>0.0</v>
      </c>
      <c r="R831" s="5">
        <v>0.0</v>
      </c>
      <c r="S831" s="5">
        <v>26.6955465907468</v>
      </c>
    </row>
    <row r="832">
      <c r="A832" s="6">
        <v>41562.0</v>
      </c>
      <c r="B832" s="5">
        <v>28.1303523934602</v>
      </c>
      <c r="C832" s="5">
        <v>-38.8931057630354</v>
      </c>
      <c r="D832" s="5">
        <v>85.8347382698012</v>
      </c>
      <c r="E832" s="5">
        <v>28.1303523934602</v>
      </c>
      <c r="F832" s="5">
        <v>28.1303523934602</v>
      </c>
      <c r="G832" s="5">
        <v>-0.511256720427379</v>
      </c>
      <c r="H832" s="5">
        <v>-0.511256720427379</v>
      </c>
      <c r="I832" s="5">
        <v>-0.511256720427379</v>
      </c>
      <c r="J832" s="5">
        <v>-0.144118857247146</v>
      </c>
      <c r="K832" s="5">
        <v>-0.144118857247146</v>
      </c>
      <c r="L832" s="5">
        <v>-0.144118857247146</v>
      </c>
      <c r="M832" s="5">
        <v>-0.367137863180233</v>
      </c>
      <c r="N832" s="5">
        <v>-0.367137863180233</v>
      </c>
      <c r="O832" s="5">
        <v>-0.367137863180233</v>
      </c>
      <c r="P832" s="5">
        <v>0.0</v>
      </c>
      <c r="Q832" s="5">
        <v>0.0</v>
      </c>
      <c r="R832" s="5">
        <v>0.0</v>
      </c>
      <c r="S832" s="5">
        <v>27.6190956730328</v>
      </c>
    </row>
    <row r="833">
      <c r="A833" s="6">
        <v>41563.0</v>
      </c>
      <c r="B833" s="5">
        <v>28.1842837745982</v>
      </c>
      <c r="C833" s="5">
        <v>-34.3602911042617</v>
      </c>
      <c r="D833" s="5">
        <v>87.6889216360366</v>
      </c>
      <c r="E833" s="5">
        <v>28.1842837745982</v>
      </c>
      <c r="F833" s="5">
        <v>28.1842837745982</v>
      </c>
      <c r="G833" s="5">
        <v>0.803786664102176</v>
      </c>
      <c r="H833" s="5">
        <v>0.803786664102176</v>
      </c>
      <c r="I833" s="5">
        <v>0.803786664102176</v>
      </c>
      <c r="J833" s="5">
        <v>0.0070378052824003</v>
      </c>
      <c r="K833" s="5">
        <v>0.0070378052824003</v>
      </c>
      <c r="L833" s="5">
        <v>0.0070378052824003</v>
      </c>
      <c r="M833" s="5">
        <v>0.796748858819776</v>
      </c>
      <c r="N833" s="5">
        <v>0.796748858819776</v>
      </c>
      <c r="O833" s="5">
        <v>0.796748858819776</v>
      </c>
      <c r="P833" s="5">
        <v>0.0</v>
      </c>
      <c r="Q833" s="5">
        <v>0.0</v>
      </c>
      <c r="R833" s="5">
        <v>0.0</v>
      </c>
      <c r="S833" s="5">
        <v>28.9880704387003</v>
      </c>
    </row>
    <row r="834">
      <c r="A834" s="6">
        <v>41564.0</v>
      </c>
      <c r="B834" s="5">
        <v>28.2382151557361</v>
      </c>
      <c r="C834" s="5">
        <v>-30.9248449162418</v>
      </c>
      <c r="D834" s="5">
        <v>93.4929174464147</v>
      </c>
      <c r="E834" s="5">
        <v>28.2382151557361</v>
      </c>
      <c r="F834" s="5">
        <v>28.2382151557361</v>
      </c>
      <c r="G834" s="5">
        <v>1.22869791813659</v>
      </c>
      <c r="H834" s="5">
        <v>1.22869791813659</v>
      </c>
      <c r="I834" s="5">
        <v>1.22869791813659</v>
      </c>
      <c r="J834" s="5">
        <v>-0.776422525901465</v>
      </c>
      <c r="K834" s="5">
        <v>-0.776422525901465</v>
      </c>
      <c r="L834" s="5">
        <v>-0.776422525901465</v>
      </c>
      <c r="M834" s="5">
        <v>2.00512044403806</v>
      </c>
      <c r="N834" s="5">
        <v>2.00512044403806</v>
      </c>
      <c r="O834" s="5">
        <v>2.00512044403806</v>
      </c>
      <c r="P834" s="5">
        <v>0.0</v>
      </c>
      <c r="Q834" s="5">
        <v>0.0</v>
      </c>
      <c r="R834" s="5">
        <v>0.0</v>
      </c>
      <c r="S834" s="5">
        <v>29.4669130738727</v>
      </c>
    </row>
    <row r="835">
      <c r="A835" s="6">
        <v>41565.0</v>
      </c>
      <c r="B835" s="5">
        <v>28.2921465368741</v>
      </c>
      <c r="C835" s="5">
        <v>-30.3711820548361</v>
      </c>
      <c r="D835" s="5">
        <v>94.0258008989214</v>
      </c>
      <c r="E835" s="5">
        <v>28.2921465368741</v>
      </c>
      <c r="F835" s="5">
        <v>28.2921465368741</v>
      </c>
      <c r="G835" s="5">
        <v>1.65058612693123</v>
      </c>
      <c r="H835" s="5">
        <v>1.65058612693123</v>
      </c>
      <c r="I835" s="5">
        <v>1.65058612693123</v>
      </c>
      <c r="J835" s="5">
        <v>-1.59155056649148</v>
      </c>
      <c r="K835" s="5">
        <v>-1.59155056649148</v>
      </c>
      <c r="L835" s="5">
        <v>-1.59155056649148</v>
      </c>
      <c r="M835" s="5">
        <v>3.24213669342272</v>
      </c>
      <c r="N835" s="5">
        <v>3.24213669342272</v>
      </c>
      <c r="O835" s="5">
        <v>3.24213669342272</v>
      </c>
      <c r="P835" s="5">
        <v>0.0</v>
      </c>
      <c r="Q835" s="5">
        <v>0.0</v>
      </c>
      <c r="R835" s="5">
        <v>0.0</v>
      </c>
      <c r="S835" s="5">
        <v>29.9427326638053</v>
      </c>
    </row>
    <row r="836">
      <c r="A836" s="6">
        <v>41568.0</v>
      </c>
      <c r="B836" s="5">
        <v>28.4539406802879</v>
      </c>
      <c r="C836" s="5">
        <v>-27.9966510844676</v>
      </c>
      <c r="D836" s="5">
        <v>98.32851935355</v>
      </c>
      <c r="E836" s="5">
        <v>28.4539406802879</v>
      </c>
      <c r="F836" s="5">
        <v>28.4539406802879</v>
      </c>
      <c r="G836" s="5">
        <v>7.05434809843859</v>
      </c>
      <c r="H836" s="5">
        <v>7.05434809843859</v>
      </c>
      <c r="I836" s="5">
        <v>7.05434809843859</v>
      </c>
      <c r="J836" s="5">
        <v>0.090558942122714</v>
      </c>
      <c r="K836" s="5">
        <v>0.090558942122714</v>
      </c>
      <c r="L836" s="5">
        <v>0.090558942122714</v>
      </c>
      <c r="M836" s="5">
        <v>6.96378915631588</v>
      </c>
      <c r="N836" s="5">
        <v>6.96378915631588</v>
      </c>
      <c r="O836" s="5">
        <v>6.96378915631588</v>
      </c>
      <c r="P836" s="5">
        <v>0.0</v>
      </c>
      <c r="Q836" s="5">
        <v>0.0</v>
      </c>
      <c r="R836" s="5">
        <v>0.0</v>
      </c>
      <c r="S836" s="5">
        <v>35.5082887787265</v>
      </c>
    </row>
    <row r="837">
      <c r="A837" s="6">
        <v>41569.0</v>
      </c>
      <c r="B837" s="5">
        <v>28.5078720614259</v>
      </c>
      <c r="C837" s="5">
        <v>-31.3648145569449</v>
      </c>
      <c r="D837" s="5">
        <v>99.4498994631891</v>
      </c>
      <c r="E837" s="5">
        <v>28.5078720614259</v>
      </c>
      <c r="F837" s="5">
        <v>28.5078720614259</v>
      </c>
      <c r="G837" s="5">
        <v>8.01177923050441</v>
      </c>
      <c r="H837" s="5">
        <v>8.01177923050441</v>
      </c>
      <c r="I837" s="5">
        <v>8.01177923050441</v>
      </c>
      <c r="J837" s="5">
        <v>-0.144118857244948</v>
      </c>
      <c r="K837" s="5">
        <v>-0.144118857244948</v>
      </c>
      <c r="L837" s="5">
        <v>-0.144118857244948</v>
      </c>
      <c r="M837" s="5">
        <v>8.15589808774936</v>
      </c>
      <c r="N837" s="5">
        <v>8.15589808774936</v>
      </c>
      <c r="O837" s="5">
        <v>8.15589808774936</v>
      </c>
      <c r="P837" s="5">
        <v>0.0</v>
      </c>
      <c r="Q837" s="5">
        <v>0.0</v>
      </c>
      <c r="R837" s="5">
        <v>0.0</v>
      </c>
      <c r="S837" s="5">
        <v>36.5196512919303</v>
      </c>
    </row>
    <row r="838">
      <c r="A838" s="6">
        <v>41570.0</v>
      </c>
      <c r="B838" s="5">
        <v>28.5618034425638</v>
      </c>
      <c r="C838" s="5">
        <v>-27.4443195484152</v>
      </c>
      <c r="D838" s="5">
        <v>97.0121125987419</v>
      </c>
      <c r="E838" s="5">
        <v>28.5618034425638</v>
      </c>
      <c r="F838" s="5">
        <v>28.5618034425638</v>
      </c>
      <c r="G838" s="5">
        <v>9.30703416870539</v>
      </c>
      <c r="H838" s="5">
        <v>9.30703416870539</v>
      </c>
      <c r="I838" s="5">
        <v>9.30703416870539</v>
      </c>
      <c r="J838" s="5">
        <v>0.00703780528371151</v>
      </c>
      <c r="K838" s="5">
        <v>0.00703780528371151</v>
      </c>
      <c r="L838" s="5">
        <v>0.00703780528371151</v>
      </c>
      <c r="M838" s="5">
        <v>9.29999636342168</v>
      </c>
      <c r="N838" s="5">
        <v>9.29999636342168</v>
      </c>
      <c r="O838" s="5">
        <v>9.29999636342168</v>
      </c>
      <c r="P838" s="5">
        <v>0.0</v>
      </c>
      <c r="Q838" s="5">
        <v>0.0</v>
      </c>
      <c r="R838" s="5">
        <v>0.0</v>
      </c>
      <c r="S838" s="5">
        <v>37.8688376112692</v>
      </c>
    </row>
    <row r="839">
      <c r="A839" s="6">
        <v>41571.0</v>
      </c>
      <c r="B839" s="5">
        <v>28.6157348237018</v>
      </c>
      <c r="C839" s="5">
        <v>-21.8448949517356</v>
      </c>
      <c r="D839" s="5">
        <v>101.752152704307</v>
      </c>
      <c r="E839" s="5">
        <v>28.6157348237018</v>
      </c>
      <c r="F839" s="5">
        <v>28.6157348237018</v>
      </c>
      <c r="G839" s="5">
        <v>9.60742049274966</v>
      </c>
      <c r="H839" s="5">
        <v>9.60742049274966</v>
      </c>
      <c r="I839" s="5">
        <v>9.60742049274966</v>
      </c>
      <c r="J839" s="5">
        <v>-0.776422525903562</v>
      </c>
      <c r="K839" s="5">
        <v>-0.776422525903562</v>
      </c>
      <c r="L839" s="5">
        <v>-0.776422525903562</v>
      </c>
      <c r="M839" s="5">
        <v>10.3838430186532</v>
      </c>
      <c r="N839" s="5">
        <v>10.3838430186532</v>
      </c>
      <c r="O839" s="5">
        <v>10.3838430186532</v>
      </c>
      <c r="P839" s="5">
        <v>0.0</v>
      </c>
      <c r="Q839" s="5">
        <v>0.0</v>
      </c>
      <c r="R839" s="5">
        <v>0.0</v>
      </c>
      <c r="S839" s="5">
        <v>38.2231553164514</v>
      </c>
    </row>
    <row r="840">
      <c r="A840" s="6">
        <v>41572.0</v>
      </c>
      <c r="B840" s="5">
        <v>28.6696662048397</v>
      </c>
      <c r="C840" s="5">
        <v>-24.560119985707</v>
      </c>
      <c r="D840" s="5">
        <v>102.911346681421</v>
      </c>
      <c r="E840" s="5">
        <v>28.6696662048397</v>
      </c>
      <c r="F840" s="5">
        <v>28.6696662048397</v>
      </c>
      <c r="G840" s="5">
        <v>9.80540662295156</v>
      </c>
      <c r="H840" s="5">
        <v>9.80540662295156</v>
      </c>
      <c r="I840" s="5">
        <v>9.80540662295156</v>
      </c>
      <c r="J840" s="5">
        <v>-1.59155056649056</v>
      </c>
      <c r="K840" s="5">
        <v>-1.59155056649056</v>
      </c>
      <c r="L840" s="5">
        <v>-1.59155056649056</v>
      </c>
      <c r="M840" s="5">
        <v>11.3969571894421</v>
      </c>
      <c r="N840" s="5">
        <v>11.3969571894421</v>
      </c>
      <c r="O840" s="5">
        <v>11.3969571894421</v>
      </c>
      <c r="P840" s="5">
        <v>0.0</v>
      </c>
      <c r="Q840" s="5">
        <v>0.0</v>
      </c>
      <c r="R840" s="5">
        <v>0.0</v>
      </c>
      <c r="S840" s="5">
        <v>38.4750728277913</v>
      </c>
    </row>
    <row r="841">
      <c r="A841" s="6">
        <v>41575.0</v>
      </c>
      <c r="B841" s="5">
        <v>28.8314603482536</v>
      </c>
      <c r="C841" s="5">
        <v>-22.8328792952723</v>
      </c>
      <c r="D841" s="5">
        <v>108.062710238007</v>
      </c>
      <c r="E841" s="5">
        <v>28.8314603482536</v>
      </c>
      <c r="F841" s="5">
        <v>28.8314603482536</v>
      </c>
      <c r="G841" s="5">
        <v>14.0283620099419</v>
      </c>
      <c r="H841" s="5">
        <v>14.0283620099419</v>
      </c>
      <c r="I841" s="5">
        <v>14.0283620099419</v>
      </c>
      <c r="J841" s="5">
        <v>0.0905589421188926</v>
      </c>
      <c r="K841" s="5">
        <v>0.0905589421188926</v>
      </c>
      <c r="L841" s="5">
        <v>0.0905589421188926</v>
      </c>
      <c r="M841" s="5">
        <v>13.937803067823</v>
      </c>
      <c r="N841" s="5">
        <v>13.937803067823</v>
      </c>
      <c r="O841" s="5">
        <v>13.937803067823</v>
      </c>
      <c r="P841" s="5">
        <v>0.0</v>
      </c>
      <c r="Q841" s="5">
        <v>0.0</v>
      </c>
      <c r="R841" s="5">
        <v>0.0</v>
      </c>
      <c r="S841" s="5">
        <v>42.8598223581955</v>
      </c>
    </row>
    <row r="842">
      <c r="A842" s="6">
        <v>41576.0</v>
      </c>
      <c r="B842" s="5">
        <v>28.8853917293915</v>
      </c>
      <c r="C842" s="5">
        <v>-17.5915302460073</v>
      </c>
      <c r="D842" s="5">
        <v>108.275148617268</v>
      </c>
      <c r="E842" s="5">
        <v>28.8853917293915</v>
      </c>
      <c r="F842" s="5">
        <v>28.8853917293915</v>
      </c>
      <c r="G842" s="5">
        <v>14.4608815820427</v>
      </c>
      <c r="H842" s="5">
        <v>14.4608815820427</v>
      </c>
      <c r="I842" s="5">
        <v>14.4608815820427</v>
      </c>
      <c r="J842" s="5">
        <v>-0.14411885724386</v>
      </c>
      <c r="K842" s="5">
        <v>-0.14411885724386</v>
      </c>
      <c r="L842" s="5">
        <v>-0.14411885724386</v>
      </c>
      <c r="M842" s="5">
        <v>14.6050004392866</v>
      </c>
      <c r="N842" s="5">
        <v>14.6050004392866</v>
      </c>
      <c r="O842" s="5">
        <v>14.6050004392866</v>
      </c>
      <c r="P842" s="5">
        <v>0.0</v>
      </c>
      <c r="Q842" s="5">
        <v>0.0</v>
      </c>
      <c r="R842" s="5">
        <v>0.0</v>
      </c>
      <c r="S842" s="5">
        <v>43.3462733114343</v>
      </c>
    </row>
    <row r="843">
      <c r="A843" s="6">
        <v>41577.0</v>
      </c>
      <c r="B843" s="5">
        <v>28.9393231105295</v>
      </c>
      <c r="C843" s="5">
        <v>-20.4880310982061</v>
      </c>
      <c r="D843" s="5">
        <v>106.055117050799</v>
      </c>
      <c r="E843" s="5">
        <v>28.9393231105295</v>
      </c>
      <c r="F843" s="5">
        <v>28.9393231105295</v>
      </c>
      <c r="G843" s="5">
        <v>15.1882669539306</v>
      </c>
      <c r="H843" s="5">
        <v>15.1882669539306</v>
      </c>
      <c r="I843" s="5">
        <v>15.1882669539306</v>
      </c>
      <c r="J843" s="5">
        <v>0.00703780528069533</v>
      </c>
      <c r="K843" s="5">
        <v>0.00703780528069533</v>
      </c>
      <c r="L843" s="5">
        <v>0.00703780528069533</v>
      </c>
      <c r="M843" s="5">
        <v>15.1812291486499</v>
      </c>
      <c r="N843" s="5">
        <v>15.1812291486499</v>
      </c>
      <c r="O843" s="5">
        <v>15.1812291486499</v>
      </c>
      <c r="P843" s="5">
        <v>0.0</v>
      </c>
      <c r="Q843" s="5">
        <v>0.0</v>
      </c>
      <c r="R843" s="5">
        <v>0.0</v>
      </c>
      <c r="S843" s="5">
        <v>44.1275900644601</v>
      </c>
    </row>
    <row r="844">
      <c r="A844" s="6">
        <v>41578.0</v>
      </c>
      <c r="B844" s="5">
        <v>28.9932544916674</v>
      </c>
      <c r="C844" s="5">
        <v>-22.9058108311481</v>
      </c>
      <c r="D844" s="5">
        <v>103.718962779442</v>
      </c>
      <c r="E844" s="5">
        <v>28.9932544916674</v>
      </c>
      <c r="F844" s="5">
        <v>28.9932544916674</v>
      </c>
      <c r="G844" s="5">
        <v>14.8927346311984</v>
      </c>
      <c r="H844" s="5">
        <v>14.8927346311984</v>
      </c>
      <c r="I844" s="5">
        <v>14.8927346311984</v>
      </c>
      <c r="J844" s="5">
        <v>-0.776422525902809</v>
      </c>
      <c r="K844" s="5">
        <v>-0.776422525902809</v>
      </c>
      <c r="L844" s="5">
        <v>-0.776422525902809</v>
      </c>
      <c r="M844" s="5">
        <v>15.6691571571012</v>
      </c>
      <c r="N844" s="5">
        <v>15.6691571571012</v>
      </c>
      <c r="O844" s="5">
        <v>15.6691571571012</v>
      </c>
      <c r="P844" s="5">
        <v>0.0</v>
      </c>
      <c r="Q844" s="5">
        <v>0.0</v>
      </c>
      <c r="R844" s="5">
        <v>0.0</v>
      </c>
      <c r="S844" s="5">
        <v>43.8859891228659</v>
      </c>
    </row>
    <row r="845">
      <c r="A845" s="6">
        <v>41579.0</v>
      </c>
      <c r="B845" s="5">
        <v>29.0471858728054</v>
      </c>
      <c r="C845" s="5">
        <v>-14.7735380910609</v>
      </c>
      <c r="D845" s="5">
        <v>100.583403213724</v>
      </c>
      <c r="E845" s="5">
        <v>29.0471858728054</v>
      </c>
      <c r="F845" s="5">
        <v>29.0471858728054</v>
      </c>
      <c r="G845" s="5">
        <v>14.4819361627125</v>
      </c>
      <c r="H845" s="5">
        <v>14.4819361627125</v>
      </c>
      <c r="I845" s="5">
        <v>14.4819361627125</v>
      </c>
      <c r="J845" s="5">
        <v>-1.59155056649512</v>
      </c>
      <c r="K845" s="5">
        <v>-1.59155056649512</v>
      </c>
      <c r="L845" s="5">
        <v>-1.59155056649512</v>
      </c>
      <c r="M845" s="5">
        <v>16.0734867292076</v>
      </c>
      <c r="N845" s="5">
        <v>16.0734867292076</v>
      </c>
      <c r="O845" s="5">
        <v>16.0734867292076</v>
      </c>
      <c r="P845" s="5">
        <v>0.0</v>
      </c>
      <c r="Q845" s="5">
        <v>0.0</v>
      </c>
      <c r="R845" s="5">
        <v>0.0</v>
      </c>
      <c r="S845" s="5">
        <v>43.5291220355179</v>
      </c>
    </row>
    <row r="846">
      <c r="A846" s="6">
        <v>41582.0</v>
      </c>
      <c r="B846" s="5">
        <v>29.2089800162192</v>
      </c>
      <c r="C846" s="5">
        <v>-17.4696558504652</v>
      </c>
      <c r="D846" s="5">
        <v>109.519886859787</v>
      </c>
      <c r="E846" s="5">
        <v>29.2089800162192</v>
      </c>
      <c r="F846" s="5">
        <v>29.2089800162192</v>
      </c>
      <c r="G846" s="5">
        <v>16.9482872661576</v>
      </c>
      <c r="H846" s="5">
        <v>16.9482872661576</v>
      </c>
      <c r="I846" s="5">
        <v>16.9482872661576</v>
      </c>
      <c r="J846" s="5">
        <v>0.0905589421198392</v>
      </c>
      <c r="K846" s="5">
        <v>0.0905589421198392</v>
      </c>
      <c r="L846" s="5">
        <v>0.0905589421198392</v>
      </c>
      <c r="M846" s="5">
        <v>16.8577283240377</v>
      </c>
      <c r="N846" s="5">
        <v>16.8577283240377</v>
      </c>
      <c r="O846" s="5">
        <v>16.8577283240377</v>
      </c>
      <c r="P846" s="5">
        <v>0.0</v>
      </c>
      <c r="Q846" s="5">
        <v>0.0</v>
      </c>
      <c r="R846" s="5">
        <v>0.0</v>
      </c>
      <c r="S846" s="5">
        <v>46.1572672823769</v>
      </c>
    </row>
    <row r="847">
      <c r="A847" s="6">
        <v>41583.0</v>
      </c>
      <c r="B847" s="5">
        <v>29.2629113973572</v>
      </c>
      <c r="C847" s="5">
        <v>-18.8247397820801</v>
      </c>
      <c r="D847" s="5">
        <v>107.898005456052</v>
      </c>
      <c r="E847" s="5">
        <v>29.2629113973572</v>
      </c>
      <c r="F847" s="5">
        <v>29.2629113973572</v>
      </c>
      <c r="G847" s="5">
        <v>16.8630040497358</v>
      </c>
      <c r="H847" s="5">
        <v>16.8630040497358</v>
      </c>
      <c r="I847" s="5">
        <v>16.8630040497358</v>
      </c>
      <c r="J847" s="5">
        <v>-0.144118857244186</v>
      </c>
      <c r="K847" s="5">
        <v>-0.144118857244186</v>
      </c>
      <c r="L847" s="5">
        <v>-0.144118857244186</v>
      </c>
      <c r="M847" s="5">
        <v>17.00712290698</v>
      </c>
      <c r="N847" s="5">
        <v>17.00712290698</v>
      </c>
      <c r="O847" s="5">
        <v>17.00712290698</v>
      </c>
      <c r="P847" s="5">
        <v>0.0</v>
      </c>
      <c r="Q847" s="5">
        <v>0.0</v>
      </c>
      <c r="R847" s="5">
        <v>0.0</v>
      </c>
      <c r="S847" s="5">
        <v>46.1259154470931</v>
      </c>
    </row>
    <row r="848">
      <c r="A848" s="6">
        <v>41584.0</v>
      </c>
      <c r="B848" s="5">
        <v>29.3168427784951</v>
      </c>
      <c r="C848" s="5">
        <v>-19.8953298930098</v>
      </c>
      <c r="D848" s="5">
        <v>107.841206564454</v>
      </c>
      <c r="E848" s="5">
        <v>29.3168427784951</v>
      </c>
      <c r="F848" s="5">
        <v>29.3168427784951</v>
      </c>
      <c r="G848" s="5">
        <v>17.1251447202432</v>
      </c>
      <c r="H848" s="5">
        <v>17.1251447202432</v>
      </c>
      <c r="I848" s="5">
        <v>17.1251447202432</v>
      </c>
      <c r="J848" s="5">
        <v>0.0070378052829978</v>
      </c>
      <c r="K848" s="5">
        <v>0.0070378052829978</v>
      </c>
      <c r="L848" s="5">
        <v>0.0070378052829978</v>
      </c>
      <c r="M848" s="5">
        <v>17.1181069149602</v>
      </c>
      <c r="N848" s="5">
        <v>17.1181069149602</v>
      </c>
      <c r="O848" s="5">
        <v>17.1181069149602</v>
      </c>
      <c r="P848" s="5">
        <v>0.0</v>
      </c>
      <c r="Q848" s="5">
        <v>0.0</v>
      </c>
      <c r="R848" s="5">
        <v>0.0</v>
      </c>
      <c r="S848" s="5">
        <v>46.4419874987383</v>
      </c>
    </row>
    <row r="849">
      <c r="A849" s="6">
        <v>41585.0</v>
      </c>
      <c r="B849" s="5">
        <v>29.3707741596331</v>
      </c>
      <c r="C849" s="5">
        <v>-16.459472846529</v>
      </c>
      <c r="D849" s="5">
        <v>107.802520523081</v>
      </c>
      <c r="E849" s="5">
        <v>29.3707741596331</v>
      </c>
      <c r="F849" s="5">
        <v>29.3707741596331</v>
      </c>
      <c r="G849" s="5">
        <v>16.4253533121851</v>
      </c>
      <c r="H849" s="5">
        <v>16.4253533121851</v>
      </c>
      <c r="I849" s="5">
        <v>16.4253533121851</v>
      </c>
      <c r="J849" s="5">
        <v>-0.776422525903531</v>
      </c>
      <c r="K849" s="5">
        <v>-0.776422525903531</v>
      </c>
      <c r="L849" s="5">
        <v>-0.776422525903531</v>
      </c>
      <c r="M849" s="5">
        <v>17.2017758380887</v>
      </c>
      <c r="N849" s="5">
        <v>17.2017758380887</v>
      </c>
      <c r="O849" s="5">
        <v>17.2017758380887</v>
      </c>
      <c r="P849" s="5">
        <v>0.0</v>
      </c>
      <c r="Q849" s="5">
        <v>0.0</v>
      </c>
      <c r="R849" s="5">
        <v>0.0</v>
      </c>
      <c r="S849" s="5">
        <v>45.7961274718183</v>
      </c>
    </row>
    <row r="850">
      <c r="A850" s="6">
        <v>41586.0</v>
      </c>
      <c r="B850" s="5">
        <v>29.424705540771</v>
      </c>
      <c r="C850" s="5">
        <v>-13.9278476317512</v>
      </c>
      <c r="D850" s="5">
        <v>107.483067112366</v>
      </c>
      <c r="E850" s="5">
        <v>29.424705540771</v>
      </c>
      <c r="F850" s="5">
        <v>29.424705540771</v>
      </c>
      <c r="G850" s="5">
        <v>15.6775148139501</v>
      </c>
      <c r="H850" s="5">
        <v>15.6775148139501</v>
      </c>
      <c r="I850" s="5">
        <v>15.6775148139501</v>
      </c>
      <c r="J850" s="5">
        <v>-1.5915505664942</v>
      </c>
      <c r="K850" s="5">
        <v>-1.5915505664942</v>
      </c>
      <c r="L850" s="5">
        <v>-1.5915505664942</v>
      </c>
      <c r="M850" s="5">
        <v>17.2690653804443</v>
      </c>
      <c r="N850" s="5">
        <v>17.2690653804443</v>
      </c>
      <c r="O850" s="5">
        <v>17.2690653804443</v>
      </c>
      <c r="P850" s="5">
        <v>0.0</v>
      </c>
      <c r="Q850" s="5">
        <v>0.0</v>
      </c>
      <c r="R850" s="5">
        <v>0.0</v>
      </c>
      <c r="S850" s="5">
        <v>45.1022203547212</v>
      </c>
    </row>
    <row r="851">
      <c r="A851" s="6">
        <v>41589.0</v>
      </c>
      <c r="B851" s="5">
        <v>29.5864996841849</v>
      </c>
      <c r="C851" s="5">
        <v>-19.2414877908768</v>
      </c>
      <c r="D851" s="5">
        <v>111.374106640944</v>
      </c>
      <c r="E851" s="5">
        <v>29.5864996841849</v>
      </c>
      <c r="F851" s="5">
        <v>29.5864996841849</v>
      </c>
      <c r="G851" s="5">
        <v>17.5627676284121</v>
      </c>
      <c r="H851" s="5">
        <v>17.5627676284121</v>
      </c>
      <c r="I851" s="5">
        <v>17.5627676284121</v>
      </c>
      <c r="J851" s="5">
        <v>0.0905589421232495</v>
      </c>
      <c r="K851" s="5">
        <v>0.0905589421232495</v>
      </c>
      <c r="L851" s="5">
        <v>0.0905589421232495</v>
      </c>
      <c r="M851" s="5">
        <v>17.4722086862888</v>
      </c>
      <c r="N851" s="5">
        <v>17.4722086862888</v>
      </c>
      <c r="O851" s="5">
        <v>17.4722086862888</v>
      </c>
      <c r="P851" s="5">
        <v>0.0</v>
      </c>
      <c r="Q851" s="5">
        <v>0.0</v>
      </c>
      <c r="R851" s="5">
        <v>0.0</v>
      </c>
      <c r="S851" s="5">
        <v>47.149267312597</v>
      </c>
    </row>
    <row r="852">
      <c r="A852" s="6">
        <v>41590.0</v>
      </c>
      <c r="B852" s="5">
        <v>29.6404310653228</v>
      </c>
      <c r="C852" s="5">
        <v>-16.7415813619953</v>
      </c>
      <c r="D852" s="5">
        <v>110.762859156432</v>
      </c>
      <c r="E852" s="5">
        <v>29.6404310653228</v>
      </c>
      <c r="F852" s="5">
        <v>29.6404310653228</v>
      </c>
      <c r="G852" s="5">
        <v>17.4239246484044</v>
      </c>
      <c r="H852" s="5">
        <v>17.4239246484044</v>
      </c>
      <c r="I852" s="5">
        <v>17.4239246484044</v>
      </c>
      <c r="J852" s="5">
        <v>-0.144118857245622</v>
      </c>
      <c r="K852" s="5">
        <v>-0.144118857245622</v>
      </c>
      <c r="L852" s="5">
        <v>-0.144118857245622</v>
      </c>
      <c r="M852" s="5">
        <v>17.56804350565</v>
      </c>
      <c r="N852" s="5">
        <v>17.56804350565</v>
      </c>
      <c r="O852" s="5">
        <v>17.56804350565</v>
      </c>
      <c r="P852" s="5">
        <v>0.0</v>
      </c>
      <c r="Q852" s="5">
        <v>0.0</v>
      </c>
      <c r="R852" s="5">
        <v>0.0</v>
      </c>
      <c r="S852" s="5">
        <v>47.0643557137273</v>
      </c>
    </row>
    <row r="853">
      <c r="A853" s="6">
        <v>41591.0</v>
      </c>
      <c r="B853" s="5">
        <v>29.6943624464608</v>
      </c>
      <c r="C853" s="5">
        <v>-17.5427261601476</v>
      </c>
      <c r="D853" s="5">
        <v>109.19183348768</v>
      </c>
      <c r="E853" s="5">
        <v>29.6943624464608</v>
      </c>
      <c r="F853" s="5">
        <v>29.6943624464608</v>
      </c>
      <c r="G853" s="5">
        <v>17.6951531180484</v>
      </c>
      <c r="H853" s="5">
        <v>17.6951531180484</v>
      </c>
      <c r="I853" s="5">
        <v>17.6951531180484</v>
      </c>
      <c r="J853" s="5">
        <v>0.00703780528214524</v>
      </c>
      <c r="K853" s="5">
        <v>0.00703780528214524</v>
      </c>
      <c r="L853" s="5">
        <v>0.00703780528214524</v>
      </c>
      <c r="M853" s="5">
        <v>17.6881153127662</v>
      </c>
      <c r="N853" s="5">
        <v>17.6881153127662</v>
      </c>
      <c r="O853" s="5">
        <v>17.6881153127662</v>
      </c>
      <c r="P853" s="5">
        <v>0.0</v>
      </c>
      <c r="Q853" s="5">
        <v>0.0</v>
      </c>
      <c r="R853" s="5">
        <v>0.0</v>
      </c>
      <c r="S853" s="5">
        <v>47.3895155645092</v>
      </c>
    </row>
    <row r="854">
      <c r="A854" s="6">
        <v>41592.0</v>
      </c>
      <c r="B854" s="5">
        <v>29.7482937587195</v>
      </c>
      <c r="C854" s="5">
        <v>-17.2900841972739</v>
      </c>
      <c r="D854" s="5">
        <v>115.292159683927</v>
      </c>
      <c r="E854" s="5">
        <v>29.7482937587195</v>
      </c>
      <c r="F854" s="5">
        <v>29.7482937587195</v>
      </c>
      <c r="G854" s="5">
        <v>17.0594880655383</v>
      </c>
      <c r="H854" s="5">
        <v>17.0594880655383</v>
      </c>
      <c r="I854" s="5">
        <v>17.0594880655383</v>
      </c>
      <c r="J854" s="5">
        <v>-0.776422525905628</v>
      </c>
      <c r="K854" s="5">
        <v>-0.776422525905628</v>
      </c>
      <c r="L854" s="5">
        <v>-0.776422525905628</v>
      </c>
      <c r="M854" s="5">
        <v>17.8359105914439</v>
      </c>
      <c r="N854" s="5">
        <v>17.8359105914439</v>
      </c>
      <c r="O854" s="5">
        <v>17.8359105914439</v>
      </c>
      <c r="P854" s="5">
        <v>0.0</v>
      </c>
      <c r="Q854" s="5">
        <v>0.0</v>
      </c>
      <c r="R854" s="5">
        <v>0.0</v>
      </c>
      <c r="S854" s="5">
        <v>46.8077818242578</v>
      </c>
    </row>
    <row r="855">
      <c r="A855" s="6">
        <v>41593.0</v>
      </c>
      <c r="B855" s="5">
        <v>29.8022250709782</v>
      </c>
      <c r="C855" s="5">
        <v>-22.4998299407942</v>
      </c>
      <c r="D855" s="5">
        <v>104.790307814791</v>
      </c>
      <c r="E855" s="5">
        <v>29.8022250709782</v>
      </c>
      <c r="F855" s="5">
        <v>29.8022250709782</v>
      </c>
      <c r="G855" s="5">
        <v>16.4214487492532</v>
      </c>
      <c r="H855" s="5">
        <v>16.4214487492532</v>
      </c>
      <c r="I855" s="5">
        <v>16.4214487492532</v>
      </c>
      <c r="J855" s="5">
        <v>-1.59155056649296</v>
      </c>
      <c r="K855" s="5">
        <v>-1.59155056649296</v>
      </c>
      <c r="L855" s="5">
        <v>-1.59155056649296</v>
      </c>
      <c r="M855" s="5">
        <v>18.0129993157461</v>
      </c>
      <c r="N855" s="5">
        <v>18.0129993157461</v>
      </c>
      <c r="O855" s="5">
        <v>18.0129993157461</v>
      </c>
      <c r="P855" s="5">
        <v>0.0</v>
      </c>
      <c r="Q855" s="5">
        <v>0.0</v>
      </c>
      <c r="R855" s="5">
        <v>0.0</v>
      </c>
      <c r="S855" s="5">
        <v>46.2236738202314</v>
      </c>
    </row>
    <row r="856">
      <c r="A856" s="6">
        <v>41596.0</v>
      </c>
      <c r="B856" s="5">
        <v>29.9640190077542</v>
      </c>
      <c r="C856" s="5">
        <v>-13.9974271662442</v>
      </c>
      <c r="D856" s="5">
        <v>118.121040382815</v>
      </c>
      <c r="E856" s="5">
        <v>29.9640190077542</v>
      </c>
      <c r="F856" s="5">
        <v>29.9640190077542</v>
      </c>
      <c r="G856" s="5">
        <v>18.797212551647</v>
      </c>
      <c r="H856" s="5">
        <v>18.797212551647</v>
      </c>
      <c r="I856" s="5">
        <v>18.797212551647</v>
      </c>
      <c r="J856" s="5">
        <v>0.0905589421218921</v>
      </c>
      <c r="K856" s="5">
        <v>0.0905589421218921</v>
      </c>
      <c r="L856" s="5">
        <v>0.0905589421218921</v>
      </c>
      <c r="M856" s="5">
        <v>18.7066536095251</v>
      </c>
      <c r="N856" s="5">
        <v>18.7066536095251</v>
      </c>
      <c r="O856" s="5">
        <v>18.7066536095251</v>
      </c>
      <c r="P856" s="5">
        <v>0.0</v>
      </c>
      <c r="Q856" s="5">
        <v>0.0</v>
      </c>
      <c r="R856" s="5">
        <v>0.0</v>
      </c>
      <c r="S856" s="5">
        <v>48.7612315594013</v>
      </c>
    </row>
    <row r="857">
      <c r="A857" s="6">
        <v>41597.0</v>
      </c>
      <c r="B857" s="5">
        <v>30.0179503200129</v>
      </c>
      <c r="C857" s="5">
        <v>-10.7003719421897</v>
      </c>
      <c r="D857" s="5">
        <v>110.933082782879</v>
      </c>
      <c r="E857" s="5">
        <v>30.0179503200129</v>
      </c>
      <c r="F857" s="5">
        <v>30.0179503200129</v>
      </c>
      <c r="G857" s="5">
        <v>18.8342319543977</v>
      </c>
      <c r="H857" s="5">
        <v>18.8342319543977</v>
      </c>
      <c r="I857" s="5">
        <v>18.8342319543977</v>
      </c>
      <c r="J857" s="5">
        <v>-0.144118857244534</v>
      </c>
      <c r="K857" s="5">
        <v>-0.144118857244534</v>
      </c>
      <c r="L857" s="5">
        <v>-0.144118857244534</v>
      </c>
      <c r="M857" s="5">
        <v>18.9783508116422</v>
      </c>
      <c r="N857" s="5">
        <v>18.9783508116422</v>
      </c>
      <c r="O857" s="5">
        <v>18.9783508116422</v>
      </c>
      <c r="P857" s="5">
        <v>0.0</v>
      </c>
      <c r="Q857" s="5">
        <v>0.0</v>
      </c>
      <c r="R857" s="5">
        <v>0.0</v>
      </c>
      <c r="S857" s="5">
        <v>48.8521822744107</v>
      </c>
    </row>
    <row r="858">
      <c r="A858" s="6">
        <v>41598.0</v>
      </c>
      <c r="B858" s="5">
        <v>30.0718816322716</v>
      </c>
      <c r="C858" s="5">
        <v>-9.77628303614046</v>
      </c>
      <c r="D858" s="5">
        <v>109.769605434047</v>
      </c>
      <c r="E858" s="5">
        <v>30.0718816322716</v>
      </c>
      <c r="F858" s="5">
        <v>30.0718816322716</v>
      </c>
      <c r="G858" s="5">
        <v>19.2664433427855</v>
      </c>
      <c r="H858" s="5">
        <v>19.2664433427855</v>
      </c>
      <c r="I858" s="5">
        <v>19.2664433427855</v>
      </c>
      <c r="J858" s="5">
        <v>0.00703780528129282</v>
      </c>
      <c r="K858" s="5">
        <v>0.00703780528129282</v>
      </c>
      <c r="L858" s="5">
        <v>0.00703780528129282</v>
      </c>
      <c r="M858" s="5">
        <v>19.2594055375042</v>
      </c>
      <c r="N858" s="5">
        <v>19.2594055375042</v>
      </c>
      <c r="O858" s="5">
        <v>19.2594055375042</v>
      </c>
      <c r="P858" s="5">
        <v>0.0</v>
      </c>
      <c r="Q858" s="5">
        <v>0.0</v>
      </c>
      <c r="R858" s="5">
        <v>0.0</v>
      </c>
      <c r="S858" s="5">
        <v>49.3383249750572</v>
      </c>
    </row>
    <row r="859">
      <c r="A859" s="6">
        <v>41599.0</v>
      </c>
      <c r="B859" s="5">
        <v>30.1258129445303</v>
      </c>
      <c r="C859" s="5">
        <v>-15.5471086018958</v>
      </c>
      <c r="D859" s="5">
        <v>112.102398200999</v>
      </c>
      <c r="E859" s="5">
        <v>30.1258129445303</v>
      </c>
      <c r="F859" s="5">
        <v>30.1258129445303</v>
      </c>
      <c r="G859" s="5">
        <v>18.764913734867</v>
      </c>
      <c r="H859" s="5">
        <v>18.764913734867</v>
      </c>
      <c r="I859" s="5">
        <v>18.764913734867</v>
      </c>
      <c r="J859" s="5">
        <v>-0.776422525904975</v>
      </c>
      <c r="K859" s="5">
        <v>-0.776422525904975</v>
      </c>
      <c r="L859" s="5">
        <v>-0.776422525904975</v>
      </c>
      <c r="M859" s="5">
        <v>19.5413362607719</v>
      </c>
      <c r="N859" s="5">
        <v>19.5413362607719</v>
      </c>
      <c r="O859" s="5">
        <v>19.5413362607719</v>
      </c>
      <c r="P859" s="5">
        <v>0.0</v>
      </c>
      <c r="Q859" s="5">
        <v>0.0</v>
      </c>
      <c r="R859" s="5">
        <v>0.0</v>
      </c>
      <c r="S859" s="5">
        <v>48.8907266793973</v>
      </c>
    </row>
    <row r="860">
      <c r="A860" s="6">
        <v>41600.0</v>
      </c>
      <c r="B860" s="5">
        <v>30.179744256789</v>
      </c>
      <c r="C860" s="5">
        <v>-17.3436258734865</v>
      </c>
      <c r="D860" s="5">
        <v>112.36909378458</v>
      </c>
      <c r="E860" s="5">
        <v>30.179744256789</v>
      </c>
      <c r="F860" s="5">
        <v>30.179744256789</v>
      </c>
      <c r="G860" s="5">
        <v>18.2232199656027</v>
      </c>
      <c r="H860" s="5">
        <v>18.2232199656027</v>
      </c>
      <c r="I860" s="5">
        <v>18.2232199656027</v>
      </c>
      <c r="J860" s="5">
        <v>-1.59155056649509</v>
      </c>
      <c r="K860" s="5">
        <v>-1.59155056649509</v>
      </c>
      <c r="L860" s="5">
        <v>-1.59155056649509</v>
      </c>
      <c r="M860" s="5">
        <v>19.8147705320978</v>
      </c>
      <c r="N860" s="5">
        <v>19.8147705320978</v>
      </c>
      <c r="O860" s="5">
        <v>19.8147705320978</v>
      </c>
      <c r="P860" s="5">
        <v>0.0</v>
      </c>
      <c r="Q860" s="5">
        <v>0.0</v>
      </c>
      <c r="R860" s="5">
        <v>0.0</v>
      </c>
      <c r="S860" s="5">
        <v>48.4029642223917</v>
      </c>
    </row>
    <row r="861">
      <c r="A861" s="6">
        <v>41603.0</v>
      </c>
      <c r="B861" s="5">
        <v>30.341538193565</v>
      </c>
      <c r="C861" s="5">
        <v>-12.1042421071842</v>
      </c>
      <c r="D861" s="5">
        <v>115.252296209899</v>
      </c>
      <c r="E861" s="5">
        <v>30.341538193565</v>
      </c>
      <c r="F861" s="5">
        <v>30.341538193565</v>
      </c>
      <c r="G861" s="5">
        <v>20.5749119843766</v>
      </c>
      <c r="H861" s="5">
        <v>20.5749119843766</v>
      </c>
      <c r="I861" s="5">
        <v>20.5749119843766</v>
      </c>
      <c r="J861" s="5">
        <v>0.0905589421228385</v>
      </c>
      <c r="K861" s="5">
        <v>0.0905589421228385</v>
      </c>
      <c r="L861" s="5">
        <v>0.0905589421228385</v>
      </c>
      <c r="M861" s="5">
        <v>20.4843530422538</v>
      </c>
      <c r="N861" s="5">
        <v>20.4843530422538</v>
      </c>
      <c r="O861" s="5">
        <v>20.4843530422538</v>
      </c>
      <c r="P861" s="5">
        <v>0.0</v>
      </c>
      <c r="Q861" s="5">
        <v>0.0</v>
      </c>
      <c r="R861" s="5">
        <v>0.0</v>
      </c>
      <c r="S861" s="5">
        <v>50.9164501779417</v>
      </c>
    </row>
    <row r="862">
      <c r="A862" s="6">
        <v>41604.0</v>
      </c>
      <c r="B862" s="5">
        <v>30.3954695058237</v>
      </c>
      <c r="C862" s="5">
        <v>-10.2490431505789</v>
      </c>
      <c r="D862" s="5">
        <v>118.733296753114</v>
      </c>
      <c r="E862" s="5">
        <v>30.3954695058237</v>
      </c>
      <c r="F862" s="5">
        <v>30.3954695058237</v>
      </c>
      <c r="G862" s="5">
        <v>20.480546377423</v>
      </c>
      <c r="H862" s="5">
        <v>20.480546377423</v>
      </c>
      <c r="I862" s="5">
        <v>20.480546377423</v>
      </c>
      <c r="J862" s="5">
        <v>-0.14411885724597</v>
      </c>
      <c r="K862" s="5">
        <v>-0.14411885724597</v>
      </c>
      <c r="L862" s="5">
        <v>-0.14411885724597</v>
      </c>
      <c r="M862" s="5">
        <v>20.6246652346689</v>
      </c>
      <c r="N862" s="5">
        <v>20.6246652346689</v>
      </c>
      <c r="O862" s="5">
        <v>20.6246652346689</v>
      </c>
      <c r="P862" s="5">
        <v>0.0</v>
      </c>
      <c r="Q862" s="5">
        <v>0.0</v>
      </c>
      <c r="R862" s="5">
        <v>0.0</v>
      </c>
      <c r="S862" s="5">
        <v>50.8760158832467</v>
      </c>
    </row>
    <row r="863">
      <c r="A863" s="6">
        <v>41605.0</v>
      </c>
      <c r="B863" s="5">
        <v>30.4494008180824</v>
      </c>
      <c r="C863" s="5">
        <v>-12.147538654765</v>
      </c>
      <c r="D863" s="5">
        <v>113.543545334686</v>
      </c>
      <c r="E863" s="5">
        <v>30.4494008180824</v>
      </c>
      <c r="F863" s="5">
        <v>30.4494008180824</v>
      </c>
      <c r="G863" s="5">
        <v>20.7158733414631</v>
      </c>
      <c r="H863" s="5">
        <v>20.7158733414631</v>
      </c>
      <c r="I863" s="5">
        <v>20.7158733414631</v>
      </c>
      <c r="J863" s="5">
        <v>0.0070378052814316</v>
      </c>
      <c r="K863" s="5">
        <v>0.0070378052814316</v>
      </c>
      <c r="L863" s="5">
        <v>0.0070378052814316</v>
      </c>
      <c r="M863" s="5">
        <v>20.7088355361816</v>
      </c>
      <c r="N863" s="5">
        <v>20.7088355361816</v>
      </c>
      <c r="O863" s="5">
        <v>20.7088355361816</v>
      </c>
      <c r="P863" s="5">
        <v>0.0</v>
      </c>
      <c r="Q863" s="5">
        <v>0.0</v>
      </c>
      <c r="R863" s="5">
        <v>0.0</v>
      </c>
      <c r="S863" s="5">
        <v>51.1652741595455</v>
      </c>
    </row>
    <row r="864">
      <c r="A864" s="6">
        <v>41607.0</v>
      </c>
      <c r="B864" s="5">
        <v>30.5572634425998</v>
      </c>
      <c r="C864" s="5">
        <v>-13.0895193816888</v>
      </c>
      <c r="D864" s="5">
        <v>111.904169438612</v>
      </c>
      <c r="E864" s="5">
        <v>30.5572634425998</v>
      </c>
      <c r="F864" s="5">
        <v>30.5572634425998</v>
      </c>
      <c r="G864" s="5">
        <v>19.0904308238023</v>
      </c>
      <c r="H864" s="5">
        <v>19.0904308238023</v>
      </c>
      <c r="I864" s="5">
        <v>19.0904308238023</v>
      </c>
      <c r="J864" s="5">
        <v>-1.59155056649385</v>
      </c>
      <c r="K864" s="5">
        <v>-1.59155056649385</v>
      </c>
      <c r="L864" s="5">
        <v>-1.59155056649385</v>
      </c>
      <c r="M864" s="5">
        <v>20.6819813902962</v>
      </c>
      <c r="N864" s="5">
        <v>20.6819813902962</v>
      </c>
      <c r="O864" s="5">
        <v>20.6819813902962</v>
      </c>
      <c r="P864" s="5">
        <v>0.0</v>
      </c>
      <c r="Q864" s="5">
        <v>0.0</v>
      </c>
      <c r="R864" s="5">
        <v>0.0</v>
      </c>
      <c r="S864" s="5">
        <v>49.6476942664021</v>
      </c>
    </row>
    <row r="865">
      <c r="A865" s="6">
        <v>41610.0</v>
      </c>
      <c r="B865" s="5">
        <v>30.7190573793758</v>
      </c>
      <c r="C865" s="5">
        <v>-12.7615167152845</v>
      </c>
      <c r="D865" s="5">
        <v>117.634759841522</v>
      </c>
      <c r="E865" s="5">
        <v>30.7190573793758</v>
      </c>
      <c r="F865" s="5">
        <v>30.7190573793758</v>
      </c>
      <c r="G865" s="5">
        <v>20.1912600940316</v>
      </c>
      <c r="H865" s="5">
        <v>20.1912600940316</v>
      </c>
      <c r="I865" s="5">
        <v>20.1912600940316</v>
      </c>
      <c r="J865" s="5">
        <v>0.0905589421214812</v>
      </c>
      <c r="K865" s="5">
        <v>0.0905589421214812</v>
      </c>
      <c r="L865" s="5">
        <v>0.0905589421214812</v>
      </c>
      <c r="M865" s="5">
        <v>20.1007011519102</v>
      </c>
      <c r="N865" s="5">
        <v>20.1007011519102</v>
      </c>
      <c r="O865" s="5">
        <v>20.1007011519102</v>
      </c>
      <c r="P865" s="5">
        <v>0.0</v>
      </c>
      <c r="Q865" s="5">
        <v>0.0</v>
      </c>
      <c r="R865" s="5">
        <v>0.0</v>
      </c>
      <c r="S865" s="5">
        <v>50.9103174734075</v>
      </c>
    </row>
    <row r="866">
      <c r="A866" s="6">
        <v>41611.0</v>
      </c>
      <c r="B866" s="5">
        <v>30.7729886916345</v>
      </c>
      <c r="C866" s="5">
        <v>-13.9280084637369</v>
      </c>
      <c r="D866" s="5">
        <v>113.567397424842</v>
      </c>
      <c r="E866" s="5">
        <v>30.7729886916345</v>
      </c>
      <c r="F866" s="5">
        <v>30.7729886916345</v>
      </c>
      <c r="G866" s="5">
        <v>19.6193280608202</v>
      </c>
      <c r="H866" s="5">
        <v>19.6193280608202</v>
      </c>
      <c r="I866" s="5">
        <v>19.6193280608202</v>
      </c>
      <c r="J866" s="5">
        <v>-0.144118857243772</v>
      </c>
      <c r="K866" s="5">
        <v>-0.144118857243772</v>
      </c>
      <c r="L866" s="5">
        <v>-0.144118857243772</v>
      </c>
      <c r="M866" s="5">
        <v>19.763446918064</v>
      </c>
      <c r="N866" s="5">
        <v>19.763446918064</v>
      </c>
      <c r="O866" s="5">
        <v>19.763446918064</v>
      </c>
      <c r="P866" s="5">
        <v>0.0</v>
      </c>
      <c r="Q866" s="5">
        <v>0.0</v>
      </c>
      <c r="R866" s="5">
        <v>0.0</v>
      </c>
      <c r="S866" s="5">
        <v>50.3923167524548</v>
      </c>
    </row>
    <row r="867">
      <c r="A867" s="6">
        <v>41612.0</v>
      </c>
      <c r="B867" s="5">
        <v>30.8269200038932</v>
      </c>
      <c r="C867" s="5">
        <v>-13.5404495557736</v>
      </c>
      <c r="D867" s="5">
        <v>113.299790076694</v>
      </c>
      <c r="E867" s="5">
        <v>30.8269200038932</v>
      </c>
      <c r="F867" s="5">
        <v>30.8269200038932</v>
      </c>
      <c r="G867" s="5">
        <v>19.3685296384375</v>
      </c>
      <c r="H867" s="5">
        <v>19.3685296384375</v>
      </c>
      <c r="I867" s="5">
        <v>19.3685296384375</v>
      </c>
      <c r="J867" s="5">
        <v>0.00703780528274261</v>
      </c>
      <c r="K867" s="5">
        <v>0.00703780528274261</v>
      </c>
      <c r="L867" s="5">
        <v>0.00703780528274261</v>
      </c>
      <c r="M867" s="5">
        <v>19.3614918331548</v>
      </c>
      <c r="N867" s="5">
        <v>19.3614918331548</v>
      </c>
      <c r="O867" s="5">
        <v>19.3614918331548</v>
      </c>
      <c r="P867" s="5">
        <v>0.0</v>
      </c>
      <c r="Q867" s="5">
        <v>0.0</v>
      </c>
      <c r="R867" s="5">
        <v>0.0</v>
      </c>
      <c r="S867" s="5">
        <v>50.1954496423307</v>
      </c>
    </row>
    <row r="868">
      <c r="A868" s="6">
        <v>41613.0</v>
      </c>
      <c r="B868" s="5">
        <v>30.8808513161519</v>
      </c>
      <c r="C868" s="5">
        <v>-11.1846206223231</v>
      </c>
      <c r="D868" s="5">
        <v>113.754443613152</v>
      </c>
      <c r="E868" s="5">
        <v>30.8808513161519</v>
      </c>
      <c r="F868" s="5">
        <v>30.8808513161519</v>
      </c>
      <c r="G868" s="5">
        <v>18.1261151895078</v>
      </c>
      <c r="H868" s="5">
        <v>18.1261151895078</v>
      </c>
      <c r="I868" s="5">
        <v>18.1261151895078</v>
      </c>
      <c r="J868" s="5">
        <v>-0.776422525900719</v>
      </c>
      <c r="K868" s="5">
        <v>-0.776422525900719</v>
      </c>
      <c r="L868" s="5">
        <v>-0.776422525900719</v>
      </c>
      <c r="M868" s="5">
        <v>18.9025377154085</v>
      </c>
      <c r="N868" s="5">
        <v>18.9025377154085</v>
      </c>
      <c r="O868" s="5">
        <v>18.9025377154085</v>
      </c>
      <c r="P868" s="5">
        <v>0.0</v>
      </c>
      <c r="Q868" s="5">
        <v>0.0</v>
      </c>
      <c r="R868" s="5">
        <v>0.0</v>
      </c>
      <c r="S868" s="5">
        <v>49.0069665056597</v>
      </c>
    </row>
    <row r="869">
      <c r="A869" s="6">
        <v>41614.0</v>
      </c>
      <c r="B869" s="5">
        <v>30.9347826284105</v>
      </c>
      <c r="C869" s="5">
        <v>-18.039186713503</v>
      </c>
      <c r="D869" s="5">
        <v>109.970269279813</v>
      </c>
      <c r="E869" s="5">
        <v>30.9347826284105</v>
      </c>
      <c r="F869" s="5">
        <v>30.9347826284105</v>
      </c>
      <c r="G869" s="5">
        <v>16.8049110182145</v>
      </c>
      <c r="H869" s="5">
        <v>16.8049110182145</v>
      </c>
      <c r="I869" s="5">
        <v>16.8049110182145</v>
      </c>
      <c r="J869" s="5">
        <v>-1.59155056649261</v>
      </c>
      <c r="K869" s="5">
        <v>-1.59155056649261</v>
      </c>
      <c r="L869" s="5">
        <v>-1.59155056649261</v>
      </c>
      <c r="M869" s="5">
        <v>18.3964615847071</v>
      </c>
      <c r="N869" s="5">
        <v>18.3964615847071</v>
      </c>
      <c r="O869" s="5">
        <v>18.3964615847071</v>
      </c>
      <c r="P869" s="5">
        <v>0.0</v>
      </c>
      <c r="Q869" s="5">
        <v>0.0</v>
      </c>
      <c r="R869" s="5">
        <v>0.0</v>
      </c>
      <c r="S869" s="5">
        <v>47.7396936466251</v>
      </c>
    </row>
    <row r="870">
      <c r="A870" s="6">
        <v>41617.0</v>
      </c>
      <c r="B870" s="5">
        <v>31.0965765651866</v>
      </c>
      <c r="C870" s="5">
        <v>-14.8627882558399</v>
      </c>
      <c r="D870" s="5">
        <v>109.694003382423</v>
      </c>
      <c r="E870" s="5">
        <v>31.0965765651866</v>
      </c>
      <c r="F870" s="5">
        <v>31.0965765651866</v>
      </c>
      <c r="G870" s="5">
        <v>16.8129368522811</v>
      </c>
      <c r="H870" s="5">
        <v>16.8129368522811</v>
      </c>
      <c r="I870" s="5">
        <v>16.8129368522811</v>
      </c>
      <c r="J870" s="5">
        <v>0.0905589421224276</v>
      </c>
      <c r="K870" s="5">
        <v>0.0905589421224276</v>
      </c>
      <c r="L870" s="5">
        <v>0.0905589421224276</v>
      </c>
      <c r="M870" s="5">
        <v>16.7223779101587</v>
      </c>
      <c r="N870" s="5">
        <v>16.7223779101587</v>
      </c>
      <c r="O870" s="5">
        <v>16.7223779101587</v>
      </c>
      <c r="P870" s="5">
        <v>0.0</v>
      </c>
      <c r="Q870" s="5">
        <v>0.0</v>
      </c>
      <c r="R870" s="5">
        <v>0.0</v>
      </c>
      <c r="S870" s="5">
        <v>47.9095134174678</v>
      </c>
    </row>
    <row r="871">
      <c r="A871" s="6">
        <v>41618.0</v>
      </c>
      <c r="B871" s="5">
        <v>31.1505078774453</v>
      </c>
      <c r="C871" s="5">
        <v>-13.0106740706853</v>
      </c>
      <c r="D871" s="5">
        <v>109.803066354206</v>
      </c>
      <c r="E871" s="5">
        <v>31.1505078774453</v>
      </c>
      <c r="F871" s="5">
        <v>31.1505078774453</v>
      </c>
      <c r="G871" s="5">
        <v>16.0178625204403</v>
      </c>
      <c r="H871" s="5">
        <v>16.0178625204403</v>
      </c>
      <c r="I871" s="5">
        <v>16.0178625204403</v>
      </c>
      <c r="J871" s="5">
        <v>-0.144118857245208</v>
      </c>
      <c r="K871" s="5">
        <v>-0.144118857245208</v>
      </c>
      <c r="L871" s="5">
        <v>-0.144118857245208</v>
      </c>
      <c r="M871" s="5">
        <v>16.1619813776855</v>
      </c>
      <c r="N871" s="5">
        <v>16.1619813776855</v>
      </c>
      <c r="O871" s="5">
        <v>16.1619813776855</v>
      </c>
      <c r="P871" s="5">
        <v>0.0</v>
      </c>
      <c r="Q871" s="5">
        <v>0.0</v>
      </c>
      <c r="R871" s="5">
        <v>0.0</v>
      </c>
      <c r="S871" s="5">
        <v>47.1683703978856</v>
      </c>
    </row>
    <row r="872">
      <c r="A872" s="6">
        <v>41619.0</v>
      </c>
      <c r="B872" s="5">
        <v>31.204439189704</v>
      </c>
      <c r="C872" s="5">
        <v>-14.7747101715749</v>
      </c>
      <c r="D872" s="5">
        <v>108.885556574998</v>
      </c>
      <c r="E872" s="5">
        <v>31.204439189704</v>
      </c>
      <c r="F872" s="5">
        <v>31.204439189704</v>
      </c>
      <c r="G872" s="5">
        <v>15.6345969562556</v>
      </c>
      <c r="H872" s="5">
        <v>15.6345969562556</v>
      </c>
      <c r="I872" s="5">
        <v>15.6345969562556</v>
      </c>
      <c r="J872" s="5">
        <v>0.00703780528189005</v>
      </c>
      <c r="K872" s="5">
        <v>0.00703780528189005</v>
      </c>
      <c r="L872" s="5">
        <v>0.00703780528189005</v>
      </c>
      <c r="M872" s="5">
        <v>15.6275591509737</v>
      </c>
      <c r="N872" s="5">
        <v>15.6275591509737</v>
      </c>
      <c r="O872" s="5">
        <v>15.6275591509737</v>
      </c>
      <c r="P872" s="5">
        <v>0.0</v>
      </c>
      <c r="Q872" s="5">
        <v>0.0</v>
      </c>
      <c r="R872" s="5">
        <v>0.0</v>
      </c>
      <c r="S872" s="5">
        <v>46.8390361459596</v>
      </c>
    </row>
    <row r="873">
      <c r="A873" s="6">
        <v>41620.0</v>
      </c>
      <c r="B873" s="5">
        <v>31.2583705019627</v>
      </c>
      <c r="C873" s="5">
        <v>-20.9665470168122</v>
      </c>
      <c r="D873" s="5">
        <v>110.889600562979</v>
      </c>
      <c r="E873" s="5">
        <v>31.2583705019627</v>
      </c>
      <c r="F873" s="5">
        <v>31.2583705019627</v>
      </c>
      <c r="G873" s="5">
        <v>14.3595282844628</v>
      </c>
      <c r="H873" s="5">
        <v>14.3595282844628</v>
      </c>
      <c r="I873" s="5">
        <v>14.3595282844628</v>
      </c>
      <c r="J873" s="5">
        <v>-0.776422525902816</v>
      </c>
      <c r="K873" s="5">
        <v>-0.776422525902816</v>
      </c>
      <c r="L873" s="5">
        <v>-0.776422525902816</v>
      </c>
      <c r="M873" s="5">
        <v>15.1359508103656</v>
      </c>
      <c r="N873" s="5">
        <v>15.1359508103656</v>
      </c>
      <c r="O873" s="5">
        <v>15.1359508103656</v>
      </c>
      <c r="P873" s="5">
        <v>0.0</v>
      </c>
      <c r="Q873" s="5">
        <v>0.0</v>
      </c>
      <c r="R873" s="5">
        <v>0.0</v>
      </c>
      <c r="S873" s="5">
        <v>45.6178987864255</v>
      </c>
    </row>
    <row r="874">
      <c r="A874" s="6">
        <v>41621.0</v>
      </c>
      <c r="B874" s="5">
        <v>31.3123018142213</v>
      </c>
      <c r="C874" s="5">
        <v>-10.4367505435756</v>
      </c>
      <c r="D874" s="5">
        <v>106.022691902654</v>
      </c>
      <c r="E874" s="5">
        <v>31.3123018142213</v>
      </c>
      <c r="F874" s="5">
        <v>31.3123018142213</v>
      </c>
      <c r="G874" s="5">
        <v>13.1121788614323</v>
      </c>
      <c r="H874" s="5">
        <v>13.1121788614323</v>
      </c>
      <c r="I874" s="5">
        <v>13.1121788614323</v>
      </c>
      <c r="J874" s="5">
        <v>-1.59155056649475</v>
      </c>
      <c r="K874" s="5">
        <v>-1.59155056649475</v>
      </c>
      <c r="L874" s="5">
        <v>-1.59155056649475</v>
      </c>
      <c r="M874" s="5">
        <v>14.703729427927</v>
      </c>
      <c r="N874" s="5">
        <v>14.703729427927</v>
      </c>
      <c r="O874" s="5">
        <v>14.703729427927</v>
      </c>
      <c r="P874" s="5">
        <v>0.0</v>
      </c>
      <c r="Q874" s="5">
        <v>0.0</v>
      </c>
      <c r="R874" s="5">
        <v>0.0</v>
      </c>
      <c r="S874" s="5">
        <v>44.4244806756536</v>
      </c>
    </row>
    <row r="875">
      <c r="A875" s="6">
        <v>41624.0</v>
      </c>
      <c r="B875" s="5">
        <v>31.4740957509974</v>
      </c>
      <c r="C875" s="5">
        <v>-18.567646949609</v>
      </c>
      <c r="D875" s="5">
        <v>109.205205331157</v>
      </c>
      <c r="E875" s="5">
        <v>31.4740957509974</v>
      </c>
      <c r="F875" s="5">
        <v>31.4740957509974</v>
      </c>
      <c r="G875" s="5">
        <v>14.0060684086114</v>
      </c>
      <c r="H875" s="5">
        <v>14.0060684086114</v>
      </c>
      <c r="I875" s="5">
        <v>14.0060684086114</v>
      </c>
      <c r="J875" s="5">
        <v>0.0905589421209903</v>
      </c>
      <c r="K875" s="5">
        <v>0.0905589421209903</v>
      </c>
      <c r="L875" s="5">
        <v>0.0905589421209903</v>
      </c>
      <c r="M875" s="5">
        <v>13.9155094664904</v>
      </c>
      <c r="N875" s="5">
        <v>13.9155094664904</v>
      </c>
      <c r="O875" s="5">
        <v>13.9155094664904</v>
      </c>
      <c r="P875" s="5">
        <v>0.0</v>
      </c>
      <c r="Q875" s="5">
        <v>0.0</v>
      </c>
      <c r="R875" s="5">
        <v>0.0</v>
      </c>
      <c r="S875" s="5">
        <v>45.4801641596089</v>
      </c>
    </row>
    <row r="876">
      <c r="A876" s="6">
        <v>41625.0</v>
      </c>
      <c r="B876" s="5">
        <v>31.5280270632561</v>
      </c>
      <c r="C876" s="5">
        <v>-15.3683509656134</v>
      </c>
      <c r="D876" s="5">
        <v>109.279829614725</v>
      </c>
      <c r="E876" s="5">
        <v>31.5280270632561</v>
      </c>
      <c r="F876" s="5">
        <v>31.5280270632561</v>
      </c>
      <c r="G876" s="5">
        <v>13.721244089026</v>
      </c>
      <c r="H876" s="5">
        <v>13.721244089026</v>
      </c>
      <c r="I876" s="5">
        <v>13.721244089026</v>
      </c>
      <c r="J876" s="5">
        <v>-0.144118857246643</v>
      </c>
      <c r="K876" s="5">
        <v>-0.144118857246643</v>
      </c>
      <c r="L876" s="5">
        <v>-0.144118857246643</v>
      </c>
      <c r="M876" s="5">
        <v>13.8653629462726</v>
      </c>
      <c r="N876" s="5">
        <v>13.8653629462726</v>
      </c>
      <c r="O876" s="5">
        <v>13.8653629462726</v>
      </c>
      <c r="P876" s="5">
        <v>0.0</v>
      </c>
      <c r="Q876" s="5">
        <v>0.0</v>
      </c>
      <c r="R876" s="5">
        <v>0.0</v>
      </c>
      <c r="S876" s="5">
        <v>45.2492711522821</v>
      </c>
    </row>
    <row r="877">
      <c r="A877" s="6">
        <v>41626.0</v>
      </c>
      <c r="B877" s="5">
        <v>31.5819583755148</v>
      </c>
      <c r="C877" s="5">
        <v>-15.9439338240246</v>
      </c>
      <c r="D877" s="5">
        <v>108.196988795244</v>
      </c>
      <c r="E877" s="5">
        <v>31.5819583755148</v>
      </c>
      <c r="F877" s="5">
        <v>31.5819583755148</v>
      </c>
      <c r="G877" s="5">
        <v>13.9449271297416</v>
      </c>
      <c r="H877" s="5">
        <v>13.9449271297416</v>
      </c>
      <c r="I877" s="5">
        <v>13.9449271297416</v>
      </c>
      <c r="J877" s="5">
        <v>0.00703780528320122</v>
      </c>
      <c r="K877" s="5">
        <v>0.00703780528320122</v>
      </c>
      <c r="L877" s="5">
        <v>0.00703780528320122</v>
      </c>
      <c r="M877" s="5">
        <v>13.9378893244584</v>
      </c>
      <c r="N877" s="5">
        <v>13.9378893244584</v>
      </c>
      <c r="O877" s="5">
        <v>13.9378893244584</v>
      </c>
      <c r="P877" s="5">
        <v>0.0</v>
      </c>
      <c r="Q877" s="5">
        <v>0.0</v>
      </c>
      <c r="R877" s="5">
        <v>0.0</v>
      </c>
      <c r="S877" s="5">
        <v>45.5268855052564</v>
      </c>
    </row>
    <row r="878">
      <c r="A878" s="6">
        <v>41627.0</v>
      </c>
      <c r="B878" s="5">
        <v>31.6358896877735</v>
      </c>
      <c r="C878" s="5">
        <v>-22.6445988557151</v>
      </c>
      <c r="D878" s="5">
        <v>107.735681483686</v>
      </c>
      <c r="E878" s="5">
        <v>31.6358896877735</v>
      </c>
      <c r="F878" s="5">
        <v>31.6358896877735</v>
      </c>
      <c r="G878" s="5">
        <v>13.3626848716442</v>
      </c>
      <c r="H878" s="5">
        <v>13.3626848716442</v>
      </c>
      <c r="I878" s="5">
        <v>13.3626848716442</v>
      </c>
      <c r="J878" s="5">
        <v>-0.776422525900688</v>
      </c>
      <c r="K878" s="5">
        <v>-0.776422525900688</v>
      </c>
      <c r="L878" s="5">
        <v>-0.776422525900688</v>
      </c>
      <c r="M878" s="5">
        <v>14.1391073975449</v>
      </c>
      <c r="N878" s="5">
        <v>14.1391073975449</v>
      </c>
      <c r="O878" s="5">
        <v>14.1391073975449</v>
      </c>
      <c r="P878" s="5">
        <v>0.0</v>
      </c>
      <c r="Q878" s="5">
        <v>0.0</v>
      </c>
      <c r="R878" s="5">
        <v>0.0</v>
      </c>
      <c r="S878" s="5">
        <v>44.9985745594177</v>
      </c>
    </row>
    <row r="879">
      <c r="A879" s="6">
        <v>41628.0</v>
      </c>
      <c r="B879" s="5">
        <v>31.6898210000321</v>
      </c>
      <c r="C879" s="5">
        <v>-13.2165062405209</v>
      </c>
      <c r="D879" s="5">
        <v>111.358939088507</v>
      </c>
      <c r="E879" s="5">
        <v>31.6898210000321</v>
      </c>
      <c r="F879" s="5">
        <v>31.6898210000321</v>
      </c>
      <c r="G879" s="5">
        <v>12.8805927353858</v>
      </c>
      <c r="H879" s="5">
        <v>12.8805927353858</v>
      </c>
      <c r="I879" s="5">
        <v>12.8805927353858</v>
      </c>
      <c r="J879" s="5">
        <v>-1.59155056649351</v>
      </c>
      <c r="K879" s="5">
        <v>-1.59155056649351</v>
      </c>
      <c r="L879" s="5">
        <v>-1.59155056649351</v>
      </c>
      <c r="M879" s="5">
        <v>14.4721433018793</v>
      </c>
      <c r="N879" s="5">
        <v>14.4721433018793</v>
      </c>
      <c r="O879" s="5">
        <v>14.4721433018793</v>
      </c>
      <c r="P879" s="5">
        <v>0.0</v>
      </c>
      <c r="Q879" s="5">
        <v>0.0</v>
      </c>
      <c r="R879" s="5">
        <v>0.0</v>
      </c>
      <c r="S879" s="5">
        <v>44.570413735418</v>
      </c>
    </row>
    <row r="880">
      <c r="A880" s="6">
        <v>41631.0</v>
      </c>
      <c r="B880" s="5">
        <v>31.8516149368082</v>
      </c>
      <c r="C880" s="5">
        <v>-15.2726375251293</v>
      </c>
      <c r="D880" s="5">
        <v>110.508264149711</v>
      </c>
      <c r="E880" s="5">
        <v>31.8516149368082</v>
      </c>
      <c r="F880" s="5">
        <v>31.8516149368082</v>
      </c>
      <c r="G880" s="5">
        <v>16.3377811722313</v>
      </c>
      <c r="H880" s="5">
        <v>16.3377811722313</v>
      </c>
      <c r="I880" s="5">
        <v>16.3377811722313</v>
      </c>
      <c r="J880" s="5">
        <v>0.0905589421219367</v>
      </c>
      <c r="K880" s="5">
        <v>0.0905589421219367</v>
      </c>
      <c r="L880" s="5">
        <v>0.0905589421219367</v>
      </c>
      <c r="M880" s="5">
        <v>16.2472222301093</v>
      </c>
      <c r="N880" s="5">
        <v>16.2472222301093</v>
      </c>
      <c r="O880" s="5">
        <v>16.2472222301093</v>
      </c>
      <c r="P880" s="5">
        <v>0.0</v>
      </c>
      <c r="Q880" s="5">
        <v>0.0</v>
      </c>
      <c r="R880" s="5">
        <v>0.0</v>
      </c>
      <c r="S880" s="5">
        <v>48.1893961090395</v>
      </c>
    </row>
    <row r="881">
      <c r="A881" s="6">
        <v>41632.0</v>
      </c>
      <c r="B881" s="5">
        <v>31.9055462490669</v>
      </c>
      <c r="C881" s="5">
        <v>-13.8849032479367</v>
      </c>
      <c r="D881" s="5">
        <v>111.064325392177</v>
      </c>
      <c r="E881" s="5">
        <v>31.9055462490669</v>
      </c>
      <c r="F881" s="5">
        <v>31.9055462490669</v>
      </c>
      <c r="G881" s="5">
        <v>16.932881997265</v>
      </c>
      <c r="H881" s="5">
        <v>16.932881997265</v>
      </c>
      <c r="I881" s="5">
        <v>16.932881997265</v>
      </c>
      <c r="J881" s="5">
        <v>-0.144118857244446</v>
      </c>
      <c r="K881" s="5">
        <v>-0.144118857244446</v>
      </c>
      <c r="L881" s="5">
        <v>-0.144118857244446</v>
      </c>
      <c r="M881" s="5">
        <v>17.0770008545094</v>
      </c>
      <c r="N881" s="5">
        <v>17.0770008545094</v>
      </c>
      <c r="O881" s="5">
        <v>17.0770008545094</v>
      </c>
      <c r="P881" s="5">
        <v>0.0</v>
      </c>
      <c r="Q881" s="5">
        <v>0.0</v>
      </c>
      <c r="R881" s="5">
        <v>0.0</v>
      </c>
      <c r="S881" s="5">
        <v>48.8384282463319</v>
      </c>
    </row>
    <row r="882">
      <c r="A882" s="6">
        <v>41634.0</v>
      </c>
      <c r="B882" s="5">
        <v>32.0134088735843</v>
      </c>
      <c r="C882" s="5">
        <v>-12.4456653777164</v>
      </c>
      <c r="D882" s="5">
        <v>113.624208847982</v>
      </c>
      <c r="E882" s="5">
        <v>32.0134088735843</v>
      </c>
      <c r="F882" s="5">
        <v>32.0134088735843</v>
      </c>
      <c r="G882" s="5">
        <v>18.2490782924125</v>
      </c>
      <c r="H882" s="5">
        <v>18.2490782924125</v>
      </c>
      <c r="I882" s="5">
        <v>18.2490782924125</v>
      </c>
      <c r="J882" s="5">
        <v>-0.77642252590141</v>
      </c>
      <c r="K882" s="5">
        <v>-0.77642252590141</v>
      </c>
      <c r="L882" s="5">
        <v>-0.77642252590141</v>
      </c>
      <c r="M882" s="5">
        <v>19.0255008183139</v>
      </c>
      <c r="N882" s="5">
        <v>19.0255008183139</v>
      </c>
      <c r="O882" s="5">
        <v>19.0255008183139</v>
      </c>
      <c r="P882" s="5">
        <v>0.0</v>
      </c>
      <c r="Q882" s="5">
        <v>0.0</v>
      </c>
      <c r="R882" s="5">
        <v>0.0</v>
      </c>
      <c r="S882" s="5">
        <v>50.2624871659968</v>
      </c>
    </row>
    <row r="883">
      <c r="A883" s="6">
        <v>41635.0</v>
      </c>
      <c r="B883" s="5">
        <v>32.0673401858429</v>
      </c>
      <c r="C883" s="5">
        <v>-6.63085179932196</v>
      </c>
      <c r="D883" s="5">
        <v>112.501176253783</v>
      </c>
      <c r="E883" s="5">
        <v>32.0673401858429</v>
      </c>
      <c r="F883" s="5">
        <v>32.0673401858429</v>
      </c>
      <c r="G883" s="5">
        <v>18.5207501517917</v>
      </c>
      <c r="H883" s="5">
        <v>18.5207501517917</v>
      </c>
      <c r="I883" s="5">
        <v>18.5207501517917</v>
      </c>
      <c r="J883" s="5">
        <v>-1.59155056649258</v>
      </c>
      <c r="K883" s="5">
        <v>-1.59155056649258</v>
      </c>
      <c r="L883" s="5">
        <v>-1.59155056649258</v>
      </c>
      <c r="M883" s="5">
        <v>20.1123007182843</v>
      </c>
      <c r="N883" s="5">
        <v>20.1123007182843</v>
      </c>
      <c r="O883" s="5">
        <v>20.1123007182843</v>
      </c>
      <c r="P883" s="5">
        <v>0.0</v>
      </c>
      <c r="Q883" s="5">
        <v>0.0</v>
      </c>
      <c r="R883" s="5">
        <v>0.0</v>
      </c>
      <c r="S883" s="5">
        <v>50.5880903376347</v>
      </c>
    </row>
    <row r="884">
      <c r="A884" s="6">
        <v>41638.0</v>
      </c>
      <c r="B884" s="5">
        <v>32.229134122619</v>
      </c>
      <c r="C884" s="5">
        <v>-7.88383949533719</v>
      </c>
      <c r="D884" s="5">
        <v>117.085441164251</v>
      </c>
      <c r="E884" s="5">
        <v>32.229134122619</v>
      </c>
      <c r="F884" s="5">
        <v>32.229134122619</v>
      </c>
      <c r="G884" s="5">
        <v>23.6811084055831</v>
      </c>
      <c r="H884" s="5">
        <v>23.6811084055831</v>
      </c>
      <c r="I884" s="5">
        <v>23.6811084055831</v>
      </c>
      <c r="J884" s="5">
        <v>0.0905589421229632</v>
      </c>
      <c r="K884" s="5">
        <v>0.0905589421229632</v>
      </c>
      <c r="L884" s="5">
        <v>0.0905589421229632</v>
      </c>
      <c r="M884" s="5">
        <v>23.5905494634601</v>
      </c>
      <c r="N884" s="5">
        <v>23.5905494634601</v>
      </c>
      <c r="O884" s="5">
        <v>23.5905494634601</v>
      </c>
      <c r="P884" s="5">
        <v>0.0</v>
      </c>
      <c r="Q884" s="5">
        <v>0.0</v>
      </c>
      <c r="R884" s="5">
        <v>0.0</v>
      </c>
      <c r="S884" s="5">
        <v>55.9102425282021</v>
      </c>
    </row>
    <row r="885">
      <c r="A885" s="6">
        <v>41639.0</v>
      </c>
      <c r="B885" s="5">
        <v>32.2830654348777</v>
      </c>
      <c r="C885" s="5">
        <v>-3.78374279318584</v>
      </c>
      <c r="D885" s="5">
        <v>116.322303926671</v>
      </c>
      <c r="E885" s="5">
        <v>32.2830654348777</v>
      </c>
      <c r="F885" s="5">
        <v>32.2830654348777</v>
      </c>
      <c r="G885" s="5">
        <v>24.6067170293139</v>
      </c>
      <c r="H885" s="5">
        <v>24.6067170293139</v>
      </c>
      <c r="I885" s="5">
        <v>24.6067170293139</v>
      </c>
      <c r="J885" s="5">
        <v>-0.144118857245881</v>
      </c>
      <c r="K885" s="5">
        <v>-0.144118857245881</v>
      </c>
      <c r="L885" s="5">
        <v>-0.144118857245881</v>
      </c>
      <c r="M885" s="5">
        <v>24.7508358865598</v>
      </c>
      <c r="N885" s="5">
        <v>24.7508358865598</v>
      </c>
      <c r="O885" s="5">
        <v>24.7508358865598</v>
      </c>
      <c r="P885" s="5">
        <v>0.0</v>
      </c>
      <c r="Q885" s="5">
        <v>0.0</v>
      </c>
      <c r="R885" s="5">
        <v>0.0</v>
      </c>
      <c r="S885" s="5">
        <v>56.8897824641916</v>
      </c>
    </row>
    <row r="886">
      <c r="A886" s="6">
        <v>41641.0</v>
      </c>
      <c r="B886" s="5">
        <v>32.390928059395</v>
      </c>
      <c r="C886" s="5">
        <v>-2.27411637408331</v>
      </c>
      <c r="D886" s="5">
        <v>125.624237484675</v>
      </c>
      <c r="E886" s="5">
        <v>32.390928059395</v>
      </c>
      <c r="F886" s="5">
        <v>32.390928059395</v>
      </c>
      <c r="G886" s="5">
        <v>26.163645670002</v>
      </c>
      <c r="H886" s="5">
        <v>26.163645670002</v>
      </c>
      <c r="I886" s="5">
        <v>26.163645670002</v>
      </c>
      <c r="J886" s="5">
        <v>-0.776422525902132</v>
      </c>
      <c r="K886" s="5">
        <v>-0.776422525902132</v>
      </c>
      <c r="L886" s="5">
        <v>-0.776422525902132</v>
      </c>
      <c r="M886" s="5">
        <v>26.9400681959042</v>
      </c>
      <c r="N886" s="5">
        <v>26.9400681959042</v>
      </c>
      <c r="O886" s="5">
        <v>26.9400681959042</v>
      </c>
      <c r="P886" s="5">
        <v>0.0</v>
      </c>
      <c r="Q886" s="5">
        <v>0.0</v>
      </c>
      <c r="R886" s="5">
        <v>0.0</v>
      </c>
      <c r="S886" s="5">
        <v>58.5545737293971</v>
      </c>
    </row>
    <row r="887">
      <c r="A887" s="6">
        <v>41642.0</v>
      </c>
      <c r="B887" s="5">
        <v>32.4448593716537</v>
      </c>
      <c r="C887" s="5">
        <v>-0.112381743354526</v>
      </c>
      <c r="D887" s="5">
        <v>121.082918393924</v>
      </c>
      <c r="E887" s="5">
        <v>32.4448593716537</v>
      </c>
      <c r="F887" s="5">
        <v>32.4448593716537</v>
      </c>
      <c r="G887" s="5">
        <v>26.3350162457221</v>
      </c>
      <c r="H887" s="5">
        <v>26.3350162457221</v>
      </c>
      <c r="I887" s="5">
        <v>26.3350162457221</v>
      </c>
      <c r="J887" s="5">
        <v>-1.59155056649134</v>
      </c>
      <c r="K887" s="5">
        <v>-1.59155056649134</v>
      </c>
      <c r="L887" s="5">
        <v>-1.59155056649134</v>
      </c>
      <c r="M887" s="5">
        <v>27.9265668122135</v>
      </c>
      <c r="N887" s="5">
        <v>27.9265668122135</v>
      </c>
      <c r="O887" s="5">
        <v>27.9265668122135</v>
      </c>
      <c r="P887" s="5">
        <v>0.0</v>
      </c>
      <c r="Q887" s="5">
        <v>0.0</v>
      </c>
      <c r="R887" s="5">
        <v>0.0</v>
      </c>
      <c r="S887" s="5">
        <v>58.7798756173759</v>
      </c>
    </row>
    <row r="888">
      <c r="A888" s="6">
        <v>41645.0</v>
      </c>
      <c r="B888" s="5">
        <v>32.6066533084298</v>
      </c>
      <c r="C888" s="5">
        <v>-1.3715405490374</v>
      </c>
      <c r="D888" s="5">
        <v>124.572277494132</v>
      </c>
      <c r="E888" s="5">
        <v>32.6066533084298</v>
      </c>
      <c r="F888" s="5">
        <v>32.6066533084298</v>
      </c>
      <c r="G888" s="5">
        <v>30.3211967136495</v>
      </c>
      <c r="H888" s="5">
        <v>30.3211967136495</v>
      </c>
      <c r="I888" s="5">
        <v>30.3211967136495</v>
      </c>
      <c r="J888" s="5">
        <v>0.0905589421215257</v>
      </c>
      <c r="K888" s="5">
        <v>0.0905589421215257</v>
      </c>
      <c r="L888" s="5">
        <v>0.0905589421215257</v>
      </c>
      <c r="M888" s="5">
        <v>30.230637771528</v>
      </c>
      <c r="N888" s="5">
        <v>30.230637771528</v>
      </c>
      <c r="O888" s="5">
        <v>30.230637771528</v>
      </c>
      <c r="P888" s="5">
        <v>0.0</v>
      </c>
      <c r="Q888" s="5">
        <v>0.0</v>
      </c>
      <c r="R888" s="5">
        <v>0.0</v>
      </c>
      <c r="S888" s="5">
        <v>62.9278500220793</v>
      </c>
    </row>
    <row r="889">
      <c r="A889" s="6">
        <v>41646.0</v>
      </c>
      <c r="B889" s="5">
        <v>32.6605846206885</v>
      </c>
      <c r="C889" s="5">
        <v>-1.29555734458399</v>
      </c>
      <c r="D889" s="5">
        <v>130.731944268164</v>
      </c>
      <c r="E889" s="5">
        <v>32.6605846206885</v>
      </c>
      <c r="F889" s="5">
        <v>32.6605846206885</v>
      </c>
      <c r="G889" s="5">
        <v>30.5870499182323</v>
      </c>
      <c r="H889" s="5">
        <v>30.5870499182323</v>
      </c>
      <c r="I889" s="5">
        <v>30.5870499182323</v>
      </c>
      <c r="J889" s="5">
        <v>-0.144118857244793</v>
      </c>
      <c r="K889" s="5">
        <v>-0.144118857244793</v>
      </c>
      <c r="L889" s="5">
        <v>-0.144118857244793</v>
      </c>
      <c r="M889" s="5">
        <v>30.7311687754771</v>
      </c>
      <c r="N889" s="5">
        <v>30.7311687754771</v>
      </c>
      <c r="O889" s="5">
        <v>30.7311687754771</v>
      </c>
      <c r="P889" s="5">
        <v>0.0</v>
      </c>
      <c r="Q889" s="5">
        <v>0.0</v>
      </c>
      <c r="R889" s="5">
        <v>0.0</v>
      </c>
      <c r="S889" s="5">
        <v>63.2476345389208</v>
      </c>
    </row>
    <row r="890">
      <c r="A890" s="6">
        <v>41647.0</v>
      </c>
      <c r="B890" s="5">
        <v>32.7145159329472</v>
      </c>
      <c r="C890" s="5">
        <v>1.61044129326866</v>
      </c>
      <c r="D890" s="5">
        <v>127.312035758704</v>
      </c>
      <c r="E890" s="5">
        <v>32.7145159329472</v>
      </c>
      <c r="F890" s="5">
        <v>32.7145159329472</v>
      </c>
      <c r="G890" s="5">
        <v>31.0874426814212</v>
      </c>
      <c r="H890" s="5">
        <v>31.0874426814212</v>
      </c>
      <c r="I890" s="5">
        <v>31.0874426814212</v>
      </c>
      <c r="J890" s="5">
        <v>0.00703780528046257</v>
      </c>
      <c r="K890" s="5">
        <v>0.00703780528046257</v>
      </c>
      <c r="L890" s="5">
        <v>0.00703780528046257</v>
      </c>
      <c r="M890" s="5">
        <v>31.0804048761408</v>
      </c>
      <c r="N890" s="5">
        <v>31.0804048761408</v>
      </c>
      <c r="O890" s="5">
        <v>31.0804048761408</v>
      </c>
      <c r="P890" s="5">
        <v>0.0</v>
      </c>
      <c r="Q890" s="5">
        <v>0.0</v>
      </c>
      <c r="R890" s="5">
        <v>0.0</v>
      </c>
      <c r="S890" s="5">
        <v>63.8019586143684</v>
      </c>
    </row>
    <row r="891">
      <c r="A891" s="6">
        <v>41648.0</v>
      </c>
      <c r="B891" s="5">
        <v>32.7684472452058</v>
      </c>
      <c r="C891" s="5">
        <v>-0.211967023109565</v>
      </c>
      <c r="D891" s="5">
        <v>125.988161118866</v>
      </c>
      <c r="E891" s="5">
        <v>32.7684472452058</v>
      </c>
      <c r="F891" s="5">
        <v>32.7684472452058</v>
      </c>
      <c r="G891" s="5">
        <v>30.4961007144163</v>
      </c>
      <c r="H891" s="5">
        <v>30.4961007144163</v>
      </c>
      <c r="I891" s="5">
        <v>30.4961007144163</v>
      </c>
      <c r="J891" s="5">
        <v>-0.776422525901379</v>
      </c>
      <c r="K891" s="5">
        <v>-0.776422525901379</v>
      </c>
      <c r="L891" s="5">
        <v>-0.776422525901379</v>
      </c>
      <c r="M891" s="5">
        <v>31.2725232403177</v>
      </c>
      <c r="N891" s="5">
        <v>31.2725232403177</v>
      </c>
      <c r="O891" s="5">
        <v>31.2725232403177</v>
      </c>
      <c r="P891" s="5">
        <v>0.0</v>
      </c>
      <c r="Q891" s="5">
        <v>0.0</v>
      </c>
      <c r="R891" s="5">
        <v>0.0</v>
      </c>
      <c r="S891" s="5">
        <v>63.2645479596222</v>
      </c>
    </row>
    <row r="892">
      <c r="A892" s="6">
        <v>41649.0</v>
      </c>
      <c r="B892" s="5">
        <v>32.8223785574645</v>
      </c>
      <c r="C892" s="5">
        <v>2.31431476913092</v>
      </c>
      <c r="D892" s="5">
        <v>127.019018810639</v>
      </c>
      <c r="E892" s="5">
        <v>32.8223785574645</v>
      </c>
      <c r="F892" s="5">
        <v>32.8223785574645</v>
      </c>
      <c r="G892" s="5">
        <v>29.7134926484905</v>
      </c>
      <c r="H892" s="5">
        <v>29.7134926484905</v>
      </c>
      <c r="I892" s="5">
        <v>29.7134926484905</v>
      </c>
      <c r="J892" s="5">
        <v>-1.59155056649316</v>
      </c>
      <c r="K892" s="5">
        <v>-1.59155056649316</v>
      </c>
      <c r="L892" s="5">
        <v>-1.59155056649316</v>
      </c>
      <c r="M892" s="5">
        <v>31.3050432149837</v>
      </c>
      <c r="N892" s="5">
        <v>31.3050432149837</v>
      </c>
      <c r="O892" s="5">
        <v>31.3050432149837</v>
      </c>
      <c r="P892" s="5">
        <v>0.0</v>
      </c>
      <c r="Q892" s="5">
        <v>0.0</v>
      </c>
      <c r="R892" s="5">
        <v>0.0</v>
      </c>
      <c r="S892" s="5">
        <v>62.5358712059551</v>
      </c>
    </row>
    <row r="893">
      <c r="A893" s="6">
        <v>41652.0</v>
      </c>
      <c r="B893" s="5">
        <v>32.9841724942406</v>
      </c>
      <c r="C893" s="5">
        <v>2.1964382661001</v>
      </c>
      <c r="D893" s="5">
        <v>122.181737836182</v>
      </c>
      <c r="E893" s="5">
        <v>32.9841724942406</v>
      </c>
      <c r="F893" s="5">
        <v>32.9841724942406</v>
      </c>
      <c r="G893" s="5">
        <v>30.5609677378994</v>
      </c>
      <c r="H893" s="5">
        <v>30.5609677378994</v>
      </c>
      <c r="I893" s="5">
        <v>30.5609677378994</v>
      </c>
      <c r="J893" s="5">
        <v>0.0905589421200883</v>
      </c>
      <c r="K893" s="5">
        <v>0.0905589421200883</v>
      </c>
      <c r="L893" s="5">
        <v>0.0905589421200883</v>
      </c>
      <c r="M893" s="5">
        <v>30.4704087957793</v>
      </c>
      <c r="N893" s="5">
        <v>30.4704087957793</v>
      </c>
      <c r="O893" s="5">
        <v>30.4704087957793</v>
      </c>
      <c r="P893" s="5">
        <v>0.0</v>
      </c>
      <c r="Q893" s="5">
        <v>0.0</v>
      </c>
      <c r="R893" s="5">
        <v>0.0</v>
      </c>
      <c r="S893" s="5">
        <v>63.5451402321401</v>
      </c>
    </row>
    <row r="894">
      <c r="A894" s="6">
        <v>41653.0</v>
      </c>
      <c r="B894" s="5">
        <v>33.0381038064993</v>
      </c>
      <c r="C894" s="5">
        <v>-0.831965734826331</v>
      </c>
      <c r="D894" s="5">
        <v>125.091016309788</v>
      </c>
      <c r="E894" s="5">
        <v>33.0381038064993</v>
      </c>
      <c r="F894" s="5">
        <v>33.0381038064993</v>
      </c>
      <c r="G894" s="5">
        <v>29.7617648829237</v>
      </c>
      <c r="H894" s="5">
        <v>29.7617648829237</v>
      </c>
      <c r="I894" s="5">
        <v>29.7617648829237</v>
      </c>
      <c r="J894" s="5">
        <v>-0.144118857246229</v>
      </c>
      <c r="K894" s="5">
        <v>-0.144118857246229</v>
      </c>
      <c r="L894" s="5">
        <v>-0.144118857246229</v>
      </c>
      <c r="M894" s="5">
        <v>29.9058837401699</v>
      </c>
      <c r="N894" s="5">
        <v>29.9058837401699</v>
      </c>
      <c r="O894" s="5">
        <v>29.9058837401699</v>
      </c>
      <c r="P894" s="5">
        <v>0.0</v>
      </c>
      <c r="Q894" s="5">
        <v>0.0</v>
      </c>
      <c r="R894" s="5">
        <v>0.0</v>
      </c>
      <c r="S894" s="5">
        <v>62.799868689423</v>
      </c>
    </row>
    <row r="895">
      <c r="A895" s="6">
        <v>41654.0</v>
      </c>
      <c r="B895" s="5">
        <v>33.092035118758</v>
      </c>
      <c r="C895" s="5">
        <v>-1.85617608367089</v>
      </c>
      <c r="D895" s="5">
        <v>128.103842671441</v>
      </c>
      <c r="E895" s="5">
        <v>33.092035118758</v>
      </c>
      <c r="F895" s="5">
        <v>33.092035118758</v>
      </c>
      <c r="G895" s="5">
        <v>29.2246506500842</v>
      </c>
      <c r="H895" s="5">
        <v>29.2246506500842</v>
      </c>
      <c r="I895" s="5">
        <v>29.2246506500842</v>
      </c>
      <c r="J895" s="5">
        <v>0.00703780528276504</v>
      </c>
      <c r="K895" s="5">
        <v>0.00703780528276504</v>
      </c>
      <c r="L895" s="5">
        <v>0.00703780528276504</v>
      </c>
      <c r="M895" s="5">
        <v>29.2176128448015</v>
      </c>
      <c r="N895" s="5">
        <v>29.2176128448015</v>
      </c>
      <c r="O895" s="5">
        <v>29.2176128448015</v>
      </c>
      <c r="P895" s="5">
        <v>0.0</v>
      </c>
      <c r="Q895" s="5">
        <v>0.0</v>
      </c>
      <c r="R895" s="5">
        <v>0.0</v>
      </c>
      <c r="S895" s="5">
        <v>62.3166857688422</v>
      </c>
    </row>
    <row r="896">
      <c r="A896" s="6">
        <v>41655.0</v>
      </c>
      <c r="B896" s="5">
        <v>33.1459664310166</v>
      </c>
      <c r="C896" s="5">
        <v>-2.58395657839339</v>
      </c>
      <c r="D896" s="5">
        <v>121.451619330686</v>
      </c>
      <c r="E896" s="5">
        <v>33.1459664310166</v>
      </c>
      <c r="F896" s="5">
        <v>33.1459664310166</v>
      </c>
      <c r="G896" s="5">
        <v>27.6444682324649</v>
      </c>
      <c r="H896" s="5">
        <v>27.6444682324649</v>
      </c>
      <c r="I896" s="5">
        <v>27.6444682324649</v>
      </c>
      <c r="J896" s="5">
        <v>-0.776422525900726</v>
      </c>
      <c r="K896" s="5">
        <v>-0.776422525900726</v>
      </c>
      <c r="L896" s="5">
        <v>-0.776422525900726</v>
      </c>
      <c r="M896" s="5">
        <v>28.4208907583656</v>
      </c>
      <c r="N896" s="5">
        <v>28.4208907583656</v>
      </c>
      <c r="O896" s="5">
        <v>28.4208907583656</v>
      </c>
      <c r="P896" s="5">
        <v>0.0</v>
      </c>
      <c r="Q896" s="5">
        <v>0.0</v>
      </c>
      <c r="R896" s="5">
        <v>0.0</v>
      </c>
      <c r="S896" s="5">
        <v>60.7904346634815</v>
      </c>
    </row>
    <row r="897">
      <c r="A897" s="6">
        <v>41656.0</v>
      </c>
      <c r="B897" s="5">
        <v>33.1998977432753</v>
      </c>
      <c r="C897" s="5">
        <v>-1.82892100238584</v>
      </c>
      <c r="D897" s="5">
        <v>125.135657082838</v>
      </c>
      <c r="E897" s="5">
        <v>33.1998977432753</v>
      </c>
      <c r="F897" s="5">
        <v>33.1998977432753</v>
      </c>
      <c r="G897" s="5">
        <v>25.941326227486</v>
      </c>
      <c r="H897" s="5">
        <v>25.941326227486</v>
      </c>
      <c r="I897" s="5">
        <v>25.941326227486</v>
      </c>
      <c r="J897" s="5">
        <v>-1.59155056649224</v>
      </c>
      <c r="K897" s="5">
        <v>-1.59155056649224</v>
      </c>
      <c r="L897" s="5">
        <v>-1.59155056649224</v>
      </c>
      <c r="M897" s="5">
        <v>27.5328767939783</v>
      </c>
      <c r="N897" s="5">
        <v>27.5328767939783</v>
      </c>
      <c r="O897" s="5">
        <v>27.5328767939783</v>
      </c>
      <c r="P897" s="5">
        <v>0.0</v>
      </c>
      <c r="Q897" s="5">
        <v>0.0</v>
      </c>
      <c r="R897" s="5">
        <v>0.0</v>
      </c>
      <c r="S897" s="5">
        <v>59.1412239707614</v>
      </c>
    </row>
    <row r="898">
      <c r="A898" s="6">
        <v>41660.0</v>
      </c>
      <c r="B898" s="5">
        <v>33.4156229923101</v>
      </c>
      <c r="C898" s="5">
        <v>-5.17135407506832</v>
      </c>
      <c r="D898" s="5">
        <v>120.510641154464</v>
      </c>
      <c r="E898" s="5">
        <v>33.4156229923101</v>
      </c>
      <c r="F898" s="5">
        <v>33.4156229923101</v>
      </c>
      <c r="G898" s="5">
        <v>23.3049841881081</v>
      </c>
      <c r="H898" s="5">
        <v>23.3049841881081</v>
      </c>
      <c r="I898" s="5">
        <v>23.3049841881081</v>
      </c>
      <c r="J898" s="5">
        <v>-0.144118857246555</v>
      </c>
      <c r="K898" s="5">
        <v>-0.144118857246555</v>
      </c>
      <c r="L898" s="5">
        <v>-0.144118857246555</v>
      </c>
      <c r="M898" s="5">
        <v>23.4491030453546</v>
      </c>
      <c r="N898" s="5">
        <v>23.4491030453546</v>
      </c>
      <c r="O898" s="5">
        <v>23.4491030453546</v>
      </c>
      <c r="P898" s="5">
        <v>0.0</v>
      </c>
      <c r="Q898" s="5">
        <v>0.0</v>
      </c>
      <c r="R898" s="5">
        <v>0.0</v>
      </c>
      <c r="S898" s="5">
        <v>56.7206071804182</v>
      </c>
    </row>
    <row r="899">
      <c r="A899" s="6">
        <v>41661.0</v>
      </c>
      <c r="B899" s="5">
        <v>33.4695543045687</v>
      </c>
      <c r="C899" s="5">
        <v>-8.87490140965947</v>
      </c>
      <c r="D899" s="5">
        <v>117.621825901835</v>
      </c>
      <c r="E899" s="5">
        <v>33.4695543045687</v>
      </c>
      <c r="F899" s="5">
        <v>33.4695543045687</v>
      </c>
      <c r="G899" s="5">
        <v>22.3998001730562</v>
      </c>
      <c r="H899" s="5">
        <v>22.3998001730562</v>
      </c>
      <c r="I899" s="5">
        <v>22.3998001730562</v>
      </c>
      <c r="J899" s="5">
        <v>0.00703780528407631</v>
      </c>
      <c r="K899" s="5">
        <v>0.00703780528407631</v>
      </c>
      <c r="L899" s="5">
        <v>0.00703780528407631</v>
      </c>
      <c r="M899" s="5">
        <v>22.3927623677721</v>
      </c>
      <c r="N899" s="5">
        <v>22.3927623677721</v>
      </c>
      <c r="O899" s="5">
        <v>22.3927623677721</v>
      </c>
      <c r="P899" s="5">
        <v>0.0</v>
      </c>
      <c r="Q899" s="5">
        <v>0.0</v>
      </c>
      <c r="R899" s="5">
        <v>0.0</v>
      </c>
      <c r="S899" s="5">
        <v>55.869354477625</v>
      </c>
    </row>
    <row r="900">
      <c r="A900" s="6">
        <v>41662.0</v>
      </c>
      <c r="B900" s="5">
        <v>33.5234856168274</v>
      </c>
      <c r="C900" s="5">
        <v>-8.10492983971818</v>
      </c>
      <c r="D900" s="5">
        <v>115.535755651445</v>
      </c>
      <c r="E900" s="5">
        <v>33.5234856168274</v>
      </c>
      <c r="F900" s="5">
        <v>33.5234856168274</v>
      </c>
      <c r="G900" s="5">
        <v>20.5828227222033</v>
      </c>
      <c r="H900" s="5">
        <v>20.5828227222033</v>
      </c>
      <c r="I900" s="5">
        <v>20.5828227222033</v>
      </c>
      <c r="J900" s="5">
        <v>-0.776422525902823</v>
      </c>
      <c r="K900" s="5">
        <v>-0.776422525902823</v>
      </c>
      <c r="L900" s="5">
        <v>-0.776422525902823</v>
      </c>
      <c r="M900" s="5">
        <v>21.3592452481061</v>
      </c>
      <c r="N900" s="5">
        <v>21.3592452481061</v>
      </c>
      <c r="O900" s="5">
        <v>21.3592452481061</v>
      </c>
      <c r="P900" s="5">
        <v>0.0</v>
      </c>
      <c r="Q900" s="5">
        <v>0.0</v>
      </c>
      <c r="R900" s="5">
        <v>0.0</v>
      </c>
      <c r="S900" s="5">
        <v>54.1063083390308</v>
      </c>
    </row>
    <row r="901">
      <c r="A901" s="6">
        <v>41663.0</v>
      </c>
      <c r="B901" s="5">
        <v>33.5774169290861</v>
      </c>
      <c r="C901" s="5">
        <v>-7.65592176725545</v>
      </c>
      <c r="D901" s="5">
        <v>120.754734239154</v>
      </c>
      <c r="E901" s="5">
        <v>33.5774169290861</v>
      </c>
      <c r="F901" s="5">
        <v>33.5774169290861</v>
      </c>
      <c r="G901" s="5">
        <v>18.7730929141467</v>
      </c>
      <c r="H901" s="5">
        <v>18.7730929141467</v>
      </c>
      <c r="I901" s="5">
        <v>18.7730929141467</v>
      </c>
      <c r="J901" s="5">
        <v>-1.59155056649131</v>
      </c>
      <c r="K901" s="5">
        <v>-1.59155056649131</v>
      </c>
      <c r="L901" s="5">
        <v>-1.59155056649131</v>
      </c>
      <c r="M901" s="5">
        <v>20.364643480638</v>
      </c>
      <c r="N901" s="5">
        <v>20.364643480638</v>
      </c>
      <c r="O901" s="5">
        <v>20.364643480638</v>
      </c>
      <c r="P901" s="5">
        <v>0.0</v>
      </c>
      <c r="Q901" s="5">
        <v>0.0</v>
      </c>
      <c r="R901" s="5">
        <v>0.0</v>
      </c>
      <c r="S901" s="5">
        <v>52.3505098432329</v>
      </c>
    </row>
    <row r="902">
      <c r="A902" s="6">
        <v>41666.0</v>
      </c>
      <c r="B902" s="5">
        <v>33.7392108658622</v>
      </c>
      <c r="C902" s="5">
        <v>-14.4769172728676</v>
      </c>
      <c r="D902" s="5">
        <v>116.434761873086</v>
      </c>
      <c r="E902" s="5">
        <v>33.7392108658622</v>
      </c>
      <c r="F902" s="5">
        <v>33.7392108658622</v>
      </c>
      <c r="G902" s="5">
        <v>17.8326642749255</v>
      </c>
      <c r="H902" s="5">
        <v>17.8326642749255</v>
      </c>
      <c r="I902" s="5">
        <v>17.8326642749255</v>
      </c>
      <c r="J902" s="5">
        <v>0.0905589421196772</v>
      </c>
      <c r="K902" s="5">
        <v>0.0905589421196772</v>
      </c>
      <c r="L902" s="5">
        <v>0.0905589421196772</v>
      </c>
      <c r="M902" s="5">
        <v>17.7421053328058</v>
      </c>
      <c r="N902" s="5">
        <v>17.7421053328058</v>
      </c>
      <c r="O902" s="5">
        <v>17.7421053328058</v>
      </c>
      <c r="P902" s="5">
        <v>0.0</v>
      </c>
      <c r="Q902" s="5">
        <v>0.0</v>
      </c>
      <c r="R902" s="5">
        <v>0.0</v>
      </c>
      <c r="S902" s="5">
        <v>51.5718751407877</v>
      </c>
    </row>
    <row r="903">
      <c r="A903" s="6">
        <v>41667.0</v>
      </c>
      <c r="B903" s="5">
        <v>33.7931421781209</v>
      </c>
      <c r="C903" s="5">
        <v>-11.8878310744533</v>
      </c>
      <c r="D903" s="5">
        <v>108.756650607214</v>
      </c>
      <c r="E903" s="5">
        <v>33.7931421781209</v>
      </c>
      <c r="F903" s="5">
        <v>33.7931421781209</v>
      </c>
      <c r="G903" s="5">
        <v>16.8736136332727</v>
      </c>
      <c r="H903" s="5">
        <v>16.8736136332727</v>
      </c>
      <c r="I903" s="5">
        <v>16.8736136332727</v>
      </c>
      <c r="J903" s="5">
        <v>-0.144118857244358</v>
      </c>
      <c r="K903" s="5">
        <v>-0.144118857244358</v>
      </c>
      <c r="L903" s="5">
        <v>-0.144118857244358</v>
      </c>
      <c r="M903" s="5">
        <v>17.0177324905171</v>
      </c>
      <c r="N903" s="5">
        <v>17.0177324905171</v>
      </c>
      <c r="O903" s="5">
        <v>17.0177324905171</v>
      </c>
      <c r="P903" s="5">
        <v>0.0</v>
      </c>
      <c r="Q903" s="5">
        <v>0.0</v>
      </c>
      <c r="R903" s="5">
        <v>0.0</v>
      </c>
      <c r="S903" s="5">
        <v>50.6667558113936</v>
      </c>
    </row>
    <row r="904">
      <c r="A904" s="6">
        <v>41668.0</v>
      </c>
      <c r="B904" s="5">
        <v>33.8470734903795</v>
      </c>
      <c r="C904" s="5">
        <v>-12.2726238471252</v>
      </c>
      <c r="D904" s="5">
        <v>112.295023981344</v>
      </c>
      <c r="E904" s="5">
        <v>33.8470734903795</v>
      </c>
      <c r="F904" s="5">
        <v>33.8470734903795</v>
      </c>
      <c r="G904" s="5">
        <v>16.3826599505837</v>
      </c>
      <c r="H904" s="5">
        <v>16.3826599505837</v>
      </c>
      <c r="I904" s="5">
        <v>16.3826599505837</v>
      </c>
      <c r="J904" s="5">
        <v>0.0070378052810601</v>
      </c>
      <c r="K904" s="5">
        <v>0.0070378052810601</v>
      </c>
      <c r="L904" s="5">
        <v>0.0070378052810601</v>
      </c>
      <c r="M904" s="5">
        <v>16.3756221453026</v>
      </c>
      <c r="N904" s="5">
        <v>16.3756221453026</v>
      </c>
      <c r="O904" s="5">
        <v>16.3756221453026</v>
      </c>
      <c r="P904" s="5">
        <v>0.0</v>
      </c>
      <c r="Q904" s="5">
        <v>0.0</v>
      </c>
      <c r="R904" s="5">
        <v>0.0</v>
      </c>
      <c r="S904" s="5">
        <v>50.2297334409633</v>
      </c>
    </row>
    <row r="905">
      <c r="A905" s="6">
        <v>41669.0</v>
      </c>
      <c r="B905" s="5">
        <v>33.9010048026382</v>
      </c>
      <c r="C905" s="5">
        <v>-15.3403849247922</v>
      </c>
      <c r="D905" s="5">
        <v>114.811031220008</v>
      </c>
      <c r="E905" s="5">
        <v>33.9010048026382</v>
      </c>
      <c r="F905" s="5">
        <v>33.9010048026382</v>
      </c>
      <c r="G905" s="5">
        <v>15.0391600490049</v>
      </c>
      <c r="H905" s="5">
        <v>15.0391600490049</v>
      </c>
      <c r="I905" s="5">
        <v>15.0391600490049</v>
      </c>
      <c r="J905" s="5">
        <v>-0.776422525903545</v>
      </c>
      <c r="K905" s="5">
        <v>-0.776422525903545</v>
      </c>
      <c r="L905" s="5">
        <v>-0.776422525903545</v>
      </c>
      <c r="M905" s="5">
        <v>15.8155825749085</v>
      </c>
      <c r="N905" s="5">
        <v>15.8155825749085</v>
      </c>
      <c r="O905" s="5">
        <v>15.8155825749085</v>
      </c>
      <c r="P905" s="5">
        <v>0.0</v>
      </c>
      <c r="Q905" s="5">
        <v>0.0</v>
      </c>
      <c r="R905" s="5">
        <v>0.0</v>
      </c>
      <c r="S905" s="5">
        <v>48.9401648516432</v>
      </c>
    </row>
    <row r="906">
      <c r="A906" s="6">
        <v>41670.0</v>
      </c>
      <c r="B906" s="5">
        <v>33.9549361148969</v>
      </c>
      <c r="C906" s="5">
        <v>-16.1621389856235</v>
      </c>
      <c r="D906" s="5">
        <v>113.625858649308</v>
      </c>
      <c r="E906" s="5">
        <v>33.9549361148969</v>
      </c>
      <c r="F906" s="5">
        <v>33.9549361148969</v>
      </c>
      <c r="G906" s="5">
        <v>13.7428210452546</v>
      </c>
      <c r="H906" s="5">
        <v>13.7428210452546</v>
      </c>
      <c r="I906" s="5">
        <v>13.7428210452546</v>
      </c>
      <c r="J906" s="5">
        <v>-1.59155056649282</v>
      </c>
      <c r="K906" s="5">
        <v>-1.59155056649282</v>
      </c>
      <c r="L906" s="5">
        <v>-1.59155056649282</v>
      </c>
      <c r="M906" s="5">
        <v>15.3343716117474</v>
      </c>
      <c r="N906" s="5">
        <v>15.3343716117474</v>
      </c>
      <c r="O906" s="5">
        <v>15.3343716117474</v>
      </c>
      <c r="P906" s="5">
        <v>0.0</v>
      </c>
      <c r="Q906" s="5">
        <v>0.0</v>
      </c>
      <c r="R906" s="5">
        <v>0.0</v>
      </c>
      <c r="S906" s="5">
        <v>47.6977571601515</v>
      </c>
    </row>
    <row r="907">
      <c r="A907" s="6">
        <v>41673.0</v>
      </c>
      <c r="B907" s="5">
        <v>34.116730051673</v>
      </c>
      <c r="C907" s="5">
        <v>-12.6547004602017</v>
      </c>
      <c r="D907" s="5">
        <v>111.995606642056</v>
      </c>
      <c r="E907" s="5">
        <v>34.116730051673</v>
      </c>
      <c r="F907" s="5">
        <v>34.116730051673</v>
      </c>
      <c r="G907" s="5">
        <v>14.379344411111</v>
      </c>
      <c r="H907" s="5">
        <v>14.379344411111</v>
      </c>
      <c r="I907" s="5">
        <v>14.379344411111</v>
      </c>
      <c r="J907" s="5">
        <v>0.0905589421206238</v>
      </c>
      <c r="K907" s="5">
        <v>0.0905589421206238</v>
      </c>
      <c r="L907" s="5">
        <v>0.0905589421206238</v>
      </c>
      <c r="M907" s="5">
        <v>14.2887854689904</v>
      </c>
      <c r="N907" s="5">
        <v>14.2887854689904</v>
      </c>
      <c r="O907" s="5">
        <v>14.2887854689904</v>
      </c>
      <c r="P907" s="5">
        <v>0.0</v>
      </c>
      <c r="Q907" s="5">
        <v>0.0</v>
      </c>
      <c r="R907" s="5">
        <v>0.0</v>
      </c>
      <c r="S907" s="5">
        <v>48.4960744627841</v>
      </c>
    </row>
    <row r="908">
      <c r="A908" s="6">
        <v>41674.0</v>
      </c>
      <c r="B908" s="5">
        <v>34.1706613639317</v>
      </c>
      <c r="C908" s="5">
        <v>-17.7491783520269</v>
      </c>
      <c r="D908" s="5">
        <v>108.643373671651</v>
      </c>
      <c r="E908" s="5">
        <v>34.1706613639317</v>
      </c>
      <c r="F908" s="5">
        <v>34.1706613639317</v>
      </c>
      <c r="G908" s="5">
        <v>13.8914812484855</v>
      </c>
      <c r="H908" s="5">
        <v>13.8914812484855</v>
      </c>
      <c r="I908" s="5">
        <v>13.8914812484855</v>
      </c>
      <c r="J908" s="5">
        <v>-0.14411885724327</v>
      </c>
      <c r="K908" s="5">
        <v>-0.14411885724327</v>
      </c>
      <c r="L908" s="5">
        <v>-0.14411885724327</v>
      </c>
      <c r="M908" s="5">
        <v>14.0356001057288</v>
      </c>
      <c r="N908" s="5">
        <v>14.0356001057288</v>
      </c>
      <c r="O908" s="5">
        <v>14.0356001057288</v>
      </c>
      <c r="P908" s="5">
        <v>0.0</v>
      </c>
      <c r="Q908" s="5">
        <v>0.0</v>
      </c>
      <c r="R908" s="5">
        <v>0.0</v>
      </c>
      <c r="S908" s="5">
        <v>48.0621426124172</v>
      </c>
    </row>
    <row r="909">
      <c r="A909" s="6">
        <v>41675.0</v>
      </c>
      <c r="B909" s="5">
        <v>34.2245926761903</v>
      </c>
      <c r="C909" s="5">
        <v>-21.8914858584047</v>
      </c>
      <c r="D909" s="5">
        <v>113.662769171031</v>
      </c>
      <c r="E909" s="5">
        <v>34.2245926761903</v>
      </c>
      <c r="F909" s="5">
        <v>34.2245926761903</v>
      </c>
      <c r="G909" s="5">
        <v>13.8134892456113</v>
      </c>
      <c r="H909" s="5">
        <v>13.8134892456113</v>
      </c>
      <c r="I909" s="5">
        <v>13.8134892456113</v>
      </c>
      <c r="J909" s="5">
        <v>0.00703780528336244</v>
      </c>
      <c r="K909" s="5">
        <v>0.00703780528336244</v>
      </c>
      <c r="L909" s="5">
        <v>0.00703780528336244</v>
      </c>
      <c r="M909" s="5">
        <v>13.8064514403279</v>
      </c>
      <c r="N909" s="5">
        <v>13.8064514403279</v>
      </c>
      <c r="O909" s="5">
        <v>13.8064514403279</v>
      </c>
      <c r="P909" s="5">
        <v>0.0</v>
      </c>
      <c r="Q909" s="5">
        <v>0.0</v>
      </c>
      <c r="R909" s="5">
        <v>0.0</v>
      </c>
      <c r="S909" s="5">
        <v>48.0380819218017</v>
      </c>
    </row>
    <row r="910">
      <c r="A910" s="6">
        <v>41676.0</v>
      </c>
      <c r="B910" s="5">
        <v>34.278523988449</v>
      </c>
      <c r="C910" s="5">
        <v>-18.188771004284</v>
      </c>
      <c r="D910" s="5">
        <v>107.885989928913</v>
      </c>
      <c r="E910" s="5">
        <v>34.278523988449</v>
      </c>
      <c r="F910" s="5">
        <v>34.278523988449</v>
      </c>
      <c r="G910" s="5">
        <v>12.8086400230764</v>
      </c>
      <c r="H910" s="5">
        <v>12.8086400230764</v>
      </c>
      <c r="I910" s="5">
        <v>12.8086400230764</v>
      </c>
      <c r="J910" s="5">
        <v>-0.776422525902792</v>
      </c>
      <c r="K910" s="5">
        <v>-0.776422525902792</v>
      </c>
      <c r="L910" s="5">
        <v>-0.776422525902792</v>
      </c>
      <c r="M910" s="5">
        <v>13.5850625489792</v>
      </c>
      <c r="N910" s="5">
        <v>13.5850625489792</v>
      </c>
      <c r="O910" s="5">
        <v>13.5850625489792</v>
      </c>
      <c r="P910" s="5">
        <v>0.0</v>
      </c>
      <c r="Q910" s="5">
        <v>0.0</v>
      </c>
      <c r="R910" s="5">
        <v>0.0</v>
      </c>
      <c r="S910" s="5">
        <v>47.0871640115255</v>
      </c>
    </row>
    <row r="911">
      <c r="A911" s="6">
        <v>41677.0</v>
      </c>
      <c r="B911" s="5">
        <v>34.3324553007077</v>
      </c>
      <c r="C911" s="5">
        <v>-20.608599614497</v>
      </c>
      <c r="D911" s="5">
        <v>107.35807907872</v>
      </c>
      <c r="E911" s="5">
        <v>34.3324553007077</v>
      </c>
      <c r="F911" s="5">
        <v>34.3324553007077</v>
      </c>
      <c r="G911" s="5">
        <v>11.7628720438978</v>
      </c>
      <c r="H911" s="5">
        <v>11.7628720438978</v>
      </c>
      <c r="I911" s="5">
        <v>11.7628720438978</v>
      </c>
      <c r="J911" s="5">
        <v>-1.59155056649221</v>
      </c>
      <c r="K911" s="5">
        <v>-1.59155056649221</v>
      </c>
      <c r="L911" s="5">
        <v>-1.59155056649221</v>
      </c>
      <c r="M911" s="5">
        <v>13.35442261039</v>
      </c>
      <c r="N911" s="5">
        <v>13.35442261039</v>
      </c>
      <c r="O911" s="5">
        <v>13.35442261039</v>
      </c>
      <c r="P911" s="5">
        <v>0.0</v>
      </c>
      <c r="Q911" s="5">
        <v>0.0</v>
      </c>
      <c r="R911" s="5">
        <v>0.0</v>
      </c>
      <c r="S911" s="5">
        <v>46.0953273446056</v>
      </c>
    </row>
    <row r="912">
      <c r="A912" s="6">
        <v>41680.0</v>
      </c>
      <c r="B912" s="5">
        <v>34.4942492374838</v>
      </c>
      <c r="C912" s="5">
        <v>-13.234636685875</v>
      </c>
      <c r="D912" s="5">
        <v>111.157460372167</v>
      </c>
      <c r="E912" s="5">
        <v>34.4942492374838</v>
      </c>
      <c r="F912" s="5">
        <v>34.4942492374838</v>
      </c>
      <c r="G912" s="5">
        <v>12.5270656552499</v>
      </c>
      <c r="H912" s="5">
        <v>12.5270656552499</v>
      </c>
      <c r="I912" s="5">
        <v>12.5270656552499</v>
      </c>
      <c r="J912" s="5">
        <v>0.0905589421191864</v>
      </c>
      <c r="K912" s="5">
        <v>0.0905589421191864</v>
      </c>
      <c r="L912" s="5">
        <v>0.0905589421191864</v>
      </c>
      <c r="M912" s="5">
        <v>12.4365067131307</v>
      </c>
      <c r="N912" s="5">
        <v>12.4365067131307</v>
      </c>
      <c r="O912" s="5">
        <v>12.4365067131307</v>
      </c>
      <c r="P912" s="5">
        <v>0.0</v>
      </c>
      <c r="Q912" s="5">
        <v>0.0</v>
      </c>
      <c r="R912" s="5">
        <v>0.0</v>
      </c>
      <c r="S912" s="5">
        <v>47.0213148927337</v>
      </c>
    </row>
    <row r="913">
      <c r="A913" s="6">
        <v>41681.0</v>
      </c>
      <c r="B913" s="5">
        <v>34.5481805497425</v>
      </c>
      <c r="C913" s="5">
        <v>-13.9164530873335</v>
      </c>
      <c r="D913" s="5">
        <v>107.647430659644</v>
      </c>
      <c r="E913" s="5">
        <v>34.5481805497425</v>
      </c>
      <c r="F913" s="5">
        <v>34.5481805497425</v>
      </c>
      <c r="G913" s="5">
        <v>11.8576470036437</v>
      </c>
      <c r="H913" s="5">
        <v>11.8576470036437</v>
      </c>
      <c r="I913" s="5">
        <v>11.8576470036437</v>
      </c>
      <c r="J913" s="5">
        <v>-0.144118857246119</v>
      </c>
      <c r="K913" s="5">
        <v>-0.144118857246119</v>
      </c>
      <c r="L913" s="5">
        <v>-0.144118857246119</v>
      </c>
      <c r="M913" s="5">
        <v>12.0017658608898</v>
      </c>
      <c r="N913" s="5">
        <v>12.0017658608898</v>
      </c>
      <c r="O913" s="5">
        <v>12.0017658608898</v>
      </c>
      <c r="P913" s="5">
        <v>0.0</v>
      </c>
      <c r="Q913" s="5">
        <v>0.0</v>
      </c>
      <c r="R913" s="5">
        <v>0.0</v>
      </c>
      <c r="S913" s="5">
        <v>46.4058275533862</v>
      </c>
    </row>
    <row r="914">
      <c r="A914" s="6">
        <v>41682.0</v>
      </c>
      <c r="B914" s="5">
        <v>34.6021118620011</v>
      </c>
      <c r="C914" s="5">
        <v>-16.5484415148435</v>
      </c>
      <c r="D914" s="5">
        <v>110.15475401727</v>
      </c>
      <c r="E914" s="5">
        <v>34.6021118620011</v>
      </c>
      <c r="F914" s="5">
        <v>34.6021118620011</v>
      </c>
      <c r="G914" s="5">
        <v>11.4863236439529</v>
      </c>
      <c r="H914" s="5">
        <v>11.4863236439529</v>
      </c>
      <c r="I914" s="5">
        <v>11.4863236439529</v>
      </c>
      <c r="J914" s="5">
        <v>0.00703780528251002</v>
      </c>
      <c r="K914" s="5">
        <v>0.00703780528251002</v>
      </c>
      <c r="L914" s="5">
        <v>0.00703780528251002</v>
      </c>
      <c r="M914" s="5">
        <v>11.4792858386704</v>
      </c>
      <c r="N914" s="5">
        <v>11.4792858386704</v>
      </c>
      <c r="O914" s="5">
        <v>11.4792858386704</v>
      </c>
      <c r="P914" s="5">
        <v>0.0</v>
      </c>
      <c r="Q914" s="5">
        <v>0.0</v>
      </c>
      <c r="R914" s="5">
        <v>0.0</v>
      </c>
      <c r="S914" s="5">
        <v>46.0884355059541</v>
      </c>
    </row>
    <row r="915">
      <c r="A915" s="6">
        <v>41683.0</v>
      </c>
      <c r="B915" s="5">
        <v>34.6560431742598</v>
      </c>
      <c r="C915" s="5">
        <v>-21.1117507066328</v>
      </c>
      <c r="D915" s="5">
        <v>105.615012500583</v>
      </c>
      <c r="E915" s="5">
        <v>34.6560431742598</v>
      </c>
      <c r="F915" s="5">
        <v>34.6560431742598</v>
      </c>
      <c r="G915" s="5">
        <v>10.0815476959015</v>
      </c>
      <c r="H915" s="5">
        <v>10.0815476959015</v>
      </c>
      <c r="I915" s="5">
        <v>10.0815476959015</v>
      </c>
      <c r="J915" s="5">
        <v>-0.776422525904889</v>
      </c>
      <c r="K915" s="5">
        <v>-0.776422525904889</v>
      </c>
      <c r="L915" s="5">
        <v>-0.776422525904889</v>
      </c>
      <c r="M915" s="5">
        <v>10.8579702218064</v>
      </c>
      <c r="N915" s="5">
        <v>10.8579702218064</v>
      </c>
      <c r="O915" s="5">
        <v>10.8579702218064</v>
      </c>
      <c r="P915" s="5">
        <v>0.0</v>
      </c>
      <c r="Q915" s="5">
        <v>0.0</v>
      </c>
      <c r="R915" s="5">
        <v>0.0</v>
      </c>
      <c r="S915" s="5">
        <v>44.7375908701614</v>
      </c>
    </row>
    <row r="916">
      <c r="A916" s="6">
        <v>41684.0</v>
      </c>
      <c r="B916" s="5">
        <v>34.7099744865185</v>
      </c>
      <c r="C916" s="5">
        <v>-21.6858904055614</v>
      </c>
      <c r="D916" s="5">
        <v>106.67061381916</v>
      </c>
      <c r="E916" s="5">
        <v>34.7099744865185</v>
      </c>
      <c r="F916" s="5">
        <v>34.7099744865185</v>
      </c>
      <c r="G916" s="5">
        <v>8.53761931095765</v>
      </c>
      <c r="H916" s="5">
        <v>8.53761931095765</v>
      </c>
      <c r="I916" s="5">
        <v>8.53761931095765</v>
      </c>
      <c r="J916" s="5">
        <v>-1.59155056649371</v>
      </c>
      <c r="K916" s="5">
        <v>-1.59155056649371</v>
      </c>
      <c r="L916" s="5">
        <v>-1.59155056649371</v>
      </c>
      <c r="M916" s="5">
        <v>10.1291698774513</v>
      </c>
      <c r="N916" s="5">
        <v>10.1291698774513</v>
      </c>
      <c r="O916" s="5">
        <v>10.1291698774513</v>
      </c>
      <c r="P916" s="5">
        <v>0.0</v>
      </c>
      <c r="Q916" s="5">
        <v>0.0</v>
      </c>
      <c r="R916" s="5">
        <v>0.0</v>
      </c>
      <c r="S916" s="5">
        <v>43.2475937974762</v>
      </c>
    </row>
    <row r="917">
      <c r="A917" s="6">
        <v>41688.0</v>
      </c>
      <c r="B917" s="5">
        <v>34.9256997355532</v>
      </c>
      <c r="C917" s="5">
        <v>-18.5197712848578</v>
      </c>
      <c r="D917" s="5">
        <v>99.0217377592378</v>
      </c>
      <c r="E917" s="5">
        <v>34.9256997355532</v>
      </c>
      <c r="F917" s="5">
        <v>34.9256997355532</v>
      </c>
      <c r="G917" s="5">
        <v>5.92093386329725</v>
      </c>
      <c r="H917" s="5">
        <v>5.92093386329725</v>
      </c>
      <c r="I917" s="5">
        <v>5.92093386329725</v>
      </c>
      <c r="J917" s="5">
        <v>-0.144118857245031</v>
      </c>
      <c r="K917" s="5">
        <v>-0.144118857245031</v>
      </c>
      <c r="L917" s="5">
        <v>-0.144118857245031</v>
      </c>
      <c r="M917" s="5">
        <v>6.06505272054228</v>
      </c>
      <c r="N917" s="5">
        <v>6.06505272054228</v>
      </c>
      <c r="O917" s="5">
        <v>6.06505272054228</v>
      </c>
      <c r="P917" s="5">
        <v>0.0</v>
      </c>
      <c r="Q917" s="5">
        <v>0.0</v>
      </c>
      <c r="R917" s="5">
        <v>0.0</v>
      </c>
      <c r="S917" s="5">
        <v>40.8466335988505</v>
      </c>
    </row>
    <row r="918">
      <c r="A918" s="6">
        <v>41689.0</v>
      </c>
      <c r="B918" s="5">
        <v>34.9796310478119</v>
      </c>
      <c r="C918" s="5">
        <v>-24.5359144531289</v>
      </c>
      <c r="D918" s="5">
        <v>99.4915451256083</v>
      </c>
      <c r="E918" s="5">
        <v>34.9796310478119</v>
      </c>
      <c r="F918" s="5">
        <v>34.9796310478119</v>
      </c>
      <c r="G918" s="5">
        <v>4.77673946278484</v>
      </c>
      <c r="H918" s="5">
        <v>4.77673946278484</v>
      </c>
      <c r="I918" s="5">
        <v>4.77673946278484</v>
      </c>
      <c r="J918" s="5">
        <v>0.00703780528165743</v>
      </c>
      <c r="K918" s="5">
        <v>0.00703780528165743</v>
      </c>
      <c r="L918" s="5">
        <v>0.00703780528165743</v>
      </c>
      <c r="M918" s="5">
        <v>4.76970165750318</v>
      </c>
      <c r="N918" s="5">
        <v>4.76970165750318</v>
      </c>
      <c r="O918" s="5">
        <v>4.76970165750318</v>
      </c>
      <c r="P918" s="5">
        <v>0.0</v>
      </c>
      <c r="Q918" s="5">
        <v>0.0</v>
      </c>
      <c r="R918" s="5">
        <v>0.0</v>
      </c>
      <c r="S918" s="5">
        <v>39.7563705105968</v>
      </c>
    </row>
    <row r="919">
      <c r="A919" s="6">
        <v>41690.0</v>
      </c>
      <c r="B919" s="5">
        <v>35.0335623600706</v>
      </c>
      <c r="C919" s="5">
        <v>-21.8485858612336</v>
      </c>
      <c r="D919" s="5">
        <v>96.4483407003013</v>
      </c>
      <c r="E919" s="5">
        <v>35.0335623600706</v>
      </c>
      <c r="F919" s="5">
        <v>35.0335623600706</v>
      </c>
      <c r="G919" s="5">
        <v>2.59993231164691</v>
      </c>
      <c r="H919" s="5">
        <v>2.59993231164691</v>
      </c>
      <c r="I919" s="5">
        <v>2.59993231164691</v>
      </c>
      <c r="J919" s="5">
        <v>-0.776422525904236</v>
      </c>
      <c r="K919" s="5">
        <v>-0.776422525904236</v>
      </c>
      <c r="L919" s="5">
        <v>-0.776422525904236</v>
      </c>
      <c r="M919" s="5">
        <v>3.37635483755114</v>
      </c>
      <c r="N919" s="5">
        <v>3.37635483755114</v>
      </c>
      <c r="O919" s="5">
        <v>3.37635483755114</v>
      </c>
      <c r="P919" s="5">
        <v>0.0</v>
      </c>
      <c r="Q919" s="5">
        <v>0.0</v>
      </c>
      <c r="R919" s="5">
        <v>0.0</v>
      </c>
      <c r="S919" s="5">
        <v>37.6334946717175</v>
      </c>
    </row>
    <row r="920">
      <c r="A920" s="6">
        <v>41691.0</v>
      </c>
      <c r="B920" s="5">
        <v>35.0874936723293</v>
      </c>
      <c r="C920" s="5">
        <v>-27.7413781817098</v>
      </c>
      <c r="D920" s="5">
        <v>100.784468439579</v>
      </c>
      <c r="E920" s="5">
        <v>35.0874936723293</v>
      </c>
      <c r="F920" s="5">
        <v>35.0874936723293</v>
      </c>
      <c r="G920" s="5">
        <v>0.305277576861578</v>
      </c>
      <c r="H920" s="5">
        <v>0.305277576861578</v>
      </c>
      <c r="I920" s="5">
        <v>0.305277576861578</v>
      </c>
      <c r="J920" s="5">
        <v>-1.59155056649585</v>
      </c>
      <c r="K920" s="5">
        <v>-1.59155056649585</v>
      </c>
      <c r="L920" s="5">
        <v>-1.59155056649585</v>
      </c>
      <c r="M920" s="5">
        <v>1.89682814335743</v>
      </c>
      <c r="N920" s="5">
        <v>1.89682814335743</v>
      </c>
      <c r="O920" s="5">
        <v>1.89682814335743</v>
      </c>
      <c r="P920" s="5">
        <v>0.0</v>
      </c>
      <c r="Q920" s="5">
        <v>0.0</v>
      </c>
      <c r="R920" s="5">
        <v>0.0</v>
      </c>
      <c r="S920" s="5">
        <v>35.3927712491909</v>
      </c>
    </row>
    <row r="921">
      <c r="A921" s="6">
        <v>41694.0</v>
      </c>
      <c r="B921" s="5">
        <v>35.2492876091054</v>
      </c>
      <c r="C921" s="5">
        <v>-32.5471700399088</v>
      </c>
      <c r="D921" s="5">
        <v>93.9706495362705</v>
      </c>
      <c r="E921" s="5">
        <v>35.2492876091054</v>
      </c>
      <c r="F921" s="5">
        <v>35.2492876091054</v>
      </c>
      <c r="G921" s="5">
        <v>-2.81530441150101</v>
      </c>
      <c r="H921" s="5">
        <v>-2.81530441150101</v>
      </c>
      <c r="I921" s="5">
        <v>-2.81530441150101</v>
      </c>
      <c r="J921" s="5">
        <v>0.0905589421235431</v>
      </c>
      <c r="K921" s="5">
        <v>0.0905589421235431</v>
      </c>
      <c r="L921" s="5">
        <v>0.0905589421235431</v>
      </c>
      <c r="M921" s="5">
        <v>-2.90586335362455</v>
      </c>
      <c r="N921" s="5">
        <v>-2.90586335362455</v>
      </c>
      <c r="O921" s="5">
        <v>-2.90586335362455</v>
      </c>
      <c r="P921" s="5">
        <v>0.0</v>
      </c>
      <c r="Q921" s="5">
        <v>0.0</v>
      </c>
      <c r="R921" s="5">
        <v>0.0</v>
      </c>
      <c r="S921" s="5">
        <v>32.4339831976043</v>
      </c>
    </row>
    <row r="922">
      <c r="A922" s="6">
        <v>41695.0</v>
      </c>
      <c r="B922" s="5">
        <v>35.303218921364</v>
      </c>
      <c r="C922" s="5">
        <v>-31.7447357132514</v>
      </c>
      <c r="D922" s="5">
        <v>90.8044163128786</v>
      </c>
      <c r="E922" s="5">
        <v>35.303218921364</v>
      </c>
      <c r="F922" s="5">
        <v>35.303218921364</v>
      </c>
      <c r="G922" s="5">
        <v>-4.71221390685494</v>
      </c>
      <c r="H922" s="5">
        <v>-4.71221390685494</v>
      </c>
      <c r="I922" s="5">
        <v>-4.71221390685494</v>
      </c>
      <c r="J922" s="5">
        <v>-0.144118857246467</v>
      </c>
      <c r="K922" s="5">
        <v>-0.144118857246467</v>
      </c>
      <c r="L922" s="5">
        <v>-0.144118857246467</v>
      </c>
      <c r="M922" s="5">
        <v>-4.56809504960847</v>
      </c>
      <c r="N922" s="5">
        <v>-4.56809504960847</v>
      </c>
      <c r="O922" s="5">
        <v>-4.56809504960847</v>
      </c>
      <c r="P922" s="5">
        <v>0.0</v>
      </c>
      <c r="Q922" s="5">
        <v>0.0</v>
      </c>
      <c r="R922" s="5">
        <v>0.0</v>
      </c>
      <c r="S922" s="5">
        <v>30.5910050145091</v>
      </c>
    </row>
    <row r="923">
      <c r="A923" s="6">
        <v>41696.0</v>
      </c>
      <c r="B923" s="5">
        <v>35.3571502336227</v>
      </c>
      <c r="C923" s="5">
        <v>-34.7791023390172</v>
      </c>
      <c r="D923" s="5">
        <v>89.6030044998772</v>
      </c>
      <c r="E923" s="5">
        <v>35.3571502336227</v>
      </c>
      <c r="F923" s="5">
        <v>35.3571502336227</v>
      </c>
      <c r="G923" s="5">
        <v>-6.22089815894668</v>
      </c>
      <c r="H923" s="5">
        <v>-6.22089815894668</v>
      </c>
      <c r="I923" s="5">
        <v>-6.22089815894668</v>
      </c>
      <c r="J923" s="5">
        <v>0.00703780528080487</v>
      </c>
      <c r="K923" s="5">
        <v>0.00703780528080487</v>
      </c>
      <c r="L923" s="5">
        <v>0.00703780528080487</v>
      </c>
      <c r="M923" s="5">
        <v>-6.22793596422749</v>
      </c>
      <c r="N923" s="5">
        <v>-6.22793596422749</v>
      </c>
      <c r="O923" s="5">
        <v>-6.22793596422749</v>
      </c>
      <c r="P923" s="5">
        <v>0.0</v>
      </c>
      <c r="Q923" s="5">
        <v>0.0</v>
      </c>
      <c r="R923" s="5">
        <v>0.0</v>
      </c>
      <c r="S923" s="5">
        <v>29.136252074676</v>
      </c>
    </row>
    <row r="924">
      <c r="A924" s="6">
        <v>41697.0</v>
      </c>
      <c r="B924" s="5">
        <v>35.4110815458814</v>
      </c>
      <c r="C924" s="5">
        <v>-34.4676835093841</v>
      </c>
      <c r="D924" s="5">
        <v>92.2927673592542</v>
      </c>
      <c r="E924" s="5">
        <v>35.4110815458814</v>
      </c>
      <c r="F924" s="5">
        <v>35.4110815458814</v>
      </c>
      <c r="G924" s="5">
        <v>-8.64112058117388</v>
      </c>
      <c r="H924" s="5">
        <v>-8.64112058117388</v>
      </c>
      <c r="I924" s="5">
        <v>-8.64112058117388</v>
      </c>
      <c r="J924" s="5">
        <v>-0.776422525903483</v>
      </c>
      <c r="K924" s="5">
        <v>-0.776422525903483</v>
      </c>
      <c r="L924" s="5">
        <v>-0.776422525903483</v>
      </c>
      <c r="M924" s="5">
        <v>-7.86469805527039</v>
      </c>
      <c r="N924" s="5">
        <v>-7.86469805527039</v>
      </c>
      <c r="O924" s="5">
        <v>-7.86469805527039</v>
      </c>
      <c r="P924" s="5">
        <v>0.0</v>
      </c>
      <c r="Q924" s="5">
        <v>0.0</v>
      </c>
      <c r="R924" s="5">
        <v>0.0</v>
      </c>
      <c r="S924" s="5">
        <v>26.7699609647075</v>
      </c>
    </row>
    <row r="925">
      <c r="A925" s="6">
        <v>41698.0</v>
      </c>
      <c r="B925" s="5">
        <v>35.4650128581401</v>
      </c>
      <c r="C925" s="5">
        <v>-44.2543482865008</v>
      </c>
      <c r="D925" s="5">
        <v>85.3516166862414</v>
      </c>
      <c r="E925" s="5">
        <v>35.4650128581401</v>
      </c>
      <c r="F925" s="5">
        <v>35.4650128581401</v>
      </c>
      <c r="G925" s="5">
        <v>-11.0493460566963</v>
      </c>
      <c r="H925" s="5">
        <v>-11.0493460566963</v>
      </c>
      <c r="I925" s="5">
        <v>-11.0493460566963</v>
      </c>
      <c r="J925" s="5">
        <v>-1.59155056649461</v>
      </c>
      <c r="K925" s="5">
        <v>-1.59155056649461</v>
      </c>
      <c r="L925" s="5">
        <v>-1.59155056649461</v>
      </c>
      <c r="M925" s="5">
        <v>-9.45779549020171</v>
      </c>
      <c r="N925" s="5">
        <v>-9.45779549020171</v>
      </c>
      <c r="O925" s="5">
        <v>-9.45779549020171</v>
      </c>
      <c r="P925" s="5">
        <v>0.0</v>
      </c>
      <c r="Q925" s="5">
        <v>0.0</v>
      </c>
      <c r="R925" s="5">
        <v>0.0</v>
      </c>
      <c r="S925" s="5">
        <v>24.4156668014438</v>
      </c>
    </row>
    <row r="926">
      <c r="A926" s="6">
        <v>41701.0</v>
      </c>
      <c r="B926" s="5">
        <v>35.6268067949162</v>
      </c>
      <c r="C926" s="5">
        <v>-42.9979117509741</v>
      </c>
      <c r="D926" s="5">
        <v>79.2512161588476</v>
      </c>
      <c r="E926" s="5">
        <v>35.6268067949162</v>
      </c>
      <c r="F926" s="5">
        <v>35.6268067949162</v>
      </c>
      <c r="G926" s="5">
        <v>-13.6900243335811</v>
      </c>
      <c r="H926" s="5">
        <v>-13.6900243335811</v>
      </c>
      <c r="I926" s="5">
        <v>-13.6900243335811</v>
      </c>
      <c r="J926" s="5">
        <v>0.0905589421198018</v>
      </c>
      <c r="K926" s="5">
        <v>0.0905589421198018</v>
      </c>
      <c r="L926" s="5">
        <v>0.0905589421198018</v>
      </c>
      <c r="M926" s="5">
        <v>-13.7805832757009</v>
      </c>
      <c r="N926" s="5">
        <v>-13.7805832757009</v>
      </c>
      <c r="O926" s="5">
        <v>-13.7805832757009</v>
      </c>
      <c r="P926" s="5">
        <v>0.0</v>
      </c>
      <c r="Q926" s="5">
        <v>0.0</v>
      </c>
      <c r="R926" s="5">
        <v>0.0</v>
      </c>
      <c r="S926" s="5">
        <v>21.936782461335</v>
      </c>
    </row>
    <row r="927">
      <c r="A927" s="6">
        <v>41702.0</v>
      </c>
      <c r="B927" s="5">
        <v>35.6807381071748</v>
      </c>
      <c r="C927" s="5">
        <v>-44.5427515760835</v>
      </c>
      <c r="D927" s="5">
        <v>81.1249918519202</v>
      </c>
      <c r="E927" s="5">
        <v>35.6807381071748</v>
      </c>
      <c r="F927" s="5">
        <v>35.6807381071748</v>
      </c>
      <c r="G927" s="5">
        <v>-15.1554265292963</v>
      </c>
      <c r="H927" s="5">
        <v>-15.1554265292963</v>
      </c>
      <c r="I927" s="5">
        <v>-15.1554265292963</v>
      </c>
      <c r="J927" s="5">
        <v>-0.144118857244269</v>
      </c>
      <c r="K927" s="5">
        <v>-0.144118857244269</v>
      </c>
      <c r="L927" s="5">
        <v>-0.144118857244269</v>
      </c>
      <c r="M927" s="5">
        <v>-15.011307672052</v>
      </c>
      <c r="N927" s="5">
        <v>-15.011307672052</v>
      </c>
      <c r="O927" s="5">
        <v>-15.011307672052</v>
      </c>
      <c r="P927" s="5">
        <v>0.0</v>
      </c>
      <c r="Q927" s="5">
        <v>0.0</v>
      </c>
      <c r="R927" s="5">
        <v>0.0</v>
      </c>
      <c r="S927" s="5">
        <v>20.5253115778785</v>
      </c>
    </row>
    <row r="928">
      <c r="A928" s="6">
        <v>41703.0</v>
      </c>
      <c r="B928" s="5">
        <v>35.7346694194335</v>
      </c>
      <c r="C928" s="5">
        <v>-42.9697849800541</v>
      </c>
      <c r="D928" s="5">
        <v>84.5975541906617</v>
      </c>
      <c r="E928" s="5">
        <v>35.7346694194335</v>
      </c>
      <c r="F928" s="5">
        <v>35.7346694194335</v>
      </c>
      <c r="G928" s="5">
        <v>-16.1055955949891</v>
      </c>
      <c r="H928" s="5">
        <v>-16.1055955949891</v>
      </c>
      <c r="I928" s="5">
        <v>-16.1055955949891</v>
      </c>
      <c r="J928" s="5">
        <v>0.00703780528310734</v>
      </c>
      <c r="K928" s="5">
        <v>0.00703780528310734</v>
      </c>
      <c r="L928" s="5">
        <v>0.00703780528310734</v>
      </c>
      <c r="M928" s="5">
        <v>-16.1126334002722</v>
      </c>
      <c r="N928" s="5">
        <v>-16.1126334002722</v>
      </c>
      <c r="O928" s="5">
        <v>-16.1126334002722</v>
      </c>
      <c r="P928" s="5">
        <v>0.0</v>
      </c>
      <c r="Q928" s="5">
        <v>0.0</v>
      </c>
      <c r="R928" s="5">
        <v>0.0</v>
      </c>
      <c r="S928" s="5">
        <v>19.6290738244444</v>
      </c>
    </row>
    <row r="929">
      <c r="A929" s="6">
        <v>41704.0</v>
      </c>
      <c r="B929" s="5">
        <v>35.7886007316922</v>
      </c>
      <c r="C929" s="5">
        <v>-44.5507693751268</v>
      </c>
      <c r="D929" s="5">
        <v>80.4015630747291</v>
      </c>
      <c r="E929" s="5">
        <v>35.7886007316922</v>
      </c>
      <c r="F929" s="5">
        <v>35.7886007316922</v>
      </c>
      <c r="G929" s="5">
        <v>-17.8498835568789</v>
      </c>
      <c r="H929" s="5">
        <v>-17.8498835568789</v>
      </c>
      <c r="I929" s="5">
        <v>-17.8498835568789</v>
      </c>
      <c r="J929" s="5">
        <v>-0.776422525904205</v>
      </c>
      <c r="K929" s="5">
        <v>-0.776422525904205</v>
      </c>
      <c r="L929" s="5">
        <v>-0.776422525904205</v>
      </c>
      <c r="M929" s="5">
        <v>-17.0734610309747</v>
      </c>
      <c r="N929" s="5">
        <v>-17.0734610309747</v>
      </c>
      <c r="O929" s="5">
        <v>-17.0734610309747</v>
      </c>
      <c r="P929" s="5">
        <v>0.0</v>
      </c>
      <c r="Q929" s="5">
        <v>0.0</v>
      </c>
      <c r="R929" s="5">
        <v>0.0</v>
      </c>
      <c r="S929" s="5">
        <v>17.9387171748133</v>
      </c>
    </row>
    <row r="930">
      <c r="A930" s="6">
        <v>41705.0</v>
      </c>
      <c r="B930" s="5">
        <v>35.8425320439509</v>
      </c>
      <c r="C930" s="5">
        <v>-45.6381212212559</v>
      </c>
      <c r="D930" s="5">
        <v>78.232447669551</v>
      </c>
      <c r="E930" s="5">
        <v>35.8425320439509</v>
      </c>
      <c r="F930" s="5">
        <v>35.8425320439509</v>
      </c>
      <c r="G930" s="5">
        <v>-19.4768745005424</v>
      </c>
      <c r="H930" s="5">
        <v>-19.4768745005424</v>
      </c>
      <c r="I930" s="5">
        <v>-19.4768745005424</v>
      </c>
      <c r="J930" s="5">
        <v>-1.59155056649368</v>
      </c>
      <c r="K930" s="5">
        <v>-1.59155056649368</v>
      </c>
      <c r="L930" s="5">
        <v>-1.59155056649368</v>
      </c>
      <c r="M930" s="5">
        <v>-17.8853239340487</v>
      </c>
      <c r="N930" s="5">
        <v>-17.8853239340487</v>
      </c>
      <c r="O930" s="5">
        <v>-17.8853239340487</v>
      </c>
      <c r="P930" s="5">
        <v>0.0</v>
      </c>
      <c r="Q930" s="5">
        <v>0.0</v>
      </c>
      <c r="R930" s="5">
        <v>0.0</v>
      </c>
      <c r="S930" s="5">
        <v>16.3656575434085</v>
      </c>
    </row>
    <row r="931">
      <c r="A931" s="6">
        <v>41708.0</v>
      </c>
      <c r="B931" s="5">
        <v>36.004325980727</v>
      </c>
      <c r="C931" s="5">
        <v>-45.2415588275286</v>
      </c>
      <c r="D931" s="5">
        <v>82.3289794268041</v>
      </c>
      <c r="E931" s="5">
        <v>36.004325980727</v>
      </c>
      <c r="F931" s="5">
        <v>36.004325980727</v>
      </c>
      <c r="G931" s="5">
        <v>-19.2936685930083</v>
      </c>
      <c r="H931" s="5">
        <v>-19.2936685930083</v>
      </c>
      <c r="I931" s="5">
        <v>-19.2936685930083</v>
      </c>
      <c r="J931" s="5">
        <v>0.0905589421208283</v>
      </c>
      <c r="K931" s="5">
        <v>0.0905589421208283</v>
      </c>
      <c r="L931" s="5">
        <v>0.0905589421208283</v>
      </c>
      <c r="M931" s="5">
        <v>-19.3842275351292</v>
      </c>
      <c r="N931" s="5">
        <v>-19.3842275351292</v>
      </c>
      <c r="O931" s="5">
        <v>-19.3842275351292</v>
      </c>
      <c r="P931" s="5">
        <v>0.0</v>
      </c>
      <c r="Q931" s="5">
        <v>0.0</v>
      </c>
      <c r="R931" s="5">
        <v>0.0</v>
      </c>
      <c r="S931" s="5">
        <v>16.7106573877186</v>
      </c>
    </row>
    <row r="932">
      <c r="A932" s="6">
        <v>41709.0</v>
      </c>
      <c r="B932" s="5">
        <v>36.0582572929856</v>
      </c>
      <c r="C932" s="5">
        <v>-51.3839377254294</v>
      </c>
      <c r="D932" s="5">
        <v>81.0377623516217</v>
      </c>
      <c r="E932" s="5">
        <v>36.0582572929856</v>
      </c>
      <c r="F932" s="5">
        <v>36.0582572929856</v>
      </c>
      <c r="G932" s="5">
        <v>-19.7154636039093</v>
      </c>
      <c r="H932" s="5">
        <v>-19.7154636039093</v>
      </c>
      <c r="I932" s="5">
        <v>-19.7154636039093</v>
      </c>
      <c r="J932" s="5">
        <v>-0.144118857245705</v>
      </c>
      <c r="K932" s="5">
        <v>-0.144118857245705</v>
      </c>
      <c r="L932" s="5">
        <v>-0.144118857245705</v>
      </c>
      <c r="M932" s="5">
        <v>-19.5713447466636</v>
      </c>
      <c r="N932" s="5">
        <v>-19.5713447466636</v>
      </c>
      <c r="O932" s="5">
        <v>-19.5713447466636</v>
      </c>
      <c r="P932" s="5">
        <v>0.0</v>
      </c>
      <c r="Q932" s="5">
        <v>0.0</v>
      </c>
      <c r="R932" s="5">
        <v>0.0</v>
      </c>
      <c r="S932" s="5">
        <v>16.3427936890763</v>
      </c>
    </row>
    <row r="933">
      <c r="A933" s="6">
        <v>41710.0</v>
      </c>
      <c r="B933" s="5">
        <v>36.1121886052443</v>
      </c>
      <c r="C933" s="5">
        <v>-43.330834634262</v>
      </c>
      <c r="D933" s="5">
        <v>78.7768669628875</v>
      </c>
      <c r="E933" s="5">
        <v>36.1121886052443</v>
      </c>
      <c r="F933" s="5">
        <v>36.1121886052443</v>
      </c>
      <c r="G933" s="5">
        <v>-19.6017415062331</v>
      </c>
      <c r="H933" s="5">
        <v>-19.6017415062331</v>
      </c>
      <c r="I933" s="5">
        <v>-19.6017415062331</v>
      </c>
      <c r="J933" s="5">
        <v>0.00703780528225466</v>
      </c>
      <c r="K933" s="5">
        <v>0.00703780528225466</v>
      </c>
      <c r="L933" s="5">
        <v>0.00703780528225466</v>
      </c>
      <c r="M933" s="5">
        <v>-19.6087793115154</v>
      </c>
      <c r="N933" s="5">
        <v>-19.6087793115154</v>
      </c>
      <c r="O933" s="5">
        <v>-19.6087793115154</v>
      </c>
      <c r="P933" s="5">
        <v>0.0</v>
      </c>
      <c r="Q933" s="5">
        <v>0.0</v>
      </c>
      <c r="R933" s="5">
        <v>0.0</v>
      </c>
      <c r="S933" s="5">
        <v>16.5104470990112</v>
      </c>
    </row>
    <row r="934">
      <c r="A934" s="6">
        <v>41711.0</v>
      </c>
      <c r="B934" s="5">
        <v>36.166119917503</v>
      </c>
      <c r="C934" s="5">
        <v>-45.3795587317725</v>
      </c>
      <c r="D934" s="5">
        <v>78.394753175839</v>
      </c>
      <c r="E934" s="5">
        <v>36.166119917503</v>
      </c>
      <c r="F934" s="5">
        <v>36.166119917503</v>
      </c>
      <c r="G934" s="5">
        <v>-20.2805779348255</v>
      </c>
      <c r="H934" s="5">
        <v>-20.2805779348255</v>
      </c>
      <c r="I934" s="5">
        <v>-20.2805779348255</v>
      </c>
      <c r="J934" s="5">
        <v>-0.776422525902077</v>
      </c>
      <c r="K934" s="5">
        <v>-0.776422525902077</v>
      </c>
      <c r="L934" s="5">
        <v>-0.776422525902077</v>
      </c>
      <c r="M934" s="5">
        <v>-19.5041554089234</v>
      </c>
      <c r="N934" s="5">
        <v>-19.5041554089234</v>
      </c>
      <c r="O934" s="5">
        <v>-19.5041554089234</v>
      </c>
      <c r="P934" s="5">
        <v>0.0</v>
      </c>
      <c r="Q934" s="5">
        <v>0.0</v>
      </c>
      <c r="R934" s="5">
        <v>0.0</v>
      </c>
      <c r="S934" s="5">
        <v>15.8855419826775</v>
      </c>
    </row>
    <row r="935">
      <c r="A935" s="6">
        <v>41712.0</v>
      </c>
      <c r="B935" s="5">
        <v>36.2200512297617</v>
      </c>
      <c r="C935" s="5">
        <v>-46.8786866957317</v>
      </c>
      <c r="D935" s="5">
        <v>79.3413192878951</v>
      </c>
      <c r="E935" s="5">
        <v>36.2200512297617</v>
      </c>
      <c r="F935" s="5">
        <v>36.2200512297617</v>
      </c>
      <c r="G935" s="5">
        <v>-20.8587567567513</v>
      </c>
      <c r="H935" s="5">
        <v>-20.8587567567513</v>
      </c>
      <c r="I935" s="5">
        <v>-20.8587567567513</v>
      </c>
      <c r="J935" s="5">
        <v>-1.59155056649276</v>
      </c>
      <c r="K935" s="5">
        <v>-1.59155056649276</v>
      </c>
      <c r="L935" s="5">
        <v>-1.59155056649276</v>
      </c>
      <c r="M935" s="5">
        <v>-19.2672061902586</v>
      </c>
      <c r="N935" s="5">
        <v>-19.2672061902586</v>
      </c>
      <c r="O935" s="5">
        <v>-19.2672061902586</v>
      </c>
      <c r="P935" s="5">
        <v>0.0</v>
      </c>
      <c r="Q935" s="5">
        <v>0.0</v>
      </c>
      <c r="R935" s="5">
        <v>0.0</v>
      </c>
      <c r="S935" s="5">
        <v>15.3612944730103</v>
      </c>
    </row>
    <row r="936">
      <c r="A936" s="6">
        <v>41715.0</v>
      </c>
      <c r="B936" s="5">
        <v>36.3818451665377</v>
      </c>
      <c r="C936" s="5">
        <v>-44.4002315671619</v>
      </c>
      <c r="D936" s="5">
        <v>84.4749927229231</v>
      </c>
      <c r="E936" s="5">
        <v>36.3818451665377</v>
      </c>
      <c r="F936" s="5">
        <v>36.3818451665377</v>
      </c>
      <c r="G936" s="5">
        <v>-17.794097221553</v>
      </c>
      <c r="H936" s="5">
        <v>-17.794097221553</v>
      </c>
      <c r="I936" s="5">
        <v>-17.794097221553</v>
      </c>
      <c r="J936" s="5">
        <v>0.0905589421217749</v>
      </c>
      <c r="K936" s="5">
        <v>0.0905589421217749</v>
      </c>
      <c r="L936" s="5">
        <v>0.0905589421217749</v>
      </c>
      <c r="M936" s="5">
        <v>-17.8846561636748</v>
      </c>
      <c r="N936" s="5">
        <v>-17.8846561636748</v>
      </c>
      <c r="O936" s="5">
        <v>-17.8846561636748</v>
      </c>
      <c r="P936" s="5">
        <v>0.0</v>
      </c>
      <c r="Q936" s="5">
        <v>0.0</v>
      </c>
      <c r="R936" s="5">
        <v>0.0</v>
      </c>
      <c r="S936" s="5">
        <v>18.5877479449847</v>
      </c>
    </row>
    <row r="937">
      <c r="A937" s="6">
        <v>41716.0</v>
      </c>
      <c r="B937" s="5">
        <v>36.4357764787964</v>
      </c>
      <c r="C937" s="5">
        <v>-43.5900505951111</v>
      </c>
      <c r="D937" s="5">
        <v>83.0432199315548</v>
      </c>
      <c r="E937" s="5">
        <v>36.4357764787964</v>
      </c>
      <c r="F937" s="5">
        <v>36.4357764787964</v>
      </c>
      <c r="G937" s="5">
        <v>-17.3905683593529</v>
      </c>
      <c r="H937" s="5">
        <v>-17.3905683593529</v>
      </c>
      <c r="I937" s="5">
        <v>-17.3905683593529</v>
      </c>
      <c r="J937" s="5">
        <v>-0.144118857244617</v>
      </c>
      <c r="K937" s="5">
        <v>-0.144118857244617</v>
      </c>
      <c r="L937" s="5">
        <v>-0.144118857244617</v>
      </c>
      <c r="M937" s="5">
        <v>-17.2464495021082</v>
      </c>
      <c r="N937" s="5">
        <v>-17.2464495021082</v>
      </c>
      <c r="O937" s="5">
        <v>-17.2464495021082</v>
      </c>
      <c r="P937" s="5">
        <v>0.0</v>
      </c>
      <c r="Q937" s="5">
        <v>0.0</v>
      </c>
      <c r="R937" s="5">
        <v>0.0</v>
      </c>
      <c r="S937" s="5">
        <v>19.0452081194435</v>
      </c>
    </row>
    <row r="938">
      <c r="A938" s="6">
        <v>41717.0</v>
      </c>
      <c r="B938" s="5">
        <v>36.4897077910551</v>
      </c>
      <c r="C938" s="5">
        <v>-40.0874486544786</v>
      </c>
      <c r="D938" s="5">
        <v>86.0290055483449</v>
      </c>
      <c r="E938" s="5">
        <v>36.4897077910551</v>
      </c>
      <c r="F938" s="5">
        <v>36.4897077910551</v>
      </c>
      <c r="G938" s="5">
        <v>-16.5373687617139</v>
      </c>
      <c r="H938" s="5">
        <v>-16.5373687617139</v>
      </c>
      <c r="I938" s="5">
        <v>-16.5373687617139</v>
      </c>
      <c r="J938" s="5">
        <v>0.00703780528356586</v>
      </c>
      <c r="K938" s="5">
        <v>0.00703780528356586</v>
      </c>
      <c r="L938" s="5">
        <v>0.00703780528356586</v>
      </c>
      <c r="M938" s="5">
        <v>-16.5444065669974</v>
      </c>
      <c r="N938" s="5">
        <v>-16.5444065669974</v>
      </c>
      <c r="O938" s="5">
        <v>-16.5444065669974</v>
      </c>
      <c r="P938" s="5">
        <v>0.0</v>
      </c>
      <c r="Q938" s="5">
        <v>0.0</v>
      </c>
      <c r="R938" s="5">
        <v>0.0</v>
      </c>
      <c r="S938" s="5">
        <v>19.9523390293412</v>
      </c>
    </row>
    <row r="939">
      <c r="A939" s="6">
        <v>41718.0</v>
      </c>
      <c r="B939" s="5">
        <v>36.5436391033138</v>
      </c>
      <c r="C939" s="5">
        <v>-41.985870700436</v>
      </c>
      <c r="D939" s="5">
        <v>80.3275658880226</v>
      </c>
      <c r="E939" s="5">
        <v>36.5436391033138</v>
      </c>
      <c r="F939" s="5">
        <v>36.5436391033138</v>
      </c>
      <c r="G939" s="5">
        <v>-16.5699979786215</v>
      </c>
      <c r="H939" s="5">
        <v>-16.5699979786215</v>
      </c>
      <c r="I939" s="5">
        <v>-16.5699979786215</v>
      </c>
      <c r="J939" s="5">
        <v>-0.776422525899949</v>
      </c>
      <c r="K939" s="5">
        <v>-0.776422525899949</v>
      </c>
      <c r="L939" s="5">
        <v>-0.776422525899949</v>
      </c>
      <c r="M939" s="5">
        <v>-15.7935754527215</v>
      </c>
      <c r="N939" s="5">
        <v>-15.7935754527215</v>
      </c>
      <c r="O939" s="5">
        <v>-15.7935754527215</v>
      </c>
      <c r="P939" s="5">
        <v>0.0</v>
      </c>
      <c r="Q939" s="5">
        <v>0.0</v>
      </c>
      <c r="R939" s="5">
        <v>0.0</v>
      </c>
      <c r="S939" s="5">
        <v>19.9736411246923</v>
      </c>
    </row>
    <row r="940">
      <c r="A940" s="6">
        <v>41719.0</v>
      </c>
      <c r="B940" s="5">
        <v>36.5975704155725</v>
      </c>
      <c r="C940" s="5">
        <v>-43.4248947726548</v>
      </c>
      <c r="D940" s="5">
        <v>82.3880688283818</v>
      </c>
      <c r="E940" s="5">
        <v>36.5975704155725</v>
      </c>
      <c r="F940" s="5">
        <v>36.5975704155725</v>
      </c>
      <c r="G940" s="5">
        <v>-16.6001414538567</v>
      </c>
      <c r="H940" s="5">
        <v>-16.6001414538567</v>
      </c>
      <c r="I940" s="5">
        <v>-16.6001414538567</v>
      </c>
      <c r="J940" s="5">
        <v>-1.59155056649458</v>
      </c>
      <c r="K940" s="5">
        <v>-1.59155056649458</v>
      </c>
      <c r="L940" s="5">
        <v>-1.59155056649458</v>
      </c>
      <c r="M940" s="5">
        <v>-15.0085908873621</v>
      </c>
      <c r="N940" s="5">
        <v>-15.0085908873621</v>
      </c>
      <c r="O940" s="5">
        <v>-15.0085908873621</v>
      </c>
      <c r="P940" s="5">
        <v>0.0</v>
      </c>
      <c r="Q940" s="5">
        <v>0.0</v>
      </c>
      <c r="R940" s="5">
        <v>0.0</v>
      </c>
      <c r="S940" s="5">
        <v>19.9974289617158</v>
      </c>
    </row>
    <row r="941">
      <c r="A941" s="6">
        <v>41722.0</v>
      </c>
      <c r="B941" s="5">
        <v>36.7593643523486</v>
      </c>
      <c r="C941" s="5">
        <v>-36.1315954535224</v>
      </c>
      <c r="D941" s="5">
        <v>86.4541316457943</v>
      </c>
      <c r="E941" s="5">
        <v>36.7593643523486</v>
      </c>
      <c r="F941" s="5">
        <v>36.7593643523486</v>
      </c>
      <c r="G941" s="5">
        <v>-12.4916706966894</v>
      </c>
      <c r="H941" s="5">
        <v>-12.4916706966894</v>
      </c>
      <c r="I941" s="5">
        <v>-12.4916706966894</v>
      </c>
      <c r="J941" s="5">
        <v>0.0905589421227213</v>
      </c>
      <c r="K941" s="5">
        <v>0.0905589421227213</v>
      </c>
      <c r="L941" s="5">
        <v>0.0905589421227213</v>
      </c>
      <c r="M941" s="5">
        <v>-12.5822296388121</v>
      </c>
      <c r="N941" s="5">
        <v>-12.5822296388121</v>
      </c>
      <c r="O941" s="5">
        <v>-12.5822296388121</v>
      </c>
      <c r="P941" s="5">
        <v>0.0</v>
      </c>
      <c r="Q941" s="5">
        <v>0.0</v>
      </c>
      <c r="R941" s="5">
        <v>0.0</v>
      </c>
      <c r="S941" s="5">
        <v>24.2676936556591</v>
      </c>
    </row>
    <row r="942">
      <c r="A942" s="6">
        <v>41723.0</v>
      </c>
      <c r="B942" s="5">
        <v>36.8132956646072</v>
      </c>
      <c r="C942" s="5">
        <v>-40.194402044279</v>
      </c>
      <c r="D942" s="5">
        <v>82.4793274311131</v>
      </c>
      <c r="E942" s="5">
        <v>36.8132956646072</v>
      </c>
      <c r="F942" s="5">
        <v>36.8132956646072</v>
      </c>
      <c r="G942" s="5">
        <v>-11.9321610886811</v>
      </c>
      <c r="H942" s="5">
        <v>-11.9321610886811</v>
      </c>
      <c r="I942" s="5">
        <v>-11.9321610886811</v>
      </c>
      <c r="J942" s="5">
        <v>-0.144118857243529</v>
      </c>
      <c r="K942" s="5">
        <v>-0.144118857243529</v>
      </c>
      <c r="L942" s="5">
        <v>-0.144118857243529</v>
      </c>
      <c r="M942" s="5">
        <v>-11.7880422314376</v>
      </c>
      <c r="N942" s="5">
        <v>-11.7880422314376</v>
      </c>
      <c r="O942" s="5">
        <v>-11.7880422314376</v>
      </c>
      <c r="P942" s="5">
        <v>0.0</v>
      </c>
      <c r="Q942" s="5">
        <v>0.0</v>
      </c>
      <c r="R942" s="5">
        <v>0.0</v>
      </c>
      <c r="S942" s="5">
        <v>24.881134575926</v>
      </c>
    </row>
    <row r="943">
      <c r="A943" s="6">
        <v>41724.0</v>
      </c>
      <c r="B943" s="5">
        <v>36.8672269768659</v>
      </c>
      <c r="C943" s="5">
        <v>-33.9990397279136</v>
      </c>
      <c r="D943" s="5">
        <v>90.0962975117614</v>
      </c>
      <c r="E943" s="5">
        <v>36.8672269768659</v>
      </c>
      <c r="F943" s="5">
        <v>36.8672269768659</v>
      </c>
      <c r="G943" s="5">
        <v>-11.0095856070179</v>
      </c>
      <c r="H943" s="5">
        <v>-11.0095856070179</v>
      </c>
      <c r="I943" s="5">
        <v>-11.0095856070179</v>
      </c>
      <c r="J943" s="5">
        <v>0.00703780528154105</v>
      </c>
      <c r="K943" s="5">
        <v>0.00703780528154105</v>
      </c>
      <c r="L943" s="5">
        <v>0.00703780528154105</v>
      </c>
      <c r="M943" s="5">
        <v>-11.0166234122995</v>
      </c>
      <c r="N943" s="5">
        <v>-11.0166234122995</v>
      </c>
      <c r="O943" s="5">
        <v>-11.0166234122995</v>
      </c>
      <c r="P943" s="5">
        <v>0.0</v>
      </c>
      <c r="Q943" s="5">
        <v>0.0</v>
      </c>
      <c r="R943" s="5">
        <v>0.0</v>
      </c>
      <c r="S943" s="5">
        <v>25.8576413698479</v>
      </c>
    </row>
    <row r="944">
      <c r="A944" s="6">
        <v>41725.0</v>
      </c>
      <c r="B944" s="5">
        <v>36.9211582891246</v>
      </c>
      <c r="C944" s="5">
        <v>-37.3323010816213</v>
      </c>
      <c r="D944" s="5">
        <v>88.3121148418628</v>
      </c>
      <c r="E944" s="5">
        <v>36.9211582891246</v>
      </c>
      <c r="F944" s="5">
        <v>36.9211582891246</v>
      </c>
      <c r="G944" s="5">
        <v>-11.0511823487761</v>
      </c>
      <c r="H944" s="5">
        <v>-11.0511823487761</v>
      </c>
      <c r="I944" s="5">
        <v>-11.0511823487761</v>
      </c>
      <c r="J944" s="5">
        <v>-0.776422525900671</v>
      </c>
      <c r="K944" s="5">
        <v>-0.776422525900671</v>
      </c>
      <c r="L944" s="5">
        <v>-0.776422525900671</v>
      </c>
      <c r="M944" s="5">
        <v>-10.2747598228754</v>
      </c>
      <c r="N944" s="5">
        <v>-10.2747598228754</v>
      </c>
      <c r="O944" s="5">
        <v>-10.2747598228754</v>
      </c>
      <c r="P944" s="5">
        <v>0.0</v>
      </c>
      <c r="Q944" s="5">
        <v>0.0</v>
      </c>
      <c r="R944" s="5">
        <v>0.0</v>
      </c>
      <c r="S944" s="5">
        <v>25.8699759403485</v>
      </c>
    </row>
    <row r="945">
      <c r="A945" s="6">
        <v>41726.0</v>
      </c>
      <c r="B945" s="5">
        <v>36.9750896013833</v>
      </c>
      <c r="C945" s="5">
        <v>-37.8703226131229</v>
      </c>
      <c r="D945" s="5">
        <v>92.4499948985024</v>
      </c>
      <c r="E945" s="5">
        <v>36.9750896013833</v>
      </c>
      <c r="F945" s="5">
        <v>36.9750896013833</v>
      </c>
      <c r="G945" s="5">
        <v>-11.1590626210901</v>
      </c>
      <c r="H945" s="5">
        <v>-11.1590626210901</v>
      </c>
      <c r="I945" s="5">
        <v>-11.1590626210901</v>
      </c>
      <c r="J945" s="5">
        <v>-1.59155056649334</v>
      </c>
      <c r="K945" s="5">
        <v>-1.59155056649334</v>
      </c>
      <c r="L945" s="5">
        <v>-1.59155056649334</v>
      </c>
      <c r="M945" s="5">
        <v>-9.56751205459676</v>
      </c>
      <c r="N945" s="5">
        <v>-9.56751205459676</v>
      </c>
      <c r="O945" s="5">
        <v>-9.56751205459676</v>
      </c>
      <c r="P945" s="5">
        <v>0.0</v>
      </c>
      <c r="Q945" s="5">
        <v>0.0</v>
      </c>
      <c r="R945" s="5">
        <v>0.0</v>
      </c>
      <c r="S945" s="5">
        <v>25.8160269802932</v>
      </c>
    </row>
    <row r="946">
      <c r="A946" s="6">
        <v>41729.0</v>
      </c>
      <c r="B946" s="5">
        <v>37.1368835381593</v>
      </c>
      <c r="C946" s="5">
        <v>-29.9658814779322</v>
      </c>
      <c r="D946" s="5">
        <v>91.4551739066943</v>
      </c>
      <c r="E946" s="5">
        <v>37.1368835381593</v>
      </c>
      <c r="F946" s="5">
        <v>37.1368835381593</v>
      </c>
      <c r="G946" s="5">
        <v>-7.58864706181237</v>
      </c>
      <c r="H946" s="5">
        <v>-7.58864706181237</v>
      </c>
      <c r="I946" s="5">
        <v>-7.58864706181237</v>
      </c>
      <c r="J946" s="5">
        <v>0.0905589421237478</v>
      </c>
      <c r="K946" s="5">
        <v>0.0905589421237478</v>
      </c>
      <c r="L946" s="5">
        <v>0.0905589421237478</v>
      </c>
      <c r="M946" s="5">
        <v>-7.67920600393612</v>
      </c>
      <c r="N946" s="5">
        <v>-7.67920600393612</v>
      </c>
      <c r="O946" s="5">
        <v>-7.67920600393612</v>
      </c>
      <c r="P946" s="5">
        <v>0.0</v>
      </c>
      <c r="Q946" s="5">
        <v>0.0</v>
      </c>
      <c r="R946" s="5">
        <v>0.0</v>
      </c>
      <c r="S946" s="5">
        <v>29.548236476347</v>
      </c>
    </row>
    <row r="947">
      <c r="A947" s="6">
        <v>41730.0</v>
      </c>
      <c r="B947" s="5">
        <v>37.190814850418</v>
      </c>
      <c r="C947" s="5">
        <v>-33.4137201514419</v>
      </c>
      <c r="D947" s="5">
        <v>95.3918643507893</v>
      </c>
      <c r="E947" s="5">
        <v>37.190814850418</v>
      </c>
      <c r="F947" s="5">
        <v>37.190814850418</v>
      </c>
      <c r="G947" s="5">
        <v>-7.27281545481502</v>
      </c>
      <c r="H947" s="5">
        <v>-7.27281545481502</v>
      </c>
      <c r="I947" s="5">
        <v>-7.27281545481502</v>
      </c>
      <c r="J947" s="5">
        <v>-0.144118857243855</v>
      </c>
      <c r="K947" s="5">
        <v>-0.144118857243855</v>
      </c>
      <c r="L947" s="5">
        <v>-0.144118857243855</v>
      </c>
      <c r="M947" s="5">
        <v>-7.12869659757117</v>
      </c>
      <c r="N947" s="5">
        <v>-7.12869659757117</v>
      </c>
      <c r="O947" s="5">
        <v>-7.12869659757117</v>
      </c>
      <c r="P947" s="5">
        <v>0.0</v>
      </c>
      <c r="Q947" s="5">
        <v>0.0</v>
      </c>
      <c r="R947" s="5">
        <v>0.0</v>
      </c>
      <c r="S947" s="5">
        <v>29.917999395603</v>
      </c>
    </row>
    <row r="948">
      <c r="A948" s="6">
        <v>41731.0</v>
      </c>
      <c r="B948" s="5">
        <v>37.2423270335193</v>
      </c>
      <c r="C948" s="5">
        <v>-30.2832530148415</v>
      </c>
      <c r="D948" s="5">
        <v>95.4494012964436</v>
      </c>
      <c r="E948" s="5">
        <v>37.2423270335193</v>
      </c>
      <c r="F948" s="5">
        <v>37.2423270335193</v>
      </c>
      <c r="G948" s="5">
        <v>-6.60805162932678</v>
      </c>
      <c r="H948" s="5">
        <v>-6.60805162932678</v>
      </c>
      <c r="I948" s="5">
        <v>-6.60805162932678</v>
      </c>
      <c r="J948" s="5">
        <v>0.00703780528285222</v>
      </c>
      <c r="K948" s="5">
        <v>0.00703780528285222</v>
      </c>
      <c r="L948" s="5">
        <v>0.00703780528285222</v>
      </c>
      <c r="M948" s="5">
        <v>-6.61508943460964</v>
      </c>
      <c r="N948" s="5">
        <v>-6.61508943460964</v>
      </c>
      <c r="O948" s="5">
        <v>-6.61508943460964</v>
      </c>
      <c r="P948" s="5">
        <v>0.0</v>
      </c>
      <c r="Q948" s="5">
        <v>0.0</v>
      </c>
      <c r="R948" s="5">
        <v>0.0</v>
      </c>
      <c r="S948" s="5">
        <v>30.6342754041925</v>
      </c>
    </row>
    <row r="949">
      <c r="A949" s="6">
        <v>41732.0</v>
      </c>
      <c r="B949" s="5">
        <v>37.2938392166206</v>
      </c>
      <c r="C949" s="5">
        <v>-33.4566189372418</v>
      </c>
      <c r="D949" s="5">
        <v>93.3058748903403</v>
      </c>
      <c r="E949" s="5">
        <v>37.2938392166206</v>
      </c>
      <c r="F949" s="5">
        <v>37.2938392166206</v>
      </c>
      <c r="G949" s="5">
        <v>-6.91186760980132</v>
      </c>
      <c r="H949" s="5">
        <v>-6.91186760980132</v>
      </c>
      <c r="I949" s="5">
        <v>-6.91186760980132</v>
      </c>
      <c r="J949" s="5">
        <v>-0.776422525901392</v>
      </c>
      <c r="K949" s="5">
        <v>-0.776422525901392</v>
      </c>
      <c r="L949" s="5">
        <v>-0.776422525901392</v>
      </c>
      <c r="M949" s="5">
        <v>-6.13544508389993</v>
      </c>
      <c r="N949" s="5">
        <v>-6.13544508389993</v>
      </c>
      <c r="O949" s="5">
        <v>-6.13544508389993</v>
      </c>
      <c r="P949" s="5">
        <v>0.0</v>
      </c>
      <c r="Q949" s="5">
        <v>0.0</v>
      </c>
      <c r="R949" s="5">
        <v>0.0</v>
      </c>
      <c r="S949" s="5">
        <v>30.3819716068193</v>
      </c>
    </row>
    <row r="950">
      <c r="A950" s="6">
        <v>41733.0</v>
      </c>
      <c r="B950" s="5">
        <v>37.3453513997219</v>
      </c>
      <c r="C950" s="5">
        <v>-35.1701731178669</v>
      </c>
      <c r="D950" s="5">
        <v>92.424389356467</v>
      </c>
      <c r="E950" s="5">
        <v>37.3453513997219</v>
      </c>
      <c r="F950" s="5">
        <v>37.3453513997219</v>
      </c>
      <c r="G950" s="5">
        <v>-7.27779618174183</v>
      </c>
      <c r="H950" s="5">
        <v>-7.27779618174183</v>
      </c>
      <c r="I950" s="5">
        <v>-7.27779618174183</v>
      </c>
      <c r="J950" s="5">
        <v>-1.5915505664921</v>
      </c>
      <c r="K950" s="5">
        <v>-1.5915505664921</v>
      </c>
      <c r="L950" s="5">
        <v>-1.5915505664921</v>
      </c>
      <c r="M950" s="5">
        <v>-5.68624561524973</v>
      </c>
      <c r="N950" s="5">
        <v>-5.68624561524973</v>
      </c>
      <c r="O950" s="5">
        <v>-5.68624561524973</v>
      </c>
      <c r="P950" s="5">
        <v>0.0</v>
      </c>
      <c r="Q950" s="5">
        <v>0.0</v>
      </c>
      <c r="R950" s="5">
        <v>0.0</v>
      </c>
      <c r="S950" s="5">
        <v>30.06755521798</v>
      </c>
    </row>
    <row r="951">
      <c r="A951" s="6">
        <v>41736.0</v>
      </c>
      <c r="B951" s="5">
        <v>37.4998879490257</v>
      </c>
      <c r="C951" s="5">
        <v>-27.40928799898</v>
      </c>
      <c r="D951" s="5">
        <v>93.8696105562663</v>
      </c>
      <c r="E951" s="5">
        <v>37.4998879490257</v>
      </c>
      <c r="F951" s="5">
        <v>37.4998879490257</v>
      </c>
      <c r="G951" s="5">
        <v>-4.39259245266689</v>
      </c>
      <c r="H951" s="5">
        <v>-4.39259245266689</v>
      </c>
      <c r="I951" s="5">
        <v>-4.39259245266689</v>
      </c>
      <c r="J951" s="5">
        <v>0.0905589421223104</v>
      </c>
      <c r="K951" s="5">
        <v>0.0905589421223104</v>
      </c>
      <c r="L951" s="5">
        <v>0.0905589421223104</v>
      </c>
      <c r="M951" s="5">
        <v>-4.4831513947892</v>
      </c>
      <c r="N951" s="5">
        <v>-4.4831513947892</v>
      </c>
      <c r="O951" s="5">
        <v>-4.4831513947892</v>
      </c>
      <c r="P951" s="5">
        <v>0.0</v>
      </c>
      <c r="Q951" s="5">
        <v>0.0</v>
      </c>
      <c r="R951" s="5">
        <v>0.0</v>
      </c>
      <c r="S951" s="5">
        <v>33.1072954963588</v>
      </c>
    </row>
    <row r="952">
      <c r="A952" s="6">
        <v>41737.0</v>
      </c>
      <c r="B952" s="5">
        <v>37.551400132127</v>
      </c>
      <c r="C952" s="5">
        <v>-27.8321094458468</v>
      </c>
      <c r="D952" s="5">
        <v>95.0294369104802</v>
      </c>
      <c r="E952" s="5">
        <v>37.551400132127</v>
      </c>
      <c r="F952" s="5">
        <v>37.551400132127</v>
      </c>
      <c r="G952" s="5">
        <v>-4.26253876981749</v>
      </c>
      <c r="H952" s="5">
        <v>-4.26253876981749</v>
      </c>
      <c r="I952" s="5">
        <v>-4.26253876981749</v>
      </c>
      <c r="J952" s="5">
        <v>-0.144118857245291</v>
      </c>
      <c r="K952" s="5">
        <v>-0.144118857245291</v>
      </c>
      <c r="L952" s="5">
        <v>-0.144118857245291</v>
      </c>
      <c r="M952" s="5">
        <v>-4.1184199125722</v>
      </c>
      <c r="N952" s="5">
        <v>-4.1184199125722</v>
      </c>
      <c r="O952" s="5">
        <v>-4.1184199125722</v>
      </c>
      <c r="P952" s="5">
        <v>0.0</v>
      </c>
      <c r="Q952" s="5">
        <v>0.0</v>
      </c>
      <c r="R952" s="5">
        <v>0.0</v>
      </c>
      <c r="S952" s="5">
        <v>33.2888613623095</v>
      </c>
    </row>
    <row r="953">
      <c r="A953" s="6">
        <v>41738.0</v>
      </c>
      <c r="B953" s="5">
        <v>37.6029123152283</v>
      </c>
      <c r="C953" s="5">
        <v>-32.636906805047</v>
      </c>
      <c r="D953" s="5">
        <v>97.7441442201159</v>
      </c>
      <c r="E953" s="5">
        <v>37.6029123152283</v>
      </c>
      <c r="F953" s="5">
        <v>37.6029123152283</v>
      </c>
      <c r="G953" s="5">
        <v>-3.76013913941342</v>
      </c>
      <c r="H953" s="5">
        <v>-3.76013913941342</v>
      </c>
      <c r="I953" s="5">
        <v>-3.76013913941342</v>
      </c>
      <c r="J953" s="5">
        <v>0.0070378052819996</v>
      </c>
      <c r="K953" s="5">
        <v>0.0070378052819996</v>
      </c>
      <c r="L953" s="5">
        <v>0.0070378052819996</v>
      </c>
      <c r="M953" s="5">
        <v>-3.76717694469542</v>
      </c>
      <c r="N953" s="5">
        <v>-3.76717694469542</v>
      </c>
      <c r="O953" s="5">
        <v>-3.76717694469542</v>
      </c>
      <c r="P953" s="5">
        <v>0.0</v>
      </c>
      <c r="Q953" s="5">
        <v>0.0</v>
      </c>
      <c r="R953" s="5">
        <v>0.0</v>
      </c>
      <c r="S953" s="5">
        <v>33.8427731758149</v>
      </c>
    </row>
    <row r="954">
      <c r="A954" s="6">
        <v>41739.0</v>
      </c>
      <c r="B954" s="5">
        <v>37.6544244983296</v>
      </c>
      <c r="C954" s="5">
        <v>-26.2823170446648</v>
      </c>
      <c r="D954" s="5">
        <v>94.3092309796308</v>
      </c>
      <c r="E954" s="5">
        <v>37.6544244983296</v>
      </c>
      <c r="F954" s="5">
        <v>37.6544244983296</v>
      </c>
      <c r="G954" s="5">
        <v>-4.20424249237514</v>
      </c>
      <c r="H954" s="5">
        <v>-4.20424249237514</v>
      </c>
      <c r="I954" s="5">
        <v>-4.20424249237514</v>
      </c>
      <c r="J954" s="5">
        <v>-0.776422525903489</v>
      </c>
      <c r="K954" s="5">
        <v>-0.776422525903489</v>
      </c>
      <c r="L954" s="5">
        <v>-0.776422525903489</v>
      </c>
      <c r="M954" s="5">
        <v>-3.42781996647165</v>
      </c>
      <c r="N954" s="5">
        <v>-3.42781996647165</v>
      </c>
      <c r="O954" s="5">
        <v>-3.42781996647165</v>
      </c>
      <c r="P954" s="5">
        <v>0.0</v>
      </c>
      <c r="Q954" s="5">
        <v>0.0</v>
      </c>
      <c r="R954" s="5">
        <v>0.0</v>
      </c>
      <c r="S954" s="5">
        <v>33.4501820059544</v>
      </c>
    </row>
    <row r="955">
      <c r="A955" s="6">
        <v>41740.0</v>
      </c>
      <c r="B955" s="5">
        <v>37.7059366814309</v>
      </c>
      <c r="C955" s="5">
        <v>-26.1104726128386</v>
      </c>
      <c r="D955" s="5">
        <v>101.338511892397</v>
      </c>
      <c r="E955" s="5">
        <v>37.7059366814309</v>
      </c>
      <c r="F955" s="5">
        <v>37.7059366814309</v>
      </c>
      <c r="G955" s="5">
        <v>-4.69131250658232</v>
      </c>
      <c r="H955" s="5">
        <v>-4.69131250658232</v>
      </c>
      <c r="I955" s="5">
        <v>-4.69131250658232</v>
      </c>
      <c r="J955" s="5">
        <v>-1.59155056649392</v>
      </c>
      <c r="K955" s="5">
        <v>-1.59155056649392</v>
      </c>
      <c r="L955" s="5">
        <v>-1.59155056649392</v>
      </c>
      <c r="M955" s="5">
        <v>-3.0997619400884</v>
      </c>
      <c r="N955" s="5">
        <v>-3.0997619400884</v>
      </c>
      <c r="O955" s="5">
        <v>-3.0997619400884</v>
      </c>
      <c r="P955" s="5">
        <v>0.0</v>
      </c>
      <c r="Q955" s="5">
        <v>0.0</v>
      </c>
      <c r="R955" s="5">
        <v>0.0</v>
      </c>
      <c r="S955" s="5">
        <v>33.0146241748485</v>
      </c>
    </row>
    <row r="956">
      <c r="A956" s="6">
        <v>41743.0</v>
      </c>
      <c r="B956" s="5">
        <v>37.8604732307347</v>
      </c>
      <c r="C956" s="5">
        <v>-25.0452787309411</v>
      </c>
      <c r="D956" s="5">
        <v>100.700218875586</v>
      </c>
      <c r="E956" s="5">
        <v>37.8604732307347</v>
      </c>
      <c r="F956" s="5">
        <v>37.8604732307347</v>
      </c>
      <c r="G956" s="5">
        <v>-2.1039212124497</v>
      </c>
      <c r="H956" s="5">
        <v>-2.1039212124497</v>
      </c>
      <c r="I956" s="5">
        <v>-2.1039212124497</v>
      </c>
      <c r="J956" s="5">
        <v>0.090558942120873</v>
      </c>
      <c r="K956" s="5">
        <v>0.090558942120873</v>
      </c>
      <c r="L956" s="5">
        <v>0.090558942120873</v>
      </c>
      <c r="M956" s="5">
        <v>-2.19448015457058</v>
      </c>
      <c r="N956" s="5">
        <v>-2.19448015457058</v>
      </c>
      <c r="O956" s="5">
        <v>-2.19448015457058</v>
      </c>
      <c r="P956" s="5">
        <v>0.0</v>
      </c>
      <c r="Q956" s="5">
        <v>0.0</v>
      </c>
      <c r="R956" s="5">
        <v>0.0</v>
      </c>
      <c r="S956" s="5">
        <v>35.756552018285</v>
      </c>
    </row>
    <row r="957">
      <c r="A957" s="6">
        <v>41744.0</v>
      </c>
      <c r="B957" s="5">
        <v>37.911985413836</v>
      </c>
      <c r="C957" s="5">
        <v>-27.8108372495904</v>
      </c>
      <c r="D957" s="5">
        <v>97.1768448703841</v>
      </c>
      <c r="E957" s="5">
        <v>37.911985413836</v>
      </c>
      <c r="F957" s="5">
        <v>37.911985413836</v>
      </c>
      <c r="G957" s="5">
        <v>-2.072615219396</v>
      </c>
      <c r="H957" s="5">
        <v>-2.072615219396</v>
      </c>
      <c r="I957" s="5">
        <v>-2.072615219396</v>
      </c>
      <c r="J957" s="5">
        <v>-0.144118857246726</v>
      </c>
      <c r="K957" s="5">
        <v>-0.144118857246726</v>
      </c>
      <c r="L957" s="5">
        <v>-0.144118857246726</v>
      </c>
      <c r="M957" s="5">
        <v>-1.92849636214927</v>
      </c>
      <c r="N957" s="5">
        <v>-1.92849636214927</v>
      </c>
      <c r="O957" s="5">
        <v>-1.92849636214927</v>
      </c>
      <c r="P957" s="5">
        <v>0.0</v>
      </c>
      <c r="Q957" s="5">
        <v>0.0</v>
      </c>
      <c r="R957" s="5">
        <v>0.0</v>
      </c>
      <c r="S957" s="5">
        <v>35.83937019444</v>
      </c>
    </row>
    <row r="958">
      <c r="A958" s="6">
        <v>41745.0</v>
      </c>
      <c r="B958" s="5">
        <v>37.9634975969373</v>
      </c>
      <c r="C958" s="5">
        <v>-29.9473427585072</v>
      </c>
      <c r="D958" s="5">
        <v>98.4334672871662</v>
      </c>
      <c r="E958" s="5">
        <v>37.9634975969373</v>
      </c>
      <c r="F958" s="5">
        <v>37.9634975969373</v>
      </c>
      <c r="G958" s="5">
        <v>-1.68082440652219</v>
      </c>
      <c r="H958" s="5">
        <v>-1.68082440652219</v>
      </c>
      <c r="I958" s="5">
        <v>-1.68082440652219</v>
      </c>
      <c r="J958" s="5">
        <v>0.00703780528312981</v>
      </c>
      <c r="K958" s="5">
        <v>0.00703780528312981</v>
      </c>
      <c r="L958" s="5">
        <v>0.00703780528312981</v>
      </c>
      <c r="M958" s="5">
        <v>-1.68786221180532</v>
      </c>
      <c r="N958" s="5">
        <v>-1.68786221180532</v>
      </c>
      <c r="O958" s="5">
        <v>-1.68786221180532</v>
      </c>
      <c r="P958" s="5">
        <v>0.0</v>
      </c>
      <c r="Q958" s="5">
        <v>0.0</v>
      </c>
      <c r="R958" s="5">
        <v>0.0</v>
      </c>
      <c r="S958" s="5">
        <v>36.2826731904151</v>
      </c>
    </row>
    <row r="959">
      <c r="A959" s="6">
        <v>41746.0</v>
      </c>
      <c r="B959" s="5">
        <v>38.0150097800386</v>
      </c>
      <c r="C959" s="5">
        <v>-31.8885702904334</v>
      </c>
      <c r="D959" s="5">
        <v>99.2354631655164</v>
      </c>
      <c r="E959" s="5">
        <v>38.0150097800386</v>
      </c>
      <c r="F959" s="5">
        <v>38.0150097800386</v>
      </c>
      <c r="G959" s="5">
        <v>-2.25487666800288</v>
      </c>
      <c r="H959" s="5">
        <v>-2.25487666800288</v>
      </c>
      <c r="I959" s="5">
        <v>-2.25487666800288</v>
      </c>
      <c r="J959" s="5">
        <v>-0.776422525899986</v>
      </c>
      <c r="K959" s="5">
        <v>-0.776422525899986</v>
      </c>
      <c r="L959" s="5">
        <v>-0.776422525899986</v>
      </c>
      <c r="M959" s="5">
        <v>-1.47845414210289</v>
      </c>
      <c r="N959" s="5">
        <v>-1.47845414210289</v>
      </c>
      <c r="O959" s="5">
        <v>-1.47845414210289</v>
      </c>
      <c r="P959" s="5">
        <v>0.0</v>
      </c>
      <c r="Q959" s="5">
        <v>0.0</v>
      </c>
      <c r="R959" s="5">
        <v>0.0</v>
      </c>
      <c r="S959" s="5">
        <v>35.7601331120357</v>
      </c>
    </row>
    <row r="960">
      <c r="A960" s="6">
        <v>41750.0</v>
      </c>
      <c r="B960" s="5">
        <v>38.2210585124437</v>
      </c>
      <c r="C960" s="5">
        <v>-27.2804502901977</v>
      </c>
      <c r="D960" s="5">
        <v>102.117190143319</v>
      </c>
      <c r="E960" s="5">
        <v>38.2210585124437</v>
      </c>
      <c r="F960" s="5">
        <v>38.2210585124437</v>
      </c>
      <c r="G960" s="5">
        <v>-0.999776855938191</v>
      </c>
      <c r="H960" s="5">
        <v>-0.999776855938191</v>
      </c>
      <c r="I960" s="5">
        <v>-0.999776855938191</v>
      </c>
      <c r="J960" s="5">
        <v>0.0905589421218193</v>
      </c>
      <c r="K960" s="5">
        <v>0.0905589421218193</v>
      </c>
      <c r="L960" s="5">
        <v>0.0905589421218193</v>
      </c>
      <c r="M960" s="5">
        <v>-1.09033579806001</v>
      </c>
      <c r="N960" s="5">
        <v>-1.09033579806001</v>
      </c>
      <c r="O960" s="5">
        <v>-1.09033579806001</v>
      </c>
      <c r="P960" s="5">
        <v>0.0</v>
      </c>
      <c r="Q960" s="5">
        <v>0.0</v>
      </c>
      <c r="R960" s="5">
        <v>0.0</v>
      </c>
      <c r="S960" s="5">
        <v>37.2212816565055</v>
      </c>
    </row>
    <row r="961">
      <c r="A961" s="6">
        <v>41751.0</v>
      </c>
      <c r="B961" s="5">
        <v>38.272570695545</v>
      </c>
      <c r="C961" s="5">
        <v>-28.7421156371142</v>
      </c>
      <c r="D961" s="5">
        <v>101.522554914128</v>
      </c>
      <c r="E961" s="5">
        <v>38.272570695545</v>
      </c>
      <c r="F961" s="5">
        <v>38.272570695545</v>
      </c>
      <c r="G961" s="5">
        <v>-1.28570118721844</v>
      </c>
      <c r="H961" s="5">
        <v>-1.28570118721844</v>
      </c>
      <c r="I961" s="5">
        <v>-1.28570118721844</v>
      </c>
      <c r="J961" s="5">
        <v>-0.144118857247052</v>
      </c>
      <c r="K961" s="5">
        <v>-0.144118857247052</v>
      </c>
      <c r="L961" s="5">
        <v>-0.144118857247052</v>
      </c>
      <c r="M961" s="5">
        <v>-1.14158232997139</v>
      </c>
      <c r="N961" s="5">
        <v>-1.14158232997139</v>
      </c>
      <c r="O961" s="5">
        <v>-1.14158232997139</v>
      </c>
      <c r="P961" s="5">
        <v>0.0</v>
      </c>
      <c r="Q961" s="5">
        <v>0.0</v>
      </c>
      <c r="R961" s="5">
        <v>0.0</v>
      </c>
      <c r="S961" s="5">
        <v>36.9868695083265</v>
      </c>
    </row>
    <row r="962">
      <c r="A962" s="6">
        <v>41752.0</v>
      </c>
      <c r="B962" s="5">
        <v>38.3240828786463</v>
      </c>
      <c r="C962" s="5">
        <v>-30.7085797033948</v>
      </c>
      <c r="D962" s="5">
        <v>98.2333167814732</v>
      </c>
      <c r="E962" s="5">
        <v>38.3240828786463</v>
      </c>
      <c r="F962" s="5">
        <v>38.3240828786463</v>
      </c>
      <c r="G962" s="5">
        <v>-1.25861911211382</v>
      </c>
      <c r="H962" s="5">
        <v>-1.25861911211382</v>
      </c>
      <c r="I962" s="5">
        <v>-1.25861911211382</v>
      </c>
      <c r="J962" s="5">
        <v>0.00703780528227726</v>
      </c>
      <c r="K962" s="5">
        <v>0.00703780528227726</v>
      </c>
      <c r="L962" s="5">
        <v>0.00703780528227726</v>
      </c>
      <c r="M962" s="5">
        <v>-1.26565691739609</v>
      </c>
      <c r="N962" s="5">
        <v>-1.26565691739609</v>
      </c>
      <c r="O962" s="5">
        <v>-1.26565691739609</v>
      </c>
      <c r="P962" s="5">
        <v>0.0</v>
      </c>
      <c r="Q962" s="5">
        <v>0.0</v>
      </c>
      <c r="R962" s="5">
        <v>0.0</v>
      </c>
      <c r="S962" s="5">
        <v>37.0654637665324</v>
      </c>
    </row>
    <row r="963">
      <c r="A963" s="6">
        <v>41753.0</v>
      </c>
      <c r="B963" s="5">
        <v>38.3755950617475</v>
      </c>
      <c r="C963" s="5">
        <v>-26.9282178076853</v>
      </c>
      <c r="D963" s="5">
        <v>102.056441755394</v>
      </c>
      <c r="E963" s="5">
        <v>38.3755950617475</v>
      </c>
      <c r="F963" s="5">
        <v>38.3755950617475</v>
      </c>
      <c r="G963" s="5">
        <v>-2.24456691603949</v>
      </c>
      <c r="H963" s="5">
        <v>-2.24456691603949</v>
      </c>
      <c r="I963" s="5">
        <v>-2.24456691603949</v>
      </c>
      <c r="J963" s="5">
        <v>-0.776422525902083</v>
      </c>
      <c r="K963" s="5">
        <v>-0.776422525902083</v>
      </c>
      <c r="L963" s="5">
        <v>-0.776422525902083</v>
      </c>
      <c r="M963" s="5">
        <v>-1.4681443901374</v>
      </c>
      <c r="N963" s="5">
        <v>-1.4681443901374</v>
      </c>
      <c r="O963" s="5">
        <v>-1.4681443901374</v>
      </c>
      <c r="P963" s="5">
        <v>0.0</v>
      </c>
      <c r="Q963" s="5">
        <v>0.0</v>
      </c>
      <c r="R963" s="5">
        <v>0.0</v>
      </c>
      <c r="S963" s="5">
        <v>36.131028145708</v>
      </c>
    </row>
    <row r="964">
      <c r="A964" s="6">
        <v>41754.0</v>
      </c>
      <c r="B964" s="5">
        <v>38.4271072448488</v>
      </c>
      <c r="C964" s="5">
        <v>-26.7890160457651</v>
      </c>
      <c r="D964" s="5">
        <v>95.6029278813437</v>
      </c>
      <c r="E964" s="5">
        <v>38.4271072448488</v>
      </c>
      <c r="F964" s="5">
        <v>38.4271072448488</v>
      </c>
      <c r="G964" s="5">
        <v>-3.34510080557923</v>
      </c>
      <c r="H964" s="5">
        <v>-3.34510080557923</v>
      </c>
      <c r="I964" s="5">
        <v>-3.34510080557923</v>
      </c>
      <c r="J964" s="5">
        <v>-1.59155056649207</v>
      </c>
      <c r="K964" s="5">
        <v>-1.59155056649207</v>
      </c>
      <c r="L964" s="5">
        <v>-1.59155056649207</v>
      </c>
      <c r="M964" s="5">
        <v>-1.75355023908716</v>
      </c>
      <c r="N964" s="5">
        <v>-1.75355023908716</v>
      </c>
      <c r="O964" s="5">
        <v>-1.75355023908716</v>
      </c>
      <c r="P964" s="5">
        <v>0.0</v>
      </c>
      <c r="Q964" s="5">
        <v>0.0</v>
      </c>
      <c r="R964" s="5">
        <v>0.0</v>
      </c>
      <c r="S964" s="5">
        <v>35.0820064392696</v>
      </c>
    </row>
    <row r="965">
      <c r="A965" s="6">
        <v>41757.0</v>
      </c>
      <c r="B965" s="5">
        <v>38.5816437941527</v>
      </c>
      <c r="C965" s="5">
        <v>-27.6131261513215</v>
      </c>
      <c r="D965" s="5">
        <v>95.9759669090814</v>
      </c>
      <c r="E965" s="5">
        <v>38.5816437941527</v>
      </c>
      <c r="F965" s="5">
        <v>38.5816437941527</v>
      </c>
      <c r="G965" s="5">
        <v>-3.04114058224397</v>
      </c>
      <c r="H965" s="5">
        <v>-3.04114058224397</v>
      </c>
      <c r="I965" s="5">
        <v>-3.04114058224397</v>
      </c>
      <c r="J965" s="5">
        <v>0.090558942120462</v>
      </c>
      <c r="K965" s="5">
        <v>0.090558942120462</v>
      </c>
      <c r="L965" s="5">
        <v>0.090558942120462</v>
      </c>
      <c r="M965" s="5">
        <v>-3.13169952436443</v>
      </c>
      <c r="N965" s="5">
        <v>-3.13169952436443</v>
      </c>
      <c r="O965" s="5">
        <v>-3.13169952436443</v>
      </c>
      <c r="P965" s="5">
        <v>0.0</v>
      </c>
      <c r="Q965" s="5">
        <v>0.0</v>
      </c>
      <c r="R965" s="5">
        <v>0.0</v>
      </c>
      <c r="S965" s="5">
        <v>35.5405032119087</v>
      </c>
    </row>
    <row r="966">
      <c r="A966" s="6">
        <v>41758.0</v>
      </c>
      <c r="B966" s="5">
        <v>38.6331559772539</v>
      </c>
      <c r="C966" s="5">
        <v>-25.925085323938</v>
      </c>
      <c r="D966" s="5">
        <v>104.824823775146</v>
      </c>
      <c r="E966" s="5">
        <v>38.6331559772539</v>
      </c>
      <c r="F966" s="5">
        <v>38.6331559772539</v>
      </c>
      <c r="G966" s="5">
        <v>-3.90930248858188</v>
      </c>
      <c r="H966" s="5">
        <v>-3.90930248858188</v>
      </c>
      <c r="I966" s="5">
        <v>-3.90930248858188</v>
      </c>
      <c r="J966" s="5">
        <v>-0.144118857245964</v>
      </c>
      <c r="K966" s="5">
        <v>-0.144118857245964</v>
      </c>
      <c r="L966" s="5">
        <v>-0.144118857245964</v>
      </c>
      <c r="M966" s="5">
        <v>-3.76518363133591</v>
      </c>
      <c r="N966" s="5">
        <v>-3.76518363133591</v>
      </c>
      <c r="O966" s="5">
        <v>-3.76518363133591</v>
      </c>
      <c r="P966" s="5">
        <v>0.0</v>
      </c>
      <c r="Q966" s="5">
        <v>0.0</v>
      </c>
      <c r="R966" s="5">
        <v>0.0</v>
      </c>
      <c r="S966" s="5">
        <v>34.7238534886721</v>
      </c>
    </row>
    <row r="967">
      <c r="A967" s="6">
        <v>41759.0</v>
      </c>
      <c r="B967" s="5">
        <v>38.6846681603552</v>
      </c>
      <c r="C967" s="5">
        <v>-26.2307311155545</v>
      </c>
      <c r="D967" s="5">
        <v>92.6317044871197</v>
      </c>
      <c r="E967" s="5">
        <v>38.6846681603552</v>
      </c>
      <c r="F967" s="5">
        <v>38.6846681603552</v>
      </c>
      <c r="G967" s="5">
        <v>-4.47437021812017</v>
      </c>
      <c r="H967" s="5">
        <v>-4.47437021812017</v>
      </c>
      <c r="I967" s="5">
        <v>-4.47437021812017</v>
      </c>
      <c r="J967" s="5">
        <v>0.0070378052814247</v>
      </c>
      <c r="K967" s="5">
        <v>0.0070378052814247</v>
      </c>
      <c r="L967" s="5">
        <v>0.0070378052814247</v>
      </c>
      <c r="M967" s="5">
        <v>-4.48140802340159</v>
      </c>
      <c r="N967" s="5">
        <v>-4.48140802340159</v>
      </c>
      <c r="O967" s="5">
        <v>-4.48140802340159</v>
      </c>
      <c r="P967" s="5">
        <v>0.0</v>
      </c>
      <c r="Q967" s="5">
        <v>0.0</v>
      </c>
      <c r="R967" s="5">
        <v>0.0</v>
      </c>
      <c r="S967" s="5">
        <v>34.2102979422351</v>
      </c>
    </row>
    <row r="968">
      <c r="A968" s="6">
        <v>41760.0</v>
      </c>
      <c r="B968" s="5">
        <v>38.7361803434565</v>
      </c>
      <c r="C968" s="5">
        <v>-31.2237228388423</v>
      </c>
      <c r="D968" s="5">
        <v>94.3746939415976</v>
      </c>
      <c r="E968" s="5">
        <v>38.7361803434565</v>
      </c>
      <c r="F968" s="5">
        <v>38.7361803434565</v>
      </c>
      <c r="G968" s="5">
        <v>-6.05150573741774</v>
      </c>
      <c r="H968" s="5">
        <v>-6.05150573741774</v>
      </c>
      <c r="I968" s="5">
        <v>-6.05150573741774</v>
      </c>
      <c r="J968" s="5">
        <v>-0.776422525902805</v>
      </c>
      <c r="K968" s="5">
        <v>-0.776422525902805</v>
      </c>
      <c r="L968" s="5">
        <v>-0.776422525902805</v>
      </c>
      <c r="M968" s="5">
        <v>-5.27508321151494</v>
      </c>
      <c r="N968" s="5">
        <v>-5.27508321151494</v>
      </c>
      <c r="O968" s="5">
        <v>-5.27508321151494</v>
      </c>
      <c r="P968" s="5">
        <v>0.0</v>
      </c>
      <c r="Q968" s="5">
        <v>0.0</v>
      </c>
      <c r="R968" s="5">
        <v>0.0</v>
      </c>
      <c r="S968" s="5">
        <v>32.6846746060388</v>
      </c>
    </row>
    <row r="969">
      <c r="A969" s="6">
        <v>41761.0</v>
      </c>
      <c r="B969" s="5">
        <v>38.7876925265578</v>
      </c>
      <c r="C969" s="5">
        <v>-30.6220991381345</v>
      </c>
      <c r="D969" s="5">
        <v>92.7035616155766</v>
      </c>
      <c r="E969" s="5">
        <v>38.7876925265578</v>
      </c>
      <c r="F969" s="5">
        <v>38.7876925265578</v>
      </c>
      <c r="G969" s="5">
        <v>-7.73071203533876</v>
      </c>
      <c r="H969" s="5">
        <v>-7.73071203533876</v>
      </c>
      <c r="I969" s="5">
        <v>-7.73071203533876</v>
      </c>
      <c r="J969" s="5">
        <v>-1.59155056649083</v>
      </c>
      <c r="K969" s="5">
        <v>-1.59155056649083</v>
      </c>
      <c r="L969" s="5">
        <v>-1.59155056649083</v>
      </c>
      <c r="M969" s="5">
        <v>-6.13916146884793</v>
      </c>
      <c r="N969" s="5">
        <v>-6.13916146884793</v>
      </c>
      <c r="O969" s="5">
        <v>-6.13916146884793</v>
      </c>
      <c r="P969" s="5">
        <v>0.0</v>
      </c>
      <c r="Q969" s="5">
        <v>0.0</v>
      </c>
      <c r="R969" s="5">
        <v>0.0</v>
      </c>
      <c r="S969" s="5">
        <v>31.056980491219</v>
      </c>
    </row>
    <row r="970">
      <c r="A970" s="6">
        <v>41764.0</v>
      </c>
      <c r="B970" s="5">
        <v>38.9422290758616</v>
      </c>
      <c r="C970" s="5">
        <v>-37.2842401941343</v>
      </c>
      <c r="D970" s="5">
        <v>92.8565058254298</v>
      </c>
      <c r="E970" s="5">
        <v>38.9422290758616</v>
      </c>
      <c r="F970" s="5">
        <v>38.9422290758616</v>
      </c>
      <c r="G970" s="5">
        <v>-8.96888046577802</v>
      </c>
      <c r="H970" s="5">
        <v>-8.96888046577802</v>
      </c>
      <c r="I970" s="5">
        <v>-8.96888046577802</v>
      </c>
      <c r="J970" s="5">
        <v>0.0905589421214084</v>
      </c>
      <c r="K970" s="5">
        <v>0.0905589421214084</v>
      </c>
      <c r="L970" s="5">
        <v>0.0905589421214084</v>
      </c>
      <c r="M970" s="5">
        <v>-9.05943940789943</v>
      </c>
      <c r="N970" s="5">
        <v>-9.05943940789943</v>
      </c>
      <c r="O970" s="5">
        <v>-9.05943940789943</v>
      </c>
      <c r="P970" s="5">
        <v>0.0</v>
      </c>
      <c r="Q970" s="5">
        <v>0.0</v>
      </c>
      <c r="R970" s="5">
        <v>0.0</v>
      </c>
      <c r="S970" s="5">
        <v>29.9733486100836</v>
      </c>
    </row>
    <row r="971">
      <c r="A971" s="6">
        <v>41765.0</v>
      </c>
      <c r="B971" s="5">
        <v>38.9937412589629</v>
      </c>
      <c r="C971" s="5">
        <v>-27.2195896893519</v>
      </c>
      <c r="D971" s="5">
        <v>94.89668447503</v>
      </c>
      <c r="E971" s="5">
        <v>38.9937412589629</v>
      </c>
      <c r="F971" s="5">
        <v>38.9937412589629</v>
      </c>
      <c r="G971" s="5">
        <v>-10.2481789927666</v>
      </c>
      <c r="H971" s="5">
        <v>-10.2481789927666</v>
      </c>
      <c r="I971" s="5">
        <v>-10.2481789927666</v>
      </c>
      <c r="J971" s="5">
        <v>-0.144118857244876</v>
      </c>
      <c r="K971" s="5">
        <v>-0.144118857244876</v>
      </c>
      <c r="L971" s="5">
        <v>-0.144118857244876</v>
      </c>
      <c r="M971" s="5">
        <v>-10.1040601355217</v>
      </c>
      <c r="N971" s="5">
        <v>-10.1040601355217</v>
      </c>
      <c r="O971" s="5">
        <v>-10.1040601355217</v>
      </c>
      <c r="P971" s="5">
        <v>0.0</v>
      </c>
      <c r="Q971" s="5">
        <v>0.0</v>
      </c>
      <c r="R971" s="5">
        <v>0.0</v>
      </c>
      <c r="S971" s="5">
        <v>28.7455622661963</v>
      </c>
    </row>
    <row r="972">
      <c r="A972" s="6">
        <v>41766.0</v>
      </c>
      <c r="B972" s="5">
        <v>39.0452534420642</v>
      </c>
      <c r="C972" s="5">
        <v>-34.1503188150406</v>
      </c>
      <c r="D972" s="5">
        <v>92.1820851184201</v>
      </c>
      <c r="E972" s="5">
        <v>39.0452534420642</v>
      </c>
      <c r="F972" s="5">
        <v>39.0452534420642</v>
      </c>
      <c r="G972" s="5">
        <v>-11.1556465609417</v>
      </c>
      <c r="H972" s="5">
        <v>-11.1556465609417</v>
      </c>
      <c r="I972" s="5">
        <v>-11.1556465609417</v>
      </c>
      <c r="J972" s="5">
        <v>0.00703780528057225</v>
      </c>
      <c r="K972" s="5">
        <v>0.00703780528057225</v>
      </c>
      <c r="L972" s="5">
        <v>0.00703780528057225</v>
      </c>
      <c r="M972" s="5">
        <v>-11.1626843662223</v>
      </c>
      <c r="N972" s="5">
        <v>-11.1626843662223</v>
      </c>
      <c r="O972" s="5">
        <v>-11.1626843662223</v>
      </c>
      <c r="P972" s="5">
        <v>0.0</v>
      </c>
      <c r="Q972" s="5">
        <v>0.0</v>
      </c>
      <c r="R972" s="5">
        <v>0.0</v>
      </c>
      <c r="S972" s="5">
        <v>27.8896068811225</v>
      </c>
    </row>
    <row r="973">
      <c r="A973" s="6">
        <v>41767.0</v>
      </c>
      <c r="B973" s="5">
        <v>39.0967656251655</v>
      </c>
      <c r="C973" s="5">
        <v>-34.8468598757539</v>
      </c>
      <c r="D973" s="5">
        <v>90.1250321906185</v>
      </c>
      <c r="E973" s="5">
        <v>39.0967656251655</v>
      </c>
      <c r="F973" s="5">
        <v>39.0967656251655</v>
      </c>
      <c r="G973" s="5">
        <v>-12.9978591164367</v>
      </c>
      <c r="H973" s="5">
        <v>-12.9978591164367</v>
      </c>
      <c r="I973" s="5">
        <v>-12.9978591164367</v>
      </c>
      <c r="J973" s="5">
        <v>-0.776422525902052</v>
      </c>
      <c r="K973" s="5">
        <v>-0.776422525902052</v>
      </c>
      <c r="L973" s="5">
        <v>-0.776422525902052</v>
      </c>
      <c r="M973" s="5">
        <v>-12.2214365905347</v>
      </c>
      <c r="N973" s="5">
        <v>-12.2214365905347</v>
      </c>
      <c r="O973" s="5">
        <v>-12.2214365905347</v>
      </c>
      <c r="P973" s="5">
        <v>0.0</v>
      </c>
      <c r="Q973" s="5">
        <v>0.0</v>
      </c>
      <c r="R973" s="5">
        <v>0.0</v>
      </c>
      <c r="S973" s="5">
        <v>26.0989065087287</v>
      </c>
    </row>
    <row r="974">
      <c r="A974" s="6">
        <v>41768.0</v>
      </c>
      <c r="B974" s="5">
        <v>39.1482778082668</v>
      </c>
      <c r="C974" s="5">
        <v>-39.1051738420464</v>
      </c>
      <c r="D974" s="5">
        <v>83.9589704517904</v>
      </c>
      <c r="E974" s="5">
        <v>39.1482778082668</v>
      </c>
      <c r="F974" s="5">
        <v>39.1482778082668</v>
      </c>
      <c r="G974" s="5">
        <v>-14.857816785665</v>
      </c>
      <c r="H974" s="5">
        <v>-14.857816785665</v>
      </c>
      <c r="I974" s="5">
        <v>-14.857816785665</v>
      </c>
      <c r="J974" s="5">
        <v>-1.59155056649296</v>
      </c>
      <c r="K974" s="5">
        <v>-1.59155056649296</v>
      </c>
      <c r="L974" s="5">
        <v>-1.59155056649296</v>
      </c>
      <c r="M974" s="5">
        <v>-13.266266219172</v>
      </c>
      <c r="N974" s="5">
        <v>-13.266266219172</v>
      </c>
      <c r="O974" s="5">
        <v>-13.266266219172</v>
      </c>
      <c r="P974" s="5">
        <v>0.0</v>
      </c>
      <c r="Q974" s="5">
        <v>0.0</v>
      </c>
      <c r="R974" s="5">
        <v>0.0</v>
      </c>
      <c r="S974" s="5">
        <v>24.2904610226017</v>
      </c>
    </row>
    <row r="975">
      <c r="A975" s="6">
        <v>41771.0</v>
      </c>
      <c r="B975" s="5">
        <v>39.3028143575706</v>
      </c>
      <c r="C975" s="5">
        <v>-37.1924643987372</v>
      </c>
      <c r="D975" s="5">
        <v>88.4890259435009</v>
      </c>
      <c r="E975" s="5">
        <v>39.3028143575706</v>
      </c>
      <c r="F975" s="5">
        <v>39.3028143575706</v>
      </c>
      <c r="G975" s="5">
        <v>-16.0904236393573</v>
      </c>
      <c r="H975" s="5">
        <v>-16.0904236393573</v>
      </c>
      <c r="I975" s="5">
        <v>-16.0904236393573</v>
      </c>
      <c r="J975" s="5">
        <v>0.090558942119971</v>
      </c>
      <c r="K975" s="5">
        <v>0.090558942119971</v>
      </c>
      <c r="L975" s="5">
        <v>0.090558942119971</v>
      </c>
      <c r="M975" s="5">
        <v>-16.1809825814773</v>
      </c>
      <c r="N975" s="5">
        <v>-16.1809825814773</v>
      </c>
      <c r="O975" s="5">
        <v>-16.1809825814773</v>
      </c>
      <c r="P975" s="5">
        <v>0.0</v>
      </c>
      <c r="Q975" s="5">
        <v>0.0</v>
      </c>
      <c r="R975" s="5">
        <v>0.0</v>
      </c>
      <c r="S975" s="5">
        <v>23.2123907182132</v>
      </c>
    </row>
    <row r="976">
      <c r="A976" s="6">
        <v>41772.0</v>
      </c>
      <c r="B976" s="5">
        <v>39.3543265406719</v>
      </c>
      <c r="C976" s="5">
        <v>-37.7447329239254</v>
      </c>
      <c r="D976" s="5">
        <v>85.2479106939987</v>
      </c>
      <c r="E976" s="5">
        <v>39.3543265406719</v>
      </c>
      <c r="F976" s="5">
        <v>39.3543265406719</v>
      </c>
      <c r="G976" s="5">
        <v>-17.1816756247259</v>
      </c>
      <c r="H976" s="5">
        <v>-17.1816756247259</v>
      </c>
      <c r="I976" s="5">
        <v>-17.1816756247259</v>
      </c>
      <c r="J976" s="5">
        <v>-0.144118857246617</v>
      </c>
      <c r="K976" s="5">
        <v>-0.144118857246617</v>
      </c>
      <c r="L976" s="5">
        <v>-0.144118857246617</v>
      </c>
      <c r="M976" s="5">
        <v>-17.0375567674793</v>
      </c>
      <c r="N976" s="5">
        <v>-17.0375567674793</v>
      </c>
      <c r="O976" s="5">
        <v>-17.0375567674793</v>
      </c>
      <c r="P976" s="5">
        <v>0.0</v>
      </c>
      <c r="Q976" s="5">
        <v>0.0</v>
      </c>
      <c r="R976" s="5">
        <v>0.0</v>
      </c>
      <c r="S976" s="5">
        <v>22.172650915946</v>
      </c>
    </row>
    <row r="977">
      <c r="A977" s="6">
        <v>41773.0</v>
      </c>
      <c r="B977" s="5">
        <v>39.4058387237732</v>
      </c>
      <c r="C977" s="5">
        <v>-39.925821932564</v>
      </c>
      <c r="D977" s="5">
        <v>85.5723850330638</v>
      </c>
      <c r="E977" s="5">
        <v>39.4058387237732</v>
      </c>
      <c r="F977" s="5">
        <v>39.4058387237732</v>
      </c>
      <c r="G977" s="5">
        <v>-17.8116040529549</v>
      </c>
      <c r="H977" s="5">
        <v>-17.8116040529549</v>
      </c>
      <c r="I977" s="5">
        <v>-17.8116040529549</v>
      </c>
      <c r="J977" s="5">
        <v>0.00703780528287459</v>
      </c>
      <c r="K977" s="5">
        <v>0.00703780528287459</v>
      </c>
      <c r="L977" s="5">
        <v>0.00703780528287459</v>
      </c>
      <c r="M977" s="5">
        <v>-17.8186418582378</v>
      </c>
      <c r="N977" s="5">
        <v>-17.8186418582378</v>
      </c>
      <c r="O977" s="5">
        <v>-17.8186418582378</v>
      </c>
      <c r="P977" s="5">
        <v>0.0</v>
      </c>
      <c r="Q977" s="5">
        <v>0.0</v>
      </c>
      <c r="R977" s="5">
        <v>0.0</v>
      </c>
      <c r="S977" s="5">
        <v>21.5942346708182</v>
      </c>
    </row>
    <row r="978">
      <c r="A978" s="6">
        <v>41774.0</v>
      </c>
      <c r="B978" s="5">
        <v>39.4573509068745</v>
      </c>
      <c r="C978" s="5">
        <v>-43.9370811279333</v>
      </c>
      <c r="D978" s="5">
        <v>87.6987539963952</v>
      </c>
      <c r="E978" s="5">
        <v>39.4573509068745</v>
      </c>
      <c r="F978" s="5">
        <v>39.4573509068745</v>
      </c>
      <c r="G978" s="5">
        <v>-19.2921414201358</v>
      </c>
      <c r="H978" s="5">
        <v>-19.2921414201358</v>
      </c>
      <c r="I978" s="5">
        <v>-19.2921414201358</v>
      </c>
      <c r="J978" s="5">
        <v>-0.776422525902774</v>
      </c>
      <c r="K978" s="5">
        <v>-0.776422525902774</v>
      </c>
      <c r="L978" s="5">
        <v>-0.776422525902774</v>
      </c>
      <c r="M978" s="5">
        <v>-18.5157188942331</v>
      </c>
      <c r="N978" s="5">
        <v>-18.5157188942331</v>
      </c>
      <c r="O978" s="5">
        <v>-18.5157188942331</v>
      </c>
      <c r="P978" s="5">
        <v>0.0</v>
      </c>
      <c r="Q978" s="5">
        <v>0.0</v>
      </c>
      <c r="R978" s="5">
        <v>0.0</v>
      </c>
      <c r="S978" s="5">
        <v>20.1652094867386</v>
      </c>
    </row>
    <row r="979">
      <c r="A979" s="6">
        <v>41775.0</v>
      </c>
      <c r="B979" s="5">
        <v>39.5088630899758</v>
      </c>
      <c r="C979" s="5">
        <v>-43.1949440724658</v>
      </c>
      <c r="D979" s="5">
        <v>83.4974043569169</v>
      </c>
      <c r="E979" s="5">
        <v>39.5088630899758</v>
      </c>
      <c r="F979" s="5">
        <v>39.5088630899758</v>
      </c>
      <c r="G979" s="5">
        <v>-20.7136295420471</v>
      </c>
      <c r="H979" s="5">
        <v>-20.7136295420471</v>
      </c>
      <c r="I979" s="5">
        <v>-20.7136295420471</v>
      </c>
      <c r="J979" s="5">
        <v>-1.59155056649172</v>
      </c>
      <c r="K979" s="5">
        <v>-1.59155056649172</v>
      </c>
      <c r="L979" s="5">
        <v>-1.59155056649172</v>
      </c>
      <c r="M979" s="5">
        <v>-19.1220789755553</v>
      </c>
      <c r="N979" s="5">
        <v>-19.1220789755553</v>
      </c>
      <c r="O979" s="5">
        <v>-19.1220789755553</v>
      </c>
      <c r="P979" s="5">
        <v>0.0</v>
      </c>
      <c r="Q979" s="5">
        <v>0.0</v>
      </c>
      <c r="R979" s="5">
        <v>0.0</v>
      </c>
      <c r="S979" s="5">
        <v>18.7952335479287</v>
      </c>
    </row>
    <row r="980">
      <c r="A980" s="6">
        <v>41778.0</v>
      </c>
      <c r="B980" s="5">
        <v>39.6633996392796</v>
      </c>
      <c r="C980" s="5">
        <v>-42.2104663541907</v>
      </c>
      <c r="D980" s="5">
        <v>86.3222742475314</v>
      </c>
      <c r="E980" s="5">
        <v>39.6633996392796</v>
      </c>
      <c r="F980" s="5">
        <v>39.6633996392796</v>
      </c>
      <c r="G980" s="5">
        <v>-20.2690909483275</v>
      </c>
      <c r="H980" s="5">
        <v>-20.2690909483275</v>
      </c>
      <c r="I980" s="5">
        <v>-20.2690909483275</v>
      </c>
      <c r="J980" s="5">
        <v>0.0905589421233813</v>
      </c>
      <c r="K980" s="5">
        <v>0.0905589421233813</v>
      </c>
      <c r="L980" s="5">
        <v>0.0905589421233813</v>
      </c>
      <c r="M980" s="5">
        <v>-20.3596498904508</v>
      </c>
      <c r="N980" s="5">
        <v>-20.3596498904508</v>
      </c>
      <c r="O980" s="5">
        <v>-20.3596498904508</v>
      </c>
      <c r="P980" s="5">
        <v>0.0</v>
      </c>
      <c r="Q980" s="5">
        <v>0.0</v>
      </c>
      <c r="R980" s="5">
        <v>0.0</v>
      </c>
      <c r="S980" s="5">
        <v>19.3943086909521</v>
      </c>
    </row>
    <row r="981">
      <c r="A981" s="6">
        <v>41779.0</v>
      </c>
      <c r="B981" s="5">
        <v>39.7149118223809</v>
      </c>
      <c r="C981" s="5">
        <v>-43.5738972309913</v>
      </c>
      <c r="D981" s="5">
        <v>82.4259066029437</v>
      </c>
      <c r="E981" s="5">
        <v>39.7149118223809</v>
      </c>
      <c r="F981" s="5">
        <v>39.7149118223809</v>
      </c>
      <c r="G981" s="5">
        <v>-20.7204210949042</v>
      </c>
      <c r="H981" s="5">
        <v>-20.7204210949042</v>
      </c>
      <c r="I981" s="5">
        <v>-20.7204210949042</v>
      </c>
      <c r="J981" s="5">
        <v>-0.144118857245529</v>
      </c>
      <c r="K981" s="5">
        <v>-0.144118857245529</v>
      </c>
      <c r="L981" s="5">
        <v>-0.144118857245529</v>
      </c>
      <c r="M981" s="5">
        <v>-20.5763022376586</v>
      </c>
      <c r="N981" s="5">
        <v>-20.5763022376586</v>
      </c>
      <c r="O981" s="5">
        <v>-20.5763022376586</v>
      </c>
      <c r="P981" s="5">
        <v>0.0</v>
      </c>
      <c r="Q981" s="5">
        <v>0.0</v>
      </c>
      <c r="R981" s="5">
        <v>0.0</v>
      </c>
      <c r="S981" s="5">
        <v>18.9944907274767</v>
      </c>
    </row>
    <row r="982">
      <c r="A982" s="6">
        <v>41780.0</v>
      </c>
      <c r="B982" s="5">
        <v>39.7664240054822</v>
      </c>
      <c r="C982" s="5">
        <v>-43.537263436662</v>
      </c>
      <c r="D982" s="5">
        <v>76.5772469592379</v>
      </c>
      <c r="E982" s="5">
        <v>39.7664240054822</v>
      </c>
      <c r="F982" s="5">
        <v>39.7664240054822</v>
      </c>
      <c r="G982" s="5">
        <v>-20.6920900283978</v>
      </c>
      <c r="H982" s="5">
        <v>-20.6920900283978</v>
      </c>
      <c r="I982" s="5">
        <v>-20.6920900283978</v>
      </c>
      <c r="J982" s="5">
        <v>0.00703780527985841</v>
      </c>
      <c r="K982" s="5">
        <v>0.00703780527985841</v>
      </c>
      <c r="L982" s="5">
        <v>0.00703780527985841</v>
      </c>
      <c r="M982" s="5">
        <v>-20.6991278336777</v>
      </c>
      <c r="N982" s="5">
        <v>-20.6991278336777</v>
      </c>
      <c r="O982" s="5">
        <v>-20.6991278336777</v>
      </c>
      <c r="P982" s="5">
        <v>0.0</v>
      </c>
      <c r="Q982" s="5">
        <v>0.0</v>
      </c>
      <c r="R982" s="5">
        <v>0.0</v>
      </c>
      <c r="S982" s="5">
        <v>19.0743339770843</v>
      </c>
    </row>
    <row r="983">
      <c r="A983" s="6">
        <v>41781.0</v>
      </c>
      <c r="B983" s="5">
        <v>39.8179361885834</v>
      </c>
      <c r="C983" s="5">
        <v>-42.5112078911456</v>
      </c>
      <c r="D983" s="5">
        <v>80.9801449498012</v>
      </c>
      <c r="E983" s="5">
        <v>39.8179361885834</v>
      </c>
      <c r="F983" s="5">
        <v>39.8179361885834</v>
      </c>
      <c r="G983" s="5">
        <v>-21.5099007132061</v>
      </c>
      <c r="H983" s="5">
        <v>-21.5099007132061</v>
      </c>
      <c r="I983" s="5">
        <v>-21.5099007132061</v>
      </c>
      <c r="J983" s="5">
        <v>-0.776422525903496</v>
      </c>
      <c r="K983" s="5">
        <v>-0.776422525903496</v>
      </c>
      <c r="L983" s="5">
        <v>-0.776422525903496</v>
      </c>
      <c r="M983" s="5">
        <v>-20.7334781873026</v>
      </c>
      <c r="N983" s="5">
        <v>-20.7334781873026</v>
      </c>
      <c r="O983" s="5">
        <v>-20.7334781873026</v>
      </c>
      <c r="P983" s="5">
        <v>0.0</v>
      </c>
      <c r="Q983" s="5">
        <v>0.0</v>
      </c>
      <c r="R983" s="5">
        <v>0.0</v>
      </c>
      <c r="S983" s="5">
        <v>18.3080354753773</v>
      </c>
    </row>
    <row r="984">
      <c r="A984" s="6">
        <v>41782.0</v>
      </c>
      <c r="B984" s="5">
        <v>39.8694483716847</v>
      </c>
      <c r="C984" s="5">
        <v>-44.0517715781681</v>
      </c>
      <c r="D984" s="5">
        <v>79.397590205786</v>
      </c>
      <c r="E984" s="5">
        <v>39.8694483716847</v>
      </c>
      <c r="F984" s="5">
        <v>39.8694483716847</v>
      </c>
      <c r="G984" s="5">
        <v>-22.2779556000106</v>
      </c>
      <c r="H984" s="5">
        <v>-22.2779556000106</v>
      </c>
      <c r="I984" s="5">
        <v>-22.2779556000106</v>
      </c>
      <c r="J984" s="5">
        <v>-1.5915505664908</v>
      </c>
      <c r="K984" s="5">
        <v>-1.5915505664908</v>
      </c>
      <c r="L984" s="5">
        <v>-1.5915505664908</v>
      </c>
      <c r="M984" s="5">
        <v>-20.6864050335198</v>
      </c>
      <c r="N984" s="5">
        <v>-20.6864050335198</v>
      </c>
      <c r="O984" s="5">
        <v>-20.6864050335198</v>
      </c>
      <c r="P984" s="5">
        <v>0.0</v>
      </c>
      <c r="Q984" s="5">
        <v>0.0</v>
      </c>
      <c r="R984" s="5">
        <v>0.0</v>
      </c>
      <c r="S984" s="5">
        <v>17.591492771674</v>
      </c>
    </row>
    <row r="985">
      <c r="A985" s="6">
        <v>41786.0</v>
      </c>
      <c r="B985" s="5">
        <v>40.0754971040899</v>
      </c>
      <c r="C985" s="5">
        <v>-44.4609626154872</v>
      </c>
      <c r="D985" s="5">
        <v>80.7016530468577</v>
      </c>
      <c r="E985" s="5">
        <v>40.0754971040899</v>
      </c>
      <c r="F985" s="5">
        <v>40.0754971040899</v>
      </c>
      <c r="G985" s="5">
        <v>-20.0150847536488</v>
      </c>
      <c r="H985" s="5">
        <v>-20.0150847536488</v>
      </c>
      <c r="I985" s="5">
        <v>-20.0150847536488</v>
      </c>
      <c r="J985" s="5">
        <v>-0.144118857246964</v>
      </c>
      <c r="K985" s="5">
        <v>-0.144118857246964</v>
      </c>
      <c r="L985" s="5">
        <v>-0.144118857246964</v>
      </c>
      <c r="M985" s="5">
        <v>-19.8709658964018</v>
      </c>
      <c r="N985" s="5">
        <v>-19.8709658964018</v>
      </c>
      <c r="O985" s="5">
        <v>-19.8709658964018</v>
      </c>
      <c r="P985" s="5">
        <v>0.0</v>
      </c>
      <c r="Q985" s="5">
        <v>0.0</v>
      </c>
      <c r="R985" s="5">
        <v>0.0</v>
      </c>
      <c r="S985" s="5">
        <v>20.0604123504411</v>
      </c>
    </row>
    <row r="986">
      <c r="A986" s="6">
        <v>41787.0</v>
      </c>
      <c r="B986" s="5">
        <v>40.1270092871911</v>
      </c>
      <c r="C986" s="5">
        <v>-43.6285509448295</v>
      </c>
      <c r="D986" s="5">
        <v>81.8812267884053</v>
      </c>
      <c r="E986" s="5">
        <v>40.1270092871911</v>
      </c>
      <c r="F986" s="5">
        <v>40.1270092871911</v>
      </c>
      <c r="G986" s="5">
        <v>-19.55753406077</v>
      </c>
      <c r="H986" s="5">
        <v>-19.55753406077</v>
      </c>
      <c r="I986" s="5">
        <v>-19.55753406077</v>
      </c>
      <c r="J986" s="5">
        <v>0.00703780528116951</v>
      </c>
      <c r="K986" s="5">
        <v>0.00703780528116951</v>
      </c>
      <c r="L986" s="5">
        <v>0.00703780528116951</v>
      </c>
      <c r="M986" s="5">
        <v>-19.5645718660512</v>
      </c>
      <c r="N986" s="5">
        <v>-19.5645718660512</v>
      </c>
      <c r="O986" s="5">
        <v>-19.5645718660512</v>
      </c>
      <c r="P986" s="5">
        <v>0.0</v>
      </c>
      <c r="Q986" s="5">
        <v>0.0</v>
      </c>
      <c r="R986" s="5">
        <v>0.0</v>
      </c>
      <c r="S986" s="5">
        <v>20.5694752264211</v>
      </c>
    </row>
    <row r="987">
      <c r="A987" s="6">
        <v>41788.0</v>
      </c>
      <c r="B987" s="5">
        <v>40.1785214702924</v>
      </c>
      <c r="C987" s="5">
        <v>-45.1041006556797</v>
      </c>
      <c r="D987" s="5">
        <v>81.1130983754979</v>
      </c>
      <c r="E987" s="5">
        <v>40.1785214702924</v>
      </c>
      <c r="F987" s="5">
        <v>40.1785214702924</v>
      </c>
      <c r="G987" s="5">
        <v>-20.0165004736694</v>
      </c>
      <c r="H987" s="5">
        <v>-20.0165004736694</v>
      </c>
      <c r="I987" s="5">
        <v>-20.0165004736694</v>
      </c>
      <c r="J987" s="5">
        <v>-0.776422525904218</v>
      </c>
      <c r="K987" s="5">
        <v>-0.776422525904218</v>
      </c>
      <c r="L987" s="5">
        <v>-0.776422525904218</v>
      </c>
      <c r="M987" s="5">
        <v>-19.2400779477652</v>
      </c>
      <c r="N987" s="5">
        <v>-19.2400779477652</v>
      </c>
      <c r="O987" s="5">
        <v>-19.2400779477652</v>
      </c>
      <c r="P987" s="5">
        <v>0.0</v>
      </c>
      <c r="Q987" s="5">
        <v>0.0</v>
      </c>
      <c r="R987" s="5">
        <v>0.0</v>
      </c>
      <c r="S987" s="5">
        <v>20.162020996623</v>
      </c>
    </row>
    <row r="988">
      <c r="A988" s="6">
        <v>41789.0</v>
      </c>
      <c r="B988" s="5">
        <v>40.2300336533937</v>
      </c>
      <c r="C988" s="5">
        <v>-40.6136125214212</v>
      </c>
      <c r="D988" s="5">
        <v>76.7893677160932</v>
      </c>
      <c r="E988" s="5">
        <v>40.2300336533937</v>
      </c>
      <c r="F988" s="5">
        <v>40.2300336533937</v>
      </c>
      <c r="G988" s="5">
        <v>-20.5001810238922</v>
      </c>
      <c r="H988" s="5">
        <v>-20.5001810238922</v>
      </c>
      <c r="I988" s="5">
        <v>-20.5001810238922</v>
      </c>
      <c r="J988" s="5">
        <v>-1.59155056649536</v>
      </c>
      <c r="K988" s="5">
        <v>-1.59155056649536</v>
      </c>
      <c r="L988" s="5">
        <v>-1.59155056649536</v>
      </c>
      <c r="M988" s="5">
        <v>-18.9086304573968</v>
      </c>
      <c r="N988" s="5">
        <v>-18.9086304573968</v>
      </c>
      <c r="O988" s="5">
        <v>-18.9086304573968</v>
      </c>
      <c r="P988" s="5">
        <v>0.0</v>
      </c>
      <c r="Q988" s="5">
        <v>0.0</v>
      </c>
      <c r="R988" s="5">
        <v>0.0</v>
      </c>
      <c r="S988" s="5">
        <v>19.7298526295014</v>
      </c>
    </row>
    <row r="989">
      <c r="A989" s="6">
        <v>41792.0</v>
      </c>
      <c r="B989" s="5">
        <v>40.3845702026976</v>
      </c>
      <c r="C989" s="5">
        <v>-42.9032426630072</v>
      </c>
      <c r="D989" s="5">
        <v>79.0973559007203</v>
      </c>
      <c r="E989" s="5">
        <v>40.3845702026976</v>
      </c>
      <c r="F989" s="5">
        <v>40.3845702026976</v>
      </c>
      <c r="G989" s="5">
        <v>-17.881518020947</v>
      </c>
      <c r="H989" s="5">
        <v>-17.881518020947</v>
      </c>
      <c r="I989" s="5">
        <v>-17.881518020947</v>
      </c>
      <c r="J989" s="5">
        <v>0.0905589421205064</v>
      </c>
      <c r="K989" s="5">
        <v>0.0905589421205064</v>
      </c>
      <c r="L989" s="5">
        <v>0.0905589421205064</v>
      </c>
      <c r="M989" s="5">
        <v>-17.9720769630675</v>
      </c>
      <c r="N989" s="5">
        <v>-17.9720769630675</v>
      </c>
      <c r="O989" s="5">
        <v>-17.9720769630675</v>
      </c>
      <c r="P989" s="5">
        <v>0.0</v>
      </c>
      <c r="Q989" s="5">
        <v>0.0</v>
      </c>
      <c r="R989" s="5">
        <v>0.0</v>
      </c>
      <c r="S989" s="5">
        <v>22.5030521817505</v>
      </c>
    </row>
    <row r="990">
      <c r="A990" s="6">
        <v>41793.0</v>
      </c>
      <c r="B990" s="5">
        <v>40.4360823857988</v>
      </c>
      <c r="C990" s="5">
        <v>-41.1620399872188</v>
      </c>
      <c r="D990" s="5">
        <v>85.7215050808821</v>
      </c>
      <c r="E990" s="5">
        <v>40.4360823857988</v>
      </c>
      <c r="F990" s="5">
        <v>40.4360823857988</v>
      </c>
      <c r="G990" s="5">
        <v>-17.850614682912</v>
      </c>
      <c r="H990" s="5">
        <v>-17.850614682912</v>
      </c>
      <c r="I990" s="5">
        <v>-17.850614682912</v>
      </c>
      <c r="J990" s="5">
        <v>-0.144118857243353</v>
      </c>
      <c r="K990" s="5">
        <v>-0.144118857243353</v>
      </c>
      <c r="L990" s="5">
        <v>-0.144118857243353</v>
      </c>
      <c r="M990" s="5">
        <v>-17.7064958256686</v>
      </c>
      <c r="N990" s="5">
        <v>-17.7064958256686</v>
      </c>
      <c r="O990" s="5">
        <v>-17.7064958256686</v>
      </c>
      <c r="P990" s="5">
        <v>0.0</v>
      </c>
      <c r="Q990" s="5">
        <v>0.0</v>
      </c>
      <c r="R990" s="5">
        <v>0.0</v>
      </c>
      <c r="S990" s="5">
        <v>22.5854677028868</v>
      </c>
    </row>
    <row r="991">
      <c r="A991" s="6">
        <v>41794.0</v>
      </c>
      <c r="B991" s="5">
        <v>40.4875945689001</v>
      </c>
      <c r="C991" s="5">
        <v>-39.1815921282791</v>
      </c>
      <c r="D991" s="5">
        <v>81.1538683092268</v>
      </c>
      <c r="E991" s="5">
        <v>40.4875945689001</v>
      </c>
      <c r="F991" s="5">
        <v>40.4875945689001</v>
      </c>
      <c r="G991" s="5">
        <v>-17.4671907583993</v>
      </c>
      <c r="H991" s="5">
        <v>-17.4671907583993</v>
      </c>
      <c r="I991" s="5">
        <v>-17.4671907583993</v>
      </c>
      <c r="J991" s="5">
        <v>0.00703780528347202</v>
      </c>
      <c r="K991" s="5">
        <v>0.00703780528347202</v>
      </c>
      <c r="L991" s="5">
        <v>0.00703780528347202</v>
      </c>
      <c r="M991" s="5">
        <v>-17.4742285636827</v>
      </c>
      <c r="N991" s="5">
        <v>-17.4742285636827</v>
      </c>
      <c r="O991" s="5">
        <v>-17.4742285636827</v>
      </c>
      <c r="P991" s="5">
        <v>0.0</v>
      </c>
      <c r="Q991" s="5">
        <v>0.0</v>
      </c>
      <c r="R991" s="5">
        <v>0.0</v>
      </c>
      <c r="S991" s="5">
        <v>23.0204038105008</v>
      </c>
    </row>
    <row r="992">
      <c r="A992" s="6">
        <v>41795.0</v>
      </c>
      <c r="B992" s="5">
        <v>40.5391067520014</v>
      </c>
      <c r="C992" s="5">
        <v>-41.1118963586386</v>
      </c>
      <c r="D992" s="5">
        <v>88.258403016657</v>
      </c>
      <c r="E992" s="5">
        <v>40.5391067520014</v>
      </c>
      <c r="F992" s="5">
        <v>40.5391067520014</v>
      </c>
      <c r="G992" s="5">
        <v>-18.0551939061576</v>
      </c>
      <c r="H992" s="5">
        <v>-18.0551939061576</v>
      </c>
      <c r="I992" s="5">
        <v>-18.0551939061576</v>
      </c>
      <c r="J992" s="5">
        <v>-0.776422525903465</v>
      </c>
      <c r="K992" s="5">
        <v>-0.776422525903465</v>
      </c>
      <c r="L992" s="5">
        <v>-0.776422525903465</v>
      </c>
      <c r="M992" s="5">
        <v>-17.2787713802542</v>
      </c>
      <c r="N992" s="5">
        <v>-17.2787713802542</v>
      </c>
      <c r="O992" s="5">
        <v>-17.2787713802542</v>
      </c>
      <c r="P992" s="5">
        <v>0.0</v>
      </c>
      <c r="Q992" s="5">
        <v>0.0</v>
      </c>
      <c r="R992" s="5">
        <v>0.0</v>
      </c>
      <c r="S992" s="5">
        <v>22.4839128458437</v>
      </c>
    </row>
    <row r="993">
      <c r="A993" s="6">
        <v>41796.0</v>
      </c>
      <c r="B993" s="5">
        <v>40.5906189351027</v>
      </c>
      <c r="C993" s="5">
        <v>-39.8705373602508</v>
      </c>
      <c r="D993" s="5">
        <v>84.589761226659</v>
      </c>
      <c r="E993" s="5">
        <v>40.5906189351027</v>
      </c>
      <c r="F993" s="5">
        <v>40.5906189351027</v>
      </c>
      <c r="G993" s="5">
        <v>-18.7133828099915</v>
      </c>
      <c r="H993" s="5">
        <v>-18.7133828099915</v>
      </c>
      <c r="I993" s="5">
        <v>-18.7133828099915</v>
      </c>
      <c r="J993" s="5">
        <v>-1.59155056649443</v>
      </c>
      <c r="K993" s="5">
        <v>-1.59155056649443</v>
      </c>
      <c r="L993" s="5">
        <v>-1.59155056649443</v>
      </c>
      <c r="M993" s="5">
        <v>-17.1218322434971</v>
      </c>
      <c r="N993" s="5">
        <v>-17.1218322434971</v>
      </c>
      <c r="O993" s="5">
        <v>-17.1218322434971</v>
      </c>
      <c r="P993" s="5">
        <v>0.0</v>
      </c>
      <c r="Q993" s="5">
        <v>0.0</v>
      </c>
      <c r="R993" s="5">
        <v>0.0</v>
      </c>
      <c r="S993" s="5">
        <v>21.8772361251111</v>
      </c>
    </row>
    <row r="994">
      <c r="A994" s="6">
        <v>41799.0</v>
      </c>
      <c r="B994" s="5">
        <v>40.7451554844065</v>
      </c>
      <c r="C994" s="5">
        <v>-40.6207554053475</v>
      </c>
      <c r="D994" s="5">
        <v>85.0343740315305</v>
      </c>
      <c r="E994" s="5">
        <v>40.7451554844065</v>
      </c>
      <c r="F994" s="5">
        <v>40.7451554844065</v>
      </c>
      <c r="G994" s="5">
        <v>-16.782030680861</v>
      </c>
      <c r="H994" s="5">
        <v>-16.782030680861</v>
      </c>
      <c r="I994" s="5">
        <v>-16.782030680861</v>
      </c>
      <c r="J994" s="5">
        <v>0.090558942121613</v>
      </c>
      <c r="K994" s="5">
        <v>0.090558942121613</v>
      </c>
      <c r="L994" s="5">
        <v>0.090558942121613</v>
      </c>
      <c r="M994" s="5">
        <v>-16.8725896229826</v>
      </c>
      <c r="N994" s="5">
        <v>-16.8725896229826</v>
      </c>
      <c r="O994" s="5">
        <v>-16.8725896229826</v>
      </c>
      <c r="P994" s="5">
        <v>0.0</v>
      </c>
      <c r="Q994" s="5">
        <v>0.0</v>
      </c>
      <c r="R994" s="5">
        <v>0.0</v>
      </c>
      <c r="S994" s="5">
        <v>23.9631248035455</v>
      </c>
    </row>
    <row r="995">
      <c r="A995" s="6">
        <v>41800.0</v>
      </c>
      <c r="B995" s="5">
        <v>40.7966676675078</v>
      </c>
      <c r="C995" s="5">
        <v>-37.3148843440067</v>
      </c>
      <c r="D995" s="5">
        <v>85.0479588213095</v>
      </c>
      <c r="E995" s="5">
        <v>40.7966676675078</v>
      </c>
      <c r="F995" s="5">
        <v>40.7966676675078</v>
      </c>
      <c r="G995" s="5">
        <v>-16.996013026544</v>
      </c>
      <c r="H995" s="5">
        <v>-16.996013026544</v>
      </c>
      <c r="I995" s="5">
        <v>-16.996013026544</v>
      </c>
      <c r="J995" s="5">
        <v>-0.144118857246202</v>
      </c>
      <c r="K995" s="5">
        <v>-0.144118857246202</v>
      </c>
      <c r="L995" s="5">
        <v>-0.144118857246202</v>
      </c>
      <c r="M995" s="5">
        <v>-16.8518941692978</v>
      </c>
      <c r="N995" s="5">
        <v>-16.8518941692978</v>
      </c>
      <c r="O995" s="5">
        <v>-16.8518941692978</v>
      </c>
      <c r="P995" s="5">
        <v>0.0</v>
      </c>
      <c r="Q995" s="5">
        <v>0.0</v>
      </c>
      <c r="R995" s="5">
        <v>0.0</v>
      </c>
      <c r="S995" s="5">
        <v>23.8006546409638</v>
      </c>
    </row>
    <row r="996">
      <c r="A996" s="6">
        <v>41801.0</v>
      </c>
      <c r="B996" s="5">
        <v>40.8481798506091</v>
      </c>
      <c r="C996" s="5">
        <v>-35.5578367880184</v>
      </c>
      <c r="D996" s="5">
        <v>87.1910642151328</v>
      </c>
      <c r="E996" s="5">
        <v>40.8481798506091</v>
      </c>
      <c r="F996" s="5">
        <v>40.8481798506091</v>
      </c>
      <c r="G996" s="5">
        <v>-16.8459933645332</v>
      </c>
      <c r="H996" s="5">
        <v>-16.8459933645332</v>
      </c>
      <c r="I996" s="5">
        <v>-16.8459933645332</v>
      </c>
      <c r="J996" s="5">
        <v>0.00703780528261946</v>
      </c>
      <c r="K996" s="5">
        <v>0.00703780528261946</v>
      </c>
      <c r="L996" s="5">
        <v>0.00703780528261946</v>
      </c>
      <c r="M996" s="5">
        <v>-16.8530311698158</v>
      </c>
      <c r="N996" s="5">
        <v>-16.8530311698158</v>
      </c>
      <c r="O996" s="5">
        <v>-16.8530311698158</v>
      </c>
      <c r="P996" s="5">
        <v>0.0</v>
      </c>
      <c r="Q996" s="5">
        <v>0.0</v>
      </c>
      <c r="R996" s="5">
        <v>0.0</v>
      </c>
      <c r="S996" s="5">
        <v>24.0021864860758</v>
      </c>
    </row>
    <row r="997">
      <c r="A997" s="6">
        <v>41802.0</v>
      </c>
      <c r="B997" s="5">
        <v>40.8996920337104</v>
      </c>
      <c r="C997" s="5">
        <v>-34.7584231814486</v>
      </c>
      <c r="D997" s="5">
        <v>87.2847753901265</v>
      </c>
      <c r="E997" s="5">
        <v>40.8996920337104</v>
      </c>
      <c r="F997" s="5">
        <v>40.8996920337104</v>
      </c>
      <c r="G997" s="5">
        <v>-17.6450711624911</v>
      </c>
      <c r="H997" s="5">
        <v>-17.6450711624911</v>
      </c>
      <c r="I997" s="5">
        <v>-17.6450711624911</v>
      </c>
      <c r="J997" s="5">
        <v>-0.776422525902812</v>
      </c>
      <c r="K997" s="5">
        <v>-0.776422525902812</v>
      </c>
      <c r="L997" s="5">
        <v>-0.776422525902812</v>
      </c>
      <c r="M997" s="5">
        <v>-16.8686486365883</v>
      </c>
      <c r="N997" s="5">
        <v>-16.8686486365883</v>
      </c>
      <c r="O997" s="5">
        <v>-16.8686486365883</v>
      </c>
      <c r="P997" s="5">
        <v>0.0</v>
      </c>
      <c r="Q997" s="5">
        <v>0.0</v>
      </c>
      <c r="R997" s="5">
        <v>0.0</v>
      </c>
      <c r="S997" s="5">
        <v>23.2546208712193</v>
      </c>
    </row>
    <row r="998">
      <c r="A998" s="6">
        <v>41803.0</v>
      </c>
      <c r="B998" s="5">
        <v>40.9512042168117</v>
      </c>
      <c r="C998" s="5">
        <v>-39.7078992790923</v>
      </c>
      <c r="D998" s="5">
        <v>81.6978854827552</v>
      </c>
      <c r="E998" s="5">
        <v>40.9512042168117</v>
      </c>
      <c r="F998" s="5">
        <v>40.9512042168117</v>
      </c>
      <c r="G998" s="5">
        <v>-18.4821476908046</v>
      </c>
      <c r="H998" s="5">
        <v>-18.4821476908046</v>
      </c>
      <c r="I998" s="5">
        <v>-18.4821476908046</v>
      </c>
      <c r="J998" s="5">
        <v>-1.59155056649351</v>
      </c>
      <c r="K998" s="5">
        <v>-1.59155056649351</v>
      </c>
      <c r="L998" s="5">
        <v>-1.59155056649351</v>
      </c>
      <c r="M998" s="5">
        <v>-16.8905971243111</v>
      </c>
      <c r="N998" s="5">
        <v>-16.8905971243111</v>
      </c>
      <c r="O998" s="5">
        <v>-16.8905971243111</v>
      </c>
      <c r="P998" s="5">
        <v>0.0</v>
      </c>
      <c r="Q998" s="5">
        <v>0.0</v>
      </c>
      <c r="R998" s="5">
        <v>0.0</v>
      </c>
      <c r="S998" s="5">
        <v>22.469056526007</v>
      </c>
    </row>
    <row r="999">
      <c r="A999" s="6">
        <v>41806.0</v>
      </c>
      <c r="B999" s="5">
        <v>41.1057407661155</v>
      </c>
      <c r="C999" s="5">
        <v>-41.6095991092588</v>
      </c>
      <c r="D999" s="5">
        <v>90.2944870244065</v>
      </c>
      <c r="E999" s="5">
        <v>41.1057407661155</v>
      </c>
      <c r="F999" s="5">
        <v>41.1057407661155</v>
      </c>
      <c r="G999" s="5">
        <v>-16.8166365226204</v>
      </c>
      <c r="H999" s="5">
        <v>-16.8166365226204</v>
      </c>
      <c r="I999" s="5">
        <v>-16.8166365226204</v>
      </c>
      <c r="J999" s="5">
        <v>0.0905589421225595</v>
      </c>
      <c r="K999" s="5">
        <v>0.0905589421225595</v>
      </c>
      <c r="L999" s="5">
        <v>0.0905589421225595</v>
      </c>
      <c r="M999" s="5">
        <v>-16.9071954647429</v>
      </c>
      <c r="N999" s="5">
        <v>-16.9071954647429</v>
      </c>
      <c r="O999" s="5">
        <v>-16.9071954647429</v>
      </c>
      <c r="P999" s="5">
        <v>0.0</v>
      </c>
      <c r="Q999" s="5">
        <v>0.0</v>
      </c>
      <c r="R999" s="5">
        <v>0.0</v>
      </c>
      <c r="S999" s="5">
        <v>24.2891042434951</v>
      </c>
    </row>
    <row r="1000">
      <c r="A1000" s="6">
        <v>41807.0</v>
      </c>
      <c r="B1000" s="5">
        <v>41.1572529492168</v>
      </c>
      <c r="C1000" s="5">
        <v>-40.8680995381613</v>
      </c>
      <c r="D1000" s="5">
        <v>84.261946351332</v>
      </c>
      <c r="E1000" s="5">
        <v>41.1572529492168</v>
      </c>
      <c r="F1000" s="5">
        <v>41.1572529492168</v>
      </c>
      <c r="G1000" s="5">
        <v>-17.0116034246846</v>
      </c>
      <c r="H1000" s="5">
        <v>-17.0116034246846</v>
      </c>
      <c r="I1000" s="5">
        <v>-17.0116034246846</v>
      </c>
      <c r="J1000" s="5">
        <v>-0.144118857245114</v>
      </c>
      <c r="K1000" s="5">
        <v>-0.144118857245114</v>
      </c>
      <c r="L1000" s="5">
        <v>-0.144118857245114</v>
      </c>
      <c r="M1000" s="5">
        <v>-16.8674845674395</v>
      </c>
      <c r="N1000" s="5">
        <v>-16.8674845674395</v>
      </c>
      <c r="O1000" s="5">
        <v>-16.8674845674395</v>
      </c>
      <c r="P1000" s="5">
        <v>0.0</v>
      </c>
      <c r="Q1000" s="5">
        <v>0.0</v>
      </c>
      <c r="R1000" s="5">
        <v>0.0</v>
      </c>
      <c r="S1000" s="5">
        <v>24.1456495245322</v>
      </c>
    </row>
    <row r="1001">
      <c r="A1001" s="6">
        <v>41808.0</v>
      </c>
      <c r="B1001" s="5">
        <v>41.2087651323181</v>
      </c>
      <c r="C1001" s="5">
        <v>-40.3523330554263</v>
      </c>
      <c r="D1001" s="5">
        <v>89.6941460609797</v>
      </c>
      <c r="E1001" s="5">
        <v>41.2087651323181</v>
      </c>
      <c r="F1001" s="5">
        <v>41.2087651323181</v>
      </c>
      <c r="G1001" s="5">
        <v>-16.7848937026427</v>
      </c>
      <c r="H1001" s="5">
        <v>-16.7848937026427</v>
      </c>
      <c r="I1001" s="5">
        <v>-16.7848937026427</v>
      </c>
      <c r="J1001" s="5">
        <v>0.00703780528393063</v>
      </c>
      <c r="K1001" s="5">
        <v>0.00703780528393063</v>
      </c>
      <c r="L1001" s="5">
        <v>0.00703780528393063</v>
      </c>
      <c r="M1001" s="5">
        <v>-16.7919315079267</v>
      </c>
      <c r="N1001" s="5">
        <v>-16.7919315079267</v>
      </c>
      <c r="O1001" s="5">
        <v>-16.7919315079267</v>
      </c>
      <c r="P1001" s="5">
        <v>0.0</v>
      </c>
      <c r="Q1001" s="5">
        <v>0.0</v>
      </c>
      <c r="R1001" s="5">
        <v>0.0</v>
      </c>
      <c r="S1001" s="5">
        <v>24.4238714296753</v>
      </c>
    </row>
    <row r="1002">
      <c r="A1002" s="6">
        <v>41809.0</v>
      </c>
      <c r="B1002" s="5">
        <v>41.2602773154194</v>
      </c>
      <c r="C1002" s="5">
        <v>-41.2403962301051</v>
      </c>
      <c r="D1002" s="5">
        <v>84.2904408963831</v>
      </c>
      <c r="E1002" s="5">
        <v>41.2602773154194</v>
      </c>
      <c r="F1002" s="5">
        <v>41.2602773154194</v>
      </c>
      <c r="G1002" s="5">
        <v>-17.4503429323693</v>
      </c>
      <c r="H1002" s="5">
        <v>-17.4503429323693</v>
      </c>
      <c r="I1002" s="5">
        <v>-17.4503429323693</v>
      </c>
      <c r="J1002" s="5">
        <v>-0.776422525904909</v>
      </c>
      <c r="K1002" s="5">
        <v>-0.776422525904909</v>
      </c>
      <c r="L1002" s="5">
        <v>-0.776422525904909</v>
      </c>
      <c r="M1002" s="5">
        <v>-16.6739204064644</v>
      </c>
      <c r="N1002" s="5">
        <v>-16.6739204064644</v>
      </c>
      <c r="O1002" s="5">
        <v>-16.6739204064644</v>
      </c>
      <c r="P1002" s="5">
        <v>0.0</v>
      </c>
      <c r="Q1002" s="5">
        <v>0.0</v>
      </c>
      <c r="R1002" s="5">
        <v>0.0</v>
      </c>
      <c r="S1002" s="5">
        <v>23.80993438305</v>
      </c>
    </row>
    <row r="1003">
      <c r="A1003" s="6">
        <v>41810.0</v>
      </c>
      <c r="B1003" s="5">
        <v>41.3117894985206</v>
      </c>
      <c r="C1003" s="5">
        <v>-39.4718789783621</v>
      </c>
      <c r="D1003" s="5">
        <v>82.5934283875855</v>
      </c>
      <c r="E1003" s="5">
        <v>41.3117894985206</v>
      </c>
      <c r="F1003" s="5">
        <v>41.3117894985206</v>
      </c>
      <c r="G1003" s="5">
        <v>-18.0996150747907</v>
      </c>
      <c r="H1003" s="5">
        <v>-18.0996150747907</v>
      </c>
      <c r="I1003" s="5">
        <v>-18.0996150747907</v>
      </c>
      <c r="J1003" s="5">
        <v>-1.59155056649533</v>
      </c>
      <c r="K1003" s="5">
        <v>-1.59155056649533</v>
      </c>
      <c r="L1003" s="5">
        <v>-1.59155056649533</v>
      </c>
      <c r="M1003" s="5">
        <v>-16.5080645082954</v>
      </c>
      <c r="N1003" s="5">
        <v>-16.5080645082954</v>
      </c>
      <c r="O1003" s="5">
        <v>-16.5080645082954</v>
      </c>
      <c r="P1003" s="5">
        <v>0.0</v>
      </c>
      <c r="Q1003" s="5">
        <v>0.0</v>
      </c>
      <c r="R1003" s="5">
        <v>0.0</v>
      </c>
      <c r="S1003" s="5">
        <v>23.2121744237299</v>
      </c>
    </row>
    <row r="1004">
      <c r="A1004" s="6">
        <v>41813.0</v>
      </c>
      <c r="B1004" s="5">
        <v>41.4663260478245</v>
      </c>
      <c r="C1004" s="5">
        <v>-39.9699090160138</v>
      </c>
      <c r="D1004" s="5">
        <v>90.3914040390903</v>
      </c>
      <c r="E1004" s="5">
        <v>41.4663260478245</v>
      </c>
      <c r="F1004" s="5">
        <v>41.4663260478245</v>
      </c>
      <c r="G1004" s="5">
        <v>-15.601387464812</v>
      </c>
      <c r="H1004" s="5">
        <v>-15.601387464812</v>
      </c>
      <c r="I1004" s="5">
        <v>-15.601387464812</v>
      </c>
      <c r="J1004" s="5">
        <v>0.0905589421211221</v>
      </c>
      <c r="K1004" s="5">
        <v>0.0905589421211221</v>
      </c>
      <c r="L1004" s="5">
        <v>0.0905589421211221</v>
      </c>
      <c r="M1004" s="5">
        <v>-15.6919464069331</v>
      </c>
      <c r="N1004" s="5">
        <v>-15.6919464069331</v>
      </c>
      <c r="O1004" s="5">
        <v>-15.6919464069331</v>
      </c>
      <c r="P1004" s="5">
        <v>0.0</v>
      </c>
      <c r="Q1004" s="5">
        <v>0.0</v>
      </c>
      <c r="R1004" s="5">
        <v>0.0</v>
      </c>
      <c r="S1004" s="5">
        <v>25.8649385830125</v>
      </c>
    </row>
    <row r="1005">
      <c r="A1005" s="6">
        <v>41814.0</v>
      </c>
      <c r="B1005" s="5">
        <v>41.5178382309258</v>
      </c>
      <c r="C1005" s="5">
        <v>-40.0803369636587</v>
      </c>
      <c r="D1005" s="5">
        <v>93.5511706863261</v>
      </c>
      <c r="E1005" s="5">
        <v>41.5178382309258</v>
      </c>
      <c r="F1005" s="5">
        <v>41.5178382309258</v>
      </c>
      <c r="G1005" s="5">
        <v>-15.4556879175549</v>
      </c>
      <c r="H1005" s="5">
        <v>-15.4556879175549</v>
      </c>
      <c r="I1005" s="5">
        <v>-15.4556879175549</v>
      </c>
      <c r="J1005" s="5">
        <v>-0.144118857244026</v>
      </c>
      <c r="K1005" s="5">
        <v>-0.144118857244026</v>
      </c>
      <c r="L1005" s="5">
        <v>-0.144118857244026</v>
      </c>
      <c r="M1005" s="5">
        <v>-15.3115690603109</v>
      </c>
      <c r="N1005" s="5">
        <v>-15.3115690603109</v>
      </c>
      <c r="O1005" s="5">
        <v>-15.3115690603109</v>
      </c>
      <c r="P1005" s="5">
        <v>0.0</v>
      </c>
      <c r="Q1005" s="5">
        <v>0.0</v>
      </c>
      <c r="R1005" s="5">
        <v>0.0</v>
      </c>
      <c r="S1005" s="5">
        <v>26.0621503133708</v>
      </c>
    </row>
    <row r="1006">
      <c r="A1006" s="6">
        <v>41815.0</v>
      </c>
      <c r="B1006" s="5">
        <v>41.5693504140271</v>
      </c>
      <c r="C1006" s="5">
        <v>-37.0256583713473</v>
      </c>
      <c r="D1006" s="5">
        <v>85.5023026654533</v>
      </c>
      <c r="E1006" s="5">
        <v>41.5693504140271</v>
      </c>
      <c r="F1006" s="5">
        <v>41.5693504140271</v>
      </c>
      <c r="G1006" s="5">
        <v>-14.8732740328217</v>
      </c>
      <c r="H1006" s="5">
        <v>-14.8732740328217</v>
      </c>
      <c r="I1006" s="5">
        <v>-14.8732740328217</v>
      </c>
      <c r="J1006" s="5">
        <v>0.00703780528091445</v>
      </c>
      <c r="K1006" s="5">
        <v>0.00703780528091445</v>
      </c>
      <c r="L1006" s="5">
        <v>0.00703780528091445</v>
      </c>
      <c r="M1006" s="5">
        <v>-14.8803118381027</v>
      </c>
      <c r="N1006" s="5">
        <v>-14.8803118381027</v>
      </c>
      <c r="O1006" s="5">
        <v>-14.8803118381027</v>
      </c>
      <c r="P1006" s="5">
        <v>0.0</v>
      </c>
      <c r="Q1006" s="5">
        <v>0.0</v>
      </c>
      <c r="R1006" s="5">
        <v>0.0</v>
      </c>
      <c r="S1006" s="5">
        <v>26.6960763812053</v>
      </c>
    </row>
    <row r="1007">
      <c r="A1007" s="6">
        <v>41816.0</v>
      </c>
      <c r="B1007" s="5">
        <v>41.6208625971283</v>
      </c>
      <c r="C1007" s="5">
        <v>-39.9798874399716</v>
      </c>
      <c r="D1007" s="5">
        <v>88.7325795360251</v>
      </c>
      <c r="E1007" s="5">
        <v>41.6208625971283</v>
      </c>
      <c r="F1007" s="5">
        <v>41.6208625971283</v>
      </c>
      <c r="G1007" s="5">
        <v>-15.1791568762853</v>
      </c>
      <c r="H1007" s="5">
        <v>-15.1791568762853</v>
      </c>
      <c r="I1007" s="5">
        <v>-15.1791568762853</v>
      </c>
      <c r="J1007" s="5">
        <v>-0.776422525898556</v>
      </c>
      <c r="K1007" s="5">
        <v>-0.776422525898556</v>
      </c>
      <c r="L1007" s="5">
        <v>-0.776422525898556</v>
      </c>
      <c r="M1007" s="5">
        <v>-14.4027343503868</v>
      </c>
      <c r="N1007" s="5">
        <v>-14.4027343503868</v>
      </c>
      <c r="O1007" s="5">
        <v>-14.4027343503868</v>
      </c>
      <c r="P1007" s="5">
        <v>0.0</v>
      </c>
      <c r="Q1007" s="5">
        <v>0.0</v>
      </c>
      <c r="R1007" s="5">
        <v>0.0</v>
      </c>
      <c r="S1007" s="5">
        <v>26.441705720843</v>
      </c>
    </row>
    <row r="1008">
      <c r="A1008" s="6">
        <v>41817.0</v>
      </c>
      <c r="B1008" s="5">
        <v>41.6723747802296</v>
      </c>
      <c r="C1008" s="5">
        <v>-32.550553098173</v>
      </c>
      <c r="D1008" s="5">
        <v>87.6546745603409</v>
      </c>
      <c r="E1008" s="5">
        <v>41.6723747802296</v>
      </c>
      <c r="F1008" s="5">
        <v>41.6723747802296</v>
      </c>
      <c r="G1008" s="5">
        <v>-15.4765478435799</v>
      </c>
      <c r="H1008" s="5">
        <v>-15.4765478435799</v>
      </c>
      <c r="I1008" s="5">
        <v>-15.4765478435799</v>
      </c>
      <c r="J1008" s="5">
        <v>-1.59155056649409</v>
      </c>
      <c r="K1008" s="5">
        <v>-1.59155056649409</v>
      </c>
      <c r="L1008" s="5">
        <v>-1.59155056649409</v>
      </c>
      <c r="M1008" s="5">
        <v>-13.8849972770858</v>
      </c>
      <c r="N1008" s="5">
        <v>-13.8849972770858</v>
      </c>
      <c r="O1008" s="5">
        <v>-13.8849972770858</v>
      </c>
      <c r="P1008" s="5">
        <v>0.0</v>
      </c>
      <c r="Q1008" s="5">
        <v>0.0</v>
      </c>
      <c r="R1008" s="5">
        <v>0.0</v>
      </c>
      <c r="S1008" s="5">
        <v>26.1958269366497</v>
      </c>
    </row>
    <row r="1009">
      <c r="A1009" s="6">
        <v>41820.0</v>
      </c>
      <c r="B1009" s="5">
        <v>41.8269113295335</v>
      </c>
      <c r="C1009" s="5">
        <v>-33.9643634236304</v>
      </c>
      <c r="D1009" s="5">
        <v>94.8133355598055</v>
      </c>
      <c r="E1009" s="5">
        <v>41.8269113295335</v>
      </c>
      <c r="F1009" s="5">
        <v>41.8269113295335</v>
      </c>
      <c r="G1009" s="5">
        <v>-12.0823065985642</v>
      </c>
      <c r="H1009" s="5">
        <v>-12.0823065985642</v>
      </c>
      <c r="I1009" s="5">
        <v>-12.0823065985642</v>
      </c>
      <c r="J1009" s="5">
        <v>0.0905589421220685</v>
      </c>
      <c r="K1009" s="5">
        <v>0.0905589421220685</v>
      </c>
      <c r="L1009" s="5">
        <v>0.0905589421220685</v>
      </c>
      <c r="M1009" s="5">
        <v>-12.1728655406862</v>
      </c>
      <c r="N1009" s="5">
        <v>-12.1728655406862</v>
      </c>
      <c r="O1009" s="5">
        <v>-12.1728655406862</v>
      </c>
      <c r="P1009" s="5">
        <v>0.0</v>
      </c>
      <c r="Q1009" s="5">
        <v>0.0</v>
      </c>
      <c r="R1009" s="5">
        <v>0.0</v>
      </c>
      <c r="S1009" s="5">
        <v>29.7446047309693</v>
      </c>
    </row>
    <row r="1010">
      <c r="A1010" s="6">
        <v>41821.0</v>
      </c>
      <c r="B1010" s="5">
        <v>41.8784235126348</v>
      </c>
      <c r="C1010" s="5">
        <v>-29.2045327050343</v>
      </c>
      <c r="D1010" s="5">
        <v>89.4445435690506</v>
      </c>
      <c r="E1010" s="5">
        <v>41.8784235126348</v>
      </c>
      <c r="F1010" s="5">
        <v>41.8784235126348</v>
      </c>
      <c r="G1010" s="5">
        <v>-11.7258680857647</v>
      </c>
      <c r="H1010" s="5">
        <v>-11.7258680857647</v>
      </c>
      <c r="I1010" s="5">
        <v>-11.7258680857647</v>
      </c>
      <c r="J1010" s="5">
        <v>-0.144118857244352</v>
      </c>
      <c r="K1010" s="5">
        <v>-0.144118857244352</v>
      </c>
      <c r="L1010" s="5">
        <v>-0.144118857244352</v>
      </c>
      <c r="M1010" s="5">
        <v>-11.5817492285204</v>
      </c>
      <c r="N1010" s="5">
        <v>-11.5817492285204</v>
      </c>
      <c r="O1010" s="5">
        <v>-11.5817492285204</v>
      </c>
      <c r="P1010" s="5">
        <v>0.0</v>
      </c>
      <c r="Q1010" s="5">
        <v>0.0</v>
      </c>
      <c r="R1010" s="5">
        <v>0.0</v>
      </c>
      <c r="S1010" s="5">
        <v>30.15255542687</v>
      </c>
    </row>
    <row r="1011">
      <c r="A1011" s="6">
        <v>41822.0</v>
      </c>
      <c r="B1011" s="5">
        <v>41.929935695736</v>
      </c>
      <c r="C1011" s="5">
        <v>-30.1733961151947</v>
      </c>
      <c r="D1011" s="5">
        <v>95.759842293161</v>
      </c>
      <c r="E1011" s="5">
        <v>41.929935695736</v>
      </c>
      <c r="F1011" s="5">
        <v>41.929935695736</v>
      </c>
      <c r="G1011" s="5">
        <v>-10.9913376152857</v>
      </c>
      <c r="H1011" s="5">
        <v>-10.9913376152857</v>
      </c>
      <c r="I1011" s="5">
        <v>-10.9913376152857</v>
      </c>
      <c r="J1011" s="5">
        <v>0.00703780528321689</v>
      </c>
      <c r="K1011" s="5">
        <v>0.00703780528321689</v>
      </c>
      <c r="L1011" s="5">
        <v>0.00703780528321689</v>
      </c>
      <c r="M1011" s="5">
        <v>-10.9983754205689</v>
      </c>
      <c r="N1011" s="5">
        <v>-10.9983754205689</v>
      </c>
      <c r="O1011" s="5">
        <v>-10.9983754205689</v>
      </c>
      <c r="P1011" s="5">
        <v>0.0</v>
      </c>
      <c r="Q1011" s="5">
        <v>0.0</v>
      </c>
      <c r="R1011" s="5">
        <v>0.0</v>
      </c>
      <c r="S1011" s="5">
        <v>30.9385980804503</v>
      </c>
    </row>
    <row r="1012">
      <c r="A1012" s="6">
        <v>41823.0</v>
      </c>
      <c r="B1012" s="5">
        <v>41.9814478788373</v>
      </c>
      <c r="C1012" s="5">
        <v>-32.4878738113447</v>
      </c>
      <c r="D1012" s="5">
        <v>97.1537770801843</v>
      </c>
      <c r="E1012" s="5">
        <v>41.9814478788373</v>
      </c>
      <c r="F1012" s="5">
        <v>41.9814478788373</v>
      </c>
      <c r="G1012" s="5">
        <v>-11.2102965869856</v>
      </c>
      <c r="H1012" s="5">
        <v>-11.2102965869856</v>
      </c>
      <c r="I1012" s="5">
        <v>-11.2102965869856</v>
      </c>
      <c r="J1012" s="5">
        <v>-0.776422525900653</v>
      </c>
      <c r="K1012" s="5">
        <v>-0.776422525900653</v>
      </c>
      <c r="L1012" s="5">
        <v>-0.776422525900653</v>
      </c>
      <c r="M1012" s="5">
        <v>-10.433874061085</v>
      </c>
      <c r="N1012" s="5">
        <v>-10.433874061085</v>
      </c>
      <c r="O1012" s="5">
        <v>-10.433874061085</v>
      </c>
      <c r="P1012" s="5">
        <v>0.0</v>
      </c>
      <c r="Q1012" s="5">
        <v>0.0</v>
      </c>
      <c r="R1012" s="5">
        <v>0.0</v>
      </c>
      <c r="S1012" s="5">
        <v>30.7711512918517</v>
      </c>
    </row>
    <row r="1013">
      <c r="A1013" s="6">
        <v>41827.0</v>
      </c>
      <c r="B1013" s="5">
        <v>42.1874966112425</v>
      </c>
      <c r="C1013" s="5">
        <v>-28.4654733256421</v>
      </c>
      <c r="D1013" s="5">
        <v>99.9360426872579</v>
      </c>
      <c r="E1013" s="5">
        <v>42.1874966112425</v>
      </c>
      <c r="F1013" s="5">
        <v>42.1874966112425</v>
      </c>
      <c r="G1013" s="5">
        <v>-8.48299097173251</v>
      </c>
      <c r="H1013" s="5">
        <v>-8.48299097173251</v>
      </c>
      <c r="I1013" s="5">
        <v>-8.48299097173251</v>
      </c>
      <c r="J1013" s="5">
        <v>0.0905589421207112</v>
      </c>
      <c r="K1013" s="5">
        <v>0.0905589421207112</v>
      </c>
      <c r="L1013" s="5">
        <v>0.0905589421207112</v>
      </c>
      <c r="M1013" s="5">
        <v>-8.57354991385323</v>
      </c>
      <c r="N1013" s="5">
        <v>-8.57354991385323</v>
      </c>
      <c r="O1013" s="5">
        <v>-8.57354991385323</v>
      </c>
      <c r="P1013" s="5">
        <v>0.0</v>
      </c>
      <c r="Q1013" s="5">
        <v>0.0</v>
      </c>
      <c r="R1013" s="5">
        <v>0.0</v>
      </c>
      <c r="S1013" s="5">
        <v>33.7045056395099</v>
      </c>
    </row>
    <row r="1014">
      <c r="A1014" s="6">
        <v>41828.0</v>
      </c>
      <c r="B1014" s="5">
        <v>42.2390087943437</v>
      </c>
      <c r="C1014" s="5">
        <v>-27.3019937818262</v>
      </c>
      <c r="D1014" s="5">
        <v>97.2728023800047</v>
      </c>
      <c r="E1014" s="5">
        <v>42.2390087943437</v>
      </c>
      <c r="F1014" s="5">
        <v>42.2390087943437</v>
      </c>
      <c r="G1014" s="5">
        <v>-8.3966331823263</v>
      </c>
      <c r="H1014" s="5">
        <v>-8.3966331823263</v>
      </c>
      <c r="I1014" s="5">
        <v>-8.3966331823263</v>
      </c>
      <c r="J1014" s="5">
        <v>-0.144118857245788</v>
      </c>
      <c r="K1014" s="5">
        <v>-0.144118857245788</v>
      </c>
      <c r="L1014" s="5">
        <v>-0.144118857245788</v>
      </c>
      <c r="M1014" s="5">
        <v>-8.25251432508051</v>
      </c>
      <c r="N1014" s="5">
        <v>-8.25251432508051</v>
      </c>
      <c r="O1014" s="5">
        <v>-8.25251432508051</v>
      </c>
      <c r="P1014" s="5">
        <v>0.0</v>
      </c>
      <c r="Q1014" s="5">
        <v>0.0</v>
      </c>
      <c r="R1014" s="5">
        <v>0.0</v>
      </c>
      <c r="S1014" s="5">
        <v>33.8423756120174</v>
      </c>
    </row>
    <row r="1015">
      <c r="A1015" s="6">
        <v>41829.0</v>
      </c>
      <c r="B1015" s="5">
        <v>42.290520977445</v>
      </c>
      <c r="C1015" s="5">
        <v>-31.0182023065486</v>
      </c>
      <c r="D1015" s="5">
        <v>100.360385335665</v>
      </c>
      <c r="E1015" s="5">
        <v>42.290520977445</v>
      </c>
      <c r="F1015" s="5">
        <v>42.290520977445</v>
      </c>
      <c r="G1015" s="5">
        <v>-7.99538212025581</v>
      </c>
      <c r="H1015" s="5">
        <v>-7.99538212025581</v>
      </c>
      <c r="I1015" s="5">
        <v>-7.99538212025581</v>
      </c>
      <c r="J1015" s="5">
        <v>0.00703780528236433</v>
      </c>
      <c r="K1015" s="5">
        <v>0.00703780528236433</v>
      </c>
      <c r="L1015" s="5">
        <v>0.00703780528236433</v>
      </c>
      <c r="M1015" s="5">
        <v>-8.00241992553817</v>
      </c>
      <c r="N1015" s="5">
        <v>-8.00241992553817</v>
      </c>
      <c r="O1015" s="5">
        <v>-8.00241992553817</v>
      </c>
      <c r="P1015" s="5">
        <v>0.0</v>
      </c>
      <c r="Q1015" s="5">
        <v>0.0</v>
      </c>
      <c r="R1015" s="5">
        <v>0.0</v>
      </c>
      <c r="S1015" s="5">
        <v>34.2951388571892</v>
      </c>
    </row>
    <row r="1016">
      <c r="A1016" s="6">
        <v>41830.0</v>
      </c>
      <c r="B1016" s="5">
        <v>42.3420331605463</v>
      </c>
      <c r="C1016" s="5">
        <v>-27.7848343116287</v>
      </c>
      <c r="D1016" s="5">
        <v>95.8914567572241</v>
      </c>
      <c r="E1016" s="5">
        <v>42.3420331605463</v>
      </c>
      <c r="F1016" s="5">
        <v>42.3420331605463</v>
      </c>
      <c r="G1016" s="5">
        <v>-8.6034937936911</v>
      </c>
      <c r="H1016" s="5">
        <v>-8.6034937936911</v>
      </c>
      <c r="I1016" s="5">
        <v>-8.6034937936911</v>
      </c>
      <c r="J1016" s="5">
        <v>-0.77642252590275</v>
      </c>
      <c r="K1016" s="5">
        <v>-0.77642252590275</v>
      </c>
      <c r="L1016" s="5">
        <v>-0.77642252590275</v>
      </c>
      <c r="M1016" s="5">
        <v>-7.82707126778835</v>
      </c>
      <c r="N1016" s="5">
        <v>-7.82707126778835</v>
      </c>
      <c r="O1016" s="5">
        <v>-7.82707126778835</v>
      </c>
      <c r="P1016" s="5">
        <v>0.0</v>
      </c>
      <c r="Q1016" s="5">
        <v>0.0</v>
      </c>
      <c r="R1016" s="5">
        <v>0.0</v>
      </c>
      <c r="S1016" s="5">
        <v>33.7385393668552</v>
      </c>
    </row>
    <row r="1017">
      <c r="A1017" s="6">
        <v>41831.0</v>
      </c>
      <c r="B1017" s="5">
        <v>42.3935453436476</v>
      </c>
      <c r="C1017" s="5">
        <v>-31.325674591651</v>
      </c>
      <c r="D1017" s="5">
        <v>92.2269400147607</v>
      </c>
      <c r="E1017" s="5">
        <v>42.3935453436476</v>
      </c>
      <c r="F1017" s="5">
        <v>42.3935453436476</v>
      </c>
      <c r="G1017" s="5">
        <v>-9.3199581420674</v>
      </c>
      <c r="H1017" s="5">
        <v>-9.3199581420674</v>
      </c>
      <c r="I1017" s="5">
        <v>-9.3199581420674</v>
      </c>
      <c r="J1017" s="5">
        <v>-1.59155056649192</v>
      </c>
      <c r="K1017" s="5">
        <v>-1.59155056649192</v>
      </c>
      <c r="L1017" s="5">
        <v>-1.59155056649192</v>
      </c>
      <c r="M1017" s="5">
        <v>-7.72840757557547</v>
      </c>
      <c r="N1017" s="5">
        <v>-7.72840757557547</v>
      </c>
      <c r="O1017" s="5">
        <v>-7.72840757557547</v>
      </c>
      <c r="P1017" s="5">
        <v>0.0</v>
      </c>
      <c r="Q1017" s="5">
        <v>0.0</v>
      </c>
      <c r="R1017" s="5">
        <v>0.0</v>
      </c>
      <c r="S1017" s="5">
        <v>33.0735872015802</v>
      </c>
    </row>
    <row r="1018">
      <c r="A1018" s="6">
        <v>41834.0</v>
      </c>
      <c r="B1018" s="5">
        <v>42.5480818929514</v>
      </c>
      <c r="C1018" s="5">
        <v>-25.1461923872151</v>
      </c>
      <c r="D1018" s="5">
        <v>100.669560316424</v>
      </c>
      <c r="E1018" s="5">
        <v>42.5480818929514</v>
      </c>
      <c r="F1018" s="5">
        <v>42.5480818929514</v>
      </c>
      <c r="G1018" s="5">
        <v>-7.7923152128726</v>
      </c>
      <c r="H1018" s="5">
        <v>-7.7923152128726</v>
      </c>
      <c r="I1018" s="5">
        <v>-7.7923152128726</v>
      </c>
      <c r="J1018" s="5">
        <v>0.0905589421216576</v>
      </c>
      <c r="K1018" s="5">
        <v>0.0905589421216576</v>
      </c>
      <c r="L1018" s="5">
        <v>0.0905589421216576</v>
      </c>
      <c r="M1018" s="5">
        <v>-7.88287415499426</v>
      </c>
      <c r="N1018" s="5">
        <v>-7.88287415499426</v>
      </c>
      <c r="O1018" s="5">
        <v>-7.88287415499426</v>
      </c>
      <c r="P1018" s="5">
        <v>0.0</v>
      </c>
      <c r="Q1018" s="5">
        <v>0.0</v>
      </c>
      <c r="R1018" s="5">
        <v>0.0</v>
      </c>
      <c r="S1018" s="5">
        <v>34.7557666800788</v>
      </c>
    </row>
    <row r="1019">
      <c r="A1019" s="6">
        <v>41835.0</v>
      </c>
      <c r="B1019" s="5">
        <v>42.5995940760527</v>
      </c>
      <c r="C1019" s="5">
        <v>-32.4858364645959</v>
      </c>
      <c r="D1019" s="5">
        <v>97.5371083228699</v>
      </c>
      <c r="E1019" s="5">
        <v>42.5995940760527</v>
      </c>
      <c r="F1019" s="5">
        <v>42.5995940760527</v>
      </c>
      <c r="G1019" s="5">
        <v>-8.21589316744466</v>
      </c>
      <c r="H1019" s="5">
        <v>-8.21589316744466</v>
      </c>
      <c r="I1019" s="5">
        <v>-8.21589316744466</v>
      </c>
      <c r="J1019" s="5">
        <v>-0.1441188572447</v>
      </c>
      <c r="K1019" s="5">
        <v>-0.1441188572447</v>
      </c>
      <c r="L1019" s="5">
        <v>-0.1441188572447</v>
      </c>
      <c r="M1019" s="5">
        <v>-8.07177431019996</v>
      </c>
      <c r="N1019" s="5">
        <v>-8.07177431019996</v>
      </c>
      <c r="O1019" s="5">
        <v>-8.07177431019996</v>
      </c>
      <c r="P1019" s="5">
        <v>0.0</v>
      </c>
      <c r="Q1019" s="5">
        <v>0.0</v>
      </c>
      <c r="R1019" s="5">
        <v>0.0</v>
      </c>
      <c r="S1019" s="5">
        <v>34.3837009086081</v>
      </c>
    </row>
    <row r="1020">
      <c r="A1020" s="6">
        <v>41836.0</v>
      </c>
      <c r="B1020" s="5">
        <v>42.651106259154</v>
      </c>
      <c r="C1020" s="5">
        <v>-28.3817215611914</v>
      </c>
      <c r="D1020" s="5">
        <v>95.8855877302073</v>
      </c>
      <c r="E1020" s="5">
        <v>42.651106259154</v>
      </c>
      <c r="F1020" s="5">
        <v>42.651106259154</v>
      </c>
      <c r="G1020" s="5">
        <v>-8.31154021372425</v>
      </c>
      <c r="H1020" s="5">
        <v>-8.31154021372425</v>
      </c>
      <c r="I1020" s="5">
        <v>-8.31154021372425</v>
      </c>
      <c r="J1020" s="5">
        <v>0.00703780528151181</v>
      </c>
      <c r="K1020" s="5">
        <v>0.00703780528151181</v>
      </c>
      <c r="L1020" s="5">
        <v>0.00703780528151181</v>
      </c>
      <c r="M1020" s="5">
        <v>-8.31857801900576</v>
      </c>
      <c r="N1020" s="5">
        <v>-8.31857801900576</v>
      </c>
      <c r="O1020" s="5">
        <v>-8.31857801900576</v>
      </c>
      <c r="P1020" s="5">
        <v>0.0</v>
      </c>
      <c r="Q1020" s="5">
        <v>0.0</v>
      </c>
      <c r="R1020" s="5">
        <v>0.0</v>
      </c>
      <c r="S1020" s="5">
        <v>34.3395660454297</v>
      </c>
    </row>
    <row r="1021">
      <c r="A1021" s="6">
        <v>41837.0</v>
      </c>
      <c r="B1021" s="5">
        <v>42.7026184422553</v>
      </c>
      <c r="C1021" s="5">
        <v>-33.2386063419574</v>
      </c>
      <c r="D1021" s="5">
        <v>94.419969135633</v>
      </c>
      <c r="E1021" s="5">
        <v>42.7026184422553</v>
      </c>
      <c r="F1021" s="5">
        <v>42.7026184422553</v>
      </c>
      <c r="G1021" s="5">
        <v>-9.39090710746544</v>
      </c>
      <c r="H1021" s="5">
        <v>-9.39090710746544</v>
      </c>
      <c r="I1021" s="5">
        <v>-9.39090710746544</v>
      </c>
      <c r="J1021" s="5">
        <v>-0.776422525899247</v>
      </c>
      <c r="K1021" s="5">
        <v>-0.776422525899247</v>
      </c>
      <c r="L1021" s="5">
        <v>-0.776422525899247</v>
      </c>
      <c r="M1021" s="5">
        <v>-8.61448458156619</v>
      </c>
      <c r="N1021" s="5">
        <v>-8.61448458156619</v>
      </c>
      <c r="O1021" s="5">
        <v>-8.61448458156619</v>
      </c>
      <c r="P1021" s="5">
        <v>0.0</v>
      </c>
      <c r="Q1021" s="5">
        <v>0.0</v>
      </c>
      <c r="R1021" s="5">
        <v>0.0</v>
      </c>
      <c r="S1021" s="5">
        <v>33.3117113347898</v>
      </c>
    </row>
    <row r="1022">
      <c r="A1022" s="6">
        <v>41838.0</v>
      </c>
      <c r="B1022" s="5">
        <v>42.7541306253566</v>
      </c>
      <c r="C1022" s="5">
        <v>-29.1875893702676</v>
      </c>
      <c r="D1022" s="5">
        <v>95.412611546367</v>
      </c>
      <c r="E1022" s="5">
        <v>42.7541306253566</v>
      </c>
      <c r="F1022" s="5">
        <v>42.7541306253566</v>
      </c>
      <c r="G1022" s="5">
        <v>-10.5410069307946</v>
      </c>
      <c r="H1022" s="5">
        <v>-10.5410069307946</v>
      </c>
      <c r="I1022" s="5">
        <v>-10.5410069307946</v>
      </c>
      <c r="J1022" s="5">
        <v>-1.59155056649406</v>
      </c>
      <c r="K1022" s="5">
        <v>-1.59155056649406</v>
      </c>
      <c r="L1022" s="5">
        <v>-1.59155056649406</v>
      </c>
      <c r="M1022" s="5">
        <v>-8.9494563643006</v>
      </c>
      <c r="N1022" s="5">
        <v>-8.9494563643006</v>
      </c>
      <c r="O1022" s="5">
        <v>-8.9494563643006</v>
      </c>
      <c r="P1022" s="5">
        <v>0.0</v>
      </c>
      <c r="Q1022" s="5">
        <v>0.0</v>
      </c>
      <c r="R1022" s="5">
        <v>0.0</v>
      </c>
      <c r="S1022" s="5">
        <v>32.2131236945619</v>
      </c>
    </row>
    <row r="1023">
      <c r="A1023" s="6">
        <v>41841.0</v>
      </c>
      <c r="B1023" s="5">
        <v>42.9086671746604</v>
      </c>
      <c r="C1023" s="5">
        <v>-25.4068248069662</v>
      </c>
      <c r="D1023" s="5">
        <v>97.4289286973131</v>
      </c>
      <c r="E1023" s="5">
        <v>42.9086671746604</v>
      </c>
      <c r="F1023" s="5">
        <v>42.9086671746604</v>
      </c>
      <c r="G1023" s="5">
        <v>-9.98511359949418</v>
      </c>
      <c r="H1023" s="5">
        <v>-9.98511359949418</v>
      </c>
      <c r="I1023" s="5">
        <v>-9.98511359949418</v>
      </c>
      <c r="J1023" s="5">
        <v>0.090558942122604</v>
      </c>
      <c r="K1023" s="5">
        <v>0.090558942122604</v>
      </c>
      <c r="L1023" s="5">
        <v>0.090558942122604</v>
      </c>
      <c r="M1023" s="5">
        <v>-10.0756725416167</v>
      </c>
      <c r="N1023" s="5">
        <v>-10.0756725416167</v>
      </c>
      <c r="O1023" s="5">
        <v>-10.0756725416167</v>
      </c>
      <c r="P1023" s="5">
        <v>0.0</v>
      </c>
      <c r="Q1023" s="5">
        <v>0.0</v>
      </c>
      <c r="R1023" s="5">
        <v>0.0</v>
      </c>
      <c r="S1023" s="5">
        <v>32.9235535751662</v>
      </c>
    </row>
    <row r="1024">
      <c r="A1024" s="6">
        <v>41842.0</v>
      </c>
      <c r="B1024" s="5">
        <v>42.9601793577617</v>
      </c>
      <c r="C1024" s="5">
        <v>-30.6845450159843</v>
      </c>
      <c r="D1024" s="5">
        <v>98.8304165399769</v>
      </c>
      <c r="E1024" s="5">
        <v>42.9601793577617</v>
      </c>
      <c r="F1024" s="5">
        <v>42.9601793577617</v>
      </c>
      <c r="G1024" s="5">
        <v>-10.5958446322468</v>
      </c>
      <c r="H1024" s="5">
        <v>-10.5958446322468</v>
      </c>
      <c r="I1024" s="5">
        <v>-10.5958446322468</v>
      </c>
      <c r="J1024" s="5">
        <v>-0.144118857246136</v>
      </c>
      <c r="K1024" s="5">
        <v>-0.144118857246136</v>
      </c>
      <c r="L1024" s="5">
        <v>-0.144118857246136</v>
      </c>
      <c r="M1024" s="5">
        <v>-10.4517257750007</v>
      </c>
      <c r="N1024" s="5">
        <v>-10.4517257750007</v>
      </c>
      <c r="O1024" s="5">
        <v>-10.4517257750007</v>
      </c>
      <c r="P1024" s="5">
        <v>0.0</v>
      </c>
      <c r="Q1024" s="5">
        <v>0.0</v>
      </c>
      <c r="R1024" s="5">
        <v>0.0</v>
      </c>
      <c r="S1024" s="5">
        <v>32.3643347255149</v>
      </c>
    </row>
    <row r="1025">
      <c r="A1025" s="6">
        <v>41843.0</v>
      </c>
      <c r="B1025" s="5">
        <v>43.011691540863</v>
      </c>
      <c r="C1025" s="5">
        <v>-36.1425740975686</v>
      </c>
      <c r="D1025" s="5">
        <v>90.7999624399058</v>
      </c>
      <c r="E1025" s="5">
        <v>43.011691540863</v>
      </c>
      <c r="F1025" s="5">
        <v>43.011691540863</v>
      </c>
      <c r="G1025" s="5">
        <v>-10.8012497300319</v>
      </c>
      <c r="H1025" s="5">
        <v>-10.8012497300319</v>
      </c>
      <c r="I1025" s="5">
        <v>-10.8012497300319</v>
      </c>
      <c r="J1025" s="5">
        <v>0.00703780528264203</v>
      </c>
      <c r="K1025" s="5">
        <v>0.00703780528264203</v>
      </c>
      <c r="L1025" s="5">
        <v>0.00703780528264203</v>
      </c>
      <c r="M1025" s="5">
        <v>-10.8082875353145</v>
      </c>
      <c r="N1025" s="5">
        <v>-10.8082875353145</v>
      </c>
      <c r="O1025" s="5">
        <v>-10.8082875353145</v>
      </c>
      <c r="P1025" s="5">
        <v>0.0</v>
      </c>
      <c r="Q1025" s="5">
        <v>0.0</v>
      </c>
      <c r="R1025" s="5">
        <v>0.0</v>
      </c>
      <c r="S1025" s="5">
        <v>32.210441810831</v>
      </c>
    </row>
    <row r="1026">
      <c r="A1026" s="6">
        <v>41844.0</v>
      </c>
      <c r="B1026" s="5">
        <v>43.0632037239643</v>
      </c>
      <c r="C1026" s="5">
        <v>-29.899330090612</v>
      </c>
      <c r="D1026" s="5">
        <v>97.0697865316461</v>
      </c>
      <c r="E1026" s="5">
        <v>43.0632037239643</v>
      </c>
      <c r="F1026" s="5">
        <v>43.0632037239643</v>
      </c>
      <c r="G1026" s="5">
        <v>-11.9106057230476</v>
      </c>
      <c r="H1026" s="5">
        <v>-11.9106057230476</v>
      </c>
      <c r="I1026" s="5">
        <v>-11.9106057230476</v>
      </c>
      <c r="J1026" s="5">
        <v>-0.776422525901344</v>
      </c>
      <c r="K1026" s="5">
        <v>-0.776422525901344</v>
      </c>
      <c r="L1026" s="5">
        <v>-0.776422525901344</v>
      </c>
      <c r="M1026" s="5">
        <v>-11.1341831971463</v>
      </c>
      <c r="N1026" s="5">
        <v>-11.1341831971463</v>
      </c>
      <c r="O1026" s="5">
        <v>-11.1341831971463</v>
      </c>
      <c r="P1026" s="5">
        <v>0.0</v>
      </c>
      <c r="Q1026" s="5">
        <v>0.0</v>
      </c>
      <c r="R1026" s="5">
        <v>0.0</v>
      </c>
      <c r="S1026" s="5">
        <v>31.1525980009166</v>
      </c>
    </row>
    <row r="1027">
      <c r="A1027" s="6">
        <v>41845.0</v>
      </c>
      <c r="B1027" s="5">
        <v>43.1147159070655</v>
      </c>
      <c r="C1027" s="5">
        <v>-34.5327973188809</v>
      </c>
      <c r="D1027" s="5">
        <v>90.053540532075</v>
      </c>
      <c r="E1027" s="5">
        <v>43.1147159070655</v>
      </c>
      <c r="F1027" s="5">
        <v>43.1147159070655</v>
      </c>
      <c r="G1027" s="5">
        <v>-13.0106850341977</v>
      </c>
      <c r="H1027" s="5">
        <v>-13.0106850341977</v>
      </c>
      <c r="I1027" s="5">
        <v>-13.0106850341977</v>
      </c>
      <c r="J1027" s="5">
        <v>-1.59155056649282</v>
      </c>
      <c r="K1027" s="5">
        <v>-1.59155056649282</v>
      </c>
      <c r="L1027" s="5">
        <v>-1.59155056649282</v>
      </c>
      <c r="M1027" s="5">
        <v>-11.4191344677049</v>
      </c>
      <c r="N1027" s="5">
        <v>-11.4191344677049</v>
      </c>
      <c r="O1027" s="5">
        <v>-11.4191344677049</v>
      </c>
      <c r="P1027" s="5">
        <v>0.0</v>
      </c>
      <c r="Q1027" s="5">
        <v>0.0</v>
      </c>
      <c r="R1027" s="5">
        <v>0.0</v>
      </c>
      <c r="S1027" s="5">
        <v>30.1040308728678</v>
      </c>
    </row>
    <row r="1028">
      <c r="A1028" s="6">
        <v>41848.0</v>
      </c>
      <c r="B1028" s="5">
        <v>43.2692524563694</v>
      </c>
      <c r="C1028" s="5">
        <v>-32.9371571018166</v>
      </c>
      <c r="D1028" s="5">
        <v>97.6112607549622</v>
      </c>
      <c r="E1028" s="5">
        <v>43.2692524563694</v>
      </c>
      <c r="F1028" s="5">
        <v>43.2692524563694</v>
      </c>
      <c r="G1028" s="5">
        <v>-11.8537778765429</v>
      </c>
      <c r="H1028" s="5">
        <v>-11.8537778765429</v>
      </c>
      <c r="I1028" s="5">
        <v>-11.8537778765429</v>
      </c>
      <c r="J1028" s="5">
        <v>0.0905589421212466</v>
      </c>
      <c r="K1028" s="5">
        <v>0.0905589421212466</v>
      </c>
      <c r="L1028" s="5">
        <v>0.0905589421212466</v>
      </c>
      <c r="M1028" s="5">
        <v>-11.9443368186642</v>
      </c>
      <c r="N1028" s="5">
        <v>-11.9443368186642</v>
      </c>
      <c r="O1028" s="5">
        <v>-11.9443368186642</v>
      </c>
      <c r="P1028" s="5">
        <v>0.0</v>
      </c>
      <c r="Q1028" s="5">
        <v>0.0</v>
      </c>
      <c r="R1028" s="5">
        <v>0.0</v>
      </c>
      <c r="S1028" s="5">
        <v>31.4154745798264</v>
      </c>
    </row>
    <row r="1029">
      <c r="A1029" s="6">
        <v>41849.0</v>
      </c>
      <c r="B1029" s="5">
        <v>43.3207646394707</v>
      </c>
      <c r="C1029" s="5">
        <v>-32.2950082071465</v>
      </c>
      <c r="D1029" s="5">
        <v>94.3567523138859</v>
      </c>
      <c r="E1029" s="5">
        <v>43.3207646394707</v>
      </c>
      <c r="F1029" s="5">
        <v>43.3207646394707</v>
      </c>
      <c r="G1029" s="5">
        <v>-12.1333355906862</v>
      </c>
      <c r="H1029" s="5">
        <v>-12.1333355906862</v>
      </c>
      <c r="I1029" s="5">
        <v>-12.1333355906862</v>
      </c>
      <c r="J1029" s="5">
        <v>-0.144118857243938</v>
      </c>
      <c r="K1029" s="5">
        <v>-0.144118857243938</v>
      </c>
      <c r="L1029" s="5">
        <v>-0.144118857243938</v>
      </c>
      <c r="M1029" s="5">
        <v>-11.9892167334423</v>
      </c>
      <c r="N1029" s="5">
        <v>-11.9892167334423</v>
      </c>
      <c r="O1029" s="5">
        <v>-11.9892167334423</v>
      </c>
      <c r="P1029" s="5">
        <v>0.0</v>
      </c>
      <c r="Q1029" s="5">
        <v>0.0</v>
      </c>
      <c r="R1029" s="5">
        <v>0.0</v>
      </c>
      <c r="S1029" s="5">
        <v>31.1874290487844</v>
      </c>
    </row>
    <row r="1030">
      <c r="A1030" s="6">
        <v>41850.0</v>
      </c>
      <c r="B1030" s="5">
        <v>43.372276822572</v>
      </c>
      <c r="C1030" s="5">
        <v>-29.341688987387</v>
      </c>
      <c r="D1030" s="5">
        <v>102.11083482807</v>
      </c>
      <c r="E1030" s="5">
        <v>43.372276822572</v>
      </c>
      <c r="F1030" s="5">
        <v>43.372276822572</v>
      </c>
      <c r="G1030" s="5">
        <v>-11.9561587774017</v>
      </c>
      <c r="H1030" s="5">
        <v>-11.9561587774017</v>
      </c>
      <c r="I1030" s="5">
        <v>-11.9561587774017</v>
      </c>
      <c r="J1030" s="5">
        <v>0.00703780528178944</v>
      </c>
      <c r="K1030" s="5">
        <v>0.00703780528178944</v>
      </c>
      <c r="L1030" s="5">
        <v>0.00703780528178944</v>
      </c>
      <c r="M1030" s="5">
        <v>-11.9631965826835</v>
      </c>
      <c r="N1030" s="5">
        <v>-11.9631965826835</v>
      </c>
      <c r="O1030" s="5">
        <v>-11.9631965826835</v>
      </c>
      <c r="P1030" s="5">
        <v>0.0</v>
      </c>
      <c r="Q1030" s="5">
        <v>0.0</v>
      </c>
      <c r="R1030" s="5">
        <v>0.0</v>
      </c>
      <c r="S1030" s="5">
        <v>31.4161180451702</v>
      </c>
    </row>
    <row r="1031">
      <c r="A1031" s="6">
        <v>41851.0</v>
      </c>
      <c r="B1031" s="5">
        <v>43.4237890056732</v>
      </c>
      <c r="C1031" s="5">
        <v>-28.9630352539439</v>
      </c>
      <c r="D1031" s="5">
        <v>91.2491314257422</v>
      </c>
      <c r="E1031" s="5">
        <v>43.4237890056732</v>
      </c>
      <c r="F1031" s="5">
        <v>43.4237890056732</v>
      </c>
      <c r="G1031" s="5">
        <v>-12.6419809259747</v>
      </c>
      <c r="H1031" s="5">
        <v>-12.6419809259747</v>
      </c>
      <c r="I1031" s="5">
        <v>-12.6419809259747</v>
      </c>
      <c r="J1031" s="5">
        <v>-0.776422525902066</v>
      </c>
      <c r="K1031" s="5">
        <v>-0.776422525902066</v>
      </c>
      <c r="L1031" s="5">
        <v>-0.776422525902066</v>
      </c>
      <c r="M1031" s="5">
        <v>-11.8655584000727</v>
      </c>
      <c r="N1031" s="5">
        <v>-11.8655584000727</v>
      </c>
      <c r="O1031" s="5">
        <v>-11.8655584000727</v>
      </c>
      <c r="P1031" s="5">
        <v>0.0</v>
      </c>
      <c r="Q1031" s="5">
        <v>0.0</v>
      </c>
      <c r="R1031" s="5">
        <v>0.0</v>
      </c>
      <c r="S1031" s="5">
        <v>30.7818080796985</v>
      </c>
    </row>
    <row r="1032">
      <c r="A1032" s="6">
        <v>41852.0</v>
      </c>
      <c r="B1032" s="5">
        <v>43.4753011887745</v>
      </c>
      <c r="C1032" s="5">
        <v>-29.1170067947522</v>
      </c>
      <c r="D1032" s="5">
        <v>96.2481655749844</v>
      </c>
      <c r="E1032" s="5">
        <v>43.4753011887745</v>
      </c>
      <c r="F1032" s="5">
        <v>43.4753011887745</v>
      </c>
      <c r="G1032" s="5">
        <v>-13.2889853636168</v>
      </c>
      <c r="H1032" s="5">
        <v>-13.2889853636168</v>
      </c>
      <c r="I1032" s="5">
        <v>-13.2889853636168</v>
      </c>
      <c r="J1032" s="5">
        <v>-1.59155056649158</v>
      </c>
      <c r="K1032" s="5">
        <v>-1.59155056649158</v>
      </c>
      <c r="L1032" s="5">
        <v>-1.59155056649158</v>
      </c>
      <c r="M1032" s="5">
        <v>-11.6974347971252</v>
      </c>
      <c r="N1032" s="5">
        <v>-11.6974347971252</v>
      </c>
      <c r="O1032" s="5">
        <v>-11.6974347971252</v>
      </c>
      <c r="P1032" s="5">
        <v>0.0</v>
      </c>
      <c r="Q1032" s="5">
        <v>0.0</v>
      </c>
      <c r="R1032" s="5">
        <v>0.0</v>
      </c>
      <c r="S1032" s="5">
        <v>30.1863158251577</v>
      </c>
    </row>
    <row r="1033">
      <c r="A1033" s="6">
        <v>41855.0</v>
      </c>
      <c r="B1033" s="5">
        <v>43.6298377380784</v>
      </c>
      <c r="C1033" s="5">
        <v>-35.8397177936592</v>
      </c>
      <c r="D1033" s="5">
        <v>97.2410328511627</v>
      </c>
      <c r="E1033" s="5">
        <v>43.6298377380784</v>
      </c>
      <c r="F1033" s="5">
        <v>43.6298377380784</v>
      </c>
      <c r="G1033" s="5">
        <v>-10.716946855094</v>
      </c>
      <c r="H1033" s="5">
        <v>-10.716946855094</v>
      </c>
      <c r="I1033" s="5">
        <v>-10.716946855094</v>
      </c>
      <c r="J1033" s="5">
        <v>0.090558942122193</v>
      </c>
      <c r="K1033" s="5">
        <v>0.090558942122193</v>
      </c>
      <c r="L1033" s="5">
        <v>0.090558942122193</v>
      </c>
      <c r="M1033" s="5">
        <v>-10.8075057972162</v>
      </c>
      <c r="N1033" s="5">
        <v>-10.8075057972162</v>
      </c>
      <c r="O1033" s="5">
        <v>-10.8075057972162</v>
      </c>
      <c r="P1033" s="5">
        <v>0.0</v>
      </c>
      <c r="Q1033" s="5">
        <v>0.0</v>
      </c>
      <c r="R1033" s="5">
        <v>0.0</v>
      </c>
      <c r="S1033" s="5">
        <v>32.9128908829843</v>
      </c>
    </row>
    <row r="1034">
      <c r="A1034" s="6">
        <v>41856.0</v>
      </c>
      <c r="B1034" s="5">
        <v>43.6813499211797</v>
      </c>
      <c r="C1034" s="5">
        <v>-29.9786611220228</v>
      </c>
      <c r="D1034" s="5">
        <v>94.6848102077596</v>
      </c>
      <c r="E1034" s="5">
        <v>43.6813499211797</v>
      </c>
      <c r="F1034" s="5">
        <v>43.6813499211797</v>
      </c>
      <c r="G1034" s="5">
        <v>-10.5465653179345</v>
      </c>
      <c r="H1034" s="5">
        <v>-10.5465653179345</v>
      </c>
      <c r="I1034" s="5">
        <v>-10.5465653179345</v>
      </c>
      <c r="J1034" s="5">
        <v>-0.144118857245374</v>
      </c>
      <c r="K1034" s="5">
        <v>-0.144118857245374</v>
      </c>
      <c r="L1034" s="5">
        <v>-0.144118857245374</v>
      </c>
      <c r="M1034" s="5">
        <v>-10.4024464606891</v>
      </c>
      <c r="N1034" s="5">
        <v>-10.4024464606891</v>
      </c>
      <c r="O1034" s="5">
        <v>-10.4024464606891</v>
      </c>
      <c r="P1034" s="5">
        <v>0.0</v>
      </c>
      <c r="Q1034" s="5">
        <v>0.0</v>
      </c>
      <c r="R1034" s="5">
        <v>0.0</v>
      </c>
      <c r="S1034" s="5">
        <v>33.1347846032451</v>
      </c>
    </row>
    <row r="1035">
      <c r="A1035" s="6">
        <v>41857.0</v>
      </c>
      <c r="B1035" s="5">
        <v>43.7328621042809</v>
      </c>
      <c r="C1035" s="5">
        <v>-27.6210859119384</v>
      </c>
      <c r="D1035" s="5">
        <v>98.2300196293334</v>
      </c>
      <c r="E1035" s="5">
        <v>43.7328621042809</v>
      </c>
      <c r="F1035" s="5">
        <v>43.7328621042809</v>
      </c>
      <c r="G1035" s="5">
        <v>-9.94931190948808</v>
      </c>
      <c r="H1035" s="5">
        <v>-9.94931190948808</v>
      </c>
      <c r="I1035" s="5">
        <v>-9.94931190948808</v>
      </c>
      <c r="J1035" s="5">
        <v>0.00703780528093689</v>
      </c>
      <c r="K1035" s="5">
        <v>0.00703780528093689</v>
      </c>
      <c r="L1035" s="5">
        <v>0.00703780528093689</v>
      </c>
      <c r="M1035" s="5">
        <v>-9.95634971476902</v>
      </c>
      <c r="N1035" s="5">
        <v>-9.95634971476902</v>
      </c>
      <c r="O1035" s="5">
        <v>-9.95634971476902</v>
      </c>
      <c r="P1035" s="5">
        <v>0.0</v>
      </c>
      <c r="Q1035" s="5">
        <v>0.0</v>
      </c>
      <c r="R1035" s="5">
        <v>0.0</v>
      </c>
      <c r="S1035" s="5">
        <v>33.7835501947928</v>
      </c>
    </row>
    <row r="1036">
      <c r="A1036" s="6">
        <v>41858.0</v>
      </c>
      <c r="B1036" s="5">
        <v>43.7843742873822</v>
      </c>
      <c r="C1036" s="5">
        <v>-29.6220873411126</v>
      </c>
      <c r="D1036" s="5">
        <v>95.0776616483883</v>
      </c>
      <c r="E1036" s="5">
        <v>43.7843742873822</v>
      </c>
      <c r="F1036" s="5">
        <v>43.7843742873822</v>
      </c>
      <c r="G1036" s="5">
        <v>-10.2548946670584</v>
      </c>
      <c r="H1036" s="5">
        <v>-10.2548946670584</v>
      </c>
      <c r="I1036" s="5">
        <v>-10.2548946670584</v>
      </c>
      <c r="J1036" s="5">
        <v>-0.776422525904163</v>
      </c>
      <c r="K1036" s="5">
        <v>-0.776422525904163</v>
      </c>
      <c r="L1036" s="5">
        <v>-0.776422525904163</v>
      </c>
      <c r="M1036" s="5">
        <v>-9.4784721411543</v>
      </c>
      <c r="N1036" s="5">
        <v>-9.4784721411543</v>
      </c>
      <c r="O1036" s="5">
        <v>-9.4784721411543</v>
      </c>
      <c r="P1036" s="5">
        <v>0.0</v>
      </c>
      <c r="Q1036" s="5">
        <v>0.0</v>
      </c>
      <c r="R1036" s="5">
        <v>0.0</v>
      </c>
      <c r="S1036" s="5">
        <v>33.5294796203238</v>
      </c>
    </row>
    <row r="1037">
      <c r="A1037" s="6">
        <v>41859.0</v>
      </c>
      <c r="B1037" s="5">
        <v>43.8358864704835</v>
      </c>
      <c r="C1037" s="5">
        <v>-27.1996570515064</v>
      </c>
      <c r="D1037" s="5">
        <v>92.9041067171367</v>
      </c>
      <c r="E1037" s="5">
        <v>43.8358864704835</v>
      </c>
      <c r="F1037" s="5">
        <v>43.8358864704835</v>
      </c>
      <c r="G1037" s="5">
        <v>-10.5701347380724</v>
      </c>
      <c r="H1037" s="5">
        <v>-10.5701347380724</v>
      </c>
      <c r="I1037" s="5">
        <v>-10.5701347380724</v>
      </c>
      <c r="J1037" s="5">
        <v>-1.59155056649371</v>
      </c>
      <c r="K1037" s="5">
        <v>-1.59155056649371</v>
      </c>
      <c r="L1037" s="5">
        <v>-1.59155056649371</v>
      </c>
      <c r="M1037" s="5">
        <v>-8.97858417157871</v>
      </c>
      <c r="N1037" s="5">
        <v>-8.97858417157871</v>
      </c>
      <c r="O1037" s="5">
        <v>-8.97858417157871</v>
      </c>
      <c r="P1037" s="5">
        <v>0.0</v>
      </c>
      <c r="Q1037" s="5">
        <v>0.0</v>
      </c>
      <c r="R1037" s="5">
        <v>0.0</v>
      </c>
      <c r="S1037" s="5">
        <v>33.2657517324111</v>
      </c>
    </row>
    <row r="1038">
      <c r="A1038" s="6">
        <v>41862.0</v>
      </c>
      <c r="B1038" s="5">
        <v>43.9904230197873</v>
      </c>
      <c r="C1038" s="5">
        <v>-24.5708802581238</v>
      </c>
      <c r="D1038" s="5">
        <v>99.5919244368144</v>
      </c>
      <c r="E1038" s="5">
        <v>43.9904230197873</v>
      </c>
      <c r="F1038" s="5">
        <v>43.9904230197873</v>
      </c>
      <c r="G1038" s="5">
        <v>-7.35552555925465</v>
      </c>
      <c r="H1038" s="5">
        <v>-7.35552555925465</v>
      </c>
      <c r="I1038" s="5">
        <v>-7.35552555925465</v>
      </c>
      <c r="J1038" s="5">
        <v>0.0905589421207556</v>
      </c>
      <c r="K1038" s="5">
        <v>0.0905589421207556</v>
      </c>
      <c r="L1038" s="5">
        <v>0.0905589421207556</v>
      </c>
      <c r="M1038" s="5">
        <v>-7.4460845013754</v>
      </c>
      <c r="N1038" s="5">
        <v>-7.4460845013754</v>
      </c>
      <c r="O1038" s="5">
        <v>-7.4460845013754</v>
      </c>
      <c r="P1038" s="5">
        <v>0.0</v>
      </c>
      <c r="Q1038" s="5">
        <v>0.0</v>
      </c>
      <c r="R1038" s="5">
        <v>0.0</v>
      </c>
      <c r="S1038" s="5">
        <v>36.6348974605327</v>
      </c>
    </row>
    <row r="1039">
      <c r="A1039" s="6">
        <v>41863.0</v>
      </c>
      <c r="B1039" s="5">
        <v>44.0419352028886</v>
      </c>
      <c r="C1039" s="5">
        <v>-24.5134672951658</v>
      </c>
      <c r="D1039" s="5">
        <v>102.293623512146</v>
      </c>
      <c r="E1039" s="5">
        <v>44.0419352028886</v>
      </c>
      <c r="F1039" s="5">
        <v>44.0419352028886</v>
      </c>
      <c r="G1039" s="5">
        <v>-7.09998359704023</v>
      </c>
      <c r="H1039" s="5">
        <v>-7.09998359704023</v>
      </c>
      <c r="I1039" s="5">
        <v>-7.09998359704023</v>
      </c>
      <c r="J1039" s="5">
        <v>-0.144118857246809</v>
      </c>
      <c r="K1039" s="5">
        <v>-0.144118857246809</v>
      </c>
      <c r="L1039" s="5">
        <v>-0.144118857246809</v>
      </c>
      <c r="M1039" s="5">
        <v>-6.95586473979342</v>
      </c>
      <c r="N1039" s="5">
        <v>-6.95586473979342</v>
      </c>
      <c r="O1039" s="5">
        <v>-6.95586473979342</v>
      </c>
      <c r="P1039" s="5">
        <v>0.0</v>
      </c>
      <c r="Q1039" s="5">
        <v>0.0</v>
      </c>
      <c r="R1039" s="5">
        <v>0.0</v>
      </c>
      <c r="S1039" s="5">
        <v>36.9419516058484</v>
      </c>
    </row>
    <row r="1040">
      <c r="A1040" s="6">
        <v>41864.0</v>
      </c>
      <c r="B1040" s="5">
        <v>44.0934473859899</v>
      </c>
      <c r="C1040" s="5">
        <v>-25.8080893125674</v>
      </c>
      <c r="D1040" s="5">
        <v>103.565900094275</v>
      </c>
      <c r="E1040" s="5">
        <v>44.0934473859899</v>
      </c>
      <c r="F1040" s="5">
        <v>44.0934473859899</v>
      </c>
      <c r="G1040" s="5">
        <v>-6.48299395133524</v>
      </c>
      <c r="H1040" s="5">
        <v>-6.48299395133524</v>
      </c>
      <c r="I1040" s="5">
        <v>-6.48299395133524</v>
      </c>
      <c r="J1040" s="5">
        <v>0.00703780528323939</v>
      </c>
      <c r="K1040" s="5">
        <v>0.00703780528323939</v>
      </c>
      <c r="L1040" s="5">
        <v>0.00703780528323939</v>
      </c>
      <c r="M1040" s="5">
        <v>-6.49003175661848</v>
      </c>
      <c r="N1040" s="5">
        <v>-6.49003175661848</v>
      </c>
      <c r="O1040" s="5">
        <v>-6.49003175661848</v>
      </c>
      <c r="P1040" s="5">
        <v>0.0</v>
      </c>
      <c r="Q1040" s="5">
        <v>0.0</v>
      </c>
      <c r="R1040" s="5">
        <v>0.0</v>
      </c>
      <c r="S1040" s="5">
        <v>37.6104534346547</v>
      </c>
    </row>
    <row r="1041">
      <c r="A1041" s="6">
        <v>41865.0</v>
      </c>
      <c r="B1041" s="5">
        <v>44.1449595690912</v>
      </c>
      <c r="C1041" s="5">
        <v>-29.5253712365478</v>
      </c>
      <c r="D1041" s="5">
        <v>99.0524975153447</v>
      </c>
      <c r="E1041" s="5">
        <v>44.1449595690912</v>
      </c>
      <c r="F1041" s="5">
        <v>44.1449595690912</v>
      </c>
      <c r="G1041" s="5">
        <v>-6.83194379327262</v>
      </c>
      <c r="H1041" s="5">
        <v>-6.83194379327262</v>
      </c>
      <c r="I1041" s="5">
        <v>-6.83194379327262</v>
      </c>
      <c r="J1041" s="5">
        <v>-0.776422525902035</v>
      </c>
      <c r="K1041" s="5">
        <v>-0.776422525902035</v>
      </c>
      <c r="L1041" s="5">
        <v>-0.776422525902035</v>
      </c>
      <c r="M1041" s="5">
        <v>-6.05552126737058</v>
      </c>
      <c r="N1041" s="5">
        <v>-6.05552126737058</v>
      </c>
      <c r="O1041" s="5">
        <v>-6.05552126737058</v>
      </c>
      <c r="P1041" s="5">
        <v>0.0</v>
      </c>
      <c r="Q1041" s="5">
        <v>0.0</v>
      </c>
      <c r="R1041" s="5">
        <v>0.0</v>
      </c>
      <c r="S1041" s="5">
        <v>37.3130157758186</v>
      </c>
    </row>
    <row r="1042">
      <c r="A1042" s="6">
        <v>41866.0</v>
      </c>
      <c r="B1042" s="5">
        <v>44.1964717521925</v>
      </c>
      <c r="C1042" s="5">
        <v>-23.3980335929403</v>
      </c>
      <c r="D1042" s="5">
        <v>99.2480644251734</v>
      </c>
      <c r="E1042" s="5">
        <v>44.1964717521925</v>
      </c>
      <c r="F1042" s="5">
        <v>44.1964717521925</v>
      </c>
      <c r="G1042" s="5">
        <v>-7.24954762446321</v>
      </c>
      <c r="H1042" s="5">
        <v>-7.24954762446321</v>
      </c>
      <c r="I1042" s="5">
        <v>-7.24954762446321</v>
      </c>
      <c r="J1042" s="5">
        <v>-1.59155056649247</v>
      </c>
      <c r="K1042" s="5">
        <v>-1.59155056649247</v>
      </c>
      <c r="L1042" s="5">
        <v>-1.59155056649247</v>
      </c>
      <c r="M1042" s="5">
        <v>-5.65799705797073</v>
      </c>
      <c r="N1042" s="5">
        <v>-5.65799705797073</v>
      </c>
      <c r="O1042" s="5">
        <v>-5.65799705797073</v>
      </c>
      <c r="P1042" s="5">
        <v>0.0</v>
      </c>
      <c r="Q1042" s="5">
        <v>0.0</v>
      </c>
      <c r="R1042" s="5">
        <v>0.0</v>
      </c>
      <c r="S1042" s="5">
        <v>36.9469241277293</v>
      </c>
    </row>
    <row r="1043">
      <c r="A1043" s="6">
        <v>41869.0</v>
      </c>
      <c r="B1043" s="5">
        <v>44.2142369108698</v>
      </c>
      <c r="C1043" s="5">
        <v>-24.5391252795478</v>
      </c>
      <c r="D1043" s="5">
        <v>98.9249832199113</v>
      </c>
      <c r="E1043" s="5">
        <v>44.2142369108698</v>
      </c>
      <c r="F1043" s="5">
        <v>44.2142369108698</v>
      </c>
      <c r="G1043" s="5">
        <v>-4.63189418144394</v>
      </c>
      <c r="H1043" s="5">
        <v>-4.63189418144394</v>
      </c>
      <c r="I1043" s="5">
        <v>-4.63189418144394</v>
      </c>
      <c r="J1043" s="5">
        <v>0.0905589421217021</v>
      </c>
      <c r="K1043" s="5">
        <v>0.0905589421217021</v>
      </c>
      <c r="L1043" s="5">
        <v>0.0905589421217021</v>
      </c>
      <c r="M1043" s="5">
        <v>-4.72245312356565</v>
      </c>
      <c r="N1043" s="5">
        <v>-4.72245312356565</v>
      </c>
      <c r="O1043" s="5">
        <v>-4.72245312356565</v>
      </c>
      <c r="P1043" s="5">
        <v>0.0</v>
      </c>
      <c r="Q1043" s="5">
        <v>0.0</v>
      </c>
      <c r="R1043" s="5">
        <v>0.0</v>
      </c>
      <c r="S1043" s="5">
        <v>39.5823427294259</v>
      </c>
    </row>
    <row r="1044">
      <c r="A1044" s="6">
        <v>41870.0</v>
      </c>
      <c r="B1044" s="5">
        <v>44.220158630429</v>
      </c>
      <c r="C1044" s="5">
        <v>-26.1385331831551</v>
      </c>
      <c r="D1044" s="5">
        <v>106.921616980995</v>
      </c>
      <c r="E1044" s="5">
        <v>44.220158630429</v>
      </c>
      <c r="F1044" s="5">
        <v>44.220158630429</v>
      </c>
      <c r="G1044" s="5">
        <v>-4.64456276568845</v>
      </c>
      <c r="H1044" s="5">
        <v>-4.64456276568845</v>
      </c>
      <c r="I1044" s="5">
        <v>-4.64456276568845</v>
      </c>
      <c r="J1044" s="5">
        <v>-0.144118857244612</v>
      </c>
      <c r="K1044" s="5">
        <v>-0.144118857244612</v>
      </c>
      <c r="L1044" s="5">
        <v>-0.144118857244612</v>
      </c>
      <c r="M1044" s="5">
        <v>-4.50044390844384</v>
      </c>
      <c r="N1044" s="5">
        <v>-4.50044390844384</v>
      </c>
      <c r="O1044" s="5">
        <v>-4.50044390844384</v>
      </c>
      <c r="P1044" s="5">
        <v>0.0</v>
      </c>
      <c r="Q1044" s="5">
        <v>0.0</v>
      </c>
      <c r="R1044" s="5">
        <v>0.0</v>
      </c>
      <c r="S1044" s="5">
        <v>39.5755958647405</v>
      </c>
    </row>
    <row r="1045">
      <c r="A1045" s="6">
        <v>41871.0</v>
      </c>
      <c r="B1045" s="5">
        <v>44.2260803499881</v>
      </c>
      <c r="C1045" s="5">
        <v>-17.6342675235634</v>
      </c>
      <c r="D1045" s="5">
        <v>106.979968706369</v>
      </c>
      <c r="E1045" s="5">
        <v>44.2260803499881</v>
      </c>
      <c r="F1045" s="5">
        <v>44.2260803499881</v>
      </c>
      <c r="G1045" s="5">
        <v>-4.31467563397036</v>
      </c>
      <c r="H1045" s="5">
        <v>-4.31467563397036</v>
      </c>
      <c r="I1045" s="5">
        <v>-4.31467563397036</v>
      </c>
      <c r="J1045" s="5">
        <v>0.00703780528022321</v>
      </c>
      <c r="K1045" s="5">
        <v>0.00703780528022321</v>
      </c>
      <c r="L1045" s="5">
        <v>0.00703780528022321</v>
      </c>
      <c r="M1045" s="5">
        <v>-4.32171343925059</v>
      </c>
      <c r="N1045" s="5">
        <v>-4.32171343925059</v>
      </c>
      <c r="O1045" s="5">
        <v>-4.32171343925059</v>
      </c>
      <c r="P1045" s="5">
        <v>0.0</v>
      </c>
      <c r="Q1045" s="5">
        <v>0.0</v>
      </c>
      <c r="R1045" s="5">
        <v>0.0</v>
      </c>
      <c r="S1045" s="5">
        <v>39.9114047160177</v>
      </c>
    </row>
    <row r="1046">
      <c r="A1046" s="6">
        <v>41872.0</v>
      </c>
      <c r="B1046" s="5">
        <v>44.2320020695472</v>
      </c>
      <c r="C1046" s="5">
        <v>-26.311316968781</v>
      </c>
      <c r="D1046" s="5">
        <v>102.706081282905</v>
      </c>
      <c r="E1046" s="5">
        <v>44.2320020695472</v>
      </c>
      <c r="F1046" s="5">
        <v>44.2320020695472</v>
      </c>
      <c r="G1046" s="5">
        <v>-4.95963149053886</v>
      </c>
      <c r="H1046" s="5">
        <v>-4.95963149053886</v>
      </c>
      <c r="I1046" s="5">
        <v>-4.95963149053886</v>
      </c>
      <c r="J1046" s="5">
        <v>-0.776422525902757</v>
      </c>
      <c r="K1046" s="5">
        <v>-0.776422525902757</v>
      </c>
      <c r="L1046" s="5">
        <v>-0.776422525902757</v>
      </c>
      <c r="M1046" s="5">
        <v>-4.1832089646361</v>
      </c>
      <c r="N1046" s="5">
        <v>-4.1832089646361</v>
      </c>
      <c r="O1046" s="5">
        <v>-4.1832089646361</v>
      </c>
      <c r="P1046" s="5">
        <v>0.0</v>
      </c>
      <c r="Q1046" s="5">
        <v>0.0</v>
      </c>
      <c r="R1046" s="5">
        <v>0.0</v>
      </c>
      <c r="S1046" s="5">
        <v>39.2723705790083</v>
      </c>
    </row>
    <row r="1047">
      <c r="A1047" s="6">
        <v>41873.0</v>
      </c>
      <c r="B1047" s="5">
        <v>44.2379237891063</v>
      </c>
      <c r="C1047" s="5">
        <v>-23.9110618316496</v>
      </c>
      <c r="D1047" s="5">
        <v>98.7395483289464</v>
      </c>
      <c r="E1047" s="5">
        <v>44.2379237891063</v>
      </c>
      <c r="F1047" s="5">
        <v>44.2379237891063</v>
      </c>
      <c r="G1047" s="5">
        <v>-5.67224285734883</v>
      </c>
      <c r="H1047" s="5">
        <v>-5.67224285734883</v>
      </c>
      <c r="I1047" s="5">
        <v>-5.67224285734883</v>
      </c>
      <c r="J1047" s="5">
        <v>-1.59155056649155</v>
      </c>
      <c r="K1047" s="5">
        <v>-1.59155056649155</v>
      </c>
      <c r="L1047" s="5">
        <v>-1.59155056649155</v>
      </c>
      <c r="M1047" s="5">
        <v>-4.08069229085728</v>
      </c>
      <c r="N1047" s="5">
        <v>-4.08069229085728</v>
      </c>
      <c r="O1047" s="5">
        <v>-4.08069229085728</v>
      </c>
      <c r="P1047" s="5">
        <v>0.0</v>
      </c>
      <c r="Q1047" s="5">
        <v>0.0</v>
      </c>
      <c r="R1047" s="5">
        <v>0.0</v>
      </c>
      <c r="S1047" s="5">
        <v>38.5656809317575</v>
      </c>
    </row>
    <row r="1048">
      <c r="A1048" s="6">
        <v>41876.0</v>
      </c>
      <c r="B1048" s="5">
        <v>44.2556889477837</v>
      </c>
      <c r="C1048" s="5">
        <v>-21.2176538335856</v>
      </c>
      <c r="D1048" s="5">
        <v>102.237084095071</v>
      </c>
      <c r="E1048" s="5">
        <v>44.2556889477837</v>
      </c>
      <c r="F1048" s="5">
        <v>44.2556889477837</v>
      </c>
      <c r="G1048" s="5">
        <v>-3.8425476296803</v>
      </c>
      <c r="H1048" s="5">
        <v>-3.8425476296803</v>
      </c>
      <c r="I1048" s="5">
        <v>-3.8425476296803</v>
      </c>
      <c r="J1048" s="5">
        <v>0.0905589421227286</v>
      </c>
      <c r="K1048" s="5">
        <v>0.0905589421227286</v>
      </c>
      <c r="L1048" s="5">
        <v>0.0905589421227286</v>
      </c>
      <c r="M1048" s="5">
        <v>-3.93310657180303</v>
      </c>
      <c r="N1048" s="5">
        <v>-3.93310657180303</v>
      </c>
      <c r="O1048" s="5">
        <v>-3.93310657180303</v>
      </c>
      <c r="P1048" s="5">
        <v>0.0</v>
      </c>
      <c r="Q1048" s="5">
        <v>0.0</v>
      </c>
      <c r="R1048" s="5">
        <v>0.0</v>
      </c>
      <c r="S1048" s="5">
        <v>40.4131413181034</v>
      </c>
    </row>
    <row r="1049">
      <c r="A1049" s="6">
        <v>41877.0</v>
      </c>
      <c r="B1049" s="5">
        <v>44.2616106673428</v>
      </c>
      <c r="C1049" s="5">
        <v>-16.7152818956487</v>
      </c>
      <c r="D1049" s="5">
        <v>101.925027295449</v>
      </c>
      <c r="E1049" s="5">
        <v>44.2616106673428</v>
      </c>
      <c r="F1049" s="5">
        <v>44.2616106673428</v>
      </c>
      <c r="G1049" s="5">
        <v>-4.0598201291147</v>
      </c>
      <c r="H1049" s="5">
        <v>-4.0598201291147</v>
      </c>
      <c r="I1049" s="5">
        <v>-4.0598201291147</v>
      </c>
      <c r="J1049" s="5">
        <v>-0.144118857247462</v>
      </c>
      <c r="K1049" s="5">
        <v>-0.144118857247462</v>
      </c>
      <c r="L1049" s="5">
        <v>-0.144118857247462</v>
      </c>
      <c r="M1049" s="5">
        <v>-3.91570127186724</v>
      </c>
      <c r="N1049" s="5">
        <v>-3.91570127186724</v>
      </c>
      <c r="O1049" s="5">
        <v>-3.91570127186724</v>
      </c>
      <c r="P1049" s="5">
        <v>0.0</v>
      </c>
      <c r="Q1049" s="5">
        <v>0.0</v>
      </c>
      <c r="R1049" s="5">
        <v>0.0</v>
      </c>
      <c r="S1049" s="5">
        <v>40.2017905382281</v>
      </c>
    </row>
    <row r="1050">
      <c r="A1050" s="6">
        <v>41878.0</v>
      </c>
      <c r="B1050" s="5">
        <v>44.2675323869019</v>
      </c>
      <c r="C1050" s="5">
        <v>-17.447866687518</v>
      </c>
      <c r="D1050" s="5">
        <v>100.372740910837</v>
      </c>
      <c r="E1050" s="5">
        <v>44.2675323869019</v>
      </c>
      <c r="F1050" s="5">
        <v>44.2675323869019</v>
      </c>
      <c r="G1050" s="5">
        <v>-3.89585052398865</v>
      </c>
      <c r="H1050" s="5">
        <v>-3.89585052398865</v>
      </c>
      <c r="I1050" s="5">
        <v>-3.89585052398865</v>
      </c>
      <c r="J1050" s="5">
        <v>0.00703780528153428</v>
      </c>
      <c r="K1050" s="5">
        <v>0.00703780528153428</v>
      </c>
      <c r="L1050" s="5">
        <v>0.00703780528153428</v>
      </c>
      <c r="M1050" s="5">
        <v>-3.90288832927019</v>
      </c>
      <c r="N1050" s="5">
        <v>-3.90288832927019</v>
      </c>
      <c r="O1050" s="5">
        <v>-3.90288832927019</v>
      </c>
      <c r="P1050" s="5">
        <v>0.0</v>
      </c>
      <c r="Q1050" s="5">
        <v>0.0</v>
      </c>
      <c r="R1050" s="5">
        <v>0.0</v>
      </c>
      <c r="S1050" s="5">
        <v>40.3716818629132</v>
      </c>
    </row>
    <row r="1051">
      <c r="A1051" s="6">
        <v>41879.0</v>
      </c>
      <c r="B1051" s="5">
        <v>44.273454106461</v>
      </c>
      <c r="C1051" s="5">
        <v>-24.0166857528937</v>
      </c>
      <c r="D1051" s="5">
        <v>101.346176456046</v>
      </c>
      <c r="E1051" s="5">
        <v>44.273454106461</v>
      </c>
      <c r="F1051" s="5">
        <v>44.273454106461</v>
      </c>
      <c r="G1051" s="5">
        <v>-4.66454304305495</v>
      </c>
      <c r="H1051" s="5">
        <v>-4.66454304305495</v>
      </c>
      <c r="I1051" s="5">
        <v>-4.66454304305495</v>
      </c>
      <c r="J1051" s="5">
        <v>-0.776422525903479</v>
      </c>
      <c r="K1051" s="5">
        <v>-0.776422525903479</v>
      </c>
      <c r="L1051" s="5">
        <v>-0.776422525903479</v>
      </c>
      <c r="M1051" s="5">
        <v>-3.88812051715147</v>
      </c>
      <c r="N1051" s="5">
        <v>-3.88812051715147</v>
      </c>
      <c r="O1051" s="5">
        <v>-3.88812051715147</v>
      </c>
      <c r="P1051" s="5">
        <v>0.0</v>
      </c>
      <c r="Q1051" s="5">
        <v>0.0</v>
      </c>
      <c r="R1051" s="5">
        <v>0.0</v>
      </c>
      <c r="S1051" s="5">
        <v>39.6089110634061</v>
      </c>
    </row>
    <row r="1052">
      <c r="A1052" s="6">
        <v>41880.0</v>
      </c>
      <c r="B1052" s="5">
        <v>44.2793758260201</v>
      </c>
      <c r="C1052" s="5">
        <v>-20.7361485777753</v>
      </c>
      <c r="D1052" s="5">
        <v>103.465312623621</v>
      </c>
      <c r="E1052" s="5">
        <v>44.2793758260201</v>
      </c>
      <c r="F1052" s="5">
        <v>44.2793758260201</v>
      </c>
      <c r="G1052" s="5">
        <v>-5.45691751170349</v>
      </c>
      <c r="H1052" s="5">
        <v>-5.45691751170349</v>
      </c>
      <c r="I1052" s="5">
        <v>-5.45691751170349</v>
      </c>
      <c r="J1052" s="5">
        <v>-1.59155056649031</v>
      </c>
      <c r="K1052" s="5">
        <v>-1.59155056649031</v>
      </c>
      <c r="L1052" s="5">
        <v>-1.59155056649031</v>
      </c>
      <c r="M1052" s="5">
        <v>-3.86536694521318</v>
      </c>
      <c r="N1052" s="5">
        <v>-3.86536694521318</v>
      </c>
      <c r="O1052" s="5">
        <v>-3.86536694521318</v>
      </c>
      <c r="P1052" s="5">
        <v>0.0</v>
      </c>
      <c r="Q1052" s="5">
        <v>0.0</v>
      </c>
      <c r="R1052" s="5">
        <v>0.0</v>
      </c>
      <c r="S1052" s="5">
        <v>38.8224583143166</v>
      </c>
    </row>
    <row r="1053">
      <c r="A1053" s="6">
        <v>41884.0</v>
      </c>
      <c r="B1053" s="5">
        <v>44.3030627042566</v>
      </c>
      <c r="C1053" s="5">
        <v>-23.1021734498678</v>
      </c>
      <c r="D1053" s="5">
        <v>108.307284237587</v>
      </c>
      <c r="E1053" s="5">
        <v>44.3030627042566</v>
      </c>
      <c r="F1053" s="5">
        <v>44.3030627042566</v>
      </c>
      <c r="G1053" s="5">
        <v>-3.74839459822846</v>
      </c>
      <c r="H1053" s="5">
        <v>-3.74839459822846</v>
      </c>
      <c r="I1053" s="5">
        <v>-3.74839459822846</v>
      </c>
      <c r="J1053" s="5">
        <v>-0.14411885724385</v>
      </c>
      <c r="K1053" s="5">
        <v>-0.14411885724385</v>
      </c>
      <c r="L1053" s="5">
        <v>-0.14411885724385</v>
      </c>
      <c r="M1053" s="5">
        <v>-3.60427574098461</v>
      </c>
      <c r="N1053" s="5">
        <v>-3.60427574098461</v>
      </c>
      <c r="O1053" s="5">
        <v>-3.60427574098461</v>
      </c>
      <c r="P1053" s="5">
        <v>0.0</v>
      </c>
      <c r="Q1053" s="5">
        <v>0.0</v>
      </c>
      <c r="R1053" s="5">
        <v>0.0</v>
      </c>
      <c r="S1053" s="5">
        <v>40.5546681060282</v>
      </c>
    </row>
    <row r="1054">
      <c r="A1054" s="6">
        <v>41885.0</v>
      </c>
      <c r="B1054" s="5">
        <v>44.3089844238157</v>
      </c>
      <c r="C1054" s="5">
        <v>-20.3595110364071</v>
      </c>
      <c r="D1054" s="5">
        <v>101.597020151013</v>
      </c>
      <c r="E1054" s="5">
        <v>44.3089844238157</v>
      </c>
      <c r="F1054" s="5">
        <v>44.3089844238157</v>
      </c>
      <c r="G1054" s="5">
        <v>-3.47688244733566</v>
      </c>
      <c r="H1054" s="5">
        <v>-3.47688244733566</v>
      </c>
      <c r="I1054" s="5">
        <v>-3.47688244733566</v>
      </c>
      <c r="J1054" s="5">
        <v>0.00703780528068186</v>
      </c>
      <c r="K1054" s="5">
        <v>0.00703780528068186</v>
      </c>
      <c r="L1054" s="5">
        <v>0.00703780528068186</v>
      </c>
      <c r="M1054" s="5">
        <v>-3.48392025261634</v>
      </c>
      <c r="N1054" s="5">
        <v>-3.48392025261634</v>
      </c>
      <c r="O1054" s="5">
        <v>-3.48392025261634</v>
      </c>
      <c r="P1054" s="5">
        <v>0.0</v>
      </c>
      <c r="Q1054" s="5">
        <v>0.0</v>
      </c>
      <c r="R1054" s="5">
        <v>0.0</v>
      </c>
      <c r="S1054" s="5">
        <v>40.8321019764801</v>
      </c>
    </row>
    <row r="1055">
      <c r="A1055" s="6">
        <v>41886.0</v>
      </c>
      <c r="B1055" s="5">
        <v>44.3149061433749</v>
      </c>
      <c r="C1055" s="5">
        <v>-22.9260959090901</v>
      </c>
      <c r="D1055" s="5">
        <v>105.374336912449</v>
      </c>
      <c r="E1055" s="5">
        <v>44.3149061433749</v>
      </c>
      <c r="F1055" s="5">
        <v>44.3149061433749</v>
      </c>
      <c r="G1055" s="5">
        <v>-4.11753743968272</v>
      </c>
      <c r="H1055" s="5">
        <v>-4.11753743968272</v>
      </c>
      <c r="I1055" s="5">
        <v>-4.11753743968272</v>
      </c>
      <c r="J1055" s="5">
        <v>-0.776422525902726</v>
      </c>
      <c r="K1055" s="5">
        <v>-0.776422525902726</v>
      </c>
      <c r="L1055" s="5">
        <v>-0.776422525902726</v>
      </c>
      <c r="M1055" s="5">
        <v>-3.34111491377999</v>
      </c>
      <c r="N1055" s="5">
        <v>-3.34111491377999</v>
      </c>
      <c r="O1055" s="5">
        <v>-3.34111491377999</v>
      </c>
      <c r="P1055" s="5">
        <v>0.0</v>
      </c>
      <c r="Q1055" s="5">
        <v>0.0</v>
      </c>
      <c r="R1055" s="5">
        <v>0.0</v>
      </c>
      <c r="S1055" s="5">
        <v>40.1973687036921</v>
      </c>
    </row>
    <row r="1056">
      <c r="A1056" s="6">
        <v>41887.0</v>
      </c>
      <c r="B1056" s="5">
        <v>44.320827862934</v>
      </c>
      <c r="C1056" s="5">
        <v>-24.185281793327</v>
      </c>
      <c r="D1056" s="5">
        <v>105.088764493788</v>
      </c>
      <c r="E1056" s="5">
        <v>44.320827862934</v>
      </c>
      <c r="F1056" s="5">
        <v>44.320827862934</v>
      </c>
      <c r="G1056" s="5">
        <v>-4.76961629631317</v>
      </c>
      <c r="H1056" s="5">
        <v>-4.76961629631317</v>
      </c>
      <c r="I1056" s="5">
        <v>-4.76961629631317</v>
      </c>
      <c r="J1056" s="5">
        <v>-1.59155056649519</v>
      </c>
      <c r="K1056" s="5">
        <v>-1.59155056649519</v>
      </c>
      <c r="L1056" s="5">
        <v>-1.59155056649519</v>
      </c>
      <c r="M1056" s="5">
        <v>-3.17806572981798</v>
      </c>
      <c r="N1056" s="5">
        <v>-3.17806572981798</v>
      </c>
      <c r="O1056" s="5">
        <v>-3.17806572981798</v>
      </c>
      <c r="P1056" s="5">
        <v>0.0</v>
      </c>
      <c r="Q1056" s="5">
        <v>0.0</v>
      </c>
      <c r="R1056" s="5">
        <v>0.0</v>
      </c>
      <c r="S1056" s="5">
        <v>39.5512115666208</v>
      </c>
    </row>
    <row r="1057">
      <c r="A1057" s="6">
        <v>41890.0</v>
      </c>
      <c r="B1057" s="5">
        <v>44.3385930216113</v>
      </c>
      <c r="C1057" s="5">
        <v>-15.0635149691344</v>
      </c>
      <c r="D1057" s="5">
        <v>104.408002429633</v>
      </c>
      <c r="E1057" s="5">
        <v>44.3385930216113</v>
      </c>
      <c r="F1057" s="5">
        <v>44.3385930216113</v>
      </c>
      <c r="G1057" s="5">
        <v>-2.51812116601662</v>
      </c>
      <c r="H1057" s="5">
        <v>-2.51812116601662</v>
      </c>
      <c r="I1057" s="5">
        <v>-2.51812116601662</v>
      </c>
      <c r="J1057" s="5">
        <v>0.0905589421198537</v>
      </c>
      <c r="K1057" s="5">
        <v>0.0905589421198537</v>
      </c>
      <c r="L1057" s="5">
        <v>0.0905589421198537</v>
      </c>
      <c r="M1057" s="5">
        <v>-2.60868010813647</v>
      </c>
      <c r="N1057" s="5">
        <v>-2.60868010813647</v>
      </c>
      <c r="O1057" s="5">
        <v>-2.60868010813647</v>
      </c>
      <c r="P1057" s="5">
        <v>0.0</v>
      </c>
      <c r="Q1057" s="5">
        <v>0.0</v>
      </c>
      <c r="R1057" s="5">
        <v>0.0</v>
      </c>
      <c r="S1057" s="5">
        <v>41.8204718555947</v>
      </c>
    </row>
    <row r="1058">
      <c r="A1058" s="6">
        <v>41891.0</v>
      </c>
      <c r="B1058" s="5">
        <v>44.3445147411704</v>
      </c>
      <c r="C1058" s="5">
        <v>-18.3738924126281</v>
      </c>
      <c r="D1058" s="5">
        <v>107.783824207302</v>
      </c>
      <c r="E1058" s="5">
        <v>44.3445147411704</v>
      </c>
      <c r="F1058" s="5">
        <v>44.3445147411704</v>
      </c>
      <c r="G1058" s="5">
        <v>-2.55542109856439</v>
      </c>
      <c r="H1058" s="5">
        <v>-2.55542109856439</v>
      </c>
      <c r="I1058" s="5">
        <v>-2.55542109856439</v>
      </c>
      <c r="J1058" s="5">
        <v>-0.1441188572467</v>
      </c>
      <c r="K1058" s="5">
        <v>-0.1441188572467</v>
      </c>
      <c r="L1058" s="5">
        <v>-0.1441188572467</v>
      </c>
      <c r="M1058" s="5">
        <v>-2.41130224131769</v>
      </c>
      <c r="N1058" s="5">
        <v>-2.41130224131769</v>
      </c>
      <c r="O1058" s="5">
        <v>-2.41130224131769</v>
      </c>
      <c r="P1058" s="5">
        <v>0.0</v>
      </c>
      <c r="Q1058" s="5">
        <v>0.0</v>
      </c>
      <c r="R1058" s="5">
        <v>0.0</v>
      </c>
      <c r="S1058" s="5">
        <v>41.789093642606</v>
      </c>
    </row>
    <row r="1059">
      <c r="A1059" s="6">
        <v>41892.0</v>
      </c>
      <c r="B1059" s="5">
        <v>44.3504364607296</v>
      </c>
      <c r="C1059" s="5">
        <v>-19.6408939627101</v>
      </c>
      <c r="D1059" s="5">
        <v>105.096807977573</v>
      </c>
      <c r="E1059" s="5">
        <v>44.3504364607296</v>
      </c>
      <c r="F1059" s="5">
        <v>44.3504364607296</v>
      </c>
      <c r="G1059" s="5">
        <v>-2.21471092504167</v>
      </c>
      <c r="H1059" s="5">
        <v>-2.21471092504167</v>
      </c>
      <c r="I1059" s="5">
        <v>-2.21471092504167</v>
      </c>
      <c r="J1059" s="5">
        <v>0.00703780528298416</v>
      </c>
      <c r="K1059" s="5">
        <v>0.00703780528298416</v>
      </c>
      <c r="L1059" s="5">
        <v>0.00703780528298416</v>
      </c>
      <c r="M1059" s="5">
        <v>-2.22174873032466</v>
      </c>
      <c r="N1059" s="5">
        <v>-2.22174873032466</v>
      </c>
      <c r="O1059" s="5">
        <v>-2.22174873032466</v>
      </c>
      <c r="P1059" s="5">
        <v>0.0</v>
      </c>
      <c r="Q1059" s="5">
        <v>0.0</v>
      </c>
      <c r="R1059" s="5">
        <v>0.0</v>
      </c>
      <c r="S1059" s="5">
        <v>42.1357255356879</v>
      </c>
    </row>
    <row r="1060">
      <c r="A1060" s="6">
        <v>41893.0</v>
      </c>
      <c r="B1060" s="5">
        <v>44.3563581802887</v>
      </c>
      <c r="C1060" s="5">
        <v>-28.0138770638821</v>
      </c>
      <c r="D1060" s="5">
        <v>106.919484872234</v>
      </c>
      <c r="E1060" s="5">
        <v>44.3563581802887</v>
      </c>
      <c r="F1060" s="5">
        <v>44.3563581802887</v>
      </c>
      <c r="G1060" s="5">
        <v>-2.82413050993924</v>
      </c>
      <c r="H1060" s="5">
        <v>-2.82413050993924</v>
      </c>
      <c r="I1060" s="5">
        <v>-2.82413050993924</v>
      </c>
      <c r="J1060" s="5">
        <v>-0.776422525902073</v>
      </c>
      <c r="K1060" s="5">
        <v>-0.776422525902073</v>
      </c>
      <c r="L1060" s="5">
        <v>-0.776422525902073</v>
      </c>
      <c r="M1060" s="5">
        <v>-2.04770798403717</v>
      </c>
      <c r="N1060" s="5">
        <v>-2.04770798403717</v>
      </c>
      <c r="O1060" s="5">
        <v>-2.04770798403717</v>
      </c>
      <c r="P1060" s="5">
        <v>0.0</v>
      </c>
      <c r="Q1060" s="5">
        <v>0.0</v>
      </c>
      <c r="R1060" s="5">
        <v>0.0</v>
      </c>
      <c r="S1060" s="5">
        <v>41.5322276703494</v>
      </c>
    </row>
    <row r="1061">
      <c r="A1061" s="6">
        <v>41894.0</v>
      </c>
      <c r="B1061" s="5">
        <v>44.3622798998478</v>
      </c>
      <c r="C1061" s="5">
        <v>-20.3334316614517</v>
      </c>
      <c r="D1061" s="5">
        <v>103.515695421636</v>
      </c>
      <c r="E1061" s="5">
        <v>44.3622798998478</v>
      </c>
      <c r="F1061" s="5">
        <v>44.3622798998478</v>
      </c>
      <c r="G1061" s="5">
        <v>-3.48851783596345</v>
      </c>
      <c r="H1061" s="5">
        <v>-3.48851783596345</v>
      </c>
      <c r="I1061" s="5">
        <v>-3.48851783596345</v>
      </c>
      <c r="J1061" s="5">
        <v>-1.59155056649426</v>
      </c>
      <c r="K1061" s="5">
        <v>-1.59155056649426</v>
      </c>
      <c r="L1061" s="5">
        <v>-1.59155056649426</v>
      </c>
      <c r="M1061" s="5">
        <v>-1.89696726946919</v>
      </c>
      <c r="N1061" s="5">
        <v>-1.89696726946919</v>
      </c>
      <c r="O1061" s="5">
        <v>-1.89696726946919</v>
      </c>
      <c r="P1061" s="5">
        <v>0.0</v>
      </c>
      <c r="Q1061" s="5">
        <v>0.0</v>
      </c>
      <c r="R1061" s="5">
        <v>0.0</v>
      </c>
      <c r="S1061" s="5">
        <v>40.8737620638843</v>
      </c>
    </row>
    <row r="1062">
      <c r="A1062" s="6">
        <v>41897.0</v>
      </c>
      <c r="B1062" s="5">
        <v>44.3800450585252</v>
      </c>
      <c r="C1062" s="5">
        <v>-22.201185252788</v>
      </c>
      <c r="D1062" s="5">
        <v>104.931294108907</v>
      </c>
      <c r="E1062" s="5">
        <v>44.3800450585252</v>
      </c>
      <c r="F1062" s="5">
        <v>44.3800450585252</v>
      </c>
      <c r="G1062" s="5">
        <v>-1.56723421885028</v>
      </c>
      <c r="H1062" s="5">
        <v>-1.56723421885028</v>
      </c>
      <c r="I1062" s="5">
        <v>-1.56723421885028</v>
      </c>
      <c r="J1062" s="5">
        <v>0.0905589421232639</v>
      </c>
      <c r="K1062" s="5">
        <v>0.0905589421232639</v>
      </c>
      <c r="L1062" s="5">
        <v>0.0905589421232639</v>
      </c>
      <c r="M1062" s="5">
        <v>-1.65779316097354</v>
      </c>
      <c r="N1062" s="5">
        <v>-1.65779316097354</v>
      </c>
      <c r="O1062" s="5">
        <v>-1.65779316097354</v>
      </c>
      <c r="P1062" s="5">
        <v>0.0</v>
      </c>
      <c r="Q1062" s="5">
        <v>0.0</v>
      </c>
      <c r="R1062" s="5">
        <v>0.0</v>
      </c>
      <c r="S1062" s="5">
        <v>42.8128108396749</v>
      </c>
    </row>
    <row r="1063">
      <c r="A1063" s="6">
        <v>41898.0</v>
      </c>
      <c r="B1063" s="5">
        <v>44.3859667780843</v>
      </c>
      <c r="C1063" s="5">
        <v>-21.5335888839987</v>
      </c>
      <c r="D1063" s="5">
        <v>103.752690626405</v>
      </c>
      <c r="E1063" s="5">
        <v>44.3859667780843</v>
      </c>
      <c r="F1063" s="5">
        <v>44.3859667780843</v>
      </c>
      <c r="G1063" s="5">
        <v>-1.8140692925187</v>
      </c>
      <c r="H1063" s="5">
        <v>-1.8140692925187</v>
      </c>
      <c r="I1063" s="5">
        <v>-1.8140692925187</v>
      </c>
      <c r="J1063" s="5">
        <v>-0.144118857245612</v>
      </c>
      <c r="K1063" s="5">
        <v>-0.144118857245612</v>
      </c>
      <c r="L1063" s="5">
        <v>-0.144118857245612</v>
      </c>
      <c r="M1063" s="5">
        <v>-1.66995043527309</v>
      </c>
      <c r="N1063" s="5">
        <v>-1.66995043527309</v>
      </c>
      <c r="O1063" s="5">
        <v>-1.66995043527309</v>
      </c>
      <c r="P1063" s="5">
        <v>0.0</v>
      </c>
      <c r="Q1063" s="5">
        <v>0.0</v>
      </c>
      <c r="R1063" s="5">
        <v>0.0</v>
      </c>
      <c r="S1063" s="5">
        <v>42.5718974855656</v>
      </c>
    </row>
    <row r="1064">
      <c r="A1064" s="6">
        <v>41899.0</v>
      </c>
      <c r="B1064" s="5">
        <v>44.3918884976434</v>
      </c>
      <c r="C1064" s="5">
        <v>-17.9358076954025</v>
      </c>
      <c r="D1064" s="5">
        <v>100.688852921525</v>
      </c>
      <c r="E1064" s="5">
        <v>44.3918884976434</v>
      </c>
      <c r="F1064" s="5">
        <v>44.3918884976434</v>
      </c>
      <c r="G1064" s="5">
        <v>-1.72873395782784</v>
      </c>
      <c r="H1064" s="5">
        <v>-1.72873395782784</v>
      </c>
      <c r="I1064" s="5">
        <v>-1.72873395782784</v>
      </c>
      <c r="J1064" s="5">
        <v>0.00703780528429523</v>
      </c>
      <c r="K1064" s="5">
        <v>0.00703780528429523</v>
      </c>
      <c r="L1064" s="5">
        <v>0.00703780528429523</v>
      </c>
      <c r="M1064" s="5">
        <v>-1.73577176311214</v>
      </c>
      <c r="N1064" s="5">
        <v>-1.73577176311214</v>
      </c>
      <c r="O1064" s="5">
        <v>-1.73577176311214</v>
      </c>
      <c r="P1064" s="5">
        <v>0.0</v>
      </c>
      <c r="Q1064" s="5">
        <v>0.0</v>
      </c>
      <c r="R1064" s="5">
        <v>0.0</v>
      </c>
      <c r="S1064" s="5">
        <v>42.6631545398155</v>
      </c>
    </row>
    <row r="1065">
      <c r="A1065" s="6">
        <v>41900.0</v>
      </c>
      <c r="B1065" s="5">
        <v>44.3978102172025</v>
      </c>
      <c r="C1065" s="5">
        <v>-20.837979871229</v>
      </c>
      <c r="D1065" s="5">
        <v>107.449804132397</v>
      </c>
      <c r="E1065" s="5">
        <v>44.3978102172025</v>
      </c>
      <c r="F1065" s="5">
        <v>44.3978102172025</v>
      </c>
      <c r="G1065" s="5">
        <v>-2.63419987913031</v>
      </c>
      <c r="H1065" s="5">
        <v>-2.63419987913031</v>
      </c>
      <c r="I1065" s="5">
        <v>-2.63419987913031</v>
      </c>
      <c r="J1065" s="5">
        <v>-0.776422525904169</v>
      </c>
      <c r="K1065" s="5">
        <v>-0.776422525904169</v>
      </c>
      <c r="L1065" s="5">
        <v>-0.776422525904169</v>
      </c>
      <c r="M1065" s="5">
        <v>-1.85777735322614</v>
      </c>
      <c r="N1065" s="5">
        <v>-1.85777735322614</v>
      </c>
      <c r="O1065" s="5">
        <v>-1.85777735322614</v>
      </c>
      <c r="P1065" s="5">
        <v>0.0</v>
      </c>
      <c r="Q1065" s="5">
        <v>0.0</v>
      </c>
      <c r="R1065" s="5">
        <v>0.0</v>
      </c>
      <c r="S1065" s="5">
        <v>41.7636103380722</v>
      </c>
    </row>
    <row r="1066">
      <c r="A1066" s="6">
        <v>41901.0</v>
      </c>
      <c r="B1066" s="5">
        <v>44.4037319367616</v>
      </c>
      <c r="C1066" s="5">
        <v>-24.2147185397425</v>
      </c>
      <c r="D1066" s="5">
        <v>105.612077906446</v>
      </c>
      <c r="E1066" s="5">
        <v>44.4037319367616</v>
      </c>
      <c r="F1066" s="5">
        <v>44.4037319367616</v>
      </c>
      <c r="G1066" s="5">
        <v>-3.62837171340574</v>
      </c>
      <c r="H1066" s="5">
        <v>-3.62837171340574</v>
      </c>
      <c r="I1066" s="5">
        <v>-3.62837171340574</v>
      </c>
      <c r="J1066" s="5">
        <v>-1.59155056649334</v>
      </c>
      <c r="K1066" s="5">
        <v>-1.59155056649334</v>
      </c>
      <c r="L1066" s="5">
        <v>-1.59155056649334</v>
      </c>
      <c r="M1066" s="5">
        <v>-2.0368211469124</v>
      </c>
      <c r="N1066" s="5">
        <v>-2.0368211469124</v>
      </c>
      <c r="O1066" s="5">
        <v>-2.0368211469124</v>
      </c>
      <c r="P1066" s="5">
        <v>0.0</v>
      </c>
      <c r="Q1066" s="5">
        <v>0.0</v>
      </c>
      <c r="R1066" s="5">
        <v>0.0</v>
      </c>
      <c r="S1066" s="5">
        <v>40.7753602233559</v>
      </c>
    </row>
    <row r="1067">
      <c r="A1067" s="6">
        <v>41904.0</v>
      </c>
      <c r="B1067" s="5">
        <v>44.421497095439</v>
      </c>
      <c r="C1067" s="5">
        <v>-20.46861760517</v>
      </c>
      <c r="D1067" s="5">
        <v>109.009052039468</v>
      </c>
      <c r="E1067" s="5">
        <v>44.421497095439</v>
      </c>
      <c r="F1067" s="5">
        <v>44.421497095439</v>
      </c>
      <c r="G1067" s="5">
        <v>-2.80693591411282</v>
      </c>
      <c r="H1067" s="5">
        <v>-2.80693591411282</v>
      </c>
      <c r="I1067" s="5">
        <v>-2.80693591411282</v>
      </c>
      <c r="J1067" s="5">
        <v>0.0905589421219067</v>
      </c>
      <c r="K1067" s="5">
        <v>0.0905589421219067</v>
      </c>
      <c r="L1067" s="5">
        <v>0.0905589421219067</v>
      </c>
      <c r="M1067" s="5">
        <v>-2.89749485623473</v>
      </c>
      <c r="N1067" s="5">
        <v>-2.89749485623473</v>
      </c>
      <c r="O1067" s="5">
        <v>-2.89749485623473</v>
      </c>
      <c r="P1067" s="5">
        <v>0.0</v>
      </c>
      <c r="Q1067" s="5">
        <v>0.0</v>
      </c>
      <c r="R1067" s="5">
        <v>0.0</v>
      </c>
      <c r="S1067" s="5">
        <v>41.6145611813262</v>
      </c>
    </row>
    <row r="1068">
      <c r="A1068" s="6">
        <v>41905.0</v>
      </c>
      <c r="B1068" s="5">
        <v>44.4274188149981</v>
      </c>
      <c r="C1068" s="5">
        <v>-21.9436163749363</v>
      </c>
      <c r="D1068" s="5">
        <v>102.215564423394</v>
      </c>
      <c r="E1068" s="5">
        <v>44.4274188149981</v>
      </c>
      <c r="F1068" s="5">
        <v>44.4274188149981</v>
      </c>
      <c r="G1068" s="5">
        <v>-3.42080172427132</v>
      </c>
      <c r="H1068" s="5">
        <v>-3.42080172427132</v>
      </c>
      <c r="I1068" s="5">
        <v>-3.42080172427132</v>
      </c>
      <c r="J1068" s="5">
        <v>-0.144118857244524</v>
      </c>
      <c r="K1068" s="5">
        <v>-0.144118857244524</v>
      </c>
      <c r="L1068" s="5">
        <v>-0.144118857244524</v>
      </c>
      <c r="M1068" s="5">
        <v>-3.2766828670268</v>
      </c>
      <c r="N1068" s="5">
        <v>-3.2766828670268</v>
      </c>
      <c r="O1068" s="5">
        <v>-3.2766828670268</v>
      </c>
      <c r="P1068" s="5">
        <v>0.0</v>
      </c>
      <c r="Q1068" s="5">
        <v>0.0</v>
      </c>
      <c r="R1068" s="5">
        <v>0.0</v>
      </c>
      <c r="S1068" s="5">
        <v>41.0066170907268</v>
      </c>
    </row>
    <row r="1069">
      <c r="A1069" s="6">
        <v>41906.0</v>
      </c>
      <c r="B1069" s="5">
        <v>44.4333405345572</v>
      </c>
      <c r="C1069" s="5">
        <v>-18.0287821276489</v>
      </c>
      <c r="D1069" s="5">
        <v>100.375732943364</v>
      </c>
      <c r="E1069" s="5">
        <v>44.4333405345572</v>
      </c>
      <c r="F1069" s="5">
        <v>44.4333405345572</v>
      </c>
      <c r="G1069" s="5">
        <v>-3.68268344755789</v>
      </c>
      <c r="H1069" s="5">
        <v>-3.68268344755789</v>
      </c>
      <c r="I1069" s="5">
        <v>-3.68268344755789</v>
      </c>
      <c r="J1069" s="5">
        <v>0.00703780528127905</v>
      </c>
      <c r="K1069" s="5">
        <v>0.00703780528127905</v>
      </c>
      <c r="L1069" s="5">
        <v>0.00703780528127905</v>
      </c>
      <c r="M1069" s="5">
        <v>-3.68972125283917</v>
      </c>
      <c r="N1069" s="5">
        <v>-3.68972125283917</v>
      </c>
      <c r="O1069" s="5">
        <v>-3.68972125283917</v>
      </c>
      <c r="P1069" s="5">
        <v>0.0</v>
      </c>
      <c r="Q1069" s="5">
        <v>0.0</v>
      </c>
      <c r="R1069" s="5">
        <v>0.0</v>
      </c>
      <c r="S1069" s="5">
        <v>40.7506570869993</v>
      </c>
    </row>
    <row r="1070">
      <c r="A1070" s="6">
        <v>41907.0</v>
      </c>
      <c r="B1070" s="5">
        <v>44.4392622541163</v>
      </c>
      <c r="C1070" s="5">
        <v>-25.2310932728634</v>
      </c>
      <c r="D1070" s="5">
        <v>99.8457669458577</v>
      </c>
      <c r="E1070" s="5">
        <v>44.4392622541163</v>
      </c>
      <c r="F1070" s="5">
        <v>44.4392622541163</v>
      </c>
      <c r="G1070" s="5">
        <v>-4.90317972440752</v>
      </c>
      <c r="H1070" s="5">
        <v>-4.90317972440752</v>
      </c>
      <c r="I1070" s="5">
        <v>-4.90317972440752</v>
      </c>
      <c r="J1070" s="5">
        <v>-0.776422525904891</v>
      </c>
      <c r="K1070" s="5">
        <v>-0.776422525904891</v>
      </c>
      <c r="L1070" s="5">
        <v>-0.776422525904891</v>
      </c>
      <c r="M1070" s="5">
        <v>-4.12675719850263</v>
      </c>
      <c r="N1070" s="5">
        <v>-4.12675719850263</v>
      </c>
      <c r="O1070" s="5">
        <v>-4.12675719850263</v>
      </c>
      <c r="P1070" s="5">
        <v>0.0</v>
      </c>
      <c r="Q1070" s="5">
        <v>0.0</v>
      </c>
      <c r="R1070" s="5">
        <v>0.0</v>
      </c>
      <c r="S1070" s="5">
        <v>39.5360825297088</v>
      </c>
    </row>
    <row r="1071">
      <c r="A1071" s="6">
        <v>41908.0</v>
      </c>
      <c r="B1071" s="5">
        <v>44.4451839736755</v>
      </c>
      <c r="C1071" s="5">
        <v>-23.0522481443716</v>
      </c>
      <c r="D1071" s="5">
        <v>102.883320046373</v>
      </c>
      <c r="E1071" s="5">
        <v>44.4451839736755</v>
      </c>
      <c r="F1071" s="5">
        <v>44.4451839736755</v>
      </c>
      <c r="G1071" s="5">
        <v>-6.16809817574356</v>
      </c>
      <c r="H1071" s="5">
        <v>-6.16809817574356</v>
      </c>
      <c r="I1071" s="5">
        <v>-6.16809817574356</v>
      </c>
      <c r="J1071" s="5">
        <v>-1.59155056649484</v>
      </c>
      <c r="K1071" s="5">
        <v>-1.59155056649484</v>
      </c>
      <c r="L1071" s="5">
        <v>-1.59155056649484</v>
      </c>
      <c r="M1071" s="5">
        <v>-4.57654760924872</v>
      </c>
      <c r="N1071" s="5">
        <v>-4.57654760924872</v>
      </c>
      <c r="O1071" s="5">
        <v>-4.57654760924872</v>
      </c>
      <c r="P1071" s="5">
        <v>0.0</v>
      </c>
      <c r="Q1071" s="5">
        <v>0.0</v>
      </c>
      <c r="R1071" s="5">
        <v>0.0</v>
      </c>
      <c r="S1071" s="5">
        <v>38.2770857979319</v>
      </c>
    </row>
    <row r="1072">
      <c r="A1072" s="6">
        <v>41911.0</v>
      </c>
      <c r="B1072" s="5">
        <v>44.4629491323528</v>
      </c>
      <c r="C1072" s="5">
        <v>-27.6665568475796</v>
      </c>
      <c r="D1072" s="5">
        <v>102.277516930854</v>
      </c>
      <c r="E1072" s="5">
        <v>44.4629491323528</v>
      </c>
      <c r="F1072" s="5">
        <v>44.4629491323528</v>
      </c>
      <c r="G1072" s="5">
        <v>-5.78409904628608</v>
      </c>
      <c r="H1072" s="5">
        <v>-5.78409904628608</v>
      </c>
      <c r="I1072" s="5">
        <v>-5.78409904628608</v>
      </c>
      <c r="J1072" s="5">
        <v>0.0905589421228531</v>
      </c>
      <c r="K1072" s="5">
        <v>0.0905589421228531</v>
      </c>
      <c r="L1072" s="5">
        <v>0.0905589421228531</v>
      </c>
      <c r="M1072" s="5">
        <v>-5.87465798840893</v>
      </c>
      <c r="N1072" s="5">
        <v>-5.87465798840893</v>
      </c>
      <c r="O1072" s="5">
        <v>-5.87465798840893</v>
      </c>
      <c r="P1072" s="5">
        <v>0.0</v>
      </c>
      <c r="Q1072" s="5">
        <v>0.0</v>
      </c>
      <c r="R1072" s="5">
        <v>0.0</v>
      </c>
      <c r="S1072" s="5">
        <v>38.6788500860667</v>
      </c>
    </row>
    <row r="1073">
      <c r="A1073" s="6">
        <v>41912.0</v>
      </c>
      <c r="B1073" s="5">
        <v>44.4688708519119</v>
      </c>
      <c r="C1073" s="5">
        <v>-22.5800165876445</v>
      </c>
      <c r="D1073" s="5">
        <v>101.812169314614</v>
      </c>
      <c r="E1073" s="5">
        <v>44.4688708519119</v>
      </c>
      <c r="F1073" s="5">
        <v>44.4688708519119</v>
      </c>
      <c r="G1073" s="5">
        <v>-6.38884240208889</v>
      </c>
      <c r="H1073" s="5">
        <v>-6.38884240208889</v>
      </c>
      <c r="I1073" s="5">
        <v>-6.38884240208889</v>
      </c>
      <c r="J1073" s="5">
        <v>-0.144118857243436</v>
      </c>
      <c r="K1073" s="5">
        <v>-0.144118857243436</v>
      </c>
      <c r="L1073" s="5">
        <v>-0.144118857243436</v>
      </c>
      <c r="M1073" s="5">
        <v>-6.24472354484546</v>
      </c>
      <c r="N1073" s="5">
        <v>-6.24472354484546</v>
      </c>
      <c r="O1073" s="5">
        <v>-6.24472354484546</v>
      </c>
      <c r="P1073" s="5">
        <v>0.0</v>
      </c>
      <c r="Q1073" s="5">
        <v>0.0</v>
      </c>
      <c r="R1073" s="5">
        <v>0.0</v>
      </c>
      <c r="S1073" s="5">
        <v>38.080028449823</v>
      </c>
    </row>
    <row r="1074">
      <c r="A1074" s="6">
        <v>41913.0</v>
      </c>
      <c r="B1074" s="5">
        <v>44.474792571471</v>
      </c>
      <c r="C1074" s="5">
        <v>-30.2761113977812</v>
      </c>
      <c r="D1074" s="5">
        <v>97.3783770202796</v>
      </c>
      <c r="E1074" s="5">
        <v>44.474792571471</v>
      </c>
      <c r="F1074" s="5">
        <v>44.474792571471</v>
      </c>
      <c r="G1074" s="5">
        <v>-6.55337612696676</v>
      </c>
      <c r="H1074" s="5">
        <v>-6.55337612696676</v>
      </c>
      <c r="I1074" s="5">
        <v>-6.55337612696676</v>
      </c>
      <c r="J1074" s="5">
        <v>0.00703780528358153</v>
      </c>
      <c r="K1074" s="5">
        <v>0.00703780528358153</v>
      </c>
      <c r="L1074" s="5">
        <v>0.00703780528358153</v>
      </c>
      <c r="M1074" s="5">
        <v>-6.56041393225034</v>
      </c>
      <c r="N1074" s="5">
        <v>-6.56041393225034</v>
      </c>
      <c r="O1074" s="5">
        <v>-6.56041393225034</v>
      </c>
      <c r="P1074" s="5">
        <v>0.0</v>
      </c>
      <c r="Q1074" s="5">
        <v>0.0</v>
      </c>
      <c r="R1074" s="5">
        <v>0.0</v>
      </c>
      <c r="S1074" s="5">
        <v>37.9214164445043</v>
      </c>
    </row>
    <row r="1075">
      <c r="A1075" s="6">
        <v>41914.0</v>
      </c>
      <c r="B1075" s="5">
        <v>44.4807142910302</v>
      </c>
      <c r="C1075" s="5">
        <v>-25.305829784773</v>
      </c>
      <c r="D1075" s="5">
        <v>105.874735644725</v>
      </c>
      <c r="E1075" s="5">
        <v>44.4807142910302</v>
      </c>
      <c r="F1075" s="5">
        <v>44.4807142910302</v>
      </c>
      <c r="G1075" s="5">
        <v>-7.58490231340837</v>
      </c>
      <c r="H1075" s="5">
        <v>-7.58490231340837</v>
      </c>
      <c r="I1075" s="5">
        <v>-7.58490231340837</v>
      </c>
      <c r="J1075" s="5">
        <v>-0.776422525904138</v>
      </c>
      <c r="K1075" s="5">
        <v>-0.776422525904138</v>
      </c>
      <c r="L1075" s="5">
        <v>-0.776422525904138</v>
      </c>
      <c r="M1075" s="5">
        <v>-6.80847978750423</v>
      </c>
      <c r="N1075" s="5">
        <v>-6.80847978750423</v>
      </c>
      <c r="O1075" s="5">
        <v>-6.80847978750423</v>
      </c>
      <c r="P1075" s="5">
        <v>0.0</v>
      </c>
      <c r="Q1075" s="5">
        <v>0.0</v>
      </c>
      <c r="R1075" s="5">
        <v>0.0</v>
      </c>
      <c r="S1075" s="5">
        <v>36.8958119776218</v>
      </c>
    </row>
    <row r="1076">
      <c r="A1076" s="6">
        <v>41915.0</v>
      </c>
      <c r="B1076" s="5">
        <v>44.4866360105893</v>
      </c>
      <c r="C1076" s="5">
        <v>-29.006127173394</v>
      </c>
      <c r="D1076" s="5">
        <v>97.3471245990022</v>
      </c>
      <c r="E1076" s="5">
        <v>44.4866360105893</v>
      </c>
      <c r="F1076" s="5">
        <v>44.4866360105893</v>
      </c>
      <c r="G1076" s="5">
        <v>-8.56811265440006</v>
      </c>
      <c r="H1076" s="5">
        <v>-8.56811265440006</v>
      </c>
      <c r="I1076" s="5">
        <v>-8.56811265440006</v>
      </c>
      <c r="J1076" s="5">
        <v>-1.59155056649392</v>
      </c>
      <c r="K1076" s="5">
        <v>-1.59155056649392</v>
      </c>
      <c r="L1076" s="5">
        <v>-1.59155056649392</v>
      </c>
      <c r="M1076" s="5">
        <v>-6.97656208790614</v>
      </c>
      <c r="N1076" s="5">
        <v>-6.97656208790614</v>
      </c>
      <c r="O1076" s="5">
        <v>-6.97656208790614</v>
      </c>
      <c r="P1076" s="5">
        <v>0.0</v>
      </c>
      <c r="Q1076" s="5">
        <v>0.0</v>
      </c>
      <c r="R1076" s="5">
        <v>0.0</v>
      </c>
      <c r="S1076" s="5">
        <v>35.9185233561892</v>
      </c>
    </row>
    <row r="1077">
      <c r="A1077" s="6">
        <v>41918.0</v>
      </c>
      <c r="B1077" s="5">
        <v>44.5044011692666</v>
      </c>
      <c r="C1077" s="5">
        <v>-25.872864919937</v>
      </c>
      <c r="D1077" s="5">
        <v>105.434372873143</v>
      </c>
      <c r="E1077" s="5">
        <v>44.5044011692666</v>
      </c>
      <c r="F1077" s="5">
        <v>44.5044011692666</v>
      </c>
      <c r="G1077" s="5">
        <v>-6.80704273672673</v>
      </c>
      <c r="H1077" s="5">
        <v>-6.80704273672673</v>
      </c>
      <c r="I1077" s="5">
        <v>-6.80704273672673</v>
      </c>
      <c r="J1077" s="5">
        <v>0.0905589421214959</v>
      </c>
      <c r="K1077" s="5">
        <v>0.0905589421214959</v>
      </c>
      <c r="L1077" s="5">
        <v>0.0905589421214959</v>
      </c>
      <c r="M1077" s="5">
        <v>-6.89760167884823</v>
      </c>
      <c r="N1077" s="5">
        <v>-6.89760167884823</v>
      </c>
      <c r="O1077" s="5">
        <v>-6.89760167884823</v>
      </c>
      <c r="P1077" s="5">
        <v>0.0</v>
      </c>
      <c r="Q1077" s="5">
        <v>0.0</v>
      </c>
      <c r="R1077" s="5">
        <v>0.0</v>
      </c>
      <c r="S1077" s="5">
        <v>37.6973584325399</v>
      </c>
    </row>
    <row r="1078">
      <c r="A1078" s="6">
        <v>41919.0</v>
      </c>
      <c r="B1078" s="5">
        <v>44.5103228888258</v>
      </c>
      <c r="C1078" s="5">
        <v>-21.1082846138541</v>
      </c>
      <c r="D1078" s="5">
        <v>101.067392393754</v>
      </c>
      <c r="E1078" s="5">
        <v>44.5103228888258</v>
      </c>
      <c r="F1078" s="5">
        <v>44.5103228888258</v>
      </c>
      <c r="G1078" s="5">
        <v>-6.79533692456931</v>
      </c>
      <c r="H1078" s="5">
        <v>-6.79533692456931</v>
      </c>
      <c r="I1078" s="5">
        <v>-6.79533692456931</v>
      </c>
      <c r="J1078" s="5">
        <v>-0.144118857246285</v>
      </c>
      <c r="K1078" s="5">
        <v>-0.144118857246285</v>
      </c>
      <c r="L1078" s="5">
        <v>-0.144118857246285</v>
      </c>
      <c r="M1078" s="5">
        <v>-6.65121806732302</v>
      </c>
      <c r="N1078" s="5">
        <v>-6.65121806732302</v>
      </c>
      <c r="O1078" s="5">
        <v>-6.65121806732302</v>
      </c>
      <c r="P1078" s="5">
        <v>0.0</v>
      </c>
      <c r="Q1078" s="5">
        <v>0.0</v>
      </c>
      <c r="R1078" s="5">
        <v>0.0</v>
      </c>
      <c r="S1078" s="5">
        <v>37.7149859642564</v>
      </c>
    </row>
    <row r="1079">
      <c r="A1079" s="6">
        <v>41920.0</v>
      </c>
      <c r="B1079" s="5">
        <v>44.5162446083849</v>
      </c>
      <c r="C1079" s="5">
        <v>-23.9311413597558</v>
      </c>
      <c r="D1079" s="5">
        <v>96.0900132091765</v>
      </c>
      <c r="E1079" s="5">
        <v>44.5162446083849</v>
      </c>
      <c r="F1079" s="5">
        <v>44.5162446083849</v>
      </c>
      <c r="G1079" s="5">
        <v>-6.28012872637481</v>
      </c>
      <c r="H1079" s="5">
        <v>-6.28012872637481</v>
      </c>
      <c r="I1079" s="5">
        <v>-6.28012872637481</v>
      </c>
      <c r="J1079" s="5">
        <v>0.00703780528272897</v>
      </c>
      <c r="K1079" s="5">
        <v>0.00703780528272897</v>
      </c>
      <c r="L1079" s="5">
        <v>0.00703780528272897</v>
      </c>
      <c r="M1079" s="5">
        <v>-6.28716653165754</v>
      </c>
      <c r="N1079" s="5">
        <v>-6.28716653165754</v>
      </c>
      <c r="O1079" s="5">
        <v>-6.28716653165754</v>
      </c>
      <c r="P1079" s="5">
        <v>0.0</v>
      </c>
      <c r="Q1079" s="5">
        <v>0.0</v>
      </c>
      <c r="R1079" s="5">
        <v>0.0</v>
      </c>
      <c r="S1079" s="5">
        <v>38.2361158820101</v>
      </c>
    </row>
    <row r="1080">
      <c r="A1080" s="6">
        <v>41921.0</v>
      </c>
      <c r="B1080" s="5">
        <v>44.522166327944</v>
      </c>
      <c r="C1080" s="5">
        <v>-19.4581260559744</v>
      </c>
      <c r="D1080" s="5">
        <v>106.329151043424</v>
      </c>
      <c r="E1080" s="5">
        <v>44.522166327944</v>
      </c>
      <c r="F1080" s="5">
        <v>44.522166327944</v>
      </c>
      <c r="G1080" s="5">
        <v>-6.58074397959484</v>
      </c>
      <c r="H1080" s="5">
        <v>-6.58074397959484</v>
      </c>
      <c r="I1080" s="5">
        <v>-6.58074397959484</v>
      </c>
      <c r="J1080" s="5">
        <v>-0.776422525900635</v>
      </c>
      <c r="K1080" s="5">
        <v>-0.776422525900635</v>
      </c>
      <c r="L1080" s="5">
        <v>-0.776422525900635</v>
      </c>
      <c r="M1080" s="5">
        <v>-5.8043214536942</v>
      </c>
      <c r="N1080" s="5">
        <v>-5.8043214536942</v>
      </c>
      <c r="O1080" s="5">
        <v>-5.8043214536942</v>
      </c>
      <c r="P1080" s="5">
        <v>0.0</v>
      </c>
      <c r="Q1080" s="5">
        <v>0.0</v>
      </c>
      <c r="R1080" s="5">
        <v>0.0</v>
      </c>
      <c r="S1080" s="5">
        <v>37.9414223483491</v>
      </c>
    </row>
    <row r="1081">
      <c r="A1081" s="6">
        <v>41922.0</v>
      </c>
      <c r="B1081" s="5">
        <v>44.5280880475031</v>
      </c>
      <c r="C1081" s="5">
        <v>-24.6540022616468</v>
      </c>
      <c r="D1081" s="5">
        <v>99.7388321607868</v>
      </c>
      <c r="E1081" s="5">
        <v>44.5280880475031</v>
      </c>
      <c r="F1081" s="5">
        <v>44.5280880475031</v>
      </c>
      <c r="G1081" s="5">
        <v>-6.79552905551115</v>
      </c>
      <c r="H1081" s="5">
        <v>-6.79552905551115</v>
      </c>
      <c r="I1081" s="5">
        <v>-6.79552905551115</v>
      </c>
      <c r="J1081" s="5">
        <v>-1.59155056649268</v>
      </c>
      <c r="K1081" s="5">
        <v>-1.59155056649268</v>
      </c>
      <c r="L1081" s="5">
        <v>-1.59155056649268</v>
      </c>
      <c r="M1081" s="5">
        <v>-5.20397848901847</v>
      </c>
      <c r="N1081" s="5">
        <v>-5.20397848901847</v>
      </c>
      <c r="O1081" s="5">
        <v>-5.20397848901847</v>
      </c>
      <c r="P1081" s="5">
        <v>0.0</v>
      </c>
      <c r="Q1081" s="5">
        <v>0.0</v>
      </c>
      <c r="R1081" s="5">
        <v>0.0</v>
      </c>
      <c r="S1081" s="5">
        <v>37.732558991992</v>
      </c>
    </row>
    <row r="1082">
      <c r="A1082" s="6">
        <v>41925.0</v>
      </c>
      <c r="B1082" s="5">
        <v>44.5458532061805</v>
      </c>
      <c r="C1082" s="5">
        <v>-21.5768491512502</v>
      </c>
      <c r="D1082" s="5">
        <v>104.493719328476</v>
      </c>
      <c r="E1082" s="5">
        <v>44.5458532061805</v>
      </c>
      <c r="F1082" s="5">
        <v>44.5458532061805</v>
      </c>
      <c r="G1082" s="5">
        <v>-2.65623934296366</v>
      </c>
      <c r="H1082" s="5">
        <v>-2.65623934296366</v>
      </c>
      <c r="I1082" s="5">
        <v>-2.65623934296366</v>
      </c>
      <c r="J1082" s="5">
        <v>0.0905589421224422</v>
      </c>
      <c r="K1082" s="5">
        <v>0.0905589421224422</v>
      </c>
      <c r="L1082" s="5">
        <v>0.0905589421224422</v>
      </c>
      <c r="M1082" s="5">
        <v>-2.7467982850861</v>
      </c>
      <c r="N1082" s="5">
        <v>-2.7467982850861</v>
      </c>
      <c r="O1082" s="5">
        <v>-2.7467982850861</v>
      </c>
      <c r="P1082" s="5">
        <v>0.0</v>
      </c>
      <c r="Q1082" s="5">
        <v>0.0</v>
      </c>
      <c r="R1082" s="5">
        <v>0.0</v>
      </c>
      <c r="S1082" s="5">
        <v>41.8896138632168</v>
      </c>
    </row>
    <row r="1083">
      <c r="A1083" s="6">
        <v>41926.0</v>
      </c>
      <c r="B1083" s="5">
        <v>44.5517749257396</v>
      </c>
      <c r="C1083" s="5">
        <v>-19.3652700050188</v>
      </c>
      <c r="D1083" s="5">
        <v>103.155394015084</v>
      </c>
      <c r="E1083" s="5">
        <v>44.5517749257396</v>
      </c>
      <c r="F1083" s="5">
        <v>44.5517749257396</v>
      </c>
      <c r="G1083" s="5">
        <v>-1.88064452085768</v>
      </c>
      <c r="H1083" s="5">
        <v>-1.88064452085768</v>
      </c>
      <c r="I1083" s="5">
        <v>-1.88064452085768</v>
      </c>
      <c r="J1083" s="5">
        <v>-0.144118857245197</v>
      </c>
      <c r="K1083" s="5">
        <v>-0.144118857245197</v>
      </c>
      <c r="L1083" s="5">
        <v>-0.144118857245197</v>
      </c>
      <c r="M1083" s="5">
        <v>-1.73652566361248</v>
      </c>
      <c r="N1083" s="5">
        <v>-1.73652566361248</v>
      </c>
      <c r="O1083" s="5">
        <v>-1.73652566361248</v>
      </c>
      <c r="P1083" s="5">
        <v>0.0</v>
      </c>
      <c r="Q1083" s="5">
        <v>0.0</v>
      </c>
      <c r="R1083" s="5">
        <v>0.0</v>
      </c>
      <c r="S1083" s="5">
        <v>42.6711304048819</v>
      </c>
    </row>
    <row r="1084">
      <c r="A1084" s="6">
        <v>41927.0</v>
      </c>
      <c r="B1084" s="5">
        <v>44.5576966452987</v>
      </c>
      <c r="C1084" s="5">
        <v>-15.9518721842297</v>
      </c>
      <c r="D1084" s="5">
        <v>107.069292476676</v>
      </c>
      <c r="E1084" s="5">
        <v>44.5576966452987</v>
      </c>
      <c r="F1084" s="5">
        <v>44.5576966452987</v>
      </c>
      <c r="G1084" s="5">
        <v>-0.642329233788783</v>
      </c>
      <c r="H1084" s="5">
        <v>-0.642329233788783</v>
      </c>
      <c r="I1084" s="5">
        <v>-0.642329233788783</v>
      </c>
      <c r="J1084" s="5">
        <v>0.00703780528187642</v>
      </c>
      <c r="K1084" s="5">
        <v>0.00703780528187642</v>
      </c>
      <c r="L1084" s="5">
        <v>0.00703780528187642</v>
      </c>
      <c r="M1084" s="5">
        <v>-0.64936703907066</v>
      </c>
      <c r="N1084" s="5">
        <v>-0.64936703907066</v>
      </c>
      <c r="O1084" s="5">
        <v>-0.64936703907066</v>
      </c>
      <c r="P1084" s="5">
        <v>0.0</v>
      </c>
      <c r="Q1084" s="5">
        <v>0.0</v>
      </c>
      <c r="R1084" s="5">
        <v>0.0</v>
      </c>
      <c r="S1084" s="5">
        <v>43.9153674115099</v>
      </c>
    </row>
    <row r="1085">
      <c r="A1085" s="6">
        <v>41928.0</v>
      </c>
      <c r="B1085" s="5">
        <v>44.5636183648578</v>
      </c>
      <c r="C1085" s="5">
        <v>-21.6785769402962</v>
      </c>
      <c r="D1085" s="5">
        <v>108.002651683757</v>
      </c>
      <c r="E1085" s="5">
        <v>44.5636183648578</v>
      </c>
      <c r="F1085" s="5">
        <v>44.5636183648578</v>
      </c>
      <c r="G1085" s="5">
        <v>-0.275421341530031</v>
      </c>
      <c r="H1085" s="5">
        <v>-0.275421341530031</v>
      </c>
      <c r="I1085" s="5">
        <v>-0.275421341530031</v>
      </c>
      <c r="J1085" s="5">
        <v>-0.776422525901357</v>
      </c>
      <c r="K1085" s="5">
        <v>-0.776422525901357</v>
      </c>
      <c r="L1085" s="5">
        <v>-0.776422525901357</v>
      </c>
      <c r="M1085" s="5">
        <v>0.501001184371326</v>
      </c>
      <c r="N1085" s="5">
        <v>0.501001184371326</v>
      </c>
      <c r="O1085" s="5">
        <v>0.501001184371326</v>
      </c>
      <c r="P1085" s="5">
        <v>0.0</v>
      </c>
      <c r="Q1085" s="5">
        <v>0.0</v>
      </c>
      <c r="R1085" s="5">
        <v>0.0</v>
      </c>
      <c r="S1085" s="5">
        <v>44.2881970233278</v>
      </c>
    </row>
    <row r="1086">
      <c r="A1086" s="6">
        <v>41929.0</v>
      </c>
      <c r="B1086" s="5">
        <v>44.5695400844169</v>
      </c>
      <c r="C1086" s="5">
        <v>-17.5948159407137</v>
      </c>
      <c r="D1086" s="5">
        <v>104.575571894339</v>
      </c>
      <c r="E1086" s="5">
        <v>44.5695400844169</v>
      </c>
      <c r="F1086" s="5">
        <v>44.5695400844169</v>
      </c>
      <c r="G1086" s="5">
        <v>0.108163823644336</v>
      </c>
      <c r="H1086" s="5">
        <v>0.108163823644336</v>
      </c>
      <c r="I1086" s="5">
        <v>0.108163823644336</v>
      </c>
      <c r="J1086" s="5">
        <v>-1.59155056649481</v>
      </c>
      <c r="K1086" s="5">
        <v>-1.59155056649481</v>
      </c>
      <c r="L1086" s="5">
        <v>-1.59155056649481</v>
      </c>
      <c r="M1086" s="5">
        <v>1.69971439013915</v>
      </c>
      <c r="N1086" s="5">
        <v>1.69971439013915</v>
      </c>
      <c r="O1086" s="5">
        <v>1.69971439013915</v>
      </c>
      <c r="P1086" s="5">
        <v>0.0</v>
      </c>
      <c r="Q1086" s="5">
        <v>0.0</v>
      </c>
      <c r="R1086" s="5">
        <v>0.0</v>
      </c>
      <c r="S1086" s="5">
        <v>44.6777039080613</v>
      </c>
    </row>
    <row r="1087">
      <c r="A1087" s="6">
        <v>41932.0</v>
      </c>
      <c r="B1087" s="5">
        <v>44.5873052430943</v>
      </c>
      <c r="C1087" s="5">
        <v>-9.33860093151076</v>
      </c>
      <c r="D1087" s="5">
        <v>115.683272381574</v>
      </c>
      <c r="E1087" s="5">
        <v>44.5873052430943</v>
      </c>
      <c r="F1087" s="5">
        <v>44.5873052430943</v>
      </c>
      <c r="G1087" s="5">
        <v>5.5177234300126</v>
      </c>
      <c r="H1087" s="5">
        <v>5.5177234300126</v>
      </c>
      <c r="I1087" s="5">
        <v>5.5177234300126</v>
      </c>
      <c r="J1087" s="5">
        <v>0.0905589421210048</v>
      </c>
      <c r="K1087" s="5">
        <v>0.0905589421210048</v>
      </c>
      <c r="L1087" s="5">
        <v>0.0905589421210048</v>
      </c>
      <c r="M1087" s="5">
        <v>5.4271644878916</v>
      </c>
      <c r="N1087" s="5">
        <v>5.4271644878916</v>
      </c>
      <c r="O1087" s="5">
        <v>5.4271644878916</v>
      </c>
      <c r="P1087" s="5">
        <v>0.0</v>
      </c>
      <c r="Q1087" s="5">
        <v>0.0</v>
      </c>
      <c r="R1087" s="5">
        <v>0.0</v>
      </c>
      <c r="S1087" s="5">
        <v>50.1050286731069</v>
      </c>
    </row>
    <row r="1088">
      <c r="A1088" s="6">
        <v>41933.0</v>
      </c>
      <c r="B1088" s="5">
        <v>44.5932269626534</v>
      </c>
      <c r="C1088" s="5">
        <v>-11.601339664195</v>
      </c>
      <c r="D1088" s="5">
        <v>115.400218819467</v>
      </c>
      <c r="E1088" s="5">
        <v>44.5932269626534</v>
      </c>
      <c r="F1088" s="5">
        <v>44.5932269626534</v>
      </c>
      <c r="G1088" s="5">
        <v>6.51572166318496</v>
      </c>
      <c r="H1088" s="5">
        <v>6.51572166318496</v>
      </c>
      <c r="I1088" s="5">
        <v>6.51572166318496</v>
      </c>
      <c r="J1088" s="5">
        <v>-0.144118857246633</v>
      </c>
      <c r="K1088" s="5">
        <v>-0.144118857246633</v>
      </c>
      <c r="L1088" s="5">
        <v>-0.144118857246633</v>
      </c>
      <c r="M1088" s="5">
        <v>6.65984052043159</v>
      </c>
      <c r="N1088" s="5">
        <v>6.65984052043159</v>
      </c>
      <c r="O1088" s="5">
        <v>6.65984052043159</v>
      </c>
      <c r="P1088" s="5">
        <v>0.0</v>
      </c>
      <c r="Q1088" s="5">
        <v>0.0</v>
      </c>
      <c r="R1088" s="5">
        <v>0.0</v>
      </c>
      <c r="S1088" s="5">
        <v>51.1089486258384</v>
      </c>
    </row>
    <row r="1089">
      <c r="A1089" s="6">
        <v>41934.0</v>
      </c>
      <c r="B1089" s="5">
        <v>44.5991486822125</v>
      </c>
      <c r="C1089" s="5">
        <v>-10.6066170209942</v>
      </c>
      <c r="D1089" s="5">
        <v>117.774084857061</v>
      </c>
      <c r="E1089" s="5">
        <v>44.5991486822125</v>
      </c>
      <c r="F1089" s="5">
        <v>44.5991486822125</v>
      </c>
      <c r="G1089" s="5">
        <v>7.868896559051</v>
      </c>
      <c r="H1089" s="5">
        <v>7.868896559051</v>
      </c>
      <c r="I1089" s="5">
        <v>7.868896559051</v>
      </c>
      <c r="J1089" s="5">
        <v>0.00703780528102399</v>
      </c>
      <c r="K1089" s="5">
        <v>0.00703780528102399</v>
      </c>
      <c r="L1089" s="5">
        <v>0.00703780528102399</v>
      </c>
      <c r="M1089" s="5">
        <v>7.86185875376998</v>
      </c>
      <c r="N1089" s="5">
        <v>7.86185875376998</v>
      </c>
      <c r="O1089" s="5">
        <v>7.86185875376998</v>
      </c>
      <c r="P1089" s="5">
        <v>0.0</v>
      </c>
      <c r="Q1089" s="5">
        <v>0.0</v>
      </c>
      <c r="R1089" s="5">
        <v>0.0</v>
      </c>
      <c r="S1089" s="5">
        <v>52.4680452412635</v>
      </c>
    </row>
    <row r="1090">
      <c r="A1090" s="6">
        <v>41935.0</v>
      </c>
      <c r="B1090" s="5">
        <v>44.6050704017717</v>
      </c>
      <c r="C1090" s="5">
        <v>-6.14555337715795</v>
      </c>
      <c r="D1090" s="5">
        <v>112.539351870119</v>
      </c>
      <c r="E1090" s="5">
        <v>44.6050704017717</v>
      </c>
      <c r="F1090" s="5">
        <v>44.6050704017717</v>
      </c>
      <c r="G1090" s="5">
        <v>8.24274782670211</v>
      </c>
      <c r="H1090" s="5">
        <v>8.24274782670211</v>
      </c>
      <c r="I1090" s="5">
        <v>8.24274782670211</v>
      </c>
      <c r="J1090" s="5">
        <v>-0.776422525899229</v>
      </c>
      <c r="K1090" s="5">
        <v>-0.776422525899229</v>
      </c>
      <c r="L1090" s="5">
        <v>-0.776422525899229</v>
      </c>
      <c r="M1090" s="5">
        <v>9.01917035260134</v>
      </c>
      <c r="N1090" s="5">
        <v>9.01917035260134</v>
      </c>
      <c r="O1090" s="5">
        <v>9.01917035260134</v>
      </c>
      <c r="P1090" s="5">
        <v>0.0</v>
      </c>
      <c r="Q1090" s="5">
        <v>0.0</v>
      </c>
      <c r="R1090" s="5">
        <v>0.0</v>
      </c>
      <c r="S1090" s="5">
        <v>52.8478182284738</v>
      </c>
    </row>
    <row r="1091">
      <c r="A1091" s="6">
        <v>41936.0</v>
      </c>
      <c r="B1091" s="5">
        <v>44.6109921213308</v>
      </c>
      <c r="C1091" s="5">
        <v>-9.18446873844389</v>
      </c>
      <c r="D1091" s="5">
        <v>117.005920982962</v>
      </c>
      <c r="E1091" s="5">
        <v>44.6109921213308</v>
      </c>
      <c r="F1091" s="5">
        <v>44.6109921213308</v>
      </c>
      <c r="G1091" s="5">
        <v>8.5275849304335</v>
      </c>
      <c r="H1091" s="5">
        <v>8.5275849304335</v>
      </c>
      <c r="I1091" s="5">
        <v>8.5275849304335</v>
      </c>
      <c r="J1091" s="5">
        <v>-1.59155056649357</v>
      </c>
      <c r="K1091" s="5">
        <v>-1.59155056649357</v>
      </c>
      <c r="L1091" s="5">
        <v>-1.59155056649357</v>
      </c>
      <c r="M1091" s="5">
        <v>10.119135496927</v>
      </c>
      <c r="N1091" s="5">
        <v>10.119135496927</v>
      </c>
      <c r="O1091" s="5">
        <v>10.119135496927</v>
      </c>
      <c r="P1091" s="5">
        <v>0.0</v>
      </c>
      <c r="Q1091" s="5">
        <v>0.0</v>
      </c>
      <c r="R1091" s="5">
        <v>0.0</v>
      </c>
      <c r="S1091" s="5">
        <v>53.1385770517643</v>
      </c>
    </row>
    <row r="1092">
      <c r="A1092" s="6">
        <v>41939.0</v>
      </c>
      <c r="B1092" s="5">
        <v>44.6287572800081</v>
      </c>
      <c r="C1092" s="5">
        <v>-2.7797154075259</v>
      </c>
      <c r="D1092" s="5">
        <v>121.55793883731</v>
      </c>
      <c r="E1092" s="5">
        <v>44.6287572800081</v>
      </c>
      <c r="F1092" s="5">
        <v>44.6287572800081</v>
      </c>
      <c r="G1092" s="5">
        <v>13.0659201099946</v>
      </c>
      <c r="H1092" s="5">
        <v>13.0659201099946</v>
      </c>
      <c r="I1092" s="5">
        <v>13.0659201099946</v>
      </c>
      <c r="J1092" s="5">
        <v>0.0905589421195675</v>
      </c>
      <c r="K1092" s="5">
        <v>0.0905589421195675</v>
      </c>
      <c r="L1092" s="5">
        <v>0.0905589421195675</v>
      </c>
      <c r="M1092" s="5">
        <v>12.975361167875</v>
      </c>
      <c r="N1092" s="5">
        <v>12.975361167875</v>
      </c>
      <c r="O1092" s="5">
        <v>12.975361167875</v>
      </c>
      <c r="P1092" s="5">
        <v>0.0</v>
      </c>
      <c r="Q1092" s="5">
        <v>0.0</v>
      </c>
      <c r="R1092" s="5">
        <v>0.0</v>
      </c>
      <c r="S1092" s="5">
        <v>57.6946773900028</v>
      </c>
    </row>
    <row r="1093">
      <c r="A1093" s="6">
        <v>41940.0</v>
      </c>
      <c r="B1093" s="5">
        <v>44.6346789995672</v>
      </c>
      <c r="C1093" s="5">
        <v>-6.64077787235901</v>
      </c>
      <c r="D1093" s="5">
        <v>119.756055590622</v>
      </c>
      <c r="E1093" s="5">
        <v>44.6346789995672</v>
      </c>
      <c r="F1093" s="5">
        <v>44.6346789995672</v>
      </c>
      <c r="G1093" s="5">
        <v>13.6125648365173</v>
      </c>
      <c r="H1093" s="5">
        <v>13.6125648365173</v>
      </c>
      <c r="I1093" s="5">
        <v>13.6125648365173</v>
      </c>
      <c r="J1093" s="5">
        <v>-0.144118857244435</v>
      </c>
      <c r="K1093" s="5">
        <v>-0.144118857244435</v>
      </c>
      <c r="L1093" s="5">
        <v>-0.144118857244435</v>
      </c>
      <c r="M1093" s="5">
        <v>13.7566836937617</v>
      </c>
      <c r="N1093" s="5">
        <v>13.7566836937617</v>
      </c>
      <c r="O1093" s="5">
        <v>13.7566836937617</v>
      </c>
      <c r="P1093" s="5">
        <v>0.0</v>
      </c>
      <c r="Q1093" s="5">
        <v>0.0</v>
      </c>
      <c r="R1093" s="5">
        <v>0.0</v>
      </c>
      <c r="S1093" s="5">
        <v>58.2472438360845</v>
      </c>
    </row>
    <row r="1094">
      <c r="A1094" s="6">
        <v>41941.0</v>
      </c>
      <c r="B1094" s="5">
        <v>44.6406007191264</v>
      </c>
      <c r="C1094" s="5">
        <v>-7.07645963572785</v>
      </c>
      <c r="D1094" s="5">
        <v>120.13443129758</v>
      </c>
      <c r="E1094" s="5">
        <v>44.6406007191264</v>
      </c>
      <c r="F1094" s="5">
        <v>44.6406007191264</v>
      </c>
      <c r="G1094" s="5">
        <v>14.4538243352485</v>
      </c>
      <c r="H1094" s="5">
        <v>14.4538243352485</v>
      </c>
      <c r="I1094" s="5">
        <v>14.4538243352485</v>
      </c>
      <c r="J1094" s="5">
        <v>0.0070378052833264</v>
      </c>
      <c r="K1094" s="5">
        <v>0.0070378052833264</v>
      </c>
      <c r="L1094" s="5">
        <v>0.0070378052833264</v>
      </c>
      <c r="M1094" s="5">
        <v>14.4467865299652</v>
      </c>
      <c r="N1094" s="5">
        <v>14.4467865299652</v>
      </c>
      <c r="O1094" s="5">
        <v>14.4467865299652</v>
      </c>
      <c r="P1094" s="5">
        <v>0.0</v>
      </c>
      <c r="Q1094" s="5">
        <v>0.0</v>
      </c>
      <c r="R1094" s="5">
        <v>0.0</v>
      </c>
      <c r="S1094" s="5">
        <v>59.0944250543749</v>
      </c>
    </row>
    <row r="1095">
      <c r="A1095" s="6">
        <v>41942.0</v>
      </c>
      <c r="B1095" s="5">
        <v>44.6465224386855</v>
      </c>
      <c r="C1095" s="5">
        <v>-6.25914290238488</v>
      </c>
      <c r="D1095" s="5">
        <v>122.984578564135</v>
      </c>
      <c r="E1095" s="5">
        <v>44.6465224386855</v>
      </c>
      <c r="F1095" s="5">
        <v>44.6465224386855</v>
      </c>
      <c r="G1095" s="5">
        <v>14.2691679843954</v>
      </c>
      <c r="H1095" s="5">
        <v>14.2691679843954</v>
      </c>
      <c r="I1095" s="5">
        <v>14.2691679843954</v>
      </c>
      <c r="J1095" s="5">
        <v>-0.776422525901326</v>
      </c>
      <c r="K1095" s="5">
        <v>-0.776422525901326</v>
      </c>
      <c r="L1095" s="5">
        <v>-0.776422525901326</v>
      </c>
      <c r="M1095" s="5">
        <v>15.0455905102967</v>
      </c>
      <c r="N1095" s="5">
        <v>15.0455905102967</v>
      </c>
      <c r="O1095" s="5">
        <v>15.0455905102967</v>
      </c>
      <c r="P1095" s="5">
        <v>0.0</v>
      </c>
      <c r="Q1095" s="5">
        <v>0.0</v>
      </c>
      <c r="R1095" s="5">
        <v>0.0</v>
      </c>
      <c r="S1095" s="5">
        <v>58.9156904230809</v>
      </c>
    </row>
    <row r="1096">
      <c r="A1096" s="6">
        <v>41943.0</v>
      </c>
      <c r="B1096" s="5">
        <v>44.6524441582446</v>
      </c>
      <c r="C1096" s="5">
        <v>-3.16279335929093</v>
      </c>
      <c r="D1096" s="5">
        <v>121.546688820289</v>
      </c>
      <c r="E1096" s="5">
        <v>44.6524441582446</v>
      </c>
      <c r="F1096" s="5">
        <v>44.6524441582446</v>
      </c>
      <c r="G1096" s="5">
        <v>13.9636786328442</v>
      </c>
      <c r="H1096" s="5">
        <v>13.9636786328442</v>
      </c>
      <c r="I1096" s="5">
        <v>13.9636786328442</v>
      </c>
      <c r="J1096" s="5">
        <v>-1.59155056649265</v>
      </c>
      <c r="K1096" s="5">
        <v>-1.59155056649265</v>
      </c>
      <c r="L1096" s="5">
        <v>-1.59155056649265</v>
      </c>
      <c r="M1096" s="5">
        <v>15.5552291993368</v>
      </c>
      <c r="N1096" s="5">
        <v>15.5552291993368</v>
      </c>
      <c r="O1096" s="5">
        <v>15.5552291993368</v>
      </c>
      <c r="P1096" s="5">
        <v>0.0</v>
      </c>
      <c r="Q1096" s="5">
        <v>0.0</v>
      </c>
      <c r="R1096" s="5">
        <v>0.0</v>
      </c>
      <c r="S1096" s="5">
        <v>58.6161227910888</v>
      </c>
    </row>
    <row r="1097">
      <c r="A1097" s="6">
        <v>41946.0</v>
      </c>
      <c r="B1097" s="5">
        <v>44.670209316922</v>
      </c>
      <c r="C1097" s="5">
        <v>-1.50666556949842</v>
      </c>
      <c r="D1097" s="5">
        <v>119.796995210899</v>
      </c>
      <c r="E1097" s="5">
        <v>44.670209316922</v>
      </c>
      <c r="F1097" s="5">
        <v>44.670209316922</v>
      </c>
      <c r="G1097" s="5">
        <v>16.6909966643003</v>
      </c>
      <c r="H1097" s="5">
        <v>16.6909966643003</v>
      </c>
      <c r="I1097" s="5">
        <v>16.6909966643003</v>
      </c>
      <c r="J1097" s="5">
        <v>0.0905589421205939</v>
      </c>
      <c r="K1097" s="5">
        <v>0.0905589421205939</v>
      </c>
      <c r="L1097" s="5">
        <v>0.0905589421205939</v>
      </c>
      <c r="M1097" s="5">
        <v>16.6004377221797</v>
      </c>
      <c r="N1097" s="5">
        <v>16.6004377221797</v>
      </c>
      <c r="O1097" s="5">
        <v>16.6004377221797</v>
      </c>
      <c r="P1097" s="5">
        <v>0.0</v>
      </c>
      <c r="Q1097" s="5">
        <v>0.0</v>
      </c>
      <c r="R1097" s="5">
        <v>0.0</v>
      </c>
      <c r="S1097" s="5">
        <v>61.3612059812223</v>
      </c>
    </row>
    <row r="1098">
      <c r="A1098" s="6">
        <v>41947.0</v>
      </c>
      <c r="B1098" s="5">
        <v>44.6761310364811</v>
      </c>
      <c r="C1098" s="5">
        <v>-3.80016116985455</v>
      </c>
      <c r="D1098" s="5">
        <v>122.151999315781</v>
      </c>
      <c r="E1098" s="5">
        <v>44.6761310364811</v>
      </c>
      <c r="F1098" s="5">
        <v>44.6761310364811</v>
      </c>
      <c r="G1098" s="5">
        <v>16.6689736584202</v>
      </c>
      <c r="H1098" s="5">
        <v>16.6689736584202</v>
      </c>
      <c r="I1098" s="5">
        <v>16.6689736584202</v>
      </c>
      <c r="J1098" s="5">
        <v>-0.144118857245871</v>
      </c>
      <c r="K1098" s="5">
        <v>-0.144118857245871</v>
      </c>
      <c r="L1098" s="5">
        <v>-0.144118857245871</v>
      </c>
      <c r="M1098" s="5">
        <v>16.8130925156661</v>
      </c>
      <c r="N1098" s="5">
        <v>16.8130925156661</v>
      </c>
      <c r="O1098" s="5">
        <v>16.8130925156661</v>
      </c>
      <c r="P1098" s="5">
        <v>0.0</v>
      </c>
      <c r="Q1098" s="5">
        <v>0.0</v>
      </c>
      <c r="R1098" s="5">
        <v>0.0</v>
      </c>
      <c r="S1098" s="5">
        <v>61.3451046949014</v>
      </c>
    </row>
    <row r="1099">
      <c r="A1099" s="6">
        <v>41948.0</v>
      </c>
      <c r="B1099" s="5">
        <v>44.6820527560402</v>
      </c>
      <c r="C1099" s="5">
        <v>-4.45179380015006</v>
      </c>
      <c r="D1099" s="5">
        <v>124.40219482674</v>
      </c>
      <c r="E1099" s="5">
        <v>44.6820527560402</v>
      </c>
      <c r="F1099" s="5">
        <v>44.6820527560402</v>
      </c>
      <c r="G1099" s="5">
        <v>16.9808447105289</v>
      </c>
      <c r="H1099" s="5">
        <v>16.9808447105289</v>
      </c>
      <c r="I1099" s="5">
        <v>16.9808447105289</v>
      </c>
      <c r="J1099" s="5">
        <v>0.00703780528130169</v>
      </c>
      <c r="K1099" s="5">
        <v>0.00703780528130169</v>
      </c>
      <c r="L1099" s="5">
        <v>0.00703780528130169</v>
      </c>
      <c r="M1099" s="5">
        <v>16.9738069052476</v>
      </c>
      <c r="N1099" s="5">
        <v>16.9738069052476</v>
      </c>
      <c r="O1099" s="5">
        <v>16.9738069052476</v>
      </c>
      <c r="P1099" s="5">
        <v>0.0</v>
      </c>
      <c r="Q1099" s="5">
        <v>0.0</v>
      </c>
      <c r="R1099" s="5">
        <v>0.0</v>
      </c>
      <c r="S1099" s="5">
        <v>61.6628974665691</v>
      </c>
    </row>
    <row r="1100">
      <c r="A1100" s="6">
        <v>41949.0</v>
      </c>
      <c r="B1100" s="5">
        <v>44.6879744755993</v>
      </c>
      <c r="C1100" s="5">
        <v>-1.5135549400784</v>
      </c>
      <c r="D1100" s="5">
        <v>125.09230159007</v>
      </c>
      <c r="E1100" s="5">
        <v>44.6879744755993</v>
      </c>
      <c r="F1100" s="5">
        <v>44.6879744755993</v>
      </c>
      <c r="G1100" s="5">
        <v>16.3169326941894</v>
      </c>
      <c r="H1100" s="5">
        <v>16.3169326941894</v>
      </c>
      <c r="I1100" s="5">
        <v>16.3169326941894</v>
      </c>
      <c r="J1100" s="5">
        <v>-0.776422525903424</v>
      </c>
      <c r="K1100" s="5">
        <v>-0.776422525903424</v>
      </c>
      <c r="L1100" s="5">
        <v>-0.776422525903424</v>
      </c>
      <c r="M1100" s="5">
        <v>17.0933552200929</v>
      </c>
      <c r="N1100" s="5">
        <v>17.0933552200929</v>
      </c>
      <c r="O1100" s="5">
        <v>17.0933552200929</v>
      </c>
      <c r="P1100" s="5">
        <v>0.0</v>
      </c>
      <c r="Q1100" s="5">
        <v>0.0</v>
      </c>
      <c r="R1100" s="5">
        <v>0.0</v>
      </c>
      <c r="S1100" s="5">
        <v>61.0049071697888</v>
      </c>
    </row>
    <row r="1101">
      <c r="A1101" s="6">
        <v>41950.0</v>
      </c>
      <c r="B1101" s="5">
        <v>44.6938961951584</v>
      </c>
      <c r="C1101" s="5">
        <v>-2.36815760366263</v>
      </c>
      <c r="D1101" s="5">
        <v>123.158082052396</v>
      </c>
      <c r="E1101" s="5">
        <v>44.6938961951584</v>
      </c>
      <c r="F1101" s="5">
        <v>44.6938961951584</v>
      </c>
      <c r="G1101" s="5">
        <v>15.5912646098281</v>
      </c>
      <c r="H1101" s="5">
        <v>15.5912646098281</v>
      </c>
      <c r="I1101" s="5">
        <v>15.5912646098281</v>
      </c>
      <c r="J1101" s="5">
        <v>-1.59155056649172</v>
      </c>
      <c r="K1101" s="5">
        <v>-1.59155056649172</v>
      </c>
      <c r="L1101" s="5">
        <v>-1.59155056649172</v>
      </c>
      <c r="M1101" s="5">
        <v>17.1828151763199</v>
      </c>
      <c r="N1101" s="5">
        <v>17.1828151763199</v>
      </c>
      <c r="O1101" s="5">
        <v>17.1828151763199</v>
      </c>
      <c r="P1101" s="5">
        <v>0.0</v>
      </c>
      <c r="Q1101" s="5">
        <v>0.0</v>
      </c>
      <c r="R1101" s="5">
        <v>0.0</v>
      </c>
      <c r="S1101" s="5">
        <v>60.2851608049866</v>
      </c>
    </row>
    <row r="1102">
      <c r="A1102" s="6">
        <v>41953.0</v>
      </c>
      <c r="B1102" s="5">
        <v>44.7116613538358</v>
      </c>
      <c r="C1102" s="5">
        <v>1.03665376043128</v>
      </c>
      <c r="D1102" s="5">
        <v>126.715554822862</v>
      </c>
      <c r="E1102" s="5">
        <v>44.7116613538358</v>
      </c>
      <c r="F1102" s="5">
        <v>44.7116613538358</v>
      </c>
      <c r="G1102" s="5">
        <v>17.4688205414669</v>
      </c>
      <c r="H1102" s="5">
        <v>17.4688205414669</v>
      </c>
      <c r="I1102" s="5">
        <v>17.4688205414669</v>
      </c>
      <c r="J1102" s="5">
        <v>0.0905589421215402</v>
      </c>
      <c r="K1102" s="5">
        <v>0.0905589421215402</v>
      </c>
      <c r="L1102" s="5">
        <v>0.0905589421215402</v>
      </c>
      <c r="M1102" s="5">
        <v>17.3782615993453</v>
      </c>
      <c r="N1102" s="5">
        <v>17.3782615993453</v>
      </c>
      <c r="O1102" s="5">
        <v>17.3782615993453</v>
      </c>
      <c r="P1102" s="5">
        <v>0.0</v>
      </c>
      <c r="Q1102" s="5">
        <v>0.0</v>
      </c>
      <c r="R1102" s="5">
        <v>0.0</v>
      </c>
      <c r="S1102" s="5">
        <v>62.1804818953027</v>
      </c>
    </row>
    <row r="1103">
      <c r="A1103" s="6">
        <v>41954.0</v>
      </c>
      <c r="B1103" s="5">
        <v>44.7175830733949</v>
      </c>
      <c r="C1103" s="5">
        <v>-3.73028369444188</v>
      </c>
      <c r="D1103" s="5">
        <v>126.216352678449</v>
      </c>
      <c r="E1103" s="5">
        <v>44.7175830733949</v>
      </c>
      <c r="F1103" s="5">
        <v>44.7175830733949</v>
      </c>
      <c r="G1103" s="5">
        <v>17.3073346843822</v>
      </c>
      <c r="H1103" s="5">
        <v>17.3073346843822</v>
      </c>
      <c r="I1103" s="5">
        <v>17.3073346843822</v>
      </c>
      <c r="J1103" s="5">
        <v>-0.144118857244783</v>
      </c>
      <c r="K1103" s="5">
        <v>-0.144118857244783</v>
      </c>
      <c r="L1103" s="5">
        <v>-0.144118857244783</v>
      </c>
      <c r="M1103" s="5">
        <v>17.451453541627</v>
      </c>
      <c r="N1103" s="5">
        <v>17.451453541627</v>
      </c>
      <c r="O1103" s="5">
        <v>17.451453541627</v>
      </c>
      <c r="P1103" s="5">
        <v>0.0</v>
      </c>
      <c r="Q1103" s="5">
        <v>0.0</v>
      </c>
      <c r="R1103" s="5">
        <v>0.0</v>
      </c>
      <c r="S1103" s="5">
        <v>62.0249177577772</v>
      </c>
    </row>
    <row r="1104">
      <c r="A1104" s="6">
        <v>41955.0</v>
      </c>
      <c r="B1104" s="5">
        <v>44.723504792954</v>
      </c>
      <c r="C1104" s="5">
        <v>3.02617801372142</v>
      </c>
      <c r="D1104" s="5">
        <v>128.142063291105</v>
      </c>
      <c r="E1104" s="5">
        <v>44.723504792954</v>
      </c>
      <c r="F1104" s="5">
        <v>44.723504792954</v>
      </c>
      <c r="G1104" s="5">
        <v>17.5490275017972</v>
      </c>
      <c r="H1104" s="5">
        <v>17.5490275017972</v>
      </c>
      <c r="I1104" s="5">
        <v>17.5490275017972</v>
      </c>
      <c r="J1104" s="5">
        <v>0.00703780528261286</v>
      </c>
      <c r="K1104" s="5">
        <v>0.00703780528261286</v>
      </c>
      <c r="L1104" s="5">
        <v>0.00703780528261286</v>
      </c>
      <c r="M1104" s="5">
        <v>17.5419896965146</v>
      </c>
      <c r="N1104" s="5">
        <v>17.5419896965146</v>
      </c>
      <c r="O1104" s="5">
        <v>17.5419896965146</v>
      </c>
      <c r="P1104" s="5">
        <v>0.0</v>
      </c>
      <c r="Q1104" s="5">
        <v>0.0</v>
      </c>
      <c r="R1104" s="5">
        <v>0.0</v>
      </c>
      <c r="S1104" s="5">
        <v>62.2725322947513</v>
      </c>
    </row>
    <row r="1105">
      <c r="A1105" s="6">
        <v>41956.0</v>
      </c>
      <c r="B1105" s="5">
        <v>44.7294265125131</v>
      </c>
      <c r="C1105" s="5">
        <v>-2.33340683414922</v>
      </c>
      <c r="D1105" s="5">
        <v>124.408147938588</v>
      </c>
      <c r="E1105" s="5">
        <v>44.7294265125131</v>
      </c>
      <c r="F1105" s="5">
        <v>44.7294265125131</v>
      </c>
      <c r="G1105" s="5">
        <v>16.8791797554545</v>
      </c>
      <c r="H1105" s="5">
        <v>16.8791797554545</v>
      </c>
      <c r="I1105" s="5">
        <v>16.8791797554545</v>
      </c>
      <c r="J1105" s="5">
        <v>-0.776422525901295</v>
      </c>
      <c r="K1105" s="5">
        <v>-0.776422525901295</v>
      </c>
      <c r="L1105" s="5">
        <v>-0.776422525901295</v>
      </c>
      <c r="M1105" s="5">
        <v>17.6556022813558</v>
      </c>
      <c r="N1105" s="5">
        <v>17.6556022813558</v>
      </c>
      <c r="O1105" s="5">
        <v>17.6556022813558</v>
      </c>
      <c r="P1105" s="5">
        <v>0.0</v>
      </c>
      <c r="Q1105" s="5">
        <v>0.0</v>
      </c>
      <c r="R1105" s="5">
        <v>0.0</v>
      </c>
      <c r="S1105" s="5">
        <v>61.6086062679676</v>
      </c>
    </row>
    <row r="1106">
      <c r="A1106" s="6">
        <v>41957.0</v>
      </c>
      <c r="B1106" s="5">
        <v>44.7353482320723</v>
      </c>
      <c r="C1106" s="5">
        <v>2.14521955911675</v>
      </c>
      <c r="D1106" s="5">
        <v>123.533516789915</v>
      </c>
      <c r="E1106" s="5">
        <v>44.7353482320723</v>
      </c>
      <c r="F1106" s="5">
        <v>44.7353482320723</v>
      </c>
      <c r="G1106" s="5">
        <v>16.2046929383989</v>
      </c>
      <c r="H1106" s="5">
        <v>16.2046929383989</v>
      </c>
      <c r="I1106" s="5">
        <v>16.2046929383989</v>
      </c>
      <c r="J1106" s="5">
        <v>-1.59155056649354</v>
      </c>
      <c r="K1106" s="5">
        <v>-1.59155056649354</v>
      </c>
      <c r="L1106" s="5">
        <v>-1.59155056649354</v>
      </c>
      <c r="M1106" s="5">
        <v>17.7962435048924</v>
      </c>
      <c r="N1106" s="5">
        <v>17.7962435048924</v>
      </c>
      <c r="O1106" s="5">
        <v>17.7962435048924</v>
      </c>
      <c r="P1106" s="5">
        <v>0.0</v>
      </c>
      <c r="Q1106" s="5">
        <v>0.0</v>
      </c>
      <c r="R1106" s="5">
        <v>0.0</v>
      </c>
      <c r="S1106" s="5">
        <v>60.9400411704712</v>
      </c>
    </row>
    <row r="1107">
      <c r="A1107" s="6">
        <v>41960.0</v>
      </c>
      <c r="B1107" s="5">
        <v>44.7531133907496</v>
      </c>
      <c r="C1107" s="5">
        <v>2.66469542327965</v>
      </c>
      <c r="D1107" s="5">
        <v>125.804929633549</v>
      </c>
      <c r="E1107" s="5">
        <v>44.7531133907496</v>
      </c>
      <c r="F1107" s="5">
        <v>44.7531133907496</v>
      </c>
      <c r="G1107" s="5">
        <v>18.4817082757344</v>
      </c>
      <c r="H1107" s="5">
        <v>18.4817082757344</v>
      </c>
      <c r="I1107" s="5">
        <v>18.4817082757344</v>
      </c>
      <c r="J1107" s="5">
        <v>0.0905589421224867</v>
      </c>
      <c r="K1107" s="5">
        <v>0.0905589421224867</v>
      </c>
      <c r="L1107" s="5">
        <v>0.0905589421224867</v>
      </c>
      <c r="M1107" s="5">
        <v>18.3911493336119</v>
      </c>
      <c r="N1107" s="5">
        <v>18.3911493336119</v>
      </c>
      <c r="O1107" s="5">
        <v>18.3911493336119</v>
      </c>
      <c r="P1107" s="5">
        <v>0.0</v>
      </c>
      <c r="Q1107" s="5">
        <v>0.0</v>
      </c>
      <c r="R1107" s="5">
        <v>0.0</v>
      </c>
      <c r="S1107" s="5">
        <v>63.2348216664841</v>
      </c>
    </row>
    <row r="1108">
      <c r="A1108" s="6">
        <v>41961.0</v>
      </c>
      <c r="B1108" s="5">
        <v>44.7590351103087</v>
      </c>
      <c r="C1108" s="5">
        <v>1.03298238640979</v>
      </c>
      <c r="D1108" s="5">
        <v>123.826063425053</v>
      </c>
      <c r="E1108" s="5">
        <v>44.7590351103087</v>
      </c>
      <c r="F1108" s="5">
        <v>44.7590351103087</v>
      </c>
      <c r="G1108" s="5">
        <v>18.4969563029434</v>
      </c>
      <c r="H1108" s="5">
        <v>18.4969563029434</v>
      </c>
      <c r="I1108" s="5">
        <v>18.4969563029434</v>
      </c>
      <c r="J1108" s="5">
        <v>-0.144118857243695</v>
      </c>
      <c r="K1108" s="5">
        <v>-0.144118857243695</v>
      </c>
      <c r="L1108" s="5">
        <v>-0.144118857243695</v>
      </c>
      <c r="M1108" s="5">
        <v>18.6410751601871</v>
      </c>
      <c r="N1108" s="5">
        <v>18.6410751601871</v>
      </c>
      <c r="O1108" s="5">
        <v>18.6410751601871</v>
      </c>
      <c r="P1108" s="5">
        <v>0.0</v>
      </c>
      <c r="Q1108" s="5">
        <v>0.0</v>
      </c>
      <c r="R1108" s="5">
        <v>0.0</v>
      </c>
      <c r="S1108" s="5">
        <v>63.2559914132522</v>
      </c>
    </row>
    <row r="1109">
      <c r="A1109" s="6">
        <v>41962.0</v>
      </c>
      <c r="B1109" s="5">
        <v>44.7649568298678</v>
      </c>
      <c r="C1109" s="5">
        <v>-0.131497478016767</v>
      </c>
      <c r="D1109" s="5">
        <v>128.090447353286</v>
      </c>
      <c r="E1109" s="5">
        <v>44.7649568298678</v>
      </c>
      <c r="F1109" s="5">
        <v>44.7649568298678</v>
      </c>
      <c r="G1109" s="5">
        <v>18.9162798837653</v>
      </c>
      <c r="H1109" s="5">
        <v>18.9162798837653</v>
      </c>
      <c r="I1109" s="5">
        <v>18.9162798837653</v>
      </c>
      <c r="J1109" s="5">
        <v>0.00703780528058785</v>
      </c>
      <c r="K1109" s="5">
        <v>0.00703780528058785</v>
      </c>
      <c r="L1109" s="5">
        <v>0.00703780528058785</v>
      </c>
      <c r="M1109" s="5">
        <v>18.9092420784847</v>
      </c>
      <c r="N1109" s="5">
        <v>18.9092420784847</v>
      </c>
      <c r="O1109" s="5">
        <v>18.9092420784847</v>
      </c>
      <c r="P1109" s="5">
        <v>0.0</v>
      </c>
      <c r="Q1109" s="5">
        <v>0.0</v>
      </c>
      <c r="R1109" s="5">
        <v>0.0</v>
      </c>
      <c r="S1109" s="5">
        <v>63.6812367136332</v>
      </c>
    </row>
    <row r="1110">
      <c r="A1110" s="6">
        <v>41963.0</v>
      </c>
      <c r="B1110" s="5">
        <v>44.770878549427</v>
      </c>
      <c r="C1110" s="5">
        <v>0.782732725933874</v>
      </c>
      <c r="D1110" s="5">
        <v>125.532391856595</v>
      </c>
      <c r="E1110" s="5">
        <v>44.770878549427</v>
      </c>
      <c r="F1110" s="5">
        <v>44.770878549427</v>
      </c>
      <c r="G1110" s="5">
        <v>18.412288163037</v>
      </c>
      <c r="H1110" s="5">
        <v>18.412288163037</v>
      </c>
      <c r="I1110" s="5">
        <v>18.412288163037</v>
      </c>
      <c r="J1110" s="5">
        <v>-0.776422525902017</v>
      </c>
      <c r="K1110" s="5">
        <v>-0.776422525902017</v>
      </c>
      <c r="L1110" s="5">
        <v>-0.776422525902017</v>
      </c>
      <c r="M1110" s="5">
        <v>19.188710688939</v>
      </c>
      <c r="N1110" s="5">
        <v>19.188710688939</v>
      </c>
      <c r="O1110" s="5">
        <v>19.188710688939</v>
      </c>
      <c r="P1110" s="5">
        <v>0.0</v>
      </c>
      <c r="Q1110" s="5">
        <v>0.0</v>
      </c>
      <c r="R1110" s="5">
        <v>0.0</v>
      </c>
      <c r="S1110" s="5">
        <v>63.183166712464</v>
      </c>
    </row>
    <row r="1111">
      <c r="A1111" s="6">
        <v>41964.0</v>
      </c>
      <c r="B1111" s="5">
        <v>44.7768002689861</v>
      </c>
      <c r="C1111" s="5">
        <v>-1.21071617259416</v>
      </c>
      <c r="D1111" s="5">
        <v>126.863892274719</v>
      </c>
      <c r="E1111" s="5">
        <v>44.7768002689861</v>
      </c>
      <c r="F1111" s="5">
        <v>44.7768002689861</v>
      </c>
      <c r="G1111" s="5">
        <v>17.8797213356914</v>
      </c>
      <c r="H1111" s="5">
        <v>17.8797213356914</v>
      </c>
      <c r="I1111" s="5">
        <v>17.8797213356914</v>
      </c>
      <c r="J1111" s="5">
        <v>-1.5915505664923</v>
      </c>
      <c r="K1111" s="5">
        <v>-1.5915505664923</v>
      </c>
      <c r="L1111" s="5">
        <v>-1.5915505664923</v>
      </c>
      <c r="M1111" s="5">
        <v>19.4712719021837</v>
      </c>
      <c r="N1111" s="5">
        <v>19.4712719021837</v>
      </c>
      <c r="O1111" s="5">
        <v>19.4712719021837</v>
      </c>
      <c r="P1111" s="5">
        <v>0.0</v>
      </c>
      <c r="Q1111" s="5">
        <v>0.0</v>
      </c>
      <c r="R1111" s="5">
        <v>0.0</v>
      </c>
      <c r="S1111" s="5">
        <v>62.6565216046775</v>
      </c>
    </row>
    <row r="1112">
      <c r="A1112" s="6">
        <v>41967.0</v>
      </c>
      <c r="B1112" s="5">
        <v>44.7945654276634</v>
      </c>
      <c r="C1112" s="5">
        <v>5.29779041076132</v>
      </c>
      <c r="D1112" s="5">
        <v>129.264530566607</v>
      </c>
      <c r="E1112" s="5">
        <v>44.7945654276634</v>
      </c>
      <c r="F1112" s="5">
        <v>44.7945654276634</v>
      </c>
      <c r="G1112" s="5">
        <v>20.3334411202273</v>
      </c>
      <c r="H1112" s="5">
        <v>20.3334411202273</v>
      </c>
      <c r="I1112" s="5">
        <v>20.3334411202273</v>
      </c>
      <c r="J1112" s="5">
        <v>0.0905589421235132</v>
      </c>
      <c r="K1112" s="5">
        <v>0.0905589421235132</v>
      </c>
      <c r="L1112" s="5">
        <v>0.0905589421235132</v>
      </c>
      <c r="M1112" s="5">
        <v>20.2428821781038</v>
      </c>
      <c r="N1112" s="5">
        <v>20.2428821781038</v>
      </c>
      <c r="O1112" s="5">
        <v>20.2428821781038</v>
      </c>
      <c r="P1112" s="5">
        <v>0.0</v>
      </c>
      <c r="Q1112" s="5">
        <v>0.0</v>
      </c>
      <c r="R1112" s="5">
        <v>0.0</v>
      </c>
      <c r="S1112" s="5">
        <v>65.1280065478908</v>
      </c>
    </row>
    <row r="1113">
      <c r="A1113" s="6">
        <v>41968.0</v>
      </c>
      <c r="B1113" s="5">
        <v>44.8004871472226</v>
      </c>
      <c r="C1113" s="5">
        <v>1.24212042859038</v>
      </c>
      <c r="D1113" s="5">
        <v>126.593861256506</v>
      </c>
      <c r="E1113" s="5">
        <v>44.8004871472226</v>
      </c>
      <c r="F1113" s="5">
        <v>44.8004871472226</v>
      </c>
      <c r="G1113" s="5">
        <v>20.2973430134939</v>
      </c>
      <c r="H1113" s="5">
        <v>20.2973430134939</v>
      </c>
      <c r="I1113" s="5">
        <v>20.2973430134939</v>
      </c>
      <c r="J1113" s="5">
        <v>-0.144118857244021</v>
      </c>
      <c r="K1113" s="5">
        <v>-0.144118857244021</v>
      </c>
      <c r="L1113" s="5">
        <v>-0.144118857244021</v>
      </c>
      <c r="M1113" s="5">
        <v>20.4414618707379</v>
      </c>
      <c r="N1113" s="5">
        <v>20.4414618707379</v>
      </c>
      <c r="O1113" s="5">
        <v>20.4414618707379</v>
      </c>
      <c r="P1113" s="5">
        <v>0.0</v>
      </c>
      <c r="Q1113" s="5">
        <v>0.0</v>
      </c>
      <c r="R1113" s="5">
        <v>0.0</v>
      </c>
      <c r="S1113" s="5">
        <v>65.0978301607165</v>
      </c>
    </row>
    <row r="1114">
      <c r="A1114" s="6">
        <v>41969.0</v>
      </c>
      <c r="B1114" s="5">
        <v>44.8064088667817</v>
      </c>
      <c r="C1114" s="5">
        <v>3.00843909744889</v>
      </c>
      <c r="D1114" s="5">
        <v>130.901462816654</v>
      </c>
      <c r="E1114" s="5">
        <v>44.8064088667817</v>
      </c>
      <c r="F1114" s="5">
        <v>44.8064088667817</v>
      </c>
      <c r="G1114" s="5">
        <v>20.6015802732569</v>
      </c>
      <c r="H1114" s="5">
        <v>20.6015802732569</v>
      </c>
      <c r="I1114" s="5">
        <v>20.6015802732569</v>
      </c>
      <c r="J1114" s="5">
        <v>0.00703780528189905</v>
      </c>
      <c r="K1114" s="5">
        <v>0.00703780528189905</v>
      </c>
      <c r="L1114" s="5">
        <v>0.00703780528189905</v>
      </c>
      <c r="M1114" s="5">
        <v>20.594542467975</v>
      </c>
      <c r="N1114" s="5">
        <v>20.594542467975</v>
      </c>
      <c r="O1114" s="5">
        <v>20.594542467975</v>
      </c>
      <c r="P1114" s="5">
        <v>0.0</v>
      </c>
      <c r="Q1114" s="5">
        <v>0.0</v>
      </c>
      <c r="R1114" s="5">
        <v>0.0</v>
      </c>
      <c r="S1114" s="5">
        <v>65.4079891400387</v>
      </c>
    </row>
    <row r="1115">
      <c r="A1115" s="6">
        <v>41971.0</v>
      </c>
      <c r="B1115" s="5">
        <v>44.8182523058999</v>
      </c>
      <c r="C1115" s="5">
        <v>-2.15517466462108</v>
      </c>
      <c r="D1115" s="5">
        <v>129.841226286883</v>
      </c>
      <c r="E1115" s="5">
        <v>44.8182523058999</v>
      </c>
      <c r="F1115" s="5">
        <v>44.8182523058999</v>
      </c>
      <c r="G1115" s="5">
        <v>19.1392449140796</v>
      </c>
      <c r="H1115" s="5">
        <v>19.1392449140796</v>
      </c>
      <c r="I1115" s="5">
        <v>19.1392449140796</v>
      </c>
      <c r="J1115" s="5">
        <v>-1.59155056649106</v>
      </c>
      <c r="K1115" s="5">
        <v>-1.59155056649106</v>
      </c>
      <c r="L1115" s="5">
        <v>-1.59155056649106</v>
      </c>
      <c r="M1115" s="5">
        <v>20.7307954805706</v>
      </c>
      <c r="N1115" s="5">
        <v>20.7307954805706</v>
      </c>
      <c r="O1115" s="5">
        <v>20.7307954805706</v>
      </c>
      <c r="P1115" s="5">
        <v>0.0</v>
      </c>
      <c r="Q1115" s="5">
        <v>0.0</v>
      </c>
      <c r="R1115" s="5">
        <v>0.0</v>
      </c>
      <c r="S1115" s="5">
        <v>63.9574972199795</v>
      </c>
    </row>
    <row r="1116">
      <c r="A1116" s="6">
        <v>41974.0</v>
      </c>
      <c r="B1116" s="5">
        <v>44.8360174645773</v>
      </c>
      <c r="C1116" s="5">
        <v>2.07692611755997</v>
      </c>
      <c r="D1116" s="5">
        <v>129.416832183879</v>
      </c>
      <c r="E1116" s="5">
        <v>44.8360174645773</v>
      </c>
      <c r="F1116" s="5">
        <v>44.8360174645773</v>
      </c>
      <c r="G1116" s="5">
        <v>20.5138365555763</v>
      </c>
      <c r="H1116" s="5">
        <v>20.5138365555763</v>
      </c>
      <c r="I1116" s="5">
        <v>20.5138365555763</v>
      </c>
      <c r="J1116" s="5">
        <v>0.0905589421220758</v>
      </c>
      <c r="K1116" s="5">
        <v>0.0905589421220758</v>
      </c>
      <c r="L1116" s="5">
        <v>0.0905589421220758</v>
      </c>
      <c r="M1116" s="5">
        <v>20.4232776134542</v>
      </c>
      <c r="N1116" s="5">
        <v>20.4232776134542</v>
      </c>
      <c r="O1116" s="5">
        <v>20.4232776134542</v>
      </c>
      <c r="P1116" s="5">
        <v>0.0</v>
      </c>
      <c r="Q1116" s="5">
        <v>0.0</v>
      </c>
      <c r="R1116" s="5">
        <v>0.0</v>
      </c>
      <c r="S1116" s="5">
        <v>65.3498540201536</v>
      </c>
    </row>
    <row r="1117">
      <c r="A1117" s="6">
        <v>41975.0</v>
      </c>
      <c r="B1117" s="5">
        <v>44.8419391841364</v>
      </c>
      <c r="C1117" s="5">
        <v>4.11607024176714</v>
      </c>
      <c r="D1117" s="5">
        <v>128.079691476327</v>
      </c>
      <c r="E1117" s="5">
        <v>44.8419391841364</v>
      </c>
      <c r="F1117" s="5">
        <v>44.8419391841364</v>
      </c>
      <c r="G1117" s="5">
        <v>20.030101702306</v>
      </c>
      <c r="H1117" s="5">
        <v>20.030101702306</v>
      </c>
      <c r="I1117" s="5">
        <v>20.030101702306</v>
      </c>
      <c r="J1117" s="5">
        <v>-0.144118857245457</v>
      </c>
      <c r="K1117" s="5">
        <v>-0.144118857245457</v>
      </c>
      <c r="L1117" s="5">
        <v>-0.144118857245457</v>
      </c>
      <c r="M1117" s="5">
        <v>20.1742205595514</v>
      </c>
      <c r="N1117" s="5">
        <v>20.1742205595514</v>
      </c>
      <c r="O1117" s="5">
        <v>20.1742205595514</v>
      </c>
      <c r="P1117" s="5">
        <v>0.0</v>
      </c>
      <c r="Q1117" s="5">
        <v>0.0</v>
      </c>
      <c r="R1117" s="5">
        <v>0.0</v>
      </c>
      <c r="S1117" s="5">
        <v>64.8720408864424</v>
      </c>
    </row>
    <row r="1118">
      <c r="A1118" s="6">
        <v>41976.0</v>
      </c>
      <c r="B1118" s="5">
        <v>44.8478609036955</v>
      </c>
      <c r="C1118" s="5">
        <v>-0.952947496902128</v>
      </c>
      <c r="D1118" s="5">
        <v>128.539910628658</v>
      </c>
      <c r="E1118" s="5">
        <v>44.8478609036955</v>
      </c>
      <c r="F1118" s="5">
        <v>44.8478609036955</v>
      </c>
      <c r="G1118" s="5">
        <v>19.8611149683712</v>
      </c>
      <c r="H1118" s="5">
        <v>19.8611149683712</v>
      </c>
      <c r="I1118" s="5">
        <v>19.8611149683712</v>
      </c>
      <c r="J1118" s="5">
        <v>0.00703780528104646</v>
      </c>
      <c r="K1118" s="5">
        <v>0.00703780528104646</v>
      </c>
      <c r="L1118" s="5">
        <v>0.00703780528104646</v>
      </c>
      <c r="M1118" s="5">
        <v>19.8540771630902</v>
      </c>
      <c r="N1118" s="5">
        <v>19.8540771630902</v>
      </c>
      <c r="O1118" s="5">
        <v>19.8540771630902</v>
      </c>
      <c r="P1118" s="5">
        <v>0.0</v>
      </c>
      <c r="Q1118" s="5">
        <v>0.0</v>
      </c>
      <c r="R1118" s="5">
        <v>0.0</v>
      </c>
      <c r="S1118" s="5">
        <v>64.7089758720668</v>
      </c>
    </row>
    <row r="1119">
      <c r="A1119" s="6">
        <v>41977.0</v>
      </c>
      <c r="B1119" s="5">
        <v>44.8537826232546</v>
      </c>
      <c r="C1119" s="5">
        <v>-1.08927425529458</v>
      </c>
      <c r="D1119" s="5">
        <v>121.913868186133</v>
      </c>
      <c r="E1119" s="5">
        <v>44.8537826232546</v>
      </c>
      <c r="F1119" s="5">
        <v>44.8537826232546</v>
      </c>
      <c r="G1119" s="5">
        <v>18.6912409717681</v>
      </c>
      <c r="H1119" s="5">
        <v>18.6912409717681</v>
      </c>
      <c r="I1119" s="5">
        <v>18.6912409717681</v>
      </c>
      <c r="J1119" s="5">
        <v>-0.776422525904836</v>
      </c>
      <c r="K1119" s="5">
        <v>-0.776422525904836</v>
      </c>
      <c r="L1119" s="5">
        <v>-0.776422525904836</v>
      </c>
      <c r="M1119" s="5">
        <v>19.467663497673</v>
      </c>
      <c r="N1119" s="5">
        <v>19.467663497673</v>
      </c>
      <c r="O1119" s="5">
        <v>19.467663497673</v>
      </c>
      <c r="P1119" s="5">
        <v>0.0</v>
      </c>
      <c r="Q1119" s="5">
        <v>0.0</v>
      </c>
      <c r="R1119" s="5">
        <v>0.0</v>
      </c>
      <c r="S1119" s="5">
        <v>63.5450235950228</v>
      </c>
    </row>
    <row r="1120">
      <c r="A1120" s="6">
        <v>41978.0</v>
      </c>
      <c r="B1120" s="5">
        <v>44.8597043428137</v>
      </c>
      <c r="C1120" s="5">
        <v>0.216368180739083</v>
      </c>
      <c r="D1120" s="5">
        <v>126.968728261998</v>
      </c>
      <c r="E1120" s="5">
        <v>44.8597043428137</v>
      </c>
      <c r="F1120" s="5">
        <v>44.8597043428137</v>
      </c>
      <c r="G1120" s="5">
        <v>17.4305647769262</v>
      </c>
      <c r="H1120" s="5">
        <v>17.4305647769262</v>
      </c>
      <c r="I1120" s="5">
        <v>17.4305647769262</v>
      </c>
      <c r="J1120" s="5">
        <v>-1.59155056649288</v>
      </c>
      <c r="K1120" s="5">
        <v>-1.59155056649288</v>
      </c>
      <c r="L1120" s="5">
        <v>-1.59155056649288</v>
      </c>
      <c r="M1120" s="5">
        <v>19.0221153434191</v>
      </c>
      <c r="N1120" s="5">
        <v>19.0221153434191</v>
      </c>
      <c r="O1120" s="5">
        <v>19.0221153434191</v>
      </c>
      <c r="P1120" s="5">
        <v>0.0</v>
      </c>
      <c r="Q1120" s="5">
        <v>0.0</v>
      </c>
      <c r="R1120" s="5">
        <v>0.0</v>
      </c>
      <c r="S1120" s="5">
        <v>62.29026911974</v>
      </c>
    </row>
    <row r="1121">
      <c r="A1121" s="6">
        <v>41981.0</v>
      </c>
      <c r="B1121" s="5">
        <v>44.8774695014911</v>
      </c>
      <c r="C1121" s="5">
        <v>0.422743751392185</v>
      </c>
      <c r="D1121" s="5">
        <v>124.57597723073</v>
      </c>
      <c r="E1121" s="5">
        <v>44.8774695014911</v>
      </c>
      <c r="F1121" s="5">
        <v>44.8774695014911</v>
      </c>
      <c r="G1121" s="5">
        <v>17.5246473978074</v>
      </c>
      <c r="H1121" s="5">
        <v>17.5246473978074</v>
      </c>
      <c r="I1121" s="5">
        <v>17.5246473978074</v>
      </c>
      <c r="J1121" s="5">
        <v>0.0905589421206383</v>
      </c>
      <c r="K1121" s="5">
        <v>0.0905589421206383</v>
      </c>
      <c r="L1121" s="5">
        <v>0.0905589421206383</v>
      </c>
      <c r="M1121" s="5">
        <v>17.4340884556868</v>
      </c>
      <c r="N1121" s="5">
        <v>17.4340884556868</v>
      </c>
      <c r="O1121" s="5">
        <v>17.4340884556868</v>
      </c>
      <c r="P1121" s="5">
        <v>0.0</v>
      </c>
      <c r="Q1121" s="5">
        <v>0.0</v>
      </c>
      <c r="R1121" s="5">
        <v>0.0</v>
      </c>
      <c r="S1121" s="5">
        <v>62.4021168992985</v>
      </c>
    </row>
    <row r="1122">
      <c r="A1122" s="6">
        <v>41982.0</v>
      </c>
      <c r="B1122" s="5">
        <v>44.8833912210502</v>
      </c>
      <c r="C1122" s="5">
        <v>5.94412964304338</v>
      </c>
      <c r="D1122" s="5">
        <v>123.682941684427</v>
      </c>
      <c r="E1122" s="5">
        <v>44.8833912210502</v>
      </c>
      <c r="F1122" s="5">
        <v>44.8833912210502</v>
      </c>
      <c r="G1122" s="5">
        <v>16.7204549640756</v>
      </c>
      <c r="H1122" s="5">
        <v>16.7204549640756</v>
      </c>
      <c r="I1122" s="5">
        <v>16.7204549640756</v>
      </c>
      <c r="J1122" s="5">
        <v>-0.144118857243259</v>
      </c>
      <c r="K1122" s="5">
        <v>-0.144118857243259</v>
      </c>
      <c r="L1122" s="5">
        <v>-0.144118857243259</v>
      </c>
      <c r="M1122" s="5">
        <v>16.8645738213188</v>
      </c>
      <c r="N1122" s="5">
        <v>16.8645738213188</v>
      </c>
      <c r="O1122" s="5">
        <v>16.8645738213188</v>
      </c>
      <c r="P1122" s="5">
        <v>0.0</v>
      </c>
      <c r="Q1122" s="5">
        <v>0.0</v>
      </c>
      <c r="R1122" s="5">
        <v>0.0</v>
      </c>
      <c r="S1122" s="5">
        <v>61.6038461851258</v>
      </c>
    </row>
    <row r="1123">
      <c r="A1123" s="6">
        <v>41983.0</v>
      </c>
      <c r="B1123" s="5">
        <v>44.8893129406093</v>
      </c>
      <c r="C1123" s="5">
        <v>-4.30415877289877</v>
      </c>
      <c r="D1123" s="5">
        <v>122.969934867251</v>
      </c>
      <c r="E1123" s="5">
        <v>44.8893129406093</v>
      </c>
      <c r="F1123" s="5">
        <v>44.8893129406093</v>
      </c>
      <c r="G1123" s="5">
        <v>16.3073403104047</v>
      </c>
      <c r="H1123" s="5">
        <v>16.3073403104047</v>
      </c>
      <c r="I1123" s="5">
        <v>16.3073403104047</v>
      </c>
      <c r="J1123" s="5">
        <v>0.0070378052833489</v>
      </c>
      <c r="K1123" s="5">
        <v>0.0070378052833489</v>
      </c>
      <c r="L1123" s="5">
        <v>0.0070378052833489</v>
      </c>
      <c r="M1123" s="5">
        <v>16.3003025051213</v>
      </c>
      <c r="N1123" s="5">
        <v>16.3003025051213</v>
      </c>
      <c r="O1123" s="5">
        <v>16.3003025051213</v>
      </c>
      <c r="P1123" s="5">
        <v>0.0</v>
      </c>
      <c r="Q1123" s="5">
        <v>0.0</v>
      </c>
      <c r="R1123" s="5">
        <v>0.0</v>
      </c>
      <c r="S1123" s="5">
        <v>61.1966532510141</v>
      </c>
    </row>
    <row r="1124">
      <c r="A1124" s="6">
        <v>41984.0</v>
      </c>
      <c r="B1124" s="5">
        <v>44.8952346601685</v>
      </c>
      <c r="C1124" s="5">
        <v>-2.89573992477248</v>
      </c>
      <c r="D1124" s="5">
        <v>122.204976411824</v>
      </c>
      <c r="E1124" s="5">
        <v>44.8952346601685</v>
      </c>
      <c r="F1124" s="5">
        <v>44.8952346601685</v>
      </c>
      <c r="G1124" s="5">
        <v>14.9813851671822</v>
      </c>
      <c r="H1124" s="5">
        <v>14.9813851671822</v>
      </c>
      <c r="I1124" s="5">
        <v>14.9813851671822</v>
      </c>
      <c r="J1124" s="5">
        <v>-0.776422525901333</v>
      </c>
      <c r="K1124" s="5">
        <v>-0.776422525901333</v>
      </c>
      <c r="L1124" s="5">
        <v>-0.776422525901333</v>
      </c>
      <c r="M1124" s="5">
        <v>15.7578076930835</v>
      </c>
      <c r="N1124" s="5">
        <v>15.7578076930835</v>
      </c>
      <c r="O1124" s="5">
        <v>15.7578076930835</v>
      </c>
      <c r="P1124" s="5">
        <v>0.0</v>
      </c>
      <c r="Q1124" s="5">
        <v>0.0</v>
      </c>
      <c r="R1124" s="5">
        <v>0.0</v>
      </c>
      <c r="S1124" s="5">
        <v>59.8766198273507</v>
      </c>
    </row>
    <row r="1125">
      <c r="A1125" s="6">
        <v>41985.0</v>
      </c>
      <c r="B1125" s="5">
        <v>44.9011563797276</v>
      </c>
      <c r="C1125" s="5">
        <v>-8.18137039924446</v>
      </c>
      <c r="D1125" s="5">
        <v>124.516903921879</v>
      </c>
      <c r="E1125" s="5">
        <v>44.9011563797276</v>
      </c>
      <c r="F1125" s="5">
        <v>44.9011563797276</v>
      </c>
      <c r="G1125" s="5">
        <v>13.6623732927445</v>
      </c>
      <c r="H1125" s="5">
        <v>13.6623732927445</v>
      </c>
      <c r="I1125" s="5">
        <v>13.6623732927445</v>
      </c>
      <c r="J1125" s="5">
        <v>-1.59155056649196</v>
      </c>
      <c r="K1125" s="5">
        <v>-1.59155056649196</v>
      </c>
      <c r="L1125" s="5">
        <v>-1.59155056649196</v>
      </c>
      <c r="M1125" s="5">
        <v>15.2539238592364</v>
      </c>
      <c r="N1125" s="5">
        <v>15.2539238592364</v>
      </c>
      <c r="O1125" s="5">
        <v>15.2539238592364</v>
      </c>
      <c r="P1125" s="5">
        <v>0.0</v>
      </c>
      <c r="Q1125" s="5">
        <v>0.0</v>
      </c>
      <c r="R1125" s="5">
        <v>0.0</v>
      </c>
      <c r="S1125" s="5">
        <v>58.5635296724721</v>
      </c>
    </row>
    <row r="1126">
      <c r="A1126" s="6">
        <v>41988.0</v>
      </c>
      <c r="B1126" s="5">
        <v>44.9189215384049</v>
      </c>
      <c r="C1126" s="5">
        <v>-3.96480211522847</v>
      </c>
      <c r="D1126" s="5">
        <v>123.543550427969</v>
      </c>
      <c r="E1126" s="5">
        <v>44.9189215384049</v>
      </c>
      <c r="F1126" s="5">
        <v>44.9189215384049</v>
      </c>
      <c r="G1126" s="5">
        <v>14.2278080806088</v>
      </c>
      <c r="H1126" s="5">
        <v>14.2278080806088</v>
      </c>
      <c r="I1126" s="5">
        <v>14.2278080806088</v>
      </c>
      <c r="J1126" s="5">
        <v>0.0905589421215847</v>
      </c>
      <c r="K1126" s="5">
        <v>0.0905589421215847</v>
      </c>
      <c r="L1126" s="5">
        <v>0.0905589421215847</v>
      </c>
      <c r="M1126" s="5">
        <v>14.1372491384872</v>
      </c>
      <c r="N1126" s="5">
        <v>14.1372491384872</v>
      </c>
      <c r="O1126" s="5">
        <v>14.1372491384872</v>
      </c>
      <c r="P1126" s="5">
        <v>0.0</v>
      </c>
      <c r="Q1126" s="5">
        <v>0.0</v>
      </c>
      <c r="R1126" s="5">
        <v>0.0</v>
      </c>
      <c r="S1126" s="5">
        <v>59.1467296190138</v>
      </c>
    </row>
    <row r="1127">
      <c r="A1127" s="6">
        <v>41989.0</v>
      </c>
      <c r="B1127" s="5">
        <v>44.924843257964</v>
      </c>
      <c r="C1127" s="5">
        <v>-6.75836077401046</v>
      </c>
      <c r="D1127" s="5">
        <v>119.268358134515</v>
      </c>
      <c r="E1127" s="5">
        <v>44.924843257964</v>
      </c>
      <c r="F1127" s="5">
        <v>44.924843257964</v>
      </c>
      <c r="G1127" s="5">
        <v>13.8021322374362</v>
      </c>
      <c r="H1127" s="5">
        <v>13.8021322374362</v>
      </c>
      <c r="I1127" s="5">
        <v>13.8021322374362</v>
      </c>
      <c r="J1127" s="5">
        <v>-0.144118857246109</v>
      </c>
      <c r="K1127" s="5">
        <v>-0.144118857246109</v>
      </c>
      <c r="L1127" s="5">
        <v>-0.144118857246109</v>
      </c>
      <c r="M1127" s="5">
        <v>13.9462510946823</v>
      </c>
      <c r="N1127" s="5">
        <v>13.9462510946823</v>
      </c>
      <c r="O1127" s="5">
        <v>13.9462510946823</v>
      </c>
      <c r="P1127" s="5">
        <v>0.0</v>
      </c>
      <c r="Q1127" s="5">
        <v>0.0</v>
      </c>
      <c r="R1127" s="5">
        <v>0.0</v>
      </c>
      <c r="S1127" s="5">
        <v>58.7269754954003</v>
      </c>
    </row>
    <row r="1128">
      <c r="A1128" s="6">
        <v>41990.0</v>
      </c>
      <c r="B1128" s="5">
        <v>44.9307649775232</v>
      </c>
      <c r="C1128" s="5">
        <v>-3.2972100813859</v>
      </c>
      <c r="D1128" s="5">
        <v>120.035814631019</v>
      </c>
      <c r="E1128" s="5">
        <v>44.9307649775232</v>
      </c>
      <c r="F1128" s="5">
        <v>44.9307649775232</v>
      </c>
      <c r="G1128" s="5">
        <v>13.8737324347553</v>
      </c>
      <c r="H1128" s="5">
        <v>13.8737324347553</v>
      </c>
      <c r="I1128" s="5">
        <v>13.8737324347553</v>
      </c>
      <c r="J1128" s="5">
        <v>0.00703780528249635</v>
      </c>
      <c r="K1128" s="5">
        <v>0.00703780528249635</v>
      </c>
      <c r="L1128" s="5">
        <v>0.00703780528249635</v>
      </c>
      <c r="M1128" s="5">
        <v>13.8666946294728</v>
      </c>
      <c r="N1128" s="5">
        <v>13.8666946294728</v>
      </c>
      <c r="O1128" s="5">
        <v>13.8666946294728</v>
      </c>
      <c r="P1128" s="5">
        <v>0.0</v>
      </c>
      <c r="Q1128" s="5">
        <v>0.0</v>
      </c>
      <c r="R1128" s="5">
        <v>0.0</v>
      </c>
      <c r="S1128" s="5">
        <v>58.8044974122785</v>
      </c>
    </row>
    <row r="1129">
      <c r="A1129" s="6">
        <v>41991.0</v>
      </c>
      <c r="B1129" s="5">
        <v>44.9366866970823</v>
      </c>
      <c r="C1129" s="5">
        <v>-3.90391811677945</v>
      </c>
      <c r="D1129" s="5">
        <v>123.062309305615</v>
      </c>
      <c r="E1129" s="5">
        <v>44.9366866970823</v>
      </c>
      <c r="F1129" s="5">
        <v>44.9366866970823</v>
      </c>
      <c r="G1129" s="5">
        <v>13.1314575726782</v>
      </c>
      <c r="H1129" s="5">
        <v>13.1314575726782</v>
      </c>
      <c r="I1129" s="5">
        <v>13.1314575726782</v>
      </c>
      <c r="J1129" s="5">
        <v>-0.77642252590343</v>
      </c>
      <c r="K1129" s="5">
        <v>-0.77642252590343</v>
      </c>
      <c r="L1129" s="5">
        <v>-0.77642252590343</v>
      </c>
      <c r="M1129" s="5">
        <v>13.9078800985816</v>
      </c>
      <c r="N1129" s="5">
        <v>13.9078800985816</v>
      </c>
      <c r="O1129" s="5">
        <v>13.9078800985816</v>
      </c>
      <c r="P1129" s="5">
        <v>0.0</v>
      </c>
      <c r="Q1129" s="5">
        <v>0.0</v>
      </c>
      <c r="R1129" s="5">
        <v>0.0</v>
      </c>
      <c r="S1129" s="5">
        <v>58.0681442697605</v>
      </c>
    </row>
    <row r="1130">
      <c r="A1130" s="6">
        <v>41992.0</v>
      </c>
      <c r="B1130" s="5">
        <v>44.9426084166414</v>
      </c>
      <c r="C1130" s="5">
        <v>-5.8434035113231</v>
      </c>
      <c r="D1130" s="5">
        <v>118.27337716461</v>
      </c>
      <c r="E1130" s="5">
        <v>44.9426084166414</v>
      </c>
      <c r="F1130" s="5">
        <v>44.9426084166414</v>
      </c>
      <c r="G1130" s="5">
        <v>12.4849653018915</v>
      </c>
      <c r="H1130" s="5">
        <v>12.4849653018915</v>
      </c>
      <c r="I1130" s="5">
        <v>12.4849653018915</v>
      </c>
      <c r="J1130" s="5">
        <v>-1.59155056649409</v>
      </c>
      <c r="K1130" s="5">
        <v>-1.59155056649409</v>
      </c>
      <c r="L1130" s="5">
        <v>-1.59155056649409</v>
      </c>
      <c r="M1130" s="5">
        <v>14.0765158683856</v>
      </c>
      <c r="N1130" s="5">
        <v>14.0765158683856</v>
      </c>
      <c r="O1130" s="5">
        <v>14.0765158683856</v>
      </c>
      <c r="P1130" s="5">
        <v>0.0</v>
      </c>
      <c r="Q1130" s="5">
        <v>0.0</v>
      </c>
      <c r="R1130" s="5">
        <v>0.0</v>
      </c>
      <c r="S1130" s="5">
        <v>57.427573718533</v>
      </c>
    </row>
    <row r="1131">
      <c r="A1131" s="6">
        <v>41995.0</v>
      </c>
      <c r="B1131" s="5">
        <v>44.9603735753188</v>
      </c>
      <c r="C1131" s="5">
        <v>-1.16503155061577</v>
      </c>
      <c r="D1131" s="5">
        <v>122.918969171819</v>
      </c>
      <c r="E1131" s="5">
        <v>44.9603735753188</v>
      </c>
      <c r="F1131" s="5">
        <v>44.9603735753188</v>
      </c>
      <c r="G1131" s="5">
        <v>15.4611562198103</v>
      </c>
      <c r="H1131" s="5">
        <v>15.4611562198103</v>
      </c>
      <c r="I1131" s="5">
        <v>15.4611562198103</v>
      </c>
      <c r="J1131" s="5">
        <v>0.0905589421202274</v>
      </c>
      <c r="K1131" s="5">
        <v>0.0905589421202274</v>
      </c>
      <c r="L1131" s="5">
        <v>0.0905589421202274</v>
      </c>
      <c r="M1131" s="5">
        <v>15.37059727769</v>
      </c>
      <c r="N1131" s="5">
        <v>15.37059727769</v>
      </c>
      <c r="O1131" s="5">
        <v>15.37059727769</v>
      </c>
      <c r="P1131" s="5">
        <v>0.0</v>
      </c>
      <c r="Q1131" s="5">
        <v>0.0</v>
      </c>
      <c r="R1131" s="5">
        <v>0.0</v>
      </c>
      <c r="S1131" s="5">
        <v>60.4215297951291</v>
      </c>
    </row>
    <row r="1132">
      <c r="A1132" s="6">
        <v>41996.0</v>
      </c>
      <c r="B1132" s="5">
        <v>44.9662952948779</v>
      </c>
      <c r="C1132" s="5">
        <v>-1.43577684688514</v>
      </c>
      <c r="D1132" s="5">
        <v>121.553219751367</v>
      </c>
      <c r="E1132" s="5">
        <v>44.9662952948779</v>
      </c>
      <c r="F1132" s="5">
        <v>44.9662952948779</v>
      </c>
      <c r="G1132" s="5">
        <v>15.9129629337875</v>
      </c>
      <c r="H1132" s="5">
        <v>15.9129629337875</v>
      </c>
      <c r="I1132" s="5">
        <v>15.9129629337875</v>
      </c>
      <c r="J1132" s="5">
        <v>-0.144118857242497</v>
      </c>
      <c r="K1132" s="5">
        <v>-0.144118857242497</v>
      </c>
      <c r="L1132" s="5">
        <v>-0.144118857242497</v>
      </c>
      <c r="M1132" s="5">
        <v>16.05708179103</v>
      </c>
      <c r="N1132" s="5">
        <v>16.05708179103</v>
      </c>
      <c r="O1132" s="5">
        <v>16.05708179103</v>
      </c>
      <c r="P1132" s="5">
        <v>0.0</v>
      </c>
      <c r="Q1132" s="5">
        <v>0.0</v>
      </c>
      <c r="R1132" s="5">
        <v>0.0</v>
      </c>
      <c r="S1132" s="5">
        <v>60.8792582286654</v>
      </c>
    </row>
    <row r="1133">
      <c r="A1133" s="6">
        <v>41997.0</v>
      </c>
      <c r="B1133" s="5">
        <v>44.972217014437</v>
      </c>
      <c r="C1133" s="5">
        <v>-0.790473809002311</v>
      </c>
      <c r="D1133" s="5">
        <v>125.70696515346</v>
      </c>
      <c r="E1133" s="5">
        <v>44.972217014437</v>
      </c>
      <c r="F1133" s="5">
        <v>44.972217014437</v>
      </c>
      <c r="G1133" s="5">
        <v>16.8665806505196</v>
      </c>
      <c r="H1133" s="5">
        <v>16.8665806505196</v>
      </c>
      <c r="I1133" s="5">
        <v>16.8665806505196</v>
      </c>
      <c r="J1133" s="5">
        <v>0.00703780528164379</v>
      </c>
      <c r="K1133" s="5">
        <v>0.00703780528164379</v>
      </c>
      <c r="L1133" s="5">
        <v>0.00703780528164379</v>
      </c>
      <c r="M1133" s="5">
        <v>16.859542845238</v>
      </c>
      <c r="N1133" s="5">
        <v>16.859542845238</v>
      </c>
      <c r="O1133" s="5">
        <v>16.859542845238</v>
      </c>
      <c r="P1133" s="5">
        <v>0.0</v>
      </c>
      <c r="Q1133" s="5">
        <v>0.0</v>
      </c>
      <c r="R1133" s="5">
        <v>0.0</v>
      </c>
      <c r="S1133" s="5">
        <v>61.8387976649567</v>
      </c>
    </row>
    <row r="1134">
      <c r="A1134" s="6">
        <v>41999.0</v>
      </c>
      <c r="B1134" s="5">
        <v>44.9840604535552</v>
      </c>
      <c r="C1134" s="5">
        <v>4.56482743898385</v>
      </c>
      <c r="D1134" s="5">
        <v>126.639901990058</v>
      </c>
      <c r="E1134" s="5">
        <v>44.9840604535552</v>
      </c>
      <c r="F1134" s="5">
        <v>44.9840604535552</v>
      </c>
      <c r="G1134" s="5">
        <v>17.1723762694828</v>
      </c>
      <c r="H1134" s="5">
        <v>17.1723762694828</v>
      </c>
      <c r="I1134" s="5">
        <v>17.1723762694828</v>
      </c>
      <c r="J1134" s="5">
        <v>-1.5915505664956</v>
      </c>
      <c r="K1134" s="5">
        <v>-1.5915505664956</v>
      </c>
      <c r="L1134" s="5">
        <v>-1.5915505664956</v>
      </c>
      <c r="M1134" s="5">
        <v>18.7639268359784</v>
      </c>
      <c r="N1134" s="5">
        <v>18.7639268359784</v>
      </c>
      <c r="O1134" s="5">
        <v>18.7639268359784</v>
      </c>
      <c r="P1134" s="5">
        <v>0.0</v>
      </c>
      <c r="Q1134" s="5">
        <v>0.0</v>
      </c>
      <c r="R1134" s="5">
        <v>0.0</v>
      </c>
      <c r="S1134" s="5">
        <v>62.1564367230381</v>
      </c>
    </row>
    <row r="1135">
      <c r="A1135" s="6">
        <v>42002.0</v>
      </c>
      <c r="B1135" s="5">
        <v>45.0018256122326</v>
      </c>
      <c r="C1135" s="5">
        <v>4.82354999324326</v>
      </c>
      <c r="D1135" s="5">
        <v>131.835838742774</v>
      </c>
      <c r="E1135" s="5">
        <v>45.0018256122326</v>
      </c>
      <c r="F1135" s="5">
        <v>45.0018256122326</v>
      </c>
      <c r="G1135" s="5">
        <v>22.2132685161902</v>
      </c>
      <c r="H1135" s="5">
        <v>22.2132685161902</v>
      </c>
      <c r="I1135" s="5">
        <v>22.2132685161902</v>
      </c>
      <c r="J1135" s="5">
        <v>0.0905589421211738</v>
      </c>
      <c r="K1135" s="5">
        <v>0.0905589421211738</v>
      </c>
      <c r="L1135" s="5">
        <v>0.0905589421211738</v>
      </c>
      <c r="M1135" s="5">
        <v>22.1227095740691</v>
      </c>
      <c r="N1135" s="5">
        <v>22.1227095740691</v>
      </c>
      <c r="O1135" s="5">
        <v>22.1227095740691</v>
      </c>
      <c r="P1135" s="5">
        <v>0.0</v>
      </c>
      <c r="Q1135" s="5">
        <v>0.0</v>
      </c>
      <c r="R1135" s="5">
        <v>0.0</v>
      </c>
      <c r="S1135" s="5">
        <v>67.2150941284229</v>
      </c>
    </row>
    <row r="1136">
      <c r="A1136" s="6">
        <v>42003.0</v>
      </c>
      <c r="B1136" s="5">
        <v>45.0077473317917</v>
      </c>
      <c r="C1136" s="5">
        <v>3.49916382373079</v>
      </c>
      <c r="D1136" s="5">
        <v>130.24016776627</v>
      </c>
      <c r="E1136" s="5">
        <v>45.0077473317917</v>
      </c>
      <c r="F1136" s="5">
        <v>45.0077473317917</v>
      </c>
      <c r="G1136" s="5">
        <v>23.1532537648748</v>
      </c>
      <c r="H1136" s="5">
        <v>23.1532537648748</v>
      </c>
      <c r="I1136" s="5">
        <v>23.1532537648748</v>
      </c>
      <c r="J1136" s="5">
        <v>-0.144118857243933</v>
      </c>
      <c r="K1136" s="5">
        <v>-0.144118857243933</v>
      </c>
      <c r="L1136" s="5">
        <v>-0.144118857243933</v>
      </c>
      <c r="M1136" s="5">
        <v>23.2973726221187</v>
      </c>
      <c r="N1136" s="5">
        <v>23.2973726221187</v>
      </c>
      <c r="O1136" s="5">
        <v>23.2973726221187</v>
      </c>
      <c r="P1136" s="5">
        <v>0.0</v>
      </c>
      <c r="Q1136" s="5">
        <v>0.0</v>
      </c>
      <c r="R1136" s="5">
        <v>0.0</v>
      </c>
      <c r="S1136" s="5">
        <v>68.1610010966666</v>
      </c>
    </row>
    <row r="1137">
      <c r="A1137" s="6">
        <v>42004.0</v>
      </c>
      <c r="B1137" s="5">
        <v>45.0136690345172</v>
      </c>
      <c r="C1137" s="5">
        <v>7.04907138436537</v>
      </c>
      <c r="D1137" s="5">
        <v>128.164561243005</v>
      </c>
      <c r="E1137" s="5">
        <v>45.0136690345172</v>
      </c>
      <c r="F1137" s="5">
        <v>45.0136690345172</v>
      </c>
      <c r="G1137" s="5">
        <v>24.470362846074</v>
      </c>
      <c r="H1137" s="5">
        <v>24.470362846074</v>
      </c>
      <c r="I1137" s="5">
        <v>24.470362846074</v>
      </c>
      <c r="J1137" s="5">
        <v>0.0070378052807912</v>
      </c>
      <c r="K1137" s="5">
        <v>0.0070378052807912</v>
      </c>
      <c r="L1137" s="5">
        <v>0.0070378052807912</v>
      </c>
      <c r="M1137" s="5">
        <v>24.4633250407932</v>
      </c>
      <c r="N1137" s="5">
        <v>24.4633250407932</v>
      </c>
      <c r="O1137" s="5">
        <v>24.4633250407932</v>
      </c>
      <c r="P1137" s="5">
        <v>0.0</v>
      </c>
      <c r="Q1137" s="5">
        <v>0.0</v>
      </c>
      <c r="R1137" s="5">
        <v>0.0</v>
      </c>
      <c r="S1137" s="5">
        <v>69.4840318805912</v>
      </c>
    </row>
    <row r="1138">
      <c r="A1138" s="6">
        <v>42006.0</v>
      </c>
      <c r="B1138" s="5">
        <v>45.0255124399682</v>
      </c>
      <c r="C1138" s="5">
        <v>12.2123189843848</v>
      </c>
      <c r="D1138" s="5">
        <v>141.596086056751</v>
      </c>
      <c r="E1138" s="5">
        <v>45.0255124399682</v>
      </c>
      <c r="F1138" s="5">
        <v>45.0255124399682</v>
      </c>
      <c r="G1138" s="5">
        <v>25.0887654520865</v>
      </c>
      <c r="H1138" s="5">
        <v>25.0887654520865</v>
      </c>
      <c r="I1138" s="5">
        <v>25.0887654520865</v>
      </c>
      <c r="J1138" s="5">
        <v>-1.59155056649467</v>
      </c>
      <c r="K1138" s="5">
        <v>-1.59155056649467</v>
      </c>
      <c r="L1138" s="5">
        <v>-1.59155056649467</v>
      </c>
      <c r="M1138" s="5">
        <v>26.6803160185811</v>
      </c>
      <c r="N1138" s="5">
        <v>26.6803160185811</v>
      </c>
      <c r="O1138" s="5">
        <v>26.6803160185811</v>
      </c>
      <c r="P1138" s="5">
        <v>0.0</v>
      </c>
      <c r="Q1138" s="5">
        <v>0.0</v>
      </c>
      <c r="R1138" s="5">
        <v>0.0</v>
      </c>
      <c r="S1138" s="5">
        <v>70.1142778920547</v>
      </c>
    </row>
    <row r="1139">
      <c r="A1139" s="6">
        <v>42009.0</v>
      </c>
      <c r="B1139" s="5">
        <v>45.0432775481447</v>
      </c>
      <c r="C1139" s="5">
        <v>14.69562008385</v>
      </c>
      <c r="D1139" s="5">
        <v>136.245371333329</v>
      </c>
      <c r="E1139" s="5">
        <v>45.0432775481447</v>
      </c>
      <c r="F1139" s="5">
        <v>45.0432775481447</v>
      </c>
      <c r="G1139" s="5">
        <v>29.4968473291346</v>
      </c>
      <c r="H1139" s="5">
        <v>29.4968473291346</v>
      </c>
      <c r="I1139" s="5">
        <v>29.4968473291346</v>
      </c>
      <c r="J1139" s="5">
        <v>0.0905589421198165</v>
      </c>
      <c r="K1139" s="5">
        <v>0.0905589421198165</v>
      </c>
      <c r="L1139" s="5">
        <v>0.0905589421198165</v>
      </c>
      <c r="M1139" s="5">
        <v>29.4062883870148</v>
      </c>
      <c r="N1139" s="5">
        <v>29.4062883870148</v>
      </c>
      <c r="O1139" s="5">
        <v>29.4062883870148</v>
      </c>
      <c r="P1139" s="5">
        <v>0.0</v>
      </c>
      <c r="Q1139" s="5">
        <v>0.0</v>
      </c>
      <c r="R1139" s="5">
        <v>0.0</v>
      </c>
      <c r="S1139" s="5">
        <v>74.5401248772794</v>
      </c>
    </row>
    <row r="1140">
      <c r="A1140" s="6">
        <v>42010.0</v>
      </c>
      <c r="B1140" s="5">
        <v>45.0491992508702</v>
      </c>
      <c r="C1140" s="5">
        <v>13.3354690298347</v>
      </c>
      <c r="D1140" s="5">
        <v>139.648759382946</v>
      </c>
      <c r="E1140" s="5">
        <v>45.0491992508702</v>
      </c>
      <c r="F1140" s="5">
        <v>45.0491992508702</v>
      </c>
      <c r="G1140" s="5">
        <v>29.9387381663224</v>
      </c>
      <c r="H1140" s="5">
        <v>29.9387381663224</v>
      </c>
      <c r="I1140" s="5">
        <v>29.9387381663224</v>
      </c>
      <c r="J1140" s="5">
        <v>-0.144118857246783</v>
      </c>
      <c r="K1140" s="5">
        <v>-0.144118857246783</v>
      </c>
      <c r="L1140" s="5">
        <v>-0.144118857246783</v>
      </c>
      <c r="M1140" s="5">
        <v>30.0828570235692</v>
      </c>
      <c r="N1140" s="5">
        <v>30.0828570235692</v>
      </c>
      <c r="O1140" s="5">
        <v>30.0828570235692</v>
      </c>
      <c r="P1140" s="5">
        <v>0.0</v>
      </c>
      <c r="Q1140" s="5">
        <v>0.0</v>
      </c>
      <c r="R1140" s="5">
        <v>0.0</v>
      </c>
      <c r="S1140" s="5">
        <v>74.9879374171927</v>
      </c>
    </row>
    <row r="1141">
      <c r="A1141" s="6">
        <v>42011.0</v>
      </c>
      <c r="B1141" s="5">
        <v>45.0551209535958</v>
      </c>
      <c r="C1141" s="5">
        <v>7.8109432743089</v>
      </c>
      <c r="D1141" s="5">
        <v>143.686254305622</v>
      </c>
      <c r="E1141" s="5">
        <v>45.0551209535958</v>
      </c>
      <c r="F1141" s="5">
        <v>45.0551209535958</v>
      </c>
      <c r="G1141" s="5">
        <v>30.6269581782398</v>
      </c>
      <c r="H1141" s="5">
        <v>30.6269581782398</v>
      </c>
      <c r="I1141" s="5">
        <v>30.6269581782398</v>
      </c>
      <c r="J1141" s="5">
        <v>0.00703780528309371</v>
      </c>
      <c r="K1141" s="5">
        <v>0.00703780528309371</v>
      </c>
      <c r="L1141" s="5">
        <v>0.00703780528309371</v>
      </c>
      <c r="M1141" s="5">
        <v>30.6199203729567</v>
      </c>
      <c r="N1141" s="5">
        <v>30.6199203729567</v>
      </c>
      <c r="O1141" s="5">
        <v>30.6199203729567</v>
      </c>
      <c r="P1141" s="5">
        <v>0.0</v>
      </c>
      <c r="Q1141" s="5">
        <v>0.0</v>
      </c>
      <c r="R1141" s="5">
        <v>0.0</v>
      </c>
      <c r="S1141" s="5">
        <v>75.6820791318356</v>
      </c>
    </row>
    <row r="1142">
      <c r="A1142" s="6">
        <v>42012.0</v>
      </c>
      <c r="B1142" s="5">
        <v>45.0610426563213</v>
      </c>
      <c r="C1142" s="5">
        <v>14.9621456062287</v>
      </c>
      <c r="D1142" s="5">
        <v>131.509784673114</v>
      </c>
      <c r="E1142" s="5">
        <v>45.0610426563213</v>
      </c>
      <c r="F1142" s="5">
        <v>45.0610426563213</v>
      </c>
      <c r="G1142" s="5">
        <v>30.2312321635179</v>
      </c>
      <c r="H1142" s="5">
        <v>30.2312321635179</v>
      </c>
      <c r="I1142" s="5">
        <v>30.2312321635179</v>
      </c>
      <c r="J1142" s="5">
        <v>-0.776422525904121</v>
      </c>
      <c r="K1142" s="5">
        <v>-0.776422525904121</v>
      </c>
      <c r="L1142" s="5">
        <v>-0.776422525904121</v>
      </c>
      <c r="M1142" s="5">
        <v>31.007654689422</v>
      </c>
      <c r="N1142" s="5">
        <v>31.007654689422</v>
      </c>
      <c r="O1142" s="5">
        <v>31.007654689422</v>
      </c>
      <c r="P1142" s="5">
        <v>0.0</v>
      </c>
      <c r="Q1142" s="5">
        <v>0.0</v>
      </c>
      <c r="R1142" s="5">
        <v>0.0</v>
      </c>
      <c r="S1142" s="5">
        <v>75.2922748198392</v>
      </c>
    </row>
    <row r="1143">
      <c r="A1143" s="6">
        <v>42013.0</v>
      </c>
      <c r="B1143" s="5">
        <v>45.0669643590468</v>
      </c>
      <c r="C1143" s="5">
        <v>15.9348013443951</v>
      </c>
      <c r="D1143" s="5">
        <v>139.943202344346</v>
      </c>
      <c r="E1143" s="5">
        <v>45.0669643590468</v>
      </c>
      <c r="F1143" s="5">
        <v>45.0669643590468</v>
      </c>
      <c r="G1143" s="5">
        <v>29.6478662608324</v>
      </c>
      <c r="H1143" s="5">
        <v>29.6478662608324</v>
      </c>
      <c r="I1143" s="5">
        <v>29.6478662608324</v>
      </c>
      <c r="J1143" s="5">
        <v>-1.59155056649343</v>
      </c>
      <c r="K1143" s="5">
        <v>-1.59155056649343</v>
      </c>
      <c r="L1143" s="5">
        <v>-1.59155056649343</v>
      </c>
      <c r="M1143" s="5">
        <v>31.2394168273259</v>
      </c>
      <c r="N1143" s="5">
        <v>31.2394168273259</v>
      </c>
      <c r="O1143" s="5">
        <v>31.2394168273259</v>
      </c>
      <c r="P1143" s="5">
        <v>0.0</v>
      </c>
      <c r="Q1143" s="5">
        <v>0.0</v>
      </c>
      <c r="R1143" s="5">
        <v>0.0</v>
      </c>
      <c r="S1143" s="5">
        <v>74.7148306198792</v>
      </c>
    </row>
    <row r="1144">
      <c r="A1144" s="6">
        <v>42016.0</v>
      </c>
      <c r="B1144" s="5">
        <v>45.0847294672233</v>
      </c>
      <c r="C1144" s="5">
        <v>12.7841467949463</v>
      </c>
      <c r="D1144" s="5">
        <v>141.739651005718</v>
      </c>
      <c r="E1144" s="5">
        <v>45.0847294672233</v>
      </c>
      <c r="F1144" s="5">
        <v>45.0847294672233</v>
      </c>
      <c r="G1144" s="5">
        <v>31.0730427446208</v>
      </c>
      <c r="H1144" s="5">
        <v>31.0730427446208</v>
      </c>
      <c r="I1144" s="5">
        <v>31.0730427446208</v>
      </c>
      <c r="J1144" s="5">
        <v>0.0905589421232268</v>
      </c>
      <c r="K1144" s="5">
        <v>0.0905589421232268</v>
      </c>
      <c r="L1144" s="5">
        <v>0.0905589421232268</v>
      </c>
      <c r="M1144" s="5">
        <v>30.9824838024976</v>
      </c>
      <c r="N1144" s="5">
        <v>30.9824838024976</v>
      </c>
      <c r="O1144" s="5">
        <v>30.9824838024976</v>
      </c>
      <c r="P1144" s="5">
        <v>0.0</v>
      </c>
      <c r="Q1144" s="5">
        <v>0.0</v>
      </c>
      <c r="R1144" s="5">
        <v>0.0</v>
      </c>
      <c r="S1144" s="5">
        <v>76.1577722118442</v>
      </c>
    </row>
    <row r="1145">
      <c r="A1145" s="6">
        <v>42017.0</v>
      </c>
      <c r="B1145" s="5">
        <v>45.0906511699488</v>
      </c>
      <c r="C1145" s="5">
        <v>14.3565334649625</v>
      </c>
      <c r="D1145" s="5">
        <v>140.822632436467</v>
      </c>
      <c r="E1145" s="5">
        <v>45.0906511699488</v>
      </c>
      <c r="F1145" s="5">
        <v>45.0906511699488</v>
      </c>
      <c r="G1145" s="5">
        <v>30.4465060829739</v>
      </c>
      <c r="H1145" s="5">
        <v>30.4465060829739</v>
      </c>
      <c r="I1145" s="5">
        <v>30.4465060829739</v>
      </c>
      <c r="J1145" s="5">
        <v>-0.144118857245695</v>
      </c>
      <c r="K1145" s="5">
        <v>-0.144118857245695</v>
      </c>
      <c r="L1145" s="5">
        <v>-0.144118857245695</v>
      </c>
      <c r="M1145" s="5">
        <v>30.5906249402196</v>
      </c>
      <c r="N1145" s="5">
        <v>30.5906249402196</v>
      </c>
      <c r="O1145" s="5">
        <v>30.5906249402196</v>
      </c>
      <c r="P1145" s="5">
        <v>0.0</v>
      </c>
      <c r="Q1145" s="5">
        <v>0.0</v>
      </c>
      <c r="R1145" s="5">
        <v>0.0</v>
      </c>
      <c r="S1145" s="5">
        <v>75.5371572529227</v>
      </c>
    </row>
    <row r="1146">
      <c r="A1146" s="6">
        <v>42018.0</v>
      </c>
      <c r="B1146" s="5">
        <v>45.0965728726743</v>
      </c>
      <c r="C1146" s="5">
        <v>13.6425554958851</v>
      </c>
      <c r="D1146" s="5">
        <v>140.230588009621</v>
      </c>
      <c r="E1146" s="5">
        <v>45.0965728726743</v>
      </c>
      <c r="F1146" s="5">
        <v>45.0965728726743</v>
      </c>
      <c r="G1146" s="5">
        <v>30.0662041616024</v>
      </c>
      <c r="H1146" s="5">
        <v>30.0662041616024</v>
      </c>
      <c r="I1146" s="5">
        <v>30.0662041616024</v>
      </c>
      <c r="J1146" s="5">
        <v>0.00703780528007753</v>
      </c>
      <c r="K1146" s="5">
        <v>0.00703780528007753</v>
      </c>
      <c r="L1146" s="5">
        <v>0.00703780528007753</v>
      </c>
      <c r="M1146" s="5">
        <v>30.0591663563223</v>
      </c>
      <c r="N1146" s="5">
        <v>30.0591663563223</v>
      </c>
      <c r="O1146" s="5">
        <v>30.0591663563223</v>
      </c>
      <c r="P1146" s="5">
        <v>0.0</v>
      </c>
      <c r="Q1146" s="5">
        <v>0.0</v>
      </c>
      <c r="R1146" s="5">
        <v>0.0</v>
      </c>
      <c r="S1146" s="5">
        <v>75.1627770342768</v>
      </c>
    </row>
    <row r="1147">
      <c r="A1147" s="6">
        <v>42019.0</v>
      </c>
      <c r="B1147" s="5">
        <v>45.1024945753998</v>
      </c>
      <c r="C1147" s="5">
        <v>18.0142181042872</v>
      </c>
      <c r="D1147" s="5">
        <v>135.05853670896</v>
      </c>
      <c r="E1147" s="5">
        <v>45.1024945753998</v>
      </c>
      <c r="F1147" s="5">
        <v>45.1024945753998</v>
      </c>
      <c r="G1147" s="5">
        <v>28.6240581092354</v>
      </c>
      <c r="H1147" s="5">
        <v>28.6240581092354</v>
      </c>
      <c r="I1147" s="5">
        <v>28.6240581092354</v>
      </c>
      <c r="J1147" s="5">
        <v>-0.776422525904843</v>
      </c>
      <c r="K1147" s="5">
        <v>-0.776422525904843</v>
      </c>
      <c r="L1147" s="5">
        <v>-0.776422525904843</v>
      </c>
      <c r="M1147" s="5">
        <v>29.4004806351403</v>
      </c>
      <c r="N1147" s="5">
        <v>29.4004806351403</v>
      </c>
      <c r="O1147" s="5">
        <v>29.4004806351403</v>
      </c>
      <c r="P1147" s="5">
        <v>0.0</v>
      </c>
      <c r="Q1147" s="5">
        <v>0.0</v>
      </c>
      <c r="R1147" s="5">
        <v>0.0</v>
      </c>
      <c r="S1147" s="5">
        <v>73.7265526846353</v>
      </c>
    </row>
    <row r="1148">
      <c r="A1148" s="6">
        <v>42020.0</v>
      </c>
      <c r="B1148" s="5">
        <v>45.1084162781253</v>
      </c>
      <c r="C1148" s="5">
        <v>9.36227288240508</v>
      </c>
      <c r="D1148" s="5">
        <v>140.325758824932</v>
      </c>
      <c r="E1148" s="5">
        <v>45.1084162781253</v>
      </c>
      <c r="F1148" s="5">
        <v>45.1084162781253</v>
      </c>
      <c r="G1148" s="5">
        <v>27.0377771869733</v>
      </c>
      <c r="H1148" s="5">
        <v>27.0377771869733</v>
      </c>
      <c r="I1148" s="5">
        <v>27.0377771869733</v>
      </c>
      <c r="J1148" s="5">
        <v>-1.59155056649282</v>
      </c>
      <c r="K1148" s="5">
        <v>-1.59155056649282</v>
      </c>
      <c r="L1148" s="5">
        <v>-1.59155056649282</v>
      </c>
      <c r="M1148" s="5">
        <v>28.6293277534661</v>
      </c>
      <c r="N1148" s="5">
        <v>28.6293277534661</v>
      </c>
      <c r="O1148" s="5">
        <v>28.6293277534661</v>
      </c>
      <c r="P1148" s="5">
        <v>0.0</v>
      </c>
      <c r="Q1148" s="5">
        <v>0.0</v>
      </c>
      <c r="R1148" s="5">
        <v>0.0</v>
      </c>
      <c r="S1148" s="5">
        <v>72.1461934650986</v>
      </c>
    </row>
    <row r="1149">
      <c r="A1149" s="6">
        <v>42024.0</v>
      </c>
      <c r="B1149" s="5">
        <v>45.1321030890273</v>
      </c>
      <c r="C1149" s="5">
        <v>14.0547968371522</v>
      </c>
      <c r="D1149" s="5">
        <v>127.761523286855</v>
      </c>
      <c r="E1149" s="5">
        <v>45.1321030890273</v>
      </c>
      <c r="F1149" s="5">
        <v>45.1321030890273</v>
      </c>
      <c r="G1149" s="5">
        <v>24.6303468772059</v>
      </c>
      <c r="H1149" s="5">
        <v>24.6303468772059</v>
      </c>
      <c r="I1149" s="5">
        <v>24.6303468772059</v>
      </c>
      <c r="J1149" s="5">
        <v>-0.14411885724713</v>
      </c>
      <c r="K1149" s="5">
        <v>-0.14411885724713</v>
      </c>
      <c r="L1149" s="5">
        <v>-0.14411885724713</v>
      </c>
      <c r="M1149" s="5">
        <v>24.7744657344531</v>
      </c>
      <c r="N1149" s="5">
        <v>24.7744657344531</v>
      </c>
      <c r="O1149" s="5">
        <v>24.7744657344531</v>
      </c>
      <c r="P1149" s="5">
        <v>0.0</v>
      </c>
      <c r="Q1149" s="5">
        <v>0.0</v>
      </c>
      <c r="R1149" s="5">
        <v>0.0</v>
      </c>
      <c r="S1149" s="5">
        <v>69.7624499662333</v>
      </c>
    </row>
    <row r="1150">
      <c r="A1150" s="6">
        <v>42025.0</v>
      </c>
      <c r="B1150" s="5">
        <v>45.1380247917528</v>
      </c>
      <c r="C1150" s="5">
        <v>13.7020656990961</v>
      </c>
      <c r="D1150" s="5">
        <v>132.190633257993</v>
      </c>
      <c r="E1150" s="5">
        <v>45.1380247917528</v>
      </c>
      <c r="F1150" s="5">
        <v>45.1380247917528</v>
      </c>
      <c r="G1150" s="5">
        <v>23.7217422760899</v>
      </c>
      <c r="H1150" s="5">
        <v>23.7217422760899</v>
      </c>
      <c r="I1150" s="5">
        <v>23.7217422760899</v>
      </c>
      <c r="J1150" s="5">
        <v>0.0070378052813886</v>
      </c>
      <c r="K1150" s="5">
        <v>0.0070378052813886</v>
      </c>
      <c r="L1150" s="5">
        <v>0.0070378052813886</v>
      </c>
      <c r="M1150" s="5">
        <v>23.7147044708085</v>
      </c>
      <c r="N1150" s="5">
        <v>23.7147044708085</v>
      </c>
      <c r="O1150" s="5">
        <v>23.7147044708085</v>
      </c>
      <c r="P1150" s="5">
        <v>0.0</v>
      </c>
      <c r="Q1150" s="5">
        <v>0.0</v>
      </c>
      <c r="R1150" s="5">
        <v>0.0</v>
      </c>
      <c r="S1150" s="5">
        <v>68.8597670678428</v>
      </c>
    </row>
    <row r="1151">
      <c r="A1151" s="6">
        <v>42026.0</v>
      </c>
      <c r="B1151" s="5">
        <v>45.1439464944784</v>
      </c>
      <c r="C1151" s="5">
        <v>0.672940164560633</v>
      </c>
      <c r="D1151" s="5">
        <v>132.917587466733</v>
      </c>
      <c r="E1151" s="5">
        <v>45.1439464944784</v>
      </c>
      <c r="F1151" s="5">
        <v>45.1439464944784</v>
      </c>
      <c r="G1151" s="5">
        <v>21.8789537004659</v>
      </c>
      <c r="H1151" s="5">
        <v>21.8789537004659</v>
      </c>
      <c r="I1151" s="5">
        <v>21.8789537004659</v>
      </c>
      <c r="J1151" s="5">
        <v>-0.77642252589849</v>
      </c>
      <c r="K1151" s="5">
        <v>-0.77642252589849</v>
      </c>
      <c r="L1151" s="5">
        <v>-0.77642252589849</v>
      </c>
      <c r="M1151" s="5">
        <v>22.6553762263644</v>
      </c>
      <c r="N1151" s="5">
        <v>22.6553762263644</v>
      </c>
      <c r="O1151" s="5">
        <v>22.6553762263644</v>
      </c>
      <c r="P1151" s="5">
        <v>0.0</v>
      </c>
      <c r="Q1151" s="5">
        <v>0.0</v>
      </c>
      <c r="R1151" s="5">
        <v>0.0</v>
      </c>
      <c r="S1151" s="5">
        <v>67.0229001949443</v>
      </c>
    </row>
    <row r="1152">
      <c r="A1152" s="6">
        <v>42027.0</v>
      </c>
      <c r="B1152" s="5">
        <v>45.1498681972039</v>
      </c>
      <c r="C1152" s="5">
        <v>-0.490518275482917</v>
      </c>
      <c r="D1152" s="5">
        <v>125.089260413278</v>
      </c>
      <c r="E1152" s="5">
        <v>45.1498681972039</v>
      </c>
      <c r="F1152" s="5">
        <v>45.1498681972039</v>
      </c>
      <c r="G1152" s="5">
        <v>20.0230218271825</v>
      </c>
      <c r="H1152" s="5">
        <v>20.0230218271825</v>
      </c>
      <c r="I1152" s="5">
        <v>20.0230218271825</v>
      </c>
      <c r="J1152" s="5">
        <v>-1.59155056649433</v>
      </c>
      <c r="K1152" s="5">
        <v>-1.59155056649433</v>
      </c>
      <c r="L1152" s="5">
        <v>-1.59155056649433</v>
      </c>
      <c r="M1152" s="5">
        <v>21.6145723936768</v>
      </c>
      <c r="N1152" s="5">
        <v>21.6145723936768</v>
      </c>
      <c r="O1152" s="5">
        <v>21.6145723936768</v>
      </c>
      <c r="P1152" s="5">
        <v>0.0</v>
      </c>
      <c r="Q1152" s="5">
        <v>0.0</v>
      </c>
      <c r="R1152" s="5">
        <v>0.0</v>
      </c>
      <c r="S1152" s="5">
        <v>65.1728900243864</v>
      </c>
    </row>
    <row r="1153">
      <c r="A1153" s="6">
        <v>42030.0</v>
      </c>
      <c r="B1153" s="5">
        <v>45.1676333053804</v>
      </c>
      <c r="C1153" s="5">
        <v>5.25601918454395</v>
      </c>
      <c r="D1153" s="5">
        <v>129.120129519095</v>
      </c>
      <c r="E1153" s="5">
        <v>45.1676333053804</v>
      </c>
      <c r="F1153" s="5">
        <v>45.1676333053804</v>
      </c>
      <c r="G1153" s="5">
        <v>18.849098238454</v>
      </c>
      <c r="H1153" s="5">
        <v>18.849098238454</v>
      </c>
      <c r="I1153" s="5">
        <v>18.849098238454</v>
      </c>
      <c r="J1153" s="5">
        <v>0.0905589421203521</v>
      </c>
      <c r="K1153" s="5">
        <v>0.0905589421203521</v>
      </c>
      <c r="L1153" s="5">
        <v>0.0905589421203521</v>
      </c>
      <c r="M1153" s="5">
        <v>18.7585392963337</v>
      </c>
      <c r="N1153" s="5">
        <v>18.7585392963337</v>
      </c>
      <c r="O1153" s="5">
        <v>18.7585392963337</v>
      </c>
      <c r="P1153" s="5">
        <v>0.0</v>
      </c>
      <c r="Q1153" s="5">
        <v>0.0</v>
      </c>
      <c r="R1153" s="5">
        <v>0.0</v>
      </c>
      <c r="S1153" s="5">
        <v>64.0167315438344</v>
      </c>
    </row>
    <row r="1154">
      <c r="A1154" s="6">
        <v>42031.0</v>
      </c>
      <c r="B1154" s="5">
        <v>45.1735550081059</v>
      </c>
      <c r="C1154" s="5">
        <v>7.41765117857681</v>
      </c>
      <c r="D1154" s="5">
        <v>126.369318803328</v>
      </c>
      <c r="E1154" s="5">
        <v>45.1735550081059</v>
      </c>
      <c r="F1154" s="5">
        <v>45.1735550081059</v>
      </c>
      <c r="G1154" s="5">
        <v>17.7916608119575</v>
      </c>
      <c r="H1154" s="5">
        <v>17.7916608119575</v>
      </c>
      <c r="I1154" s="5">
        <v>17.7916608119575</v>
      </c>
      <c r="J1154" s="5">
        <v>-0.144118857243519</v>
      </c>
      <c r="K1154" s="5">
        <v>-0.144118857243519</v>
      </c>
      <c r="L1154" s="5">
        <v>-0.144118857243519</v>
      </c>
      <c r="M1154" s="5">
        <v>17.935779669201</v>
      </c>
      <c r="N1154" s="5">
        <v>17.935779669201</v>
      </c>
      <c r="O1154" s="5">
        <v>17.935779669201</v>
      </c>
      <c r="P1154" s="5">
        <v>0.0</v>
      </c>
      <c r="Q1154" s="5">
        <v>0.0</v>
      </c>
      <c r="R1154" s="5">
        <v>0.0</v>
      </c>
      <c r="S1154" s="5">
        <v>62.9652158200634</v>
      </c>
    </row>
    <row r="1155">
      <c r="A1155" s="6">
        <v>42032.0</v>
      </c>
      <c r="B1155" s="5">
        <v>45.1794767108314</v>
      </c>
      <c r="C1155" s="5">
        <v>-1.62406183822294</v>
      </c>
      <c r="D1155" s="5">
        <v>122.082794061976</v>
      </c>
      <c r="E1155" s="5">
        <v>45.1794767108314</v>
      </c>
      <c r="F1155" s="5">
        <v>45.1794767108314</v>
      </c>
      <c r="G1155" s="5">
        <v>17.1982119171239</v>
      </c>
      <c r="H1155" s="5">
        <v>17.1982119171239</v>
      </c>
      <c r="I1155" s="5">
        <v>17.1982119171239</v>
      </c>
      <c r="J1155" s="5">
        <v>0.00703780528369107</v>
      </c>
      <c r="K1155" s="5">
        <v>0.00703780528369107</v>
      </c>
      <c r="L1155" s="5">
        <v>0.00703780528369107</v>
      </c>
      <c r="M1155" s="5">
        <v>17.1911741118402</v>
      </c>
      <c r="N1155" s="5">
        <v>17.1911741118402</v>
      </c>
      <c r="O1155" s="5">
        <v>17.1911741118402</v>
      </c>
      <c r="P1155" s="5">
        <v>0.0</v>
      </c>
      <c r="Q1155" s="5">
        <v>0.0</v>
      </c>
      <c r="R1155" s="5">
        <v>0.0</v>
      </c>
      <c r="S1155" s="5">
        <v>62.3776886279553</v>
      </c>
    </row>
    <row r="1156">
      <c r="A1156" s="6">
        <v>42033.0</v>
      </c>
      <c r="B1156" s="5">
        <v>45.1853984135569</v>
      </c>
      <c r="C1156" s="5">
        <v>-4.51102228903641</v>
      </c>
      <c r="D1156" s="5">
        <v>127.359026821628</v>
      </c>
      <c r="E1156" s="5">
        <v>45.1853984135569</v>
      </c>
      <c r="F1156" s="5">
        <v>45.1853984135569</v>
      </c>
      <c r="G1156" s="5">
        <v>15.7519728111369</v>
      </c>
      <c r="H1156" s="5">
        <v>15.7519728111369</v>
      </c>
      <c r="I1156" s="5">
        <v>15.7519728111369</v>
      </c>
      <c r="J1156" s="5">
        <v>-0.776422525900587</v>
      </c>
      <c r="K1156" s="5">
        <v>-0.776422525900587</v>
      </c>
      <c r="L1156" s="5">
        <v>-0.776422525900587</v>
      </c>
      <c r="M1156" s="5">
        <v>16.5283953370375</v>
      </c>
      <c r="N1156" s="5">
        <v>16.5283953370375</v>
      </c>
      <c r="O1156" s="5">
        <v>16.5283953370375</v>
      </c>
      <c r="P1156" s="5">
        <v>0.0</v>
      </c>
      <c r="Q1156" s="5">
        <v>0.0</v>
      </c>
      <c r="R1156" s="5">
        <v>0.0</v>
      </c>
      <c r="S1156" s="5">
        <v>60.9373712246939</v>
      </c>
    </row>
    <row r="1157">
      <c r="A1157" s="6">
        <v>42034.0</v>
      </c>
      <c r="B1157" s="5">
        <v>45.1913201162824</v>
      </c>
      <c r="C1157" s="5">
        <v>-8.07957515048646</v>
      </c>
      <c r="D1157" s="5">
        <v>123.306357653347</v>
      </c>
      <c r="E1157" s="5">
        <v>45.1913201162824</v>
      </c>
      <c r="F1157" s="5">
        <v>45.1913201162824</v>
      </c>
      <c r="G1157" s="5">
        <v>14.3564738536091</v>
      </c>
      <c r="H1157" s="5">
        <v>14.3564738536091</v>
      </c>
      <c r="I1157" s="5">
        <v>14.3564738536091</v>
      </c>
      <c r="J1157" s="5">
        <v>-1.5915505664934</v>
      </c>
      <c r="K1157" s="5">
        <v>-1.5915505664934</v>
      </c>
      <c r="L1157" s="5">
        <v>-1.5915505664934</v>
      </c>
      <c r="M1157" s="5">
        <v>15.9480244201025</v>
      </c>
      <c r="N1157" s="5">
        <v>15.9480244201025</v>
      </c>
      <c r="O1157" s="5">
        <v>15.9480244201025</v>
      </c>
      <c r="P1157" s="5">
        <v>0.0</v>
      </c>
      <c r="Q1157" s="5">
        <v>0.0</v>
      </c>
      <c r="R1157" s="5">
        <v>0.0</v>
      </c>
      <c r="S1157" s="5">
        <v>59.5477939698916</v>
      </c>
    </row>
    <row r="1158">
      <c r="A1158" s="6">
        <v>42037.0</v>
      </c>
      <c r="B1158" s="5">
        <v>45.2090852244589</v>
      </c>
      <c r="C1158" s="5">
        <v>-4.82387209636135</v>
      </c>
      <c r="D1158" s="5">
        <v>119.65742279923</v>
      </c>
      <c r="E1158" s="5">
        <v>45.2090852244589</v>
      </c>
      <c r="F1158" s="5">
        <v>45.2090852244589</v>
      </c>
      <c r="G1158" s="5">
        <v>14.7524139231954</v>
      </c>
      <c r="H1158" s="5">
        <v>14.7524139231954</v>
      </c>
      <c r="I1158" s="5">
        <v>14.7524139231954</v>
      </c>
      <c r="J1158" s="5">
        <v>0.0905589421213786</v>
      </c>
      <c r="K1158" s="5">
        <v>0.0905589421213786</v>
      </c>
      <c r="L1158" s="5">
        <v>0.0905589421213786</v>
      </c>
      <c r="M1158" s="5">
        <v>14.661854981074</v>
      </c>
      <c r="N1158" s="5">
        <v>14.661854981074</v>
      </c>
      <c r="O1158" s="5">
        <v>14.661854981074</v>
      </c>
      <c r="P1158" s="5">
        <v>0.0</v>
      </c>
      <c r="Q1158" s="5">
        <v>0.0</v>
      </c>
      <c r="R1158" s="5">
        <v>0.0</v>
      </c>
      <c r="S1158" s="5">
        <v>59.9614991476543</v>
      </c>
    </row>
    <row r="1159">
      <c r="A1159" s="6">
        <v>42038.0</v>
      </c>
      <c r="B1159" s="5">
        <v>45.2150069271844</v>
      </c>
      <c r="C1159" s="5">
        <v>-1.73090685060201</v>
      </c>
      <c r="D1159" s="5">
        <v>118.956244934511</v>
      </c>
      <c r="E1159" s="5">
        <v>45.2150069271844</v>
      </c>
      <c r="F1159" s="5">
        <v>45.2150069271844</v>
      </c>
      <c r="G1159" s="5">
        <v>14.2135166763594</v>
      </c>
      <c r="H1159" s="5">
        <v>14.2135166763594</v>
      </c>
      <c r="I1159" s="5">
        <v>14.2135166763594</v>
      </c>
      <c r="J1159" s="5">
        <v>-0.144118857246368</v>
      </c>
      <c r="K1159" s="5">
        <v>-0.144118857246368</v>
      </c>
      <c r="L1159" s="5">
        <v>-0.144118857246368</v>
      </c>
      <c r="M1159" s="5">
        <v>14.3576355336058</v>
      </c>
      <c r="N1159" s="5">
        <v>14.3576355336058</v>
      </c>
      <c r="O1159" s="5">
        <v>14.3576355336058</v>
      </c>
      <c r="P1159" s="5">
        <v>0.0</v>
      </c>
      <c r="Q1159" s="5">
        <v>0.0</v>
      </c>
      <c r="R1159" s="5">
        <v>0.0</v>
      </c>
      <c r="S1159" s="5">
        <v>59.4285236035439</v>
      </c>
    </row>
    <row r="1160">
      <c r="A1160" s="6">
        <v>42039.0</v>
      </c>
      <c r="B1160" s="5">
        <v>45.2209286299099</v>
      </c>
      <c r="C1160" s="5">
        <v>-4.79205378607889</v>
      </c>
      <c r="D1160" s="5">
        <v>119.940148305162</v>
      </c>
      <c r="E1160" s="5">
        <v>45.2209286299099</v>
      </c>
      <c r="F1160" s="5">
        <v>45.2209286299099</v>
      </c>
      <c r="G1160" s="5">
        <v>14.1030681678333</v>
      </c>
      <c r="H1160" s="5">
        <v>14.1030681678333</v>
      </c>
      <c r="I1160" s="5">
        <v>14.1030681678333</v>
      </c>
      <c r="J1160" s="5">
        <v>0.00703780528283855</v>
      </c>
      <c r="K1160" s="5">
        <v>0.00703780528283855</v>
      </c>
      <c r="L1160" s="5">
        <v>0.00703780528283855</v>
      </c>
      <c r="M1160" s="5">
        <v>14.0960303625504</v>
      </c>
      <c r="N1160" s="5">
        <v>14.0960303625504</v>
      </c>
      <c r="O1160" s="5">
        <v>14.0960303625504</v>
      </c>
      <c r="P1160" s="5">
        <v>0.0</v>
      </c>
      <c r="Q1160" s="5">
        <v>0.0</v>
      </c>
      <c r="R1160" s="5">
        <v>0.0</v>
      </c>
      <c r="S1160" s="5">
        <v>59.3239967977433</v>
      </c>
    </row>
    <row r="1161">
      <c r="A1161" s="6">
        <v>42040.0</v>
      </c>
      <c r="B1161" s="5">
        <v>45.2268503326354</v>
      </c>
      <c r="C1161" s="5">
        <v>1.17469730382739</v>
      </c>
      <c r="D1161" s="5">
        <v>118.213532198617</v>
      </c>
      <c r="E1161" s="5">
        <v>45.2268503326354</v>
      </c>
      <c r="F1161" s="5">
        <v>45.2268503326354</v>
      </c>
      <c r="G1161" s="5">
        <v>13.0859364185228</v>
      </c>
      <c r="H1161" s="5">
        <v>13.0859364185228</v>
      </c>
      <c r="I1161" s="5">
        <v>13.0859364185228</v>
      </c>
      <c r="J1161" s="5">
        <v>-0.776422525901309</v>
      </c>
      <c r="K1161" s="5">
        <v>-0.776422525901309</v>
      </c>
      <c r="L1161" s="5">
        <v>-0.776422525901309</v>
      </c>
      <c r="M1161" s="5">
        <v>13.8623589444241</v>
      </c>
      <c r="N1161" s="5">
        <v>13.8623589444241</v>
      </c>
      <c r="O1161" s="5">
        <v>13.8623589444241</v>
      </c>
      <c r="P1161" s="5">
        <v>0.0</v>
      </c>
      <c r="Q1161" s="5">
        <v>0.0</v>
      </c>
      <c r="R1161" s="5">
        <v>0.0</v>
      </c>
      <c r="S1161" s="5">
        <v>58.3127867511583</v>
      </c>
    </row>
    <row r="1162">
      <c r="A1162" s="6">
        <v>42041.0</v>
      </c>
      <c r="B1162" s="5">
        <v>45.232772035361</v>
      </c>
      <c r="C1162" s="5">
        <v>-7.34063982519013</v>
      </c>
      <c r="D1162" s="5">
        <v>120.181025951997</v>
      </c>
      <c r="E1162" s="5">
        <v>45.232772035361</v>
      </c>
      <c r="F1162" s="5">
        <v>45.232772035361</v>
      </c>
      <c r="G1162" s="5">
        <v>12.0490541663015</v>
      </c>
      <c r="H1162" s="5">
        <v>12.0490541663015</v>
      </c>
      <c r="I1162" s="5">
        <v>12.0490541663015</v>
      </c>
      <c r="J1162" s="5">
        <v>-1.59155056649247</v>
      </c>
      <c r="K1162" s="5">
        <v>-1.59155056649247</v>
      </c>
      <c r="L1162" s="5">
        <v>-1.59155056649247</v>
      </c>
      <c r="M1162" s="5">
        <v>13.640604732794</v>
      </c>
      <c r="N1162" s="5">
        <v>13.640604732794</v>
      </c>
      <c r="O1162" s="5">
        <v>13.640604732794</v>
      </c>
      <c r="P1162" s="5">
        <v>0.0</v>
      </c>
      <c r="Q1162" s="5">
        <v>0.0</v>
      </c>
      <c r="R1162" s="5">
        <v>0.0</v>
      </c>
      <c r="S1162" s="5">
        <v>57.2818262016625</v>
      </c>
    </row>
    <row r="1163">
      <c r="A1163" s="6">
        <v>42044.0</v>
      </c>
      <c r="B1163" s="5">
        <v>45.2505371435375</v>
      </c>
      <c r="C1163" s="5">
        <v>-0.689495299284365</v>
      </c>
      <c r="D1163" s="5">
        <v>120.225336135665</v>
      </c>
      <c r="E1163" s="5">
        <v>45.2505371435375</v>
      </c>
      <c r="F1163" s="5">
        <v>45.2505371435375</v>
      </c>
      <c r="G1163" s="5">
        <v>12.9673914478457</v>
      </c>
      <c r="H1163" s="5">
        <v>12.9673914478457</v>
      </c>
      <c r="I1163" s="5">
        <v>12.9673914478457</v>
      </c>
      <c r="J1163" s="5">
        <v>0.0905589421223249</v>
      </c>
      <c r="K1163" s="5">
        <v>0.0905589421223249</v>
      </c>
      <c r="L1163" s="5">
        <v>0.0905589421223249</v>
      </c>
      <c r="M1163" s="5">
        <v>12.8768325057234</v>
      </c>
      <c r="N1163" s="5">
        <v>12.8768325057234</v>
      </c>
      <c r="O1163" s="5">
        <v>12.8768325057234</v>
      </c>
      <c r="P1163" s="5">
        <v>0.0</v>
      </c>
      <c r="Q1163" s="5">
        <v>0.0</v>
      </c>
      <c r="R1163" s="5">
        <v>0.0</v>
      </c>
      <c r="S1163" s="5">
        <v>58.2179285913833</v>
      </c>
    </row>
    <row r="1164">
      <c r="A1164" s="6">
        <v>42045.0</v>
      </c>
      <c r="B1164" s="5">
        <v>45.256458846263</v>
      </c>
      <c r="C1164" s="5">
        <v>-5.69197310512311</v>
      </c>
      <c r="D1164" s="5">
        <v>118.511005529592</v>
      </c>
      <c r="E1164" s="5">
        <v>45.256458846263</v>
      </c>
      <c r="F1164" s="5">
        <v>45.256458846263</v>
      </c>
      <c r="G1164" s="5">
        <v>12.3888702430358</v>
      </c>
      <c r="H1164" s="5">
        <v>12.3888702430358</v>
      </c>
      <c r="I1164" s="5">
        <v>12.3888702430358</v>
      </c>
      <c r="J1164" s="5">
        <v>-0.14411885724528</v>
      </c>
      <c r="K1164" s="5">
        <v>-0.14411885724528</v>
      </c>
      <c r="L1164" s="5">
        <v>-0.14411885724528</v>
      </c>
      <c r="M1164" s="5">
        <v>12.5329891002811</v>
      </c>
      <c r="N1164" s="5">
        <v>12.5329891002811</v>
      </c>
      <c r="O1164" s="5">
        <v>12.5329891002811</v>
      </c>
      <c r="P1164" s="5">
        <v>0.0</v>
      </c>
      <c r="Q1164" s="5">
        <v>0.0</v>
      </c>
      <c r="R1164" s="5">
        <v>0.0</v>
      </c>
      <c r="S1164" s="5">
        <v>57.6453290892989</v>
      </c>
    </row>
    <row r="1165">
      <c r="A1165" s="6">
        <v>42046.0</v>
      </c>
      <c r="B1165" s="5">
        <v>45.2623805489885</v>
      </c>
      <c r="C1165" s="5">
        <v>-5.81254965841169</v>
      </c>
      <c r="D1165" s="5">
        <v>118.94871653746</v>
      </c>
      <c r="E1165" s="5">
        <v>45.2623805489885</v>
      </c>
      <c r="F1165" s="5">
        <v>45.2623805489885</v>
      </c>
      <c r="G1165" s="5">
        <v>12.1252318081908</v>
      </c>
      <c r="H1165" s="5">
        <v>12.1252318081908</v>
      </c>
      <c r="I1165" s="5">
        <v>12.1252318081908</v>
      </c>
      <c r="J1165" s="5">
        <v>0.00703780528414958</v>
      </c>
      <c r="K1165" s="5">
        <v>0.00703780528414958</v>
      </c>
      <c r="L1165" s="5">
        <v>0.00703780528414958</v>
      </c>
      <c r="M1165" s="5">
        <v>12.1181940029066</v>
      </c>
      <c r="N1165" s="5">
        <v>12.1181940029066</v>
      </c>
      <c r="O1165" s="5">
        <v>12.1181940029066</v>
      </c>
      <c r="P1165" s="5">
        <v>0.0</v>
      </c>
      <c r="Q1165" s="5">
        <v>0.0</v>
      </c>
      <c r="R1165" s="5">
        <v>0.0</v>
      </c>
      <c r="S1165" s="5">
        <v>57.3876123571793</v>
      </c>
    </row>
    <row r="1166">
      <c r="A1166" s="6">
        <v>42047.0</v>
      </c>
      <c r="B1166" s="5">
        <v>45.268302251714</v>
      </c>
      <c r="C1166" s="5">
        <v>-6.50756785274297</v>
      </c>
      <c r="D1166" s="5">
        <v>119.2374503557</v>
      </c>
      <c r="E1166" s="5">
        <v>45.268302251714</v>
      </c>
      <c r="F1166" s="5">
        <v>45.268302251714</v>
      </c>
      <c r="G1166" s="5">
        <v>10.842355126347</v>
      </c>
      <c r="H1166" s="5">
        <v>10.842355126347</v>
      </c>
      <c r="I1166" s="5">
        <v>10.842355126347</v>
      </c>
      <c r="J1166" s="5">
        <v>-0.776422525903406</v>
      </c>
      <c r="K1166" s="5">
        <v>-0.776422525903406</v>
      </c>
      <c r="L1166" s="5">
        <v>-0.776422525903406</v>
      </c>
      <c r="M1166" s="5">
        <v>11.6187776522504</v>
      </c>
      <c r="N1166" s="5">
        <v>11.6187776522504</v>
      </c>
      <c r="O1166" s="5">
        <v>11.6187776522504</v>
      </c>
      <c r="P1166" s="5">
        <v>0.0</v>
      </c>
      <c r="Q1166" s="5">
        <v>0.0</v>
      </c>
      <c r="R1166" s="5">
        <v>0.0</v>
      </c>
      <c r="S1166" s="5">
        <v>56.110657378061</v>
      </c>
    </row>
    <row r="1167">
      <c r="A1167" s="6">
        <v>42048.0</v>
      </c>
      <c r="B1167" s="5">
        <v>45.2742239544395</v>
      </c>
      <c r="C1167" s="5">
        <v>-1.91373344715456</v>
      </c>
      <c r="D1167" s="5">
        <v>116.824888800149</v>
      </c>
      <c r="E1167" s="5">
        <v>45.2742239544395</v>
      </c>
      <c r="F1167" s="5">
        <v>45.2742239544395</v>
      </c>
      <c r="G1167" s="5">
        <v>9.43153204614309</v>
      </c>
      <c r="H1167" s="5">
        <v>9.43153204614309</v>
      </c>
      <c r="I1167" s="5">
        <v>9.43153204614309</v>
      </c>
      <c r="J1167" s="5">
        <v>-1.5915505664943</v>
      </c>
      <c r="K1167" s="5">
        <v>-1.5915505664943</v>
      </c>
      <c r="L1167" s="5">
        <v>-1.5915505664943</v>
      </c>
      <c r="M1167" s="5">
        <v>11.0230826126373</v>
      </c>
      <c r="N1167" s="5">
        <v>11.0230826126373</v>
      </c>
      <c r="O1167" s="5">
        <v>11.0230826126373</v>
      </c>
      <c r="P1167" s="5">
        <v>0.0</v>
      </c>
      <c r="Q1167" s="5">
        <v>0.0</v>
      </c>
      <c r="R1167" s="5">
        <v>0.0</v>
      </c>
      <c r="S1167" s="5">
        <v>54.7057560005826</v>
      </c>
    </row>
    <row r="1168">
      <c r="A1168" s="6">
        <v>42052.0</v>
      </c>
      <c r="B1168" s="5">
        <v>45.2979107653415</v>
      </c>
      <c r="C1168" s="5">
        <v>-12.0963153548323</v>
      </c>
      <c r="D1168" s="5">
        <v>113.849802077658</v>
      </c>
      <c r="E1168" s="5">
        <v>45.2979107653415</v>
      </c>
      <c r="F1168" s="5">
        <v>45.2979107653415</v>
      </c>
      <c r="G1168" s="5">
        <v>7.38874292185972</v>
      </c>
      <c r="H1168" s="5">
        <v>7.38874292185972</v>
      </c>
      <c r="I1168" s="5">
        <v>7.38874292185972</v>
      </c>
      <c r="J1168" s="5">
        <v>-0.144118857244192</v>
      </c>
      <c r="K1168" s="5">
        <v>-0.144118857244192</v>
      </c>
      <c r="L1168" s="5">
        <v>-0.144118857244192</v>
      </c>
      <c r="M1168" s="5">
        <v>7.53286177910391</v>
      </c>
      <c r="N1168" s="5">
        <v>7.53286177910391</v>
      </c>
      <c r="O1168" s="5">
        <v>7.53286177910391</v>
      </c>
      <c r="P1168" s="5">
        <v>0.0</v>
      </c>
      <c r="Q1168" s="5">
        <v>0.0</v>
      </c>
      <c r="R1168" s="5">
        <v>0.0</v>
      </c>
      <c r="S1168" s="5">
        <v>52.6866536872013</v>
      </c>
    </row>
    <row r="1169">
      <c r="A1169" s="6">
        <v>42053.0</v>
      </c>
      <c r="B1169" s="5">
        <v>45.303832468067</v>
      </c>
      <c r="C1169" s="5">
        <v>-12.3339323259142</v>
      </c>
      <c r="D1169" s="5">
        <v>113.842540603598</v>
      </c>
      <c r="E1169" s="5">
        <v>45.303832468067</v>
      </c>
      <c r="F1169" s="5">
        <v>45.303832468067</v>
      </c>
      <c r="G1169" s="5">
        <v>6.3794881014097</v>
      </c>
      <c r="H1169" s="5">
        <v>6.3794881014097</v>
      </c>
      <c r="I1169" s="5">
        <v>6.3794881014097</v>
      </c>
      <c r="J1169" s="5">
        <v>0.00703780528095259</v>
      </c>
      <c r="K1169" s="5">
        <v>0.00703780528095259</v>
      </c>
      <c r="L1169" s="5">
        <v>0.00703780528095259</v>
      </c>
      <c r="M1169" s="5">
        <v>6.37245029612875</v>
      </c>
      <c r="N1169" s="5">
        <v>6.37245029612875</v>
      </c>
      <c r="O1169" s="5">
        <v>6.37245029612875</v>
      </c>
      <c r="P1169" s="5">
        <v>0.0</v>
      </c>
      <c r="Q1169" s="5">
        <v>0.0</v>
      </c>
      <c r="R1169" s="5">
        <v>0.0</v>
      </c>
      <c r="S1169" s="5">
        <v>51.6833205694767</v>
      </c>
    </row>
    <row r="1170">
      <c r="A1170" s="6">
        <v>42054.0</v>
      </c>
      <c r="B1170" s="5">
        <v>45.3097541707925</v>
      </c>
      <c r="C1170" s="5">
        <v>-6.95567585339758</v>
      </c>
      <c r="D1170" s="5">
        <v>112.912699120395</v>
      </c>
      <c r="E1170" s="5">
        <v>45.3097541707925</v>
      </c>
      <c r="F1170" s="5">
        <v>45.3097541707925</v>
      </c>
      <c r="G1170" s="5">
        <v>4.32670746394711</v>
      </c>
      <c r="H1170" s="5">
        <v>4.32670746394711</v>
      </c>
      <c r="I1170" s="5">
        <v>4.32670746394711</v>
      </c>
      <c r="J1170" s="5">
        <v>-0.776422525899903</v>
      </c>
      <c r="K1170" s="5">
        <v>-0.776422525899903</v>
      </c>
      <c r="L1170" s="5">
        <v>-0.776422525899903</v>
      </c>
      <c r="M1170" s="5">
        <v>5.10312998984701</v>
      </c>
      <c r="N1170" s="5">
        <v>5.10312998984701</v>
      </c>
      <c r="O1170" s="5">
        <v>5.10312998984701</v>
      </c>
      <c r="P1170" s="5">
        <v>0.0</v>
      </c>
      <c r="Q1170" s="5">
        <v>0.0</v>
      </c>
      <c r="R1170" s="5">
        <v>0.0</v>
      </c>
      <c r="S1170" s="5">
        <v>49.6364616347396</v>
      </c>
    </row>
    <row r="1171">
      <c r="A1171" s="6">
        <v>42055.0</v>
      </c>
      <c r="B1171" s="5">
        <v>45.315675873518</v>
      </c>
      <c r="C1171" s="5">
        <v>-16.0282258677797</v>
      </c>
      <c r="D1171" s="5">
        <v>108.422561826417</v>
      </c>
      <c r="E1171" s="5">
        <v>45.315675873518</v>
      </c>
      <c r="F1171" s="5">
        <v>45.315675873518</v>
      </c>
      <c r="G1171" s="5">
        <v>2.14172617932411</v>
      </c>
      <c r="H1171" s="5">
        <v>2.14172617932411</v>
      </c>
      <c r="I1171" s="5">
        <v>2.14172617932411</v>
      </c>
      <c r="J1171" s="5">
        <v>-1.59155056649306</v>
      </c>
      <c r="K1171" s="5">
        <v>-1.59155056649306</v>
      </c>
      <c r="L1171" s="5">
        <v>-1.59155056649306</v>
      </c>
      <c r="M1171" s="5">
        <v>3.73327674581717</v>
      </c>
      <c r="N1171" s="5">
        <v>3.73327674581717</v>
      </c>
      <c r="O1171" s="5">
        <v>3.73327674581717</v>
      </c>
      <c r="P1171" s="5">
        <v>0.0</v>
      </c>
      <c r="Q1171" s="5">
        <v>0.0</v>
      </c>
      <c r="R1171" s="5">
        <v>0.0</v>
      </c>
      <c r="S1171" s="5">
        <v>47.4574020528422</v>
      </c>
    </row>
    <row r="1172">
      <c r="A1172" s="6">
        <v>42058.0</v>
      </c>
      <c r="B1172" s="5">
        <v>45.3334409816946</v>
      </c>
      <c r="C1172" s="5">
        <v>-16.2752643251274</v>
      </c>
      <c r="D1172" s="5">
        <v>107.849203375961</v>
      </c>
      <c r="E1172" s="5">
        <v>45.3334409816946</v>
      </c>
      <c r="F1172" s="5">
        <v>45.3334409816946</v>
      </c>
      <c r="G1172" s="5">
        <v>-0.765016694655095</v>
      </c>
      <c r="H1172" s="5">
        <v>-0.765016694655095</v>
      </c>
      <c r="I1172" s="5">
        <v>-0.765016694655095</v>
      </c>
      <c r="J1172" s="5">
        <v>0.0905589421218338</v>
      </c>
      <c r="K1172" s="5">
        <v>0.0905589421218338</v>
      </c>
      <c r="L1172" s="5">
        <v>0.0905589421218338</v>
      </c>
      <c r="M1172" s="5">
        <v>-0.855575636776928</v>
      </c>
      <c r="N1172" s="5">
        <v>-0.855575636776928</v>
      </c>
      <c r="O1172" s="5">
        <v>-0.855575636776928</v>
      </c>
      <c r="P1172" s="5">
        <v>0.0</v>
      </c>
      <c r="Q1172" s="5">
        <v>0.0</v>
      </c>
      <c r="R1172" s="5">
        <v>0.0</v>
      </c>
      <c r="S1172" s="5">
        <v>44.5684242870395</v>
      </c>
    </row>
    <row r="1173">
      <c r="A1173" s="6">
        <v>42059.0</v>
      </c>
      <c r="B1173" s="5">
        <v>45.3393626844201</v>
      </c>
      <c r="C1173" s="5">
        <v>-19.976702722239</v>
      </c>
      <c r="D1173" s="5">
        <v>101.929684475917</v>
      </c>
      <c r="E1173" s="5">
        <v>45.3393626844201</v>
      </c>
      <c r="F1173" s="5">
        <v>45.3393626844201</v>
      </c>
      <c r="G1173" s="5">
        <v>-2.6364458298639</v>
      </c>
      <c r="H1173" s="5">
        <v>-2.6364458298639</v>
      </c>
      <c r="I1173" s="5">
        <v>-2.6364458298639</v>
      </c>
      <c r="J1173" s="5">
        <v>-0.144118857244518</v>
      </c>
      <c r="K1173" s="5">
        <v>-0.144118857244518</v>
      </c>
      <c r="L1173" s="5">
        <v>-0.144118857244518</v>
      </c>
      <c r="M1173" s="5">
        <v>-2.49232697261938</v>
      </c>
      <c r="N1173" s="5">
        <v>-2.49232697261938</v>
      </c>
      <c r="O1173" s="5">
        <v>-2.49232697261938</v>
      </c>
      <c r="P1173" s="5">
        <v>0.0</v>
      </c>
      <c r="Q1173" s="5">
        <v>0.0</v>
      </c>
      <c r="R1173" s="5">
        <v>0.0</v>
      </c>
      <c r="S1173" s="5">
        <v>42.7029168545562</v>
      </c>
    </row>
    <row r="1174">
      <c r="A1174" s="6">
        <v>42060.0</v>
      </c>
      <c r="B1174" s="5">
        <v>45.3452843871456</v>
      </c>
      <c r="C1174" s="5">
        <v>-18.6565706363591</v>
      </c>
      <c r="D1174" s="5">
        <v>109.254331289011</v>
      </c>
      <c r="E1174" s="5">
        <v>45.3452843871456</v>
      </c>
      <c r="F1174" s="5">
        <v>45.3452843871456</v>
      </c>
      <c r="G1174" s="5">
        <v>-4.14491996510616</v>
      </c>
      <c r="H1174" s="5">
        <v>-4.14491996510616</v>
      </c>
      <c r="I1174" s="5">
        <v>-4.14491996510616</v>
      </c>
      <c r="J1174" s="5">
        <v>0.00703780528226379</v>
      </c>
      <c r="K1174" s="5">
        <v>0.00703780528226379</v>
      </c>
      <c r="L1174" s="5">
        <v>0.00703780528226379</v>
      </c>
      <c r="M1174" s="5">
        <v>-4.15195777038842</v>
      </c>
      <c r="N1174" s="5">
        <v>-4.15195777038842</v>
      </c>
      <c r="O1174" s="5">
        <v>-4.15195777038842</v>
      </c>
      <c r="P1174" s="5">
        <v>0.0</v>
      </c>
      <c r="Q1174" s="5">
        <v>0.0</v>
      </c>
      <c r="R1174" s="5">
        <v>0.0</v>
      </c>
      <c r="S1174" s="5">
        <v>41.2003644220394</v>
      </c>
    </row>
    <row r="1175">
      <c r="A1175" s="6">
        <v>42061.0</v>
      </c>
      <c r="B1175" s="5">
        <v>45.3512060898711</v>
      </c>
      <c r="C1175" s="5">
        <v>-27.2698857315955</v>
      </c>
      <c r="D1175" s="5">
        <v>101.219859233823</v>
      </c>
      <c r="E1175" s="5">
        <v>45.3512060898711</v>
      </c>
      <c r="F1175" s="5">
        <v>45.3512060898711</v>
      </c>
      <c r="G1175" s="5">
        <v>-6.5907518219428</v>
      </c>
      <c r="H1175" s="5">
        <v>-6.5907518219428</v>
      </c>
      <c r="I1175" s="5">
        <v>-6.5907518219428</v>
      </c>
      <c r="J1175" s="5">
        <v>-0.776422525902</v>
      </c>
      <c r="K1175" s="5">
        <v>-0.776422525902</v>
      </c>
      <c r="L1175" s="5">
        <v>-0.776422525902</v>
      </c>
      <c r="M1175" s="5">
        <v>-5.8143292960408</v>
      </c>
      <c r="N1175" s="5">
        <v>-5.8143292960408</v>
      </c>
      <c r="O1175" s="5">
        <v>-5.8143292960408</v>
      </c>
      <c r="P1175" s="5">
        <v>0.0</v>
      </c>
      <c r="Q1175" s="5">
        <v>0.0</v>
      </c>
      <c r="R1175" s="5">
        <v>0.0</v>
      </c>
      <c r="S1175" s="5">
        <v>38.7604542679283</v>
      </c>
    </row>
    <row r="1176">
      <c r="A1176" s="6">
        <v>42062.0</v>
      </c>
      <c r="B1176" s="5">
        <v>45.3571277925966</v>
      </c>
      <c r="C1176" s="5">
        <v>-24.2708575053998</v>
      </c>
      <c r="D1176" s="5">
        <v>98.971816141381</v>
      </c>
      <c r="E1176" s="5">
        <v>45.3571277925966</v>
      </c>
      <c r="F1176" s="5">
        <v>45.3571277925966</v>
      </c>
      <c r="G1176" s="5">
        <v>-9.05035378141628</v>
      </c>
      <c r="H1176" s="5">
        <v>-9.05035378141628</v>
      </c>
      <c r="I1176" s="5">
        <v>-9.05035378141628</v>
      </c>
      <c r="J1176" s="5">
        <v>-1.59155056649213</v>
      </c>
      <c r="K1176" s="5">
        <v>-1.59155056649213</v>
      </c>
      <c r="L1176" s="5">
        <v>-1.59155056649213</v>
      </c>
      <c r="M1176" s="5">
        <v>-7.45880321492415</v>
      </c>
      <c r="N1176" s="5">
        <v>-7.45880321492415</v>
      </c>
      <c r="O1176" s="5">
        <v>-7.45880321492415</v>
      </c>
      <c r="P1176" s="5">
        <v>0.0</v>
      </c>
      <c r="Q1176" s="5">
        <v>0.0</v>
      </c>
      <c r="R1176" s="5">
        <v>0.0</v>
      </c>
      <c r="S1176" s="5">
        <v>36.3067740111803</v>
      </c>
    </row>
    <row r="1177">
      <c r="A1177" s="6">
        <v>42065.0</v>
      </c>
      <c r="B1177" s="5">
        <v>45.3748929007731</v>
      </c>
      <c r="C1177" s="5">
        <v>-29.3332369588136</v>
      </c>
      <c r="D1177" s="5">
        <v>101.299225822855</v>
      </c>
      <c r="E1177" s="5">
        <v>45.3748929007731</v>
      </c>
      <c r="F1177" s="5">
        <v>45.3748929007731</v>
      </c>
      <c r="G1177" s="5">
        <v>-11.9904738496748</v>
      </c>
      <c r="H1177" s="5">
        <v>-11.9904738496748</v>
      </c>
      <c r="I1177" s="5">
        <v>-11.9904738496748</v>
      </c>
      <c r="J1177" s="5">
        <v>0.0905589421204766</v>
      </c>
      <c r="K1177" s="5">
        <v>0.0905589421204766</v>
      </c>
      <c r="L1177" s="5">
        <v>0.0905589421204766</v>
      </c>
      <c r="M1177" s="5">
        <v>-12.0810327917953</v>
      </c>
      <c r="N1177" s="5">
        <v>-12.0810327917953</v>
      </c>
      <c r="O1177" s="5">
        <v>-12.0810327917953</v>
      </c>
      <c r="P1177" s="5">
        <v>0.0</v>
      </c>
      <c r="Q1177" s="5">
        <v>0.0</v>
      </c>
      <c r="R1177" s="5">
        <v>0.0</v>
      </c>
      <c r="S1177" s="5">
        <v>33.3844190510983</v>
      </c>
    </row>
    <row r="1178">
      <c r="A1178" s="6">
        <v>42066.0</v>
      </c>
      <c r="B1178" s="5">
        <v>45.3808146034986</v>
      </c>
      <c r="C1178" s="5">
        <v>-29.9168305806636</v>
      </c>
      <c r="D1178" s="5">
        <v>96.6722422646339</v>
      </c>
      <c r="E1178" s="5">
        <v>45.3808146034986</v>
      </c>
      <c r="F1178" s="5">
        <v>45.3808146034986</v>
      </c>
      <c r="G1178" s="5">
        <v>-13.5983381739322</v>
      </c>
      <c r="H1178" s="5">
        <v>-13.5983381739322</v>
      </c>
      <c r="I1178" s="5">
        <v>-13.5983381739322</v>
      </c>
      <c r="J1178" s="5">
        <v>-0.144118857245954</v>
      </c>
      <c r="K1178" s="5">
        <v>-0.144118857245954</v>
      </c>
      <c r="L1178" s="5">
        <v>-0.144118857245954</v>
      </c>
      <c r="M1178" s="5">
        <v>-13.4542193166863</v>
      </c>
      <c r="N1178" s="5">
        <v>-13.4542193166863</v>
      </c>
      <c r="O1178" s="5">
        <v>-13.4542193166863</v>
      </c>
      <c r="P1178" s="5">
        <v>0.0</v>
      </c>
      <c r="Q1178" s="5">
        <v>0.0</v>
      </c>
      <c r="R1178" s="5">
        <v>0.0</v>
      </c>
      <c r="S1178" s="5">
        <v>31.7824764295663</v>
      </c>
    </row>
    <row r="1179">
      <c r="A1179" s="6">
        <v>42067.0</v>
      </c>
      <c r="B1179" s="5">
        <v>45.3867363062241</v>
      </c>
      <c r="C1179" s="5">
        <v>-35.0699993579964</v>
      </c>
      <c r="D1179" s="5">
        <v>92.8484126657935</v>
      </c>
      <c r="E1179" s="5">
        <v>45.3867363062241</v>
      </c>
      <c r="F1179" s="5">
        <v>45.3867363062241</v>
      </c>
      <c r="G1179" s="5">
        <v>-14.7082310819273</v>
      </c>
      <c r="H1179" s="5">
        <v>-14.7082310819273</v>
      </c>
      <c r="I1179" s="5">
        <v>-14.7082310819273</v>
      </c>
      <c r="J1179" s="5">
        <v>0.0070378052814112</v>
      </c>
      <c r="K1179" s="5">
        <v>0.0070378052814112</v>
      </c>
      <c r="L1179" s="5">
        <v>0.0070378052814112</v>
      </c>
      <c r="M1179" s="5">
        <v>-14.7152688872087</v>
      </c>
      <c r="N1179" s="5">
        <v>-14.7152688872087</v>
      </c>
      <c r="O1179" s="5">
        <v>-14.7152688872087</v>
      </c>
      <c r="P1179" s="5">
        <v>0.0</v>
      </c>
      <c r="Q1179" s="5">
        <v>0.0</v>
      </c>
      <c r="R1179" s="5">
        <v>0.0</v>
      </c>
      <c r="S1179" s="5">
        <v>30.6785052242968</v>
      </c>
    </row>
    <row r="1180">
      <c r="A1180" s="6">
        <v>42068.0</v>
      </c>
      <c r="B1180" s="5">
        <v>45.3926580089496</v>
      </c>
      <c r="C1180" s="5">
        <v>-28.3262549047558</v>
      </c>
      <c r="D1180" s="5">
        <v>94.6564427388525</v>
      </c>
      <c r="E1180" s="5">
        <v>45.3926580089496</v>
      </c>
      <c r="F1180" s="5">
        <v>45.3926580089496</v>
      </c>
      <c r="G1180" s="5">
        <v>-16.6265062971838</v>
      </c>
      <c r="H1180" s="5">
        <v>-16.6265062971838</v>
      </c>
      <c r="I1180" s="5">
        <v>-16.6265062971838</v>
      </c>
      <c r="J1180" s="5">
        <v>-0.776422525904097</v>
      </c>
      <c r="K1180" s="5">
        <v>-0.776422525904097</v>
      </c>
      <c r="L1180" s="5">
        <v>-0.776422525904097</v>
      </c>
      <c r="M1180" s="5">
        <v>-15.8500837712797</v>
      </c>
      <c r="N1180" s="5">
        <v>-15.8500837712797</v>
      </c>
      <c r="O1180" s="5">
        <v>-15.8500837712797</v>
      </c>
      <c r="P1180" s="5">
        <v>0.0</v>
      </c>
      <c r="Q1180" s="5">
        <v>0.0</v>
      </c>
      <c r="R1180" s="5">
        <v>0.0</v>
      </c>
      <c r="S1180" s="5">
        <v>28.7661517117658</v>
      </c>
    </row>
    <row r="1181">
      <c r="A1181" s="6">
        <v>42069.0</v>
      </c>
      <c r="B1181" s="5">
        <v>45.3985797116752</v>
      </c>
      <c r="C1181" s="5">
        <v>-36.8200136853343</v>
      </c>
      <c r="D1181" s="5">
        <v>87.8361082716465</v>
      </c>
      <c r="E1181" s="5">
        <v>45.3985797116752</v>
      </c>
      <c r="F1181" s="5">
        <v>45.3985797116752</v>
      </c>
      <c r="G1181" s="5">
        <v>-18.4384858975786</v>
      </c>
      <c r="H1181" s="5">
        <v>-18.4384858975786</v>
      </c>
      <c r="I1181" s="5">
        <v>-18.4384858975786</v>
      </c>
      <c r="J1181" s="5">
        <v>-1.59155056649089</v>
      </c>
      <c r="K1181" s="5">
        <v>-1.59155056649089</v>
      </c>
      <c r="L1181" s="5">
        <v>-1.59155056649089</v>
      </c>
      <c r="M1181" s="5">
        <v>-16.8469353310877</v>
      </c>
      <c r="N1181" s="5">
        <v>-16.8469353310877</v>
      </c>
      <c r="O1181" s="5">
        <v>-16.8469353310877</v>
      </c>
      <c r="P1181" s="5">
        <v>0.0</v>
      </c>
      <c r="Q1181" s="5">
        <v>0.0</v>
      </c>
      <c r="R1181" s="5">
        <v>0.0</v>
      </c>
      <c r="S1181" s="5">
        <v>26.9600938140965</v>
      </c>
    </row>
    <row r="1182">
      <c r="A1182" s="6">
        <v>42072.0</v>
      </c>
      <c r="B1182" s="5">
        <v>45.4163448198517</v>
      </c>
      <c r="C1182" s="5">
        <v>-37.2881382640761</v>
      </c>
      <c r="D1182" s="5">
        <v>91.6634812571541</v>
      </c>
      <c r="E1182" s="5">
        <v>45.4163448198517</v>
      </c>
      <c r="F1182" s="5">
        <v>45.4163448198517</v>
      </c>
      <c r="G1182" s="5">
        <v>-18.8415237311898</v>
      </c>
      <c r="H1182" s="5">
        <v>-18.8415237311898</v>
      </c>
      <c r="I1182" s="5">
        <v>-18.8415237311898</v>
      </c>
      <c r="J1182" s="5">
        <v>0.090558942121423</v>
      </c>
      <c r="K1182" s="5">
        <v>0.090558942121423</v>
      </c>
      <c r="L1182" s="5">
        <v>0.090558942121423</v>
      </c>
      <c r="M1182" s="5">
        <v>-18.9320826733112</v>
      </c>
      <c r="N1182" s="5">
        <v>-18.9320826733112</v>
      </c>
      <c r="O1182" s="5">
        <v>-18.9320826733112</v>
      </c>
      <c r="P1182" s="5">
        <v>0.0</v>
      </c>
      <c r="Q1182" s="5">
        <v>0.0</v>
      </c>
      <c r="R1182" s="5">
        <v>0.0</v>
      </c>
      <c r="S1182" s="5">
        <v>26.5748210886619</v>
      </c>
    </row>
    <row r="1183">
      <c r="A1183" s="6">
        <v>42073.0</v>
      </c>
      <c r="B1183" s="5">
        <v>45.4222665225772</v>
      </c>
      <c r="C1183" s="5">
        <v>-39.7950697834534</v>
      </c>
      <c r="D1183" s="5">
        <v>89.8402195085127</v>
      </c>
      <c r="E1183" s="5">
        <v>45.4222665225772</v>
      </c>
      <c r="F1183" s="5">
        <v>45.4222665225772</v>
      </c>
      <c r="G1183" s="5">
        <v>-19.4575083740525</v>
      </c>
      <c r="H1183" s="5">
        <v>-19.4575083740525</v>
      </c>
      <c r="I1183" s="5">
        <v>-19.4575083740525</v>
      </c>
      <c r="J1183" s="5">
        <v>-0.144118857244866</v>
      </c>
      <c r="K1183" s="5">
        <v>-0.144118857244866</v>
      </c>
      <c r="L1183" s="5">
        <v>-0.144118857244866</v>
      </c>
      <c r="M1183" s="5">
        <v>-19.3133895168077</v>
      </c>
      <c r="N1183" s="5">
        <v>-19.3133895168077</v>
      </c>
      <c r="O1183" s="5">
        <v>-19.3133895168077</v>
      </c>
      <c r="P1183" s="5">
        <v>0.0</v>
      </c>
      <c r="Q1183" s="5">
        <v>0.0</v>
      </c>
      <c r="R1183" s="5">
        <v>0.0</v>
      </c>
      <c r="S1183" s="5">
        <v>25.9647581485246</v>
      </c>
    </row>
    <row r="1184">
      <c r="A1184" s="6">
        <v>42074.0</v>
      </c>
      <c r="B1184" s="5">
        <v>45.4281882253027</v>
      </c>
      <c r="C1184" s="5">
        <v>-34.3368574191927</v>
      </c>
      <c r="D1184" s="5">
        <v>88.865269350878</v>
      </c>
      <c r="E1184" s="5">
        <v>45.4281882253027</v>
      </c>
      <c r="F1184" s="5">
        <v>45.4281882253027</v>
      </c>
      <c r="G1184" s="5">
        <v>-19.5318078921121</v>
      </c>
      <c r="H1184" s="5">
        <v>-19.5318078921121</v>
      </c>
      <c r="I1184" s="5">
        <v>-19.5318078921121</v>
      </c>
      <c r="J1184" s="5">
        <v>0.00703780528272227</v>
      </c>
      <c r="K1184" s="5">
        <v>0.00703780528272227</v>
      </c>
      <c r="L1184" s="5">
        <v>0.00703780528272227</v>
      </c>
      <c r="M1184" s="5">
        <v>-19.5388456973948</v>
      </c>
      <c r="N1184" s="5">
        <v>-19.5388456973948</v>
      </c>
      <c r="O1184" s="5">
        <v>-19.5388456973948</v>
      </c>
      <c r="P1184" s="5">
        <v>0.0</v>
      </c>
      <c r="Q1184" s="5">
        <v>0.0</v>
      </c>
      <c r="R1184" s="5">
        <v>0.0</v>
      </c>
      <c r="S1184" s="5">
        <v>25.8963803331906</v>
      </c>
    </row>
    <row r="1185">
      <c r="A1185" s="6">
        <v>42075.0</v>
      </c>
      <c r="B1185" s="5">
        <v>45.4341099280282</v>
      </c>
      <c r="C1185" s="5">
        <v>-37.92890268901</v>
      </c>
      <c r="D1185" s="5">
        <v>86.9525103660587</v>
      </c>
      <c r="E1185" s="5">
        <v>45.4341099280282</v>
      </c>
      <c r="F1185" s="5">
        <v>45.4341099280282</v>
      </c>
      <c r="G1185" s="5">
        <v>-20.3894972394962</v>
      </c>
      <c r="H1185" s="5">
        <v>-20.3894972394962</v>
      </c>
      <c r="I1185" s="5">
        <v>-20.3894972394962</v>
      </c>
      <c r="J1185" s="5">
        <v>-0.776422525900594</v>
      </c>
      <c r="K1185" s="5">
        <v>-0.776422525900594</v>
      </c>
      <c r="L1185" s="5">
        <v>-0.776422525900594</v>
      </c>
      <c r="M1185" s="5">
        <v>-19.6130747135956</v>
      </c>
      <c r="N1185" s="5">
        <v>-19.6130747135956</v>
      </c>
      <c r="O1185" s="5">
        <v>-19.6130747135956</v>
      </c>
      <c r="P1185" s="5">
        <v>0.0</v>
      </c>
      <c r="Q1185" s="5">
        <v>0.0</v>
      </c>
      <c r="R1185" s="5">
        <v>0.0</v>
      </c>
      <c r="S1185" s="5">
        <v>25.044612688532</v>
      </c>
    </row>
    <row r="1186">
      <c r="A1186" s="6">
        <v>42076.0</v>
      </c>
      <c r="B1186" s="5">
        <v>45.4400316307537</v>
      </c>
      <c r="C1186" s="5">
        <v>-33.3980138462314</v>
      </c>
      <c r="D1186" s="5">
        <v>86.6492565736003</v>
      </c>
      <c r="E1186" s="5">
        <v>45.4400316307537</v>
      </c>
      <c r="F1186" s="5">
        <v>45.4400316307537</v>
      </c>
      <c r="G1186" s="5">
        <v>-21.1346809334285</v>
      </c>
      <c r="H1186" s="5">
        <v>-21.1346809334285</v>
      </c>
      <c r="I1186" s="5">
        <v>-21.1346809334285</v>
      </c>
      <c r="J1186" s="5">
        <v>-1.59155056649302</v>
      </c>
      <c r="K1186" s="5">
        <v>-1.59155056649302</v>
      </c>
      <c r="L1186" s="5">
        <v>-1.59155056649302</v>
      </c>
      <c r="M1186" s="5">
        <v>-19.5431303669355</v>
      </c>
      <c r="N1186" s="5">
        <v>-19.5431303669355</v>
      </c>
      <c r="O1186" s="5">
        <v>-19.5431303669355</v>
      </c>
      <c r="P1186" s="5">
        <v>0.0</v>
      </c>
      <c r="Q1186" s="5">
        <v>0.0</v>
      </c>
      <c r="R1186" s="5">
        <v>0.0</v>
      </c>
      <c r="S1186" s="5">
        <v>24.3053506973251</v>
      </c>
    </row>
    <row r="1187">
      <c r="A1187" s="6">
        <v>42079.0</v>
      </c>
      <c r="B1187" s="5">
        <v>45.4577967389302</v>
      </c>
      <c r="C1187" s="5">
        <v>-39.3355407842392</v>
      </c>
      <c r="D1187" s="5">
        <v>90.5922649614048</v>
      </c>
      <c r="E1187" s="5">
        <v>45.4577967389302</v>
      </c>
      <c r="F1187" s="5">
        <v>45.4577967389302</v>
      </c>
      <c r="G1187" s="5">
        <v>-18.4791008163134</v>
      </c>
      <c r="H1187" s="5">
        <v>-18.4791008163134</v>
      </c>
      <c r="I1187" s="5">
        <v>-18.4791008163134</v>
      </c>
      <c r="J1187" s="5">
        <v>0.0905589421223693</v>
      </c>
      <c r="K1187" s="5">
        <v>0.0905589421223693</v>
      </c>
      <c r="L1187" s="5">
        <v>0.0905589421223693</v>
      </c>
      <c r="M1187" s="5">
        <v>-18.5696597584358</v>
      </c>
      <c r="N1187" s="5">
        <v>-18.5696597584358</v>
      </c>
      <c r="O1187" s="5">
        <v>-18.5696597584358</v>
      </c>
      <c r="P1187" s="5">
        <v>0.0</v>
      </c>
      <c r="Q1187" s="5">
        <v>0.0</v>
      </c>
      <c r="R1187" s="5">
        <v>0.0</v>
      </c>
      <c r="S1187" s="5">
        <v>26.9786959226168</v>
      </c>
    </row>
    <row r="1188">
      <c r="A1188" s="6">
        <v>42080.0</v>
      </c>
      <c r="B1188" s="5">
        <v>45.4637184416557</v>
      </c>
      <c r="C1188" s="5">
        <v>-40.1288498202591</v>
      </c>
      <c r="D1188" s="5">
        <v>90.5182921512398</v>
      </c>
      <c r="E1188" s="5">
        <v>45.4637184416557</v>
      </c>
      <c r="F1188" s="5">
        <v>45.4637184416557</v>
      </c>
      <c r="G1188" s="5">
        <v>-18.1765781730527</v>
      </c>
      <c r="H1188" s="5">
        <v>-18.1765781730527</v>
      </c>
      <c r="I1188" s="5">
        <v>-18.1765781730527</v>
      </c>
      <c r="J1188" s="5">
        <v>-0.144118857246606</v>
      </c>
      <c r="K1188" s="5">
        <v>-0.144118857246606</v>
      </c>
      <c r="L1188" s="5">
        <v>-0.144118857246606</v>
      </c>
      <c r="M1188" s="5">
        <v>-18.0324593158061</v>
      </c>
      <c r="N1188" s="5">
        <v>-18.0324593158061</v>
      </c>
      <c r="O1188" s="5">
        <v>-18.0324593158061</v>
      </c>
      <c r="P1188" s="5">
        <v>0.0</v>
      </c>
      <c r="Q1188" s="5">
        <v>0.0</v>
      </c>
      <c r="R1188" s="5">
        <v>0.0</v>
      </c>
      <c r="S1188" s="5">
        <v>27.287140268603</v>
      </c>
    </row>
    <row r="1189">
      <c r="A1189" s="6">
        <v>42081.0</v>
      </c>
      <c r="B1189" s="5">
        <v>45.4696401443812</v>
      </c>
      <c r="C1189" s="5">
        <v>-32.903422115362</v>
      </c>
      <c r="D1189" s="5">
        <v>88.2938724451605</v>
      </c>
      <c r="E1189" s="5">
        <v>45.4696401443812</v>
      </c>
      <c r="F1189" s="5">
        <v>45.4696401443812</v>
      </c>
      <c r="G1189" s="5">
        <v>-17.4055399024126</v>
      </c>
      <c r="H1189" s="5">
        <v>-17.4055399024126</v>
      </c>
      <c r="I1189" s="5">
        <v>-17.4055399024126</v>
      </c>
      <c r="J1189" s="5">
        <v>0.00703780528286099</v>
      </c>
      <c r="K1189" s="5">
        <v>0.00703780528286099</v>
      </c>
      <c r="L1189" s="5">
        <v>0.00703780528286099</v>
      </c>
      <c r="M1189" s="5">
        <v>-17.4125777076954</v>
      </c>
      <c r="N1189" s="5">
        <v>-17.4125777076954</v>
      </c>
      <c r="O1189" s="5">
        <v>-17.4125777076954</v>
      </c>
      <c r="P1189" s="5">
        <v>0.0</v>
      </c>
      <c r="Q1189" s="5">
        <v>0.0</v>
      </c>
      <c r="R1189" s="5">
        <v>0.0</v>
      </c>
      <c r="S1189" s="5">
        <v>28.0641002419686</v>
      </c>
    </row>
    <row r="1190">
      <c r="A1190" s="6">
        <v>42082.0</v>
      </c>
      <c r="B1190" s="5">
        <v>45.4755618471067</v>
      </c>
      <c r="C1190" s="5">
        <v>-32.9523073197387</v>
      </c>
      <c r="D1190" s="5">
        <v>91.2046906723012</v>
      </c>
      <c r="E1190" s="5">
        <v>45.4755618471067</v>
      </c>
      <c r="F1190" s="5">
        <v>45.4755618471067</v>
      </c>
      <c r="G1190" s="5">
        <v>-17.5014971331944</v>
      </c>
      <c r="H1190" s="5">
        <v>-17.5014971331944</v>
      </c>
      <c r="I1190" s="5">
        <v>-17.5014971331944</v>
      </c>
      <c r="J1190" s="5">
        <v>-0.776422525902691</v>
      </c>
      <c r="K1190" s="5">
        <v>-0.776422525902691</v>
      </c>
      <c r="L1190" s="5">
        <v>-0.776422525902691</v>
      </c>
      <c r="M1190" s="5">
        <v>-16.7250746072917</v>
      </c>
      <c r="N1190" s="5">
        <v>-16.7250746072917</v>
      </c>
      <c r="O1190" s="5">
        <v>-16.7250746072917</v>
      </c>
      <c r="P1190" s="5">
        <v>0.0</v>
      </c>
      <c r="Q1190" s="5">
        <v>0.0</v>
      </c>
      <c r="R1190" s="5">
        <v>0.0</v>
      </c>
      <c r="S1190" s="5">
        <v>27.9740647139123</v>
      </c>
    </row>
    <row r="1191">
      <c r="A1191" s="6">
        <v>42083.0</v>
      </c>
      <c r="B1191" s="5">
        <v>45.4814835498322</v>
      </c>
      <c r="C1191" s="5">
        <v>-37.1895240598555</v>
      </c>
      <c r="D1191" s="5">
        <v>89.9891343002243</v>
      </c>
      <c r="E1191" s="5">
        <v>45.4814835498322</v>
      </c>
      <c r="F1191" s="5">
        <v>45.4814835498322</v>
      </c>
      <c r="G1191" s="5">
        <v>-17.5765970801949</v>
      </c>
      <c r="H1191" s="5">
        <v>-17.5765970801949</v>
      </c>
      <c r="I1191" s="5">
        <v>-17.5765970801949</v>
      </c>
      <c r="J1191" s="5">
        <v>-1.59155056649178</v>
      </c>
      <c r="K1191" s="5">
        <v>-1.59155056649178</v>
      </c>
      <c r="L1191" s="5">
        <v>-1.59155056649178</v>
      </c>
      <c r="M1191" s="5">
        <v>-15.9850465137031</v>
      </c>
      <c r="N1191" s="5">
        <v>-15.9850465137031</v>
      </c>
      <c r="O1191" s="5">
        <v>-15.9850465137031</v>
      </c>
      <c r="P1191" s="5">
        <v>0.0</v>
      </c>
      <c r="Q1191" s="5">
        <v>0.0</v>
      </c>
      <c r="R1191" s="5">
        <v>0.0</v>
      </c>
      <c r="S1191" s="5">
        <v>27.9048864696373</v>
      </c>
    </row>
    <row r="1192">
      <c r="A1192" s="6">
        <v>42086.0</v>
      </c>
      <c r="B1192" s="5">
        <v>45.4992486580088</v>
      </c>
      <c r="C1192" s="5">
        <v>-25.6663404973153</v>
      </c>
      <c r="D1192" s="5">
        <v>91.992851109769</v>
      </c>
      <c r="E1192" s="5">
        <v>45.4992486580088</v>
      </c>
      <c r="F1192" s="5">
        <v>45.4992486580088</v>
      </c>
      <c r="G1192" s="5">
        <v>-13.5033381557036</v>
      </c>
      <c r="H1192" s="5">
        <v>-13.5033381557036</v>
      </c>
      <c r="I1192" s="5">
        <v>-13.5033381557036</v>
      </c>
      <c r="J1192" s="5">
        <v>0.0905589421210121</v>
      </c>
      <c r="K1192" s="5">
        <v>0.0905589421210121</v>
      </c>
      <c r="L1192" s="5">
        <v>0.0905589421210121</v>
      </c>
      <c r="M1192" s="5">
        <v>-13.5938970978246</v>
      </c>
      <c r="N1192" s="5">
        <v>-13.5938970978246</v>
      </c>
      <c r="O1192" s="5">
        <v>-13.5938970978246</v>
      </c>
      <c r="P1192" s="5">
        <v>0.0</v>
      </c>
      <c r="Q1192" s="5">
        <v>0.0</v>
      </c>
      <c r="R1192" s="5">
        <v>0.0</v>
      </c>
      <c r="S1192" s="5">
        <v>31.9959105023051</v>
      </c>
    </row>
    <row r="1193">
      <c r="A1193" s="6">
        <v>42087.0</v>
      </c>
      <c r="B1193" s="5">
        <v>45.5051703607343</v>
      </c>
      <c r="C1193" s="5">
        <v>-29.1445732609885</v>
      </c>
      <c r="D1193" s="5">
        <v>97.3904066052204</v>
      </c>
      <c r="E1193" s="5">
        <v>45.5051703607343</v>
      </c>
      <c r="F1193" s="5">
        <v>45.5051703607343</v>
      </c>
      <c r="G1193" s="5">
        <v>-12.9274947773851</v>
      </c>
      <c r="H1193" s="5">
        <v>-12.9274947773851</v>
      </c>
      <c r="I1193" s="5">
        <v>-12.9274947773851</v>
      </c>
      <c r="J1193" s="5">
        <v>-0.144118857242995</v>
      </c>
      <c r="K1193" s="5">
        <v>-0.144118857242995</v>
      </c>
      <c r="L1193" s="5">
        <v>-0.144118857242995</v>
      </c>
      <c r="M1193" s="5">
        <v>-12.7833759201422</v>
      </c>
      <c r="N1193" s="5">
        <v>-12.7833759201422</v>
      </c>
      <c r="O1193" s="5">
        <v>-12.7833759201422</v>
      </c>
      <c r="P1193" s="5">
        <v>0.0</v>
      </c>
      <c r="Q1193" s="5">
        <v>0.0</v>
      </c>
      <c r="R1193" s="5">
        <v>0.0</v>
      </c>
      <c r="S1193" s="5">
        <v>32.5776755833491</v>
      </c>
    </row>
    <row r="1194">
      <c r="A1194" s="6">
        <v>42088.0</v>
      </c>
      <c r="B1194" s="5">
        <v>45.5110920634598</v>
      </c>
      <c r="C1194" s="5">
        <v>-31.8208495032416</v>
      </c>
      <c r="D1194" s="5">
        <v>90.7320866292962</v>
      </c>
      <c r="E1194" s="5">
        <v>45.5110920634598</v>
      </c>
      <c r="F1194" s="5">
        <v>45.5110920634598</v>
      </c>
      <c r="G1194" s="5">
        <v>-11.9777196261796</v>
      </c>
      <c r="H1194" s="5">
        <v>-11.9777196261796</v>
      </c>
      <c r="I1194" s="5">
        <v>-11.9777196261796</v>
      </c>
      <c r="J1194" s="5">
        <v>0.00703780528200853</v>
      </c>
      <c r="K1194" s="5">
        <v>0.00703780528200853</v>
      </c>
      <c r="L1194" s="5">
        <v>0.00703780528200853</v>
      </c>
      <c r="M1194" s="5">
        <v>-11.9847574314616</v>
      </c>
      <c r="N1194" s="5">
        <v>-11.9847574314616</v>
      </c>
      <c r="O1194" s="5">
        <v>-11.9847574314616</v>
      </c>
      <c r="P1194" s="5">
        <v>0.0</v>
      </c>
      <c r="Q1194" s="5">
        <v>0.0</v>
      </c>
      <c r="R1194" s="5">
        <v>0.0</v>
      </c>
      <c r="S1194" s="5">
        <v>33.5333724372801</v>
      </c>
    </row>
    <row r="1195">
      <c r="A1195" s="6">
        <v>42089.0</v>
      </c>
      <c r="B1195" s="5">
        <v>45.5170137661853</v>
      </c>
      <c r="C1195" s="5">
        <v>-26.7609942810684</v>
      </c>
      <c r="D1195" s="5">
        <v>95.965114297504</v>
      </c>
      <c r="E1195" s="5">
        <v>45.5170137661853</v>
      </c>
      <c r="F1195" s="5">
        <v>45.5170137661853</v>
      </c>
      <c r="G1195" s="5">
        <v>-11.9833654394931</v>
      </c>
      <c r="H1195" s="5">
        <v>-11.9833654394931</v>
      </c>
      <c r="I1195" s="5">
        <v>-11.9833654394931</v>
      </c>
      <c r="J1195" s="5">
        <v>-0.776422525903413</v>
      </c>
      <c r="K1195" s="5">
        <v>-0.776422525903413</v>
      </c>
      <c r="L1195" s="5">
        <v>-0.776422525903413</v>
      </c>
      <c r="M1195" s="5">
        <v>-11.2069429135897</v>
      </c>
      <c r="N1195" s="5">
        <v>-11.2069429135897</v>
      </c>
      <c r="O1195" s="5">
        <v>-11.2069429135897</v>
      </c>
      <c r="P1195" s="5">
        <v>0.0</v>
      </c>
      <c r="Q1195" s="5">
        <v>0.0</v>
      </c>
      <c r="R1195" s="5">
        <v>0.0</v>
      </c>
      <c r="S1195" s="5">
        <v>33.5336483266921</v>
      </c>
    </row>
    <row r="1196">
      <c r="A1196" s="6">
        <v>42090.0</v>
      </c>
      <c r="B1196" s="5">
        <v>45.5229354689108</v>
      </c>
      <c r="C1196" s="5">
        <v>-31.2492986604588</v>
      </c>
      <c r="D1196" s="5">
        <v>93.4944399007003</v>
      </c>
      <c r="E1196" s="5">
        <v>45.5229354689108</v>
      </c>
      <c r="F1196" s="5">
        <v>45.5229354689108</v>
      </c>
      <c r="G1196" s="5">
        <v>-12.0486993314267</v>
      </c>
      <c r="H1196" s="5">
        <v>-12.0486993314267</v>
      </c>
      <c r="I1196" s="5">
        <v>-12.0486993314267</v>
      </c>
      <c r="J1196" s="5">
        <v>-1.59155056649055</v>
      </c>
      <c r="K1196" s="5">
        <v>-1.59155056649055</v>
      </c>
      <c r="L1196" s="5">
        <v>-1.59155056649055</v>
      </c>
      <c r="M1196" s="5">
        <v>-10.4571487649361</v>
      </c>
      <c r="N1196" s="5">
        <v>-10.4571487649361</v>
      </c>
      <c r="O1196" s="5">
        <v>-10.4571487649361</v>
      </c>
      <c r="P1196" s="5">
        <v>0.0</v>
      </c>
      <c r="Q1196" s="5">
        <v>0.0</v>
      </c>
      <c r="R1196" s="5">
        <v>0.0</v>
      </c>
      <c r="S1196" s="5">
        <v>33.4742361374841</v>
      </c>
    </row>
    <row r="1197">
      <c r="A1197" s="6">
        <v>42093.0</v>
      </c>
      <c r="B1197" s="5">
        <v>45.5407005770873</v>
      </c>
      <c r="C1197" s="5">
        <v>-28.2561007155597</v>
      </c>
      <c r="D1197" s="5">
        <v>100.104628066603</v>
      </c>
      <c r="E1197" s="5">
        <v>45.5407005770873</v>
      </c>
      <c r="F1197" s="5">
        <v>45.5407005770873</v>
      </c>
      <c r="G1197" s="5">
        <v>-8.33177577261179</v>
      </c>
      <c r="H1197" s="5">
        <v>-8.33177577261179</v>
      </c>
      <c r="I1197" s="5">
        <v>-8.33177577261179</v>
      </c>
      <c r="J1197" s="5">
        <v>0.0905589421219584</v>
      </c>
      <c r="K1197" s="5">
        <v>0.0905589421219584</v>
      </c>
      <c r="L1197" s="5">
        <v>0.0905589421219584</v>
      </c>
      <c r="M1197" s="5">
        <v>-8.42233471473375</v>
      </c>
      <c r="N1197" s="5">
        <v>-8.42233471473375</v>
      </c>
      <c r="O1197" s="5">
        <v>-8.42233471473375</v>
      </c>
      <c r="P1197" s="5">
        <v>0.0</v>
      </c>
      <c r="Q1197" s="5">
        <v>0.0</v>
      </c>
      <c r="R1197" s="5">
        <v>0.0</v>
      </c>
      <c r="S1197" s="5">
        <v>37.2089248044755</v>
      </c>
    </row>
    <row r="1198">
      <c r="A1198" s="6">
        <v>42094.0</v>
      </c>
      <c r="B1198" s="5">
        <v>45.5466222798128</v>
      </c>
      <c r="C1198" s="5">
        <v>-28.4691124559385</v>
      </c>
      <c r="D1198" s="5">
        <v>99.4878658139539</v>
      </c>
      <c r="E1198" s="5">
        <v>45.5466222798128</v>
      </c>
      <c r="F1198" s="5">
        <v>45.5466222798128</v>
      </c>
      <c r="G1198" s="5">
        <v>-7.96698622132322</v>
      </c>
      <c r="H1198" s="5">
        <v>-7.96698622132322</v>
      </c>
      <c r="I1198" s="5">
        <v>-7.96698622132322</v>
      </c>
      <c r="J1198" s="5">
        <v>-0.14411885724443</v>
      </c>
      <c r="K1198" s="5">
        <v>-0.14411885724443</v>
      </c>
      <c r="L1198" s="5">
        <v>-0.14411885724443</v>
      </c>
      <c r="M1198" s="5">
        <v>-7.82286736407879</v>
      </c>
      <c r="N1198" s="5">
        <v>-7.82286736407879</v>
      </c>
      <c r="O1198" s="5">
        <v>-7.82286736407879</v>
      </c>
      <c r="P1198" s="5">
        <v>0.0</v>
      </c>
      <c r="Q1198" s="5">
        <v>0.0</v>
      </c>
      <c r="R1198" s="5">
        <v>0.0</v>
      </c>
      <c r="S1198" s="5">
        <v>37.5796360584896</v>
      </c>
    </row>
    <row r="1199">
      <c r="A1199" s="6">
        <v>42095.0</v>
      </c>
      <c r="B1199" s="5">
        <v>45.5525439825383</v>
      </c>
      <c r="C1199" s="5">
        <v>-22.5996576080306</v>
      </c>
      <c r="D1199" s="5">
        <v>102.00931970906</v>
      </c>
      <c r="E1199" s="5">
        <v>45.5525439825383</v>
      </c>
      <c r="F1199" s="5">
        <v>45.5525439825383</v>
      </c>
      <c r="G1199" s="5">
        <v>-7.25572825039034</v>
      </c>
      <c r="H1199" s="5">
        <v>-7.25572825039034</v>
      </c>
      <c r="I1199" s="5">
        <v>-7.25572825039034</v>
      </c>
      <c r="J1199" s="5">
        <v>0.00703780528115588</v>
      </c>
      <c r="K1199" s="5">
        <v>0.00703780528115588</v>
      </c>
      <c r="L1199" s="5">
        <v>0.00703780528115588</v>
      </c>
      <c r="M1199" s="5">
        <v>-7.26276605567149</v>
      </c>
      <c r="N1199" s="5">
        <v>-7.26276605567149</v>
      </c>
      <c r="O1199" s="5">
        <v>-7.26276605567149</v>
      </c>
      <c r="P1199" s="5">
        <v>0.0</v>
      </c>
      <c r="Q1199" s="5">
        <v>0.0</v>
      </c>
      <c r="R1199" s="5">
        <v>0.0</v>
      </c>
      <c r="S1199" s="5">
        <v>38.296815732148</v>
      </c>
    </row>
    <row r="1200">
      <c r="A1200" s="6">
        <v>42096.0</v>
      </c>
      <c r="B1200" s="5">
        <v>45.5584656852638</v>
      </c>
      <c r="C1200" s="5">
        <v>-26.7673003443964</v>
      </c>
      <c r="D1200" s="5">
        <v>93.6410944895878</v>
      </c>
      <c r="E1200" s="5">
        <v>45.5584656852638</v>
      </c>
      <c r="F1200" s="5">
        <v>45.5584656852638</v>
      </c>
      <c r="G1200" s="5">
        <v>-7.51660296714021</v>
      </c>
      <c r="H1200" s="5">
        <v>-7.51660296714021</v>
      </c>
      <c r="I1200" s="5">
        <v>-7.51660296714021</v>
      </c>
      <c r="J1200" s="5">
        <v>-0.77642252590551</v>
      </c>
      <c r="K1200" s="5">
        <v>-0.77642252590551</v>
      </c>
      <c r="L1200" s="5">
        <v>-0.77642252590551</v>
      </c>
      <c r="M1200" s="5">
        <v>-6.7401804412347</v>
      </c>
      <c r="N1200" s="5">
        <v>-6.7401804412347</v>
      </c>
      <c r="O1200" s="5">
        <v>-6.7401804412347</v>
      </c>
      <c r="P1200" s="5">
        <v>0.0</v>
      </c>
      <c r="Q1200" s="5">
        <v>0.0</v>
      </c>
      <c r="R1200" s="5">
        <v>0.0</v>
      </c>
      <c r="S1200" s="5">
        <v>38.0418627181236</v>
      </c>
    </row>
    <row r="1201">
      <c r="A1201" s="6">
        <v>42100.0</v>
      </c>
      <c r="B1201" s="5">
        <v>45.5821524961659</v>
      </c>
      <c r="C1201" s="5">
        <v>-24.4950843670331</v>
      </c>
      <c r="D1201" s="5">
        <v>102.056375430292</v>
      </c>
      <c r="E1201" s="5">
        <v>45.5821524961659</v>
      </c>
      <c r="F1201" s="5">
        <v>45.5821524961659</v>
      </c>
      <c r="G1201" s="5">
        <v>-4.87131321625698</v>
      </c>
      <c r="H1201" s="5">
        <v>-4.87131321625698</v>
      </c>
      <c r="I1201" s="5">
        <v>-4.87131321625698</v>
      </c>
      <c r="J1201" s="5">
        <v>0.0905589421205211</v>
      </c>
      <c r="K1201" s="5">
        <v>0.0905589421205211</v>
      </c>
      <c r="L1201" s="5">
        <v>0.0905589421205211</v>
      </c>
      <c r="M1201" s="5">
        <v>-4.9618721583775</v>
      </c>
      <c r="N1201" s="5">
        <v>-4.9618721583775</v>
      </c>
      <c r="O1201" s="5">
        <v>-4.9618721583775</v>
      </c>
      <c r="P1201" s="5">
        <v>0.0</v>
      </c>
      <c r="Q1201" s="5">
        <v>0.0</v>
      </c>
      <c r="R1201" s="5">
        <v>0.0</v>
      </c>
      <c r="S1201" s="5">
        <v>40.7108392799089</v>
      </c>
    </row>
    <row r="1202">
      <c r="A1202" s="6">
        <v>42101.0</v>
      </c>
      <c r="B1202" s="5">
        <v>45.5880741988914</v>
      </c>
      <c r="C1202" s="5">
        <v>-25.0718617491467</v>
      </c>
      <c r="D1202" s="5">
        <v>108.242581165003</v>
      </c>
      <c r="E1202" s="5">
        <v>45.5880741988914</v>
      </c>
      <c r="F1202" s="5">
        <v>45.5880741988914</v>
      </c>
      <c r="G1202" s="5">
        <v>-4.72083398843263</v>
      </c>
      <c r="H1202" s="5">
        <v>-4.72083398843263</v>
      </c>
      <c r="I1202" s="5">
        <v>-4.72083398843263</v>
      </c>
      <c r="J1202" s="5">
        <v>-0.144118857243342</v>
      </c>
      <c r="K1202" s="5">
        <v>-0.144118857243342</v>
      </c>
      <c r="L1202" s="5">
        <v>-0.144118857243342</v>
      </c>
      <c r="M1202" s="5">
        <v>-4.57671513118928</v>
      </c>
      <c r="N1202" s="5">
        <v>-4.57671513118928</v>
      </c>
      <c r="O1202" s="5">
        <v>-4.57671513118928</v>
      </c>
      <c r="P1202" s="5">
        <v>0.0</v>
      </c>
      <c r="Q1202" s="5">
        <v>0.0</v>
      </c>
      <c r="R1202" s="5">
        <v>0.0</v>
      </c>
      <c r="S1202" s="5">
        <v>40.8672402104587</v>
      </c>
    </row>
    <row r="1203">
      <c r="A1203" s="6">
        <v>42102.0</v>
      </c>
      <c r="B1203" s="5">
        <v>45.5939959016169</v>
      </c>
      <c r="C1203" s="5">
        <v>-19.5994764741322</v>
      </c>
      <c r="D1203" s="5">
        <v>106.702800705594</v>
      </c>
      <c r="E1203" s="5">
        <v>45.5939959016169</v>
      </c>
      <c r="F1203" s="5">
        <v>45.5939959016169</v>
      </c>
      <c r="G1203" s="5">
        <v>-4.20121739273293</v>
      </c>
      <c r="H1203" s="5">
        <v>-4.20121739273293</v>
      </c>
      <c r="I1203" s="5">
        <v>-4.20121739273293</v>
      </c>
      <c r="J1203" s="5">
        <v>0.00703780528345835</v>
      </c>
      <c r="K1203" s="5">
        <v>0.00703780528345835</v>
      </c>
      <c r="L1203" s="5">
        <v>0.00703780528345835</v>
      </c>
      <c r="M1203" s="5">
        <v>-4.20825519801638</v>
      </c>
      <c r="N1203" s="5">
        <v>-4.20825519801638</v>
      </c>
      <c r="O1203" s="5">
        <v>-4.20825519801638</v>
      </c>
      <c r="P1203" s="5">
        <v>0.0</v>
      </c>
      <c r="Q1203" s="5">
        <v>0.0</v>
      </c>
      <c r="R1203" s="5">
        <v>0.0</v>
      </c>
      <c r="S1203" s="5">
        <v>41.3927785088839</v>
      </c>
    </row>
    <row r="1204">
      <c r="A1204" s="6">
        <v>42103.0</v>
      </c>
      <c r="B1204" s="5">
        <v>45.5999176043424</v>
      </c>
      <c r="C1204" s="5">
        <v>-21.7579746824439</v>
      </c>
      <c r="D1204" s="5">
        <v>105.390459188154</v>
      </c>
      <c r="E1204" s="5">
        <v>45.5999176043424</v>
      </c>
      <c r="F1204" s="5">
        <v>45.5999176043424</v>
      </c>
      <c r="G1204" s="5">
        <v>-4.63024970402112</v>
      </c>
      <c r="H1204" s="5">
        <v>-4.63024970402112</v>
      </c>
      <c r="I1204" s="5">
        <v>-4.63024970402112</v>
      </c>
      <c r="J1204" s="5">
        <v>-0.776422525903381</v>
      </c>
      <c r="K1204" s="5">
        <v>-0.776422525903381</v>
      </c>
      <c r="L1204" s="5">
        <v>-0.776422525903381</v>
      </c>
      <c r="M1204" s="5">
        <v>-3.85382717811773</v>
      </c>
      <c r="N1204" s="5">
        <v>-3.85382717811773</v>
      </c>
      <c r="O1204" s="5">
        <v>-3.85382717811773</v>
      </c>
      <c r="P1204" s="5">
        <v>0.0</v>
      </c>
      <c r="Q1204" s="5">
        <v>0.0</v>
      </c>
      <c r="R1204" s="5">
        <v>0.0</v>
      </c>
      <c r="S1204" s="5">
        <v>40.9696679003213</v>
      </c>
    </row>
    <row r="1205">
      <c r="A1205" s="6">
        <v>42104.0</v>
      </c>
      <c r="B1205" s="5">
        <v>45.6058393070679</v>
      </c>
      <c r="C1205" s="5">
        <v>-19.7398905091996</v>
      </c>
      <c r="D1205" s="5">
        <v>102.863637439633</v>
      </c>
      <c r="E1205" s="5">
        <v>45.6058393070679</v>
      </c>
      <c r="F1205" s="5">
        <v>45.6058393070679</v>
      </c>
      <c r="G1205" s="5">
        <v>-5.10314601783296</v>
      </c>
      <c r="H1205" s="5">
        <v>-5.10314601783296</v>
      </c>
      <c r="I1205" s="5">
        <v>-5.10314601783296</v>
      </c>
      <c r="J1205" s="5">
        <v>-1.59155056649419</v>
      </c>
      <c r="K1205" s="5">
        <v>-1.59155056649419</v>
      </c>
      <c r="L1205" s="5">
        <v>-1.59155056649419</v>
      </c>
      <c r="M1205" s="5">
        <v>-3.51159545133877</v>
      </c>
      <c r="N1205" s="5">
        <v>-3.51159545133877</v>
      </c>
      <c r="O1205" s="5">
        <v>-3.51159545133877</v>
      </c>
      <c r="P1205" s="5">
        <v>0.0</v>
      </c>
      <c r="Q1205" s="5">
        <v>0.0</v>
      </c>
      <c r="R1205" s="5">
        <v>0.0</v>
      </c>
      <c r="S1205" s="5">
        <v>40.5026932892349</v>
      </c>
    </row>
    <row r="1206">
      <c r="A1206" s="6">
        <v>42107.0</v>
      </c>
      <c r="B1206" s="5">
        <v>45.6236044152444</v>
      </c>
      <c r="C1206" s="5">
        <v>-22.9580589300774</v>
      </c>
      <c r="D1206" s="5">
        <v>105.989148888967</v>
      </c>
      <c r="E1206" s="5">
        <v>45.6236044152444</v>
      </c>
      <c r="F1206" s="5">
        <v>45.6236044152444</v>
      </c>
      <c r="G1206" s="5">
        <v>-2.46453208812006</v>
      </c>
      <c r="H1206" s="5">
        <v>-2.46453208812006</v>
      </c>
      <c r="I1206" s="5">
        <v>-2.46453208812006</v>
      </c>
      <c r="J1206" s="5">
        <v>0.0905589421214673</v>
      </c>
      <c r="K1206" s="5">
        <v>0.0905589421214673</v>
      </c>
      <c r="L1206" s="5">
        <v>0.0905589421214673</v>
      </c>
      <c r="M1206" s="5">
        <v>-2.55509103024153</v>
      </c>
      <c r="N1206" s="5">
        <v>-2.55509103024153</v>
      </c>
      <c r="O1206" s="5">
        <v>-2.55509103024153</v>
      </c>
      <c r="P1206" s="5">
        <v>0.0</v>
      </c>
      <c r="Q1206" s="5">
        <v>0.0</v>
      </c>
      <c r="R1206" s="5">
        <v>0.0</v>
      </c>
      <c r="S1206" s="5">
        <v>43.1590723271243</v>
      </c>
    </row>
    <row r="1207">
      <c r="A1207" s="6">
        <v>42108.0</v>
      </c>
      <c r="B1207" s="5">
        <v>45.6295261179699</v>
      </c>
      <c r="C1207" s="5">
        <v>-16.9820171892617</v>
      </c>
      <c r="D1207" s="5">
        <v>113.02769606634</v>
      </c>
      <c r="E1207" s="5">
        <v>45.6295261179699</v>
      </c>
      <c r="F1207" s="5">
        <v>45.6295261179699</v>
      </c>
      <c r="G1207" s="5">
        <v>-2.40844874393501</v>
      </c>
      <c r="H1207" s="5">
        <v>-2.40844874393501</v>
      </c>
      <c r="I1207" s="5">
        <v>-2.40844874393501</v>
      </c>
      <c r="J1207" s="5">
        <v>-0.144118857246192</v>
      </c>
      <c r="K1207" s="5">
        <v>-0.144118857246192</v>
      </c>
      <c r="L1207" s="5">
        <v>-0.144118857246192</v>
      </c>
      <c r="M1207" s="5">
        <v>-2.26432988668882</v>
      </c>
      <c r="N1207" s="5">
        <v>-2.26432988668882</v>
      </c>
      <c r="O1207" s="5">
        <v>-2.26432988668882</v>
      </c>
      <c r="P1207" s="5">
        <v>0.0</v>
      </c>
      <c r="Q1207" s="5">
        <v>0.0</v>
      </c>
      <c r="R1207" s="5">
        <v>0.0</v>
      </c>
      <c r="S1207" s="5">
        <v>43.2210773740349</v>
      </c>
    </row>
    <row r="1208">
      <c r="A1208" s="6">
        <v>42109.0</v>
      </c>
      <c r="B1208" s="5">
        <v>45.6354478206954</v>
      </c>
      <c r="C1208" s="5">
        <v>-20.4415095398426</v>
      </c>
      <c r="D1208" s="5">
        <v>106.386962166791</v>
      </c>
      <c r="E1208" s="5">
        <v>45.6354478206954</v>
      </c>
      <c r="F1208" s="5">
        <v>45.6354478206954</v>
      </c>
      <c r="G1208" s="5">
        <v>-1.98578943561954</v>
      </c>
      <c r="H1208" s="5">
        <v>-1.98578943561954</v>
      </c>
      <c r="I1208" s="5">
        <v>-1.98578943561954</v>
      </c>
      <c r="J1208" s="5">
        <v>0.00703780528044234</v>
      </c>
      <c r="K1208" s="5">
        <v>0.00703780528044234</v>
      </c>
      <c r="L1208" s="5">
        <v>0.00703780528044234</v>
      </c>
      <c r="M1208" s="5">
        <v>-1.99282724089998</v>
      </c>
      <c r="N1208" s="5">
        <v>-1.99282724089998</v>
      </c>
      <c r="O1208" s="5">
        <v>-1.99282724089998</v>
      </c>
      <c r="P1208" s="5">
        <v>0.0</v>
      </c>
      <c r="Q1208" s="5">
        <v>0.0</v>
      </c>
      <c r="R1208" s="5">
        <v>0.0</v>
      </c>
      <c r="S1208" s="5">
        <v>43.6496583850759</v>
      </c>
    </row>
    <row r="1209">
      <c r="A1209" s="6">
        <v>42110.0</v>
      </c>
      <c r="B1209" s="5">
        <v>45.6413695234209</v>
      </c>
      <c r="C1209" s="5">
        <v>-21.9673383726758</v>
      </c>
      <c r="D1209" s="5">
        <v>100.794173493551</v>
      </c>
      <c r="E1209" s="5">
        <v>45.6413695234209</v>
      </c>
      <c r="F1209" s="5">
        <v>45.6413695234209</v>
      </c>
      <c r="G1209" s="5">
        <v>-2.52175883515682</v>
      </c>
      <c r="H1209" s="5">
        <v>-2.52175883515682</v>
      </c>
      <c r="I1209" s="5">
        <v>-2.52175883515682</v>
      </c>
      <c r="J1209" s="5">
        <v>-0.776422525904103</v>
      </c>
      <c r="K1209" s="5">
        <v>-0.776422525904103</v>
      </c>
      <c r="L1209" s="5">
        <v>-0.776422525904103</v>
      </c>
      <c r="M1209" s="5">
        <v>-1.74533630925271</v>
      </c>
      <c r="N1209" s="5">
        <v>-1.74533630925271</v>
      </c>
      <c r="O1209" s="5">
        <v>-1.74533630925271</v>
      </c>
      <c r="P1209" s="5">
        <v>0.0</v>
      </c>
      <c r="Q1209" s="5">
        <v>0.0</v>
      </c>
      <c r="R1209" s="5">
        <v>0.0</v>
      </c>
      <c r="S1209" s="5">
        <v>43.1196106882641</v>
      </c>
    </row>
    <row r="1210">
      <c r="A1210" s="6">
        <v>42111.0</v>
      </c>
      <c r="B1210" s="5">
        <v>45.6472912261464</v>
      </c>
      <c r="C1210" s="5">
        <v>-21.9808009209195</v>
      </c>
      <c r="D1210" s="5">
        <v>107.773206743492</v>
      </c>
      <c r="E1210" s="5">
        <v>45.6472912261464</v>
      </c>
      <c r="F1210" s="5">
        <v>45.6472912261464</v>
      </c>
      <c r="G1210" s="5">
        <v>-3.11907974868561</v>
      </c>
      <c r="H1210" s="5">
        <v>-3.11907974868561</v>
      </c>
      <c r="I1210" s="5">
        <v>-3.11907974868561</v>
      </c>
      <c r="J1210" s="5">
        <v>-1.59155056649357</v>
      </c>
      <c r="K1210" s="5">
        <v>-1.59155056649357</v>
      </c>
      <c r="L1210" s="5">
        <v>-1.59155056649357</v>
      </c>
      <c r="M1210" s="5">
        <v>-1.52752918219203</v>
      </c>
      <c r="N1210" s="5">
        <v>-1.52752918219203</v>
      </c>
      <c r="O1210" s="5">
        <v>-1.52752918219203</v>
      </c>
      <c r="P1210" s="5">
        <v>0.0</v>
      </c>
      <c r="Q1210" s="5">
        <v>0.0</v>
      </c>
      <c r="R1210" s="5">
        <v>0.0</v>
      </c>
      <c r="S1210" s="5">
        <v>42.5282114774608</v>
      </c>
    </row>
    <row r="1211">
      <c r="A1211" s="6">
        <v>42114.0</v>
      </c>
      <c r="B1211" s="5">
        <v>45.665056334323</v>
      </c>
      <c r="C1211" s="5">
        <v>-15.9190048281331</v>
      </c>
      <c r="D1211" s="5">
        <v>109.077001200895</v>
      </c>
      <c r="E1211" s="5">
        <v>45.665056334323</v>
      </c>
      <c r="F1211" s="5">
        <v>45.665056334323</v>
      </c>
      <c r="G1211" s="5">
        <v>-1.02830097557302</v>
      </c>
      <c r="H1211" s="5">
        <v>-1.02830097557302</v>
      </c>
      <c r="I1211" s="5">
        <v>-1.02830097557302</v>
      </c>
      <c r="J1211" s="5">
        <v>0.090558942122574</v>
      </c>
      <c r="K1211" s="5">
        <v>0.090558942122574</v>
      </c>
      <c r="L1211" s="5">
        <v>0.090558942122574</v>
      </c>
      <c r="M1211" s="5">
        <v>-1.1188599176956</v>
      </c>
      <c r="N1211" s="5">
        <v>-1.1188599176956</v>
      </c>
      <c r="O1211" s="5">
        <v>-1.1188599176956</v>
      </c>
      <c r="P1211" s="5">
        <v>0.0</v>
      </c>
      <c r="Q1211" s="5">
        <v>0.0</v>
      </c>
      <c r="R1211" s="5">
        <v>0.0</v>
      </c>
      <c r="S1211" s="5">
        <v>44.6367553587499</v>
      </c>
    </row>
    <row r="1212">
      <c r="A1212" s="6">
        <v>42115.0</v>
      </c>
      <c r="B1212" s="5">
        <v>45.6709780370485</v>
      </c>
      <c r="C1212" s="5">
        <v>-18.2471512452726</v>
      </c>
      <c r="D1212" s="5">
        <v>102.408135782546</v>
      </c>
      <c r="E1212" s="5">
        <v>45.6709780370485</v>
      </c>
      <c r="F1212" s="5">
        <v>45.6709780370485</v>
      </c>
      <c r="G1212" s="5">
        <v>-1.23228505708197</v>
      </c>
      <c r="H1212" s="5">
        <v>-1.23228505708197</v>
      </c>
      <c r="I1212" s="5">
        <v>-1.23228505708197</v>
      </c>
      <c r="J1212" s="5">
        <v>-0.144118857247628</v>
      </c>
      <c r="K1212" s="5">
        <v>-0.144118857247628</v>
      </c>
      <c r="L1212" s="5">
        <v>-0.144118857247628</v>
      </c>
      <c r="M1212" s="5">
        <v>-1.08816619983435</v>
      </c>
      <c r="N1212" s="5">
        <v>-1.08816619983435</v>
      </c>
      <c r="O1212" s="5">
        <v>-1.08816619983435</v>
      </c>
      <c r="P1212" s="5">
        <v>0.0</v>
      </c>
      <c r="Q1212" s="5">
        <v>0.0</v>
      </c>
      <c r="R1212" s="5">
        <v>0.0</v>
      </c>
      <c r="S1212" s="5">
        <v>44.4386929799665</v>
      </c>
    </row>
    <row r="1213">
      <c r="A1213" s="6">
        <v>42116.0</v>
      </c>
      <c r="B1213" s="5">
        <v>45.676899739774</v>
      </c>
      <c r="C1213" s="5">
        <v>-11.3924621544389</v>
      </c>
      <c r="D1213" s="5">
        <v>106.424206234467</v>
      </c>
      <c r="E1213" s="5">
        <v>45.676899739774</v>
      </c>
      <c r="F1213" s="5">
        <v>45.676899739774</v>
      </c>
      <c r="G1213" s="5">
        <v>-1.1151436749141</v>
      </c>
      <c r="H1213" s="5">
        <v>-1.1151436749141</v>
      </c>
      <c r="I1213" s="5">
        <v>-1.1151436749141</v>
      </c>
      <c r="J1213" s="5">
        <v>0.00703780528175337</v>
      </c>
      <c r="K1213" s="5">
        <v>0.00703780528175337</v>
      </c>
      <c r="L1213" s="5">
        <v>0.00703780528175337</v>
      </c>
      <c r="M1213" s="5">
        <v>-1.12218148019585</v>
      </c>
      <c r="N1213" s="5">
        <v>-1.12218148019585</v>
      </c>
      <c r="O1213" s="5">
        <v>-1.12218148019585</v>
      </c>
      <c r="P1213" s="5">
        <v>0.0</v>
      </c>
      <c r="Q1213" s="5">
        <v>0.0</v>
      </c>
      <c r="R1213" s="5">
        <v>0.0</v>
      </c>
      <c r="S1213" s="5">
        <v>44.5617560648599</v>
      </c>
    </row>
    <row r="1214">
      <c r="A1214" s="6">
        <v>42117.0</v>
      </c>
      <c r="B1214" s="5">
        <v>45.6828214424995</v>
      </c>
      <c r="C1214" s="5">
        <v>-24.3686616495297</v>
      </c>
      <c r="D1214" s="5">
        <v>108.024945401338</v>
      </c>
      <c r="E1214" s="5">
        <v>45.6828214424995</v>
      </c>
      <c r="F1214" s="5">
        <v>45.6828214424995</v>
      </c>
      <c r="G1214" s="5">
        <v>-2.0039111328975</v>
      </c>
      <c r="H1214" s="5">
        <v>-2.0039111328975</v>
      </c>
      <c r="I1214" s="5">
        <v>-2.0039111328975</v>
      </c>
      <c r="J1214" s="5">
        <v>-0.776422525904826</v>
      </c>
      <c r="K1214" s="5">
        <v>-0.776422525904826</v>
      </c>
      <c r="L1214" s="5">
        <v>-0.776422525904826</v>
      </c>
      <c r="M1214" s="5">
        <v>-1.22748860699267</v>
      </c>
      <c r="N1214" s="5">
        <v>-1.22748860699267</v>
      </c>
      <c r="O1214" s="5">
        <v>-1.22748860699267</v>
      </c>
      <c r="P1214" s="5">
        <v>0.0</v>
      </c>
      <c r="Q1214" s="5">
        <v>0.0</v>
      </c>
      <c r="R1214" s="5">
        <v>0.0</v>
      </c>
      <c r="S1214" s="5">
        <v>43.678910309602</v>
      </c>
    </row>
    <row r="1215">
      <c r="A1215" s="6">
        <v>42118.0</v>
      </c>
      <c r="B1215" s="5">
        <v>45.688743145225</v>
      </c>
      <c r="C1215" s="5">
        <v>-19.2845458066118</v>
      </c>
      <c r="D1215" s="5">
        <v>109.221737257703</v>
      </c>
      <c r="E1215" s="5">
        <v>45.688743145225</v>
      </c>
      <c r="F1215" s="5">
        <v>45.688743145225</v>
      </c>
      <c r="G1215" s="5">
        <v>-3.00145484131613</v>
      </c>
      <c r="H1215" s="5">
        <v>-3.00145484131613</v>
      </c>
      <c r="I1215" s="5">
        <v>-3.00145484131613</v>
      </c>
      <c r="J1215" s="5">
        <v>-1.59155056649508</v>
      </c>
      <c r="K1215" s="5">
        <v>-1.59155056649508</v>
      </c>
      <c r="L1215" s="5">
        <v>-1.59155056649508</v>
      </c>
      <c r="M1215" s="5">
        <v>-1.40990427482104</v>
      </c>
      <c r="N1215" s="5">
        <v>-1.40990427482104</v>
      </c>
      <c r="O1215" s="5">
        <v>-1.40990427482104</v>
      </c>
      <c r="P1215" s="5">
        <v>0.0</v>
      </c>
      <c r="Q1215" s="5">
        <v>0.0</v>
      </c>
      <c r="R1215" s="5">
        <v>0.0</v>
      </c>
      <c r="S1215" s="5">
        <v>42.6872883039088</v>
      </c>
    </row>
    <row r="1216">
      <c r="A1216" s="6">
        <v>42121.0</v>
      </c>
      <c r="B1216" s="5">
        <v>45.7065082534015</v>
      </c>
      <c r="C1216" s="5">
        <v>-16.8806783167214</v>
      </c>
      <c r="D1216" s="5">
        <v>106.72231008332</v>
      </c>
      <c r="E1216" s="5">
        <v>45.7065082534015</v>
      </c>
      <c r="F1216" s="5">
        <v>45.7065082534015</v>
      </c>
      <c r="G1216" s="5">
        <v>-2.37077163744757</v>
      </c>
      <c r="H1216" s="5">
        <v>-2.37077163744757</v>
      </c>
      <c r="I1216" s="5">
        <v>-2.37077163744757</v>
      </c>
      <c r="J1216" s="5">
        <v>0.0905589421211367</v>
      </c>
      <c r="K1216" s="5">
        <v>0.0905589421211367</v>
      </c>
      <c r="L1216" s="5">
        <v>0.0905589421211367</v>
      </c>
      <c r="M1216" s="5">
        <v>-2.4613305795687</v>
      </c>
      <c r="N1216" s="5">
        <v>-2.4613305795687</v>
      </c>
      <c r="O1216" s="5">
        <v>-2.4613305795687</v>
      </c>
      <c r="P1216" s="5">
        <v>0.0</v>
      </c>
      <c r="Q1216" s="5">
        <v>0.0</v>
      </c>
      <c r="R1216" s="5">
        <v>0.0</v>
      </c>
      <c r="S1216" s="5">
        <v>43.3357366159539</v>
      </c>
    </row>
    <row r="1217">
      <c r="A1217" s="6">
        <v>42122.0</v>
      </c>
      <c r="B1217" s="5">
        <v>45.712429956127</v>
      </c>
      <c r="C1217" s="5">
        <v>-16.2495278055138</v>
      </c>
      <c r="D1217" s="5">
        <v>104.487907985885</v>
      </c>
      <c r="E1217" s="5">
        <v>45.712429956127</v>
      </c>
      <c r="F1217" s="5">
        <v>45.712429956127</v>
      </c>
      <c r="G1217" s="5">
        <v>-3.13082347170262</v>
      </c>
      <c r="H1217" s="5">
        <v>-3.13082347170262</v>
      </c>
      <c r="I1217" s="5">
        <v>-3.13082347170262</v>
      </c>
      <c r="J1217" s="5">
        <v>-0.144118857244016</v>
      </c>
      <c r="K1217" s="5">
        <v>-0.144118857244016</v>
      </c>
      <c r="L1217" s="5">
        <v>-0.144118857244016</v>
      </c>
      <c r="M1217" s="5">
        <v>-2.9867046144586</v>
      </c>
      <c r="N1217" s="5">
        <v>-2.9867046144586</v>
      </c>
      <c r="O1217" s="5">
        <v>-2.9867046144586</v>
      </c>
      <c r="P1217" s="5">
        <v>0.0</v>
      </c>
      <c r="Q1217" s="5">
        <v>0.0</v>
      </c>
      <c r="R1217" s="5">
        <v>0.0</v>
      </c>
      <c r="S1217" s="5">
        <v>42.5816064844244</v>
      </c>
    </row>
    <row r="1218">
      <c r="A1218" s="6">
        <v>42123.0</v>
      </c>
      <c r="B1218" s="5">
        <v>45.7183516588525</v>
      </c>
      <c r="C1218" s="5">
        <v>-19.9162034753153</v>
      </c>
      <c r="D1218" s="5">
        <v>103.012133525055</v>
      </c>
      <c r="E1218" s="5">
        <v>45.7183516588525</v>
      </c>
      <c r="F1218" s="5">
        <v>45.7183516588525</v>
      </c>
      <c r="G1218" s="5">
        <v>-3.59185083119137</v>
      </c>
      <c r="H1218" s="5">
        <v>-3.59185083119137</v>
      </c>
      <c r="I1218" s="5">
        <v>-3.59185083119137</v>
      </c>
      <c r="J1218" s="5">
        <v>0.00703780528090082</v>
      </c>
      <c r="K1218" s="5">
        <v>0.00703780528090082</v>
      </c>
      <c r="L1218" s="5">
        <v>0.00703780528090082</v>
      </c>
      <c r="M1218" s="5">
        <v>-3.59888863647227</v>
      </c>
      <c r="N1218" s="5">
        <v>-3.59888863647227</v>
      </c>
      <c r="O1218" s="5">
        <v>-3.59888863647227</v>
      </c>
      <c r="P1218" s="5">
        <v>0.0</v>
      </c>
      <c r="Q1218" s="5">
        <v>0.0</v>
      </c>
      <c r="R1218" s="5">
        <v>0.0</v>
      </c>
      <c r="S1218" s="5">
        <v>42.1265008276611</v>
      </c>
    </row>
    <row r="1219">
      <c r="A1219" s="6">
        <v>42124.0</v>
      </c>
      <c r="B1219" s="5">
        <v>45.724273361578</v>
      </c>
      <c r="C1219" s="5">
        <v>-17.2239627883337</v>
      </c>
      <c r="D1219" s="5">
        <v>98.1183576233641</v>
      </c>
      <c r="E1219" s="5">
        <v>45.724273361578</v>
      </c>
      <c r="F1219" s="5">
        <v>45.724273361578</v>
      </c>
      <c r="G1219" s="5">
        <v>-5.071276206762</v>
      </c>
      <c r="H1219" s="5">
        <v>-5.071276206762</v>
      </c>
      <c r="I1219" s="5">
        <v>-5.071276206762</v>
      </c>
      <c r="J1219" s="5">
        <v>-0.776422525899847</v>
      </c>
      <c r="K1219" s="5">
        <v>-0.776422525899847</v>
      </c>
      <c r="L1219" s="5">
        <v>-0.776422525899847</v>
      </c>
      <c r="M1219" s="5">
        <v>-4.29485368086215</v>
      </c>
      <c r="N1219" s="5">
        <v>-4.29485368086215</v>
      </c>
      <c r="O1219" s="5">
        <v>-4.29485368086215</v>
      </c>
      <c r="P1219" s="5">
        <v>0.0</v>
      </c>
      <c r="Q1219" s="5">
        <v>0.0</v>
      </c>
      <c r="R1219" s="5">
        <v>0.0</v>
      </c>
      <c r="S1219" s="5">
        <v>40.652997154816</v>
      </c>
    </row>
    <row r="1220">
      <c r="A1220" s="6">
        <v>42125.0</v>
      </c>
      <c r="B1220" s="5">
        <v>45.7301950643035</v>
      </c>
      <c r="C1220" s="5">
        <v>-25.4113478252999</v>
      </c>
      <c r="D1220" s="5">
        <v>100.445391843601</v>
      </c>
      <c r="E1220" s="5">
        <v>45.7301950643035</v>
      </c>
      <c r="F1220" s="5">
        <v>45.7301950643035</v>
      </c>
      <c r="G1220" s="5">
        <v>-6.66131011460698</v>
      </c>
      <c r="H1220" s="5">
        <v>-6.66131011460698</v>
      </c>
      <c r="I1220" s="5">
        <v>-6.66131011460698</v>
      </c>
      <c r="J1220" s="5">
        <v>-1.59155056649415</v>
      </c>
      <c r="K1220" s="5">
        <v>-1.59155056649415</v>
      </c>
      <c r="L1220" s="5">
        <v>-1.59155056649415</v>
      </c>
      <c r="M1220" s="5">
        <v>-5.06975954811282</v>
      </c>
      <c r="N1220" s="5">
        <v>-5.06975954811282</v>
      </c>
      <c r="O1220" s="5">
        <v>-5.06975954811282</v>
      </c>
      <c r="P1220" s="5">
        <v>0.0</v>
      </c>
      <c r="Q1220" s="5">
        <v>0.0</v>
      </c>
      <c r="R1220" s="5">
        <v>0.0</v>
      </c>
      <c r="S1220" s="5">
        <v>39.0688849496965</v>
      </c>
    </row>
    <row r="1221">
      <c r="A1221" s="6">
        <v>42128.0</v>
      </c>
      <c r="B1221" s="5">
        <v>45.74796017248</v>
      </c>
      <c r="C1221" s="5">
        <v>-18.9906195657773</v>
      </c>
      <c r="D1221" s="5">
        <v>106.535156096752</v>
      </c>
      <c r="E1221" s="5">
        <v>45.74796017248</v>
      </c>
      <c r="F1221" s="5">
        <v>45.74796017248</v>
      </c>
      <c r="G1221" s="5">
        <v>-7.70311071903203</v>
      </c>
      <c r="H1221" s="5">
        <v>-7.70311071903203</v>
      </c>
      <c r="I1221" s="5">
        <v>-7.70311071903203</v>
      </c>
      <c r="J1221" s="5">
        <v>0.0905589421196993</v>
      </c>
      <c r="K1221" s="5">
        <v>0.0905589421196993</v>
      </c>
      <c r="L1221" s="5">
        <v>0.0905589421196993</v>
      </c>
      <c r="M1221" s="5">
        <v>-7.79366966115173</v>
      </c>
      <c r="N1221" s="5">
        <v>-7.79366966115173</v>
      </c>
      <c r="O1221" s="5">
        <v>-7.79366966115173</v>
      </c>
      <c r="P1221" s="5">
        <v>0.0</v>
      </c>
      <c r="Q1221" s="5">
        <v>0.0</v>
      </c>
      <c r="R1221" s="5">
        <v>0.0</v>
      </c>
      <c r="S1221" s="5">
        <v>38.044849453448</v>
      </c>
    </row>
    <row r="1222">
      <c r="A1222" s="6">
        <v>42129.0</v>
      </c>
      <c r="B1222" s="5">
        <v>45.7538818752056</v>
      </c>
      <c r="C1222" s="5">
        <v>-24.258254642164</v>
      </c>
      <c r="D1222" s="5">
        <v>98.7493296869425</v>
      </c>
      <c r="E1222" s="5">
        <v>45.7538818752056</v>
      </c>
      <c r="F1222" s="5">
        <v>45.7538818752056</v>
      </c>
      <c r="G1222" s="5">
        <v>-8.94617449296118</v>
      </c>
      <c r="H1222" s="5">
        <v>-8.94617449296118</v>
      </c>
      <c r="I1222" s="5">
        <v>-8.94617449296118</v>
      </c>
      <c r="J1222" s="5">
        <v>-0.144118857246866</v>
      </c>
      <c r="K1222" s="5">
        <v>-0.144118857246866</v>
      </c>
      <c r="L1222" s="5">
        <v>-0.144118857246866</v>
      </c>
      <c r="M1222" s="5">
        <v>-8.80205563571431</v>
      </c>
      <c r="N1222" s="5">
        <v>-8.80205563571431</v>
      </c>
      <c r="O1222" s="5">
        <v>-8.80205563571431</v>
      </c>
      <c r="P1222" s="5">
        <v>0.0</v>
      </c>
      <c r="Q1222" s="5">
        <v>0.0</v>
      </c>
      <c r="R1222" s="5">
        <v>0.0</v>
      </c>
      <c r="S1222" s="5">
        <v>36.8077073822444</v>
      </c>
    </row>
    <row r="1223">
      <c r="A1223" s="6">
        <v>42130.0</v>
      </c>
      <c r="B1223" s="5">
        <v>45.7598035779311</v>
      </c>
      <c r="C1223" s="5">
        <v>-24.9051907211677</v>
      </c>
      <c r="D1223" s="5">
        <v>97.8839017396658</v>
      </c>
      <c r="E1223" s="5">
        <v>45.7598035779311</v>
      </c>
      <c r="F1223" s="5">
        <v>45.7598035779311</v>
      </c>
      <c r="G1223" s="5">
        <v>-9.83402077741203</v>
      </c>
      <c r="H1223" s="5">
        <v>-9.83402077741203</v>
      </c>
      <c r="I1223" s="5">
        <v>-9.83402077741203</v>
      </c>
      <c r="J1223" s="5">
        <v>0.00703780528320325</v>
      </c>
      <c r="K1223" s="5">
        <v>0.00703780528320325</v>
      </c>
      <c r="L1223" s="5">
        <v>0.00703780528320325</v>
      </c>
      <c r="M1223" s="5">
        <v>-9.84105858269523</v>
      </c>
      <c r="N1223" s="5">
        <v>-9.84105858269523</v>
      </c>
      <c r="O1223" s="5">
        <v>-9.84105858269523</v>
      </c>
      <c r="P1223" s="5">
        <v>0.0</v>
      </c>
      <c r="Q1223" s="5">
        <v>0.0</v>
      </c>
      <c r="R1223" s="5">
        <v>0.0</v>
      </c>
      <c r="S1223" s="5">
        <v>35.925782800519</v>
      </c>
    </row>
    <row r="1224">
      <c r="A1224" s="6">
        <v>42131.0</v>
      </c>
      <c r="B1224" s="5">
        <v>45.7657252806566</v>
      </c>
      <c r="C1224" s="5">
        <v>-28.3311259935455</v>
      </c>
      <c r="D1224" s="5">
        <v>97.5732534463381</v>
      </c>
      <c r="E1224" s="5">
        <v>45.7657252806566</v>
      </c>
      <c r="F1224" s="5">
        <v>45.7657252806566</v>
      </c>
      <c r="G1224" s="5">
        <v>-11.6738913269577</v>
      </c>
      <c r="H1224" s="5">
        <v>-11.6738913269577</v>
      </c>
      <c r="I1224" s="5">
        <v>-11.6738913269577</v>
      </c>
      <c r="J1224" s="5">
        <v>-0.776422525900569</v>
      </c>
      <c r="K1224" s="5">
        <v>-0.776422525900569</v>
      </c>
      <c r="L1224" s="5">
        <v>-0.776422525900569</v>
      </c>
      <c r="M1224" s="5">
        <v>-10.8974688010572</v>
      </c>
      <c r="N1224" s="5">
        <v>-10.8974688010572</v>
      </c>
      <c r="O1224" s="5">
        <v>-10.8974688010572</v>
      </c>
      <c r="P1224" s="5">
        <v>0.0</v>
      </c>
      <c r="Q1224" s="5">
        <v>0.0</v>
      </c>
      <c r="R1224" s="5">
        <v>0.0</v>
      </c>
      <c r="S1224" s="5">
        <v>34.0918339536988</v>
      </c>
    </row>
    <row r="1225">
      <c r="A1225" s="6">
        <v>42132.0</v>
      </c>
      <c r="B1225" s="5">
        <v>45.7716469833821</v>
      </c>
      <c r="C1225" s="5">
        <v>-32.9027865521218</v>
      </c>
      <c r="D1225" s="5">
        <v>96.2952930825912</v>
      </c>
      <c r="E1225" s="5">
        <v>45.7716469833821</v>
      </c>
      <c r="F1225" s="5">
        <v>45.7716469833821</v>
      </c>
      <c r="G1225" s="5">
        <v>-13.5490555753353</v>
      </c>
      <c r="H1225" s="5">
        <v>-13.5490555753353</v>
      </c>
      <c r="I1225" s="5">
        <v>-13.5490555753353</v>
      </c>
      <c r="J1225" s="5">
        <v>-1.59155056649323</v>
      </c>
      <c r="K1225" s="5">
        <v>-1.59155056649323</v>
      </c>
      <c r="L1225" s="5">
        <v>-1.59155056649323</v>
      </c>
      <c r="M1225" s="5">
        <v>-11.957505008842</v>
      </c>
      <c r="N1225" s="5">
        <v>-11.957505008842</v>
      </c>
      <c r="O1225" s="5">
        <v>-11.957505008842</v>
      </c>
      <c r="P1225" s="5">
        <v>0.0</v>
      </c>
      <c r="Q1225" s="5">
        <v>0.0</v>
      </c>
      <c r="R1225" s="5">
        <v>0.0</v>
      </c>
      <c r="S1225" s="5">
        <v>32.2225914080467</v>
      </c>
    </row>
    <row r="1226">
      <c r="A1226" s="6">
        <v>42135.0</v>
      </c>
      <c r="B1226" s="5">
        <v>45.7894120915586</v>
      </c>
      <c r="C1226" s="5">
        <v>-32.0748439938966</v>
      </c>
      <c r="D1226" s="5">
        <v>96.5022461344145</v>
      </c>
      <c r="E1226" s="5">
        <v>45.7894120915586</v>
      </c>
      <c r="F1226" s="5">
        <v>45.7894120915586</v>
      </c>
      <c r="G1226" s="5">
        <v>-14.9291216180053</v>
      </c>
      <c r="H1226" s="5">
        <v>-14.9291216180053</v>
      </c>
      <c r="I1226" s="5">
        <v>-14.9291216180053</v>
      </c>
      <c r="J1226" s="5">
        <v>0.0905589421231096</v>
      </c>
      <c r="K1226" s="5">
        <v>0.0905589421231096</v>
      </c>
      <c r="L1226" s="5">
        <v>0.0905589421231096</v>
      </c>
      <c r="M1226" s="5">
        <v>-15.0196805601284</v>
      </c>
      <c r="N1226" s="5">
        <v>-15.0196805601284</v>
      </c>
      <c r="O1226" s="5">
        <v>-15.0196805601284</v>
      </c>
      <c r="P1226" s="5">
        <v>0.0</v>
      </c>
      <c r="Q1226" s="5">
        <v>0.0</v>
      </c>
      <c r="R1226" s="5">
        <v>0.0</v>
      </c>
      <c r="S1226" s="5">
        <v>30.8602904735532</v>
      </c>
    </row>
    <row r="1227">
      <c r="A1227" s="6">
        <v>42136.0</v>
      </c>
      <c r="B1227" s="5">
        <v>45.7953337942841</v>
      </c>
      <c r="C1227" s="5">
        <v>-31.4272468405802</v>
      </c>
      <c r="D1227" s="5">
        <v>95.3000945631057</v>
      </c>
      <c r="E1227" s="5">
        <v>45.7953337942841</v>
      </c>
      <c r="F1227" s="5">
        <v>45.7953337942841</v>
      </c>
      <c r="G1227" s="5">
        <v>-16.1003179852955</v>
      </c>
      <c r="H1227" s="5">
        <v>-16.1003179852955</v>
      </c>
      <c r="I1227" s="5">
        <v>-16.1003179852955</v>
      </c>
      <c r="J1227" s="5">
        <v>-0.144118857245778</v>
      </c>
      <c r="K1227" s="5">
        <v>-0.144118857245778</v>
      </c>
      <c r="L1227" s="5">
        <v>-0.144118857245778</v>
      </c>
      <c r="M1227" s="5">
        <v>-15.9561991280497</v>
      </c>
      <c r="N1227" s="5">
        <v>-15.9561991280497</v>
      </c>
      <c r="O1227" s="5">
        <v>-15.9561991280497</v>
      </c>
      <c r="P1227" s="5">
        <v>0.0</v>
      </c>
      <c r="Q1227" s="5">
        <v>0.0</v>
      </c>
      <c r="R1227" s="5">
        <v>0.0</v>
      </c>
      <c r="S1227" s="5">
        <v>29.6950158089886</v>
      </c>
    </row>
    <row r="1228">
      <c r="A1228" s="6">
        <v>42137.0</v>
      </c>
      <c r="B1228" s="5">
        <v>45.8012554970096</v>
      </c>
      <c r="C1228" s="5">
        <v>-35.4755359229936</v>
      </c>
      <c r="D1228" s="5">
        <v>92.1930364768077</v>
      </c>
      <c r="E1228" s="5">
        <v>45.8012554970096</v>
      </c>
      <c r="F1228" s="5">
        <v>45.8012554970096</v>
      </c>
      <c r="G1228" s="5">
        <v>-16.8230825832424</v>
      </c>
      <c r="H1228" s="5">
        <v>-16.8230825832424</v>
      </c>
      <c r="I1228" s="5">
        <v>-16.8230825832424</v>
      </c>
      <c r="J1228" s="5">
        <v>0.00703780528451436</v>
      </c>
      <c r="K1228" s="5">
        <v>0.00703780528451436</v>
      </c>
      <c r="L1228" s="5">
        <v>0.00703780528451436</v>
      </c>
      <c r="M1228" s="5">
        <v>-16.8301203885269</v>
      </c>
      <c r="N1228" s="5">
        <v>-16.8301203885269</v>
      </c>
      <c r="O1228" s="5">
        <v>-16.8301203885269</v>
      </c>
      <c r="P1228" s="5">
        <v>0.0</v>
      </c>
      <c r="Q1228" s="5">
        <v>0.0</v>
      </c>
      <c r="R1228" s="5">
        <v>0.0</v>
      </c>
      <c r="S1228" s="5">
        <v>28.9781729137672</v>
      </c>
    </row>
    <row r="1229">
      <c r="A1229" s="6">
        <v>42138.0</v>
      </c>
      <c r="B1229" s="5">
        <v>45.8071771997351</v>
      </c>
      <c r="C1229" s="5">
        <v>-34.507323687137</v>
      </c>
      <c r="D1229" s="5">
        <v>90.393020582592</v>
      </c>
      <c r="E1229" s="5">
        <v>45.8071771997351</v>
      </c>
      <c r="F1229" s="5">
        <v>45.8071771997351</v>
      </c>
      <c r="G1229" s="5">
        <v>-18.4073656842273</v>
      </c>
      <c r="H1229" s="5">
        <v>-18.4073656842273</v>
      </c>
      <c r="I1229" s="5">
        <v>-18.4073656842273</v>
      </c>
      <c r="J1229" s="5">
        <v>-0.776422525902666</v>
      </c>
      <c r="K1229" s="5">
        <v>-0.776422525902666</v>
      </c>
      <c r="L1229" s="5">
        <v>-0.776422525902666</v>
      </c>
      <c r="M1229" s="5">
        <v>-17.6309431583246</v>
      </c>
      <c r="N1229" s="5">
        <v>-17.6309431583246</v>
      </c>
      <c r="O1229" s="5">
        <v>-17.6309431583246</v>
      </c>
      <c r="P1229" s="5">
        <v>0.0</v>
      </c>
      <c r="Q1229" s="5">
        <v>0.0</v>
      </c>
      <c r="R1229" s="5">
        <v>0.0</v>
      </c>
      <c r="S1229" s="5">
        <v>27.3998115155078</v>
      </c>
    </row>
    <row r="1230">
      <c r="A1230" s="6">
        <v>42139.0</v>
      </c>
      <c r="B1230" s="5">
        <v>45.8130989024606</v>
      </c>
      <c r="C1230" s="5">
        <v>-39.7458587877505</v>
      </c>
      <c r="D1230" s="5">
        <v>88.6226153507906</v>
      </c>
      <c r="E1230" s="5">
        <v>45.8130989024606</v>
      </c>
      <c r="F1230" s="5">
        <v>45.8130989024606</v>
      </c>
      <c r="G1230" s="5">
        <v>-19.9412753500506</v>
      </c>
      <c r="H1230" s="5">
        <v>-19.9412753500506</v>
      </c>
      <c r="I1230" s="5">
        <v>-19.9412753500506</v>
      </c>
      <c r="J1230" s="5">
        <v>-1.5915505664923</v>
      </c>
      <c r="K1230" s="5">
        <v>-1.5915505664923</v>
      </c>
      <c r="L1230" s="5">
        <v>-1.5915505664923</v>
      </c>
      <c r="M1230" s="5">
        <v>-18.3497247835583</v>
      </c>
      <c r="N1230" s="5">
        <v>-18.3497247835583</v>
      </c>
      <c r="O1230" s="5">
        <v>-18.3497247835583</v>
      </c>
      <c r="P1230" s="5">
        <v>0.0</v>
      </c>
      <c r="Q1230" s="5">
        <v>0.0</v>
      </c>
      <c r="R1230" s="5">
        <v>0.0</v>
      </c>
      <c r="S1230" s="5">
        <v>25.87182355241</v>
      </c>
    </row>
    <row r="1231">
      <c r="A1231" s="6">
        <v>42142.0</v>
      </c>
      <c r="B1231" s="5">
        <v>45.8308640106372</v>
      </c>
      <c r="C1231" s="5">
        <v>-40.8244664215338</v>
      </c>
      <c r="D1231" s="5">
        <v>88.1102447575387</v>
      </c>
      <c r="E1231" s="5">
        <v>45.8308640106372</v>
      </c>
      <c r="F1231" s="5">
        <v>45.8308640106372</v>
      </c>
      <c r="G1231" s="5">
        <v>-19.8612280880818</v>
      </c>
      <c r="H1231" s="5">
        <v>-19.8612280880818</v>
      </c>
      <c r="I1231" s="5">
        <v>-19.8612280880818</v>
      </c>
      <c r="J1231" s="5">
        <v>0.0905589421216721</v>
      </c>
      <c r="K1231" s="5">
        <v>0.0905589421216721</v>
      </c>
      <c r="L1231" s="5">
        <v>0.0905589421216721</v>
      </c>
      <c r="M1231" s="5">
        <v>-19.9517870302035</v>
      </c>
      <c r="N1231" s="5">
        <v>-19.9517870302035</v>
      </c>
      <c r="O1231" s="5">
        <v>-19.9517870302035</v>
      </c>
      <c r="P1231" s="5">
        <v>0.0</v>
      </c>
      <c r="Q1231" s="5">
        <v>0.0</v>
      </c>
      <c r="R1231" s="5">
        <v>0.0</v>
      </c>
      <c r="S1231" s="5">
        <v>25.9696359225553</v>
      </c>
    </row>
    <row r="1232">
      <c r="A1232" s="6">
        <v>42143.0</v>
      </c>
      <c r="B1232" s="5">
        <v>45.8367857087117</v>
      </c>
      <c r="C1232" s="5">
        <v>-37.6496562414375</v>
      </c>
      <c r="D1232" s="5">
        <v>84.9837190298685</v>
      </c>
      <c r="E1232" s="5">
        <v>45.8367857087117</v>
      </c>
      <c r="F1232" s="5">
        <v>45.8367857087117</v>
      </c>
      <c r="G1232" s="5">
        <v>-20.4344947997418</v>
      </c>
      <c r="H1232" s="5">
        <v>-20.4344947997418</v>
      </c>
      <c r="I1232" s="5">
        <v>-20.4344947997418</v>
      </c>
      <c r="J1232" s="5">
        <v>-0.14411885724469</v>
      </c>
      <c r="K1232" s="5">
        <v>-0.14411885724469</v>
      </c>
      <c r="L1232" s="5">
        <v>-0.14411885724469</v>
      </c>
      <c r="M1232" s="5">
        <v>-20.2903759424972</v>
      </c>
      <c r="N1232" s="5">
        <v>-20.2903759424972</v>
      </c>
      <c r="O1232" s="5">
        <v>-20.2903759424972</v>
      </c>
      <c r="P1232" s="5">
        <v>0.0</v>
      </c>
      <c r="Q1232" s="5">
        <v>0.0</v>
      </c>
      <c r="R1232" s="5">
        <v>0.0</v>
      </c>
      <c r="S1232" s="5">
        <v>25.4022909089698</v>
      </c>
    </row>
    <row r="1233">
      <c r="A1233" s="6">
        <v>42144.0</v>
      </c>
      <c r="B1233" s="5">
        <v>45.8427074067862</v>
      </c>
      <c r="C1233" s="5">
        <v>-38.1932085213325</v>
      </c>
      <c r="D1233" s="5">
        <v>81.7756269844708</v>
      </c>
      <c r="E1233" s="5">
        <v>45.8427074067862</v>
      </c>
      <c r="F1233" s="5">
        <v>45.8427074067862</v>
      </c>
      <c r="G1233" s="5">
        <v>-20.52406656005</v>
      </c>
      <c r="H1233" s="5">
        <v>-20.52406656005</v>
      </c>
      <c r="I1233" s="5">
        <v>-20.52406656005</v>
      </c>
      <c r="J1233" s="5">
        <v>0.00703780528149818</v>
      </c>
      <c r="K1233" s="5">
        <v>0.00703780528149818</v>
      </c>
      <c r="L1233" s="5">
        <v>0.00703780528149818</v>
      </c>
      <c r="M1233" s="5">
        <v>-20.5311043653315</v>
      </c>
      <c r="N1233" s="5">
        <v>-20.5311043653315</v>
      </c>
      <c r="O1233" s="5">
        <v>-20.5311043653315</v>
      </c>
      <c r="P1233" s="5">
        <v>0.0</v>
      </c>
      <c r="Q1233" s="5">
        <v>0.0</v>
      </c>
      <c r="R1233" s="5">
        <v>0.0</v>
      </c>
      <c r="S1233" s="5">
        <v>25.3186408467362</v>
      </c>
    </row>
    <row r="1234">
      <c r="A1234" s="6">
        <v>42145.0</v>
      </c>
      <c r="B1234" s="5">
        <v>45.8486291048608</v>
      </c>
      <c r="C1234" s="5">
        <v>-40.56319675335</v>
      </c>
      <c r="D1234" s="5">
        <v>81.2618390280242</v>
      </c>
      <c r="E1234" s="5">
        <v>45.8486291048608</v>
      </c>
      <c r="F1234" s="5">
        <v>45.8486291048608</v>
      </c>
      <c r="G1234" s="5">
        <v>-21.4533781432271</v>
      </c>
      <c r="H1234" s="5">
        <v>-21.4533781432271</v>
      </c>
      <c r="I1234" s="5">
        <v>-21.4533781432271</v>
      </c>
      <c r="J1234" s="5">
        <v>-0.776422525899163</v>
      </c>
      <c r="K1234" s="5">
        <v>-0.776422525899163</v>
      </c>
      <c r="L1234" s="5">
        <v>-0.776422525899163</v>
      </c>
      <c r="M1234" s="5">
        <v>-20.676955617328</v>
      </c>
      <c r="N1234" s="5">
        <v>-20.676955617328</v>
      </c>
      <c r="O1234" s="5">
        <v>-20.676955617328</v>
      </c>
      <c r="P1234" s="5">
        <v>0.0</v>
      </c>
      <c r="Q1234" s="5">
        <v>0.0</v>
      </c>
      <c r="R1234" s="5">
        <v>0.0</v>
      </c>
      <c r="S1234" s="5">
        <v>24.3952509616336</v>
      </c>
    </row>
    <row r="1235">
      <c r="A1235" s="6">
        <v>42146.0</v>
      </c>
      <c r="B1235" s="5">
        <v>45.8545508029353</v>
      </c>
      <c r="C1235" s="5">
        <v>-36.1645832987322</v>
      </c>
      <c r="D1235" s="5">
        <v>88.3860199432474</v>
      </c>
      <c r="E1235" s="5">
        <v>45.8545508029353</v>
      </c>
      <c r="F1235" s="5">
        <v>45.8545508029353</v>
      </c>
      <c r="G1235" s="5">
        <v>-22.3243771953184</v>
      </c>
      <c r="H1235" s="5">
        <v>-22.3243771953184</v>
      </c>
      <c r="I1235" s="5">
        <v>-22.3243771953184</v>
      </c>
      <c r="J1235" s="5">
        <v>-1.59155056649381</v>
      </c>
      <c r="K1235" s="5">
        <v>-1.59155056649381</v>
      </c>
      <c r="L1235" s="5">
        <v>-1.59155056649381</v>
      </c>
      <c r="M1235" s="5">
        <v>-20.7328266288246</v>
      </c>
      <c r="N1235" s="5">
        <v>-20.7328266288246</v>
      </c>
      <c r="O1235" s="5">
        <v>-20.7328266288246</v>
      </c>
      <c r="P1235" s="5">
        <v>0.0</v>
      </c>
      <c r="Q1235" s="5">
        <v>0.0</v>
      </c>
      <c r="R1235" s="5">
        <v>0.0</v>
      </c>
      <c r="S1235" s="5">
        <v>23.5301736076169</v>
      </c>
    </row>
    <row r="1236">
      <c r="A1236" s="6">
        <v>42150.0</v>
      </c>
      <c r="B1236" s="5">
        <v>45.8782375952335</v>
      </c>
      <c r="C1236" s="5">
        <v>-34.5747311509763</v>
      </c>
      <c r="D1236" s="5">
        <v>89.6242762502054</v>
      </c>
      <c r="E1236" s="5">
        <v>45.8782375952335</v>
      </c>
      <c r="F1236" s="5">
        <v>45.8782375952335</v>
      </c>
      <c r="G1236" s="5">
        <v>-20.3550647305218</v>
      </c>
      <c r="H1236" s="5">
        <v>-20.3550647305218</v>
      </c>
      <c r="I1236" s="5">
        <v>-20.3550647305218</v>
      </c>
      <c r="J1236" s="5">
        <v>-0.144118857243602</v>
      </c>
      <c r="K1236" s="5">
        <v>-0.144118857243602</v>
      </c>
      <c r="L1236" s="5">
        <v>-0.144118857243602</v>
      </c>
      <c r="M1236" s="5">
        <v>-20.2109458732782</v>
      </c>
      <c r="N1236" s="5">
        <v>-20.2109458732782</v>
      </c>
      <c r="O1236" s="5">
        <v>-20.2109458732782</v>
      </c>
      <c r="P1236" s="5">
        <v>0.0</v>
      </c>
      <c r="Q1236" s="5">
        <v>0.0</v>
      </c>
      <c r="R1236" s="5">
        <v>0.0</v>
      </c>
      <c r="S1236" s="5">
        <v>25.5231728647117</v>
      </c>
    </row>
    <row r="1237">
      <c r="A1237" s="6">
        <v>42151.0</v>
      </c>
      <c r="B1237" s="5">
        <v>45.8841592933081</v>
      </c>
      <c r="C1237" s="5">
        <v>-37.8422166520044</v>
      </c>
      <c r="D1237" s="5">
        <v>85.2939101746451</v>
      </c>
      <c r="E1237" s="5">
        <v>45.8841592933081</v>
      </c>
      <c r="F1237" s="5">
        <v>45.8841592933081</v>
      </c>
      <c r="G1237" s="5">
        <v>-19.9363520702364</v>
      </c>
      <c r="H1237" s="5">
        <v>-19.9363520702364</v>
      </c>
      <c r="I1237" s="5">
        <v>-19.9363520702364</v>
      </c>
      <c r="J1237" s="5">
        <v>0.00703780528380072</v>
      </c>
      <c r="K1237" s="5">
        <v>0.00703780528380072</v>
      </c>
      <c r="L1237" s="5">
        <v>0.00703780528380072</v>
      </c>
      <c r="M1237" s="5">
        <v>-19.9433898755202</v>
      </c>
      <c r="N1237" s="5">
        <v>-19.9433898755202</v>
      </c>
      <c r="O1237" s="5">
        <v>-19.9433898755202</v>
      </c>
      <c r="P1237" s="5">
        <v>0.0</v>
      </c>
      <c r="Q1237" s="5">
        <v>0.0</v>
      </c>
      <c r="R1237" s="5">
        <v>0.0</v>
      </c>
      <c r="S1237" s="5">
        <v>25.9478072230716</v>
      </c>
    </row>
    <row r="1238">
      <c r="A1238" s="6">
        <v>42152.0</v>
      </c>
      <c r="B1238" s="5">
        <v>45.8900809913826</v>
      </c>
      <c r="C1238" s="5">
        <v>-39.679080356214</v>
      </c>
      <c r="D1238" s="5">
        <v>87.5044593095635</v>
      </c>
      <c r="E1238" s="5">
        <v>45.8900809913826</v>
      </c>
      <c r="F1238" s="5">
        <v>45.8900809913826</v>
      </c>
      <c r="G1238" s="5">
        <v>-20.419735849351</v>
      </c>
      <c r="H1238" s="5">
        <v>-20.419735849351</v>
      </c>
      <c r="I1238" s="5">
        <v>-20.419735849351</v>
      </c>
      <c r="J1238" s="5">
        <v>-0.77642252590126</v>
      </c>
      <c r="K1238" s="5">
        <v>-0.77642252590126</v>
      </c>
      <c r="L1238" s="5">
        <v>-0.77642252590126</v>
      </c>
      <c r="M1238" s="5">
        <v>-19.6433133234497</v>
      </c>
      <c r="N1238" s="5">
        <v>-19.6433133234497</v>
      </c>
      <c r="O1238" s="5">
        <v>-19.6433133234497</v>
      </c>
      <c r="P1238" s="5">
        <v>0.0</v>
      </c>
      <c r="Q1238" s="5">
        <v>0.0</v>
      </c>
      <c r="R1238" s="5">
        <v>0.0</v>
      </c>
      <c r="S1238" s="5">
        <v>25.4703451420316</v>
      </c>
    </row>
    <row r="1239">
      <c r="A1239" s="6">
        <v>42153.0</v>
      </c>
      <c r="B1239" s="5">
        <v>45.8960026894572</v>
      </c>
      <c r="C1239" s="5">
        <v>-36.6897072539458</v>
      </c>
      <c r="D1239" s="5">
        <v>87.9472068922957</v>
      </c>
      <c r="E1239" s="5">
        <v>45.8960026894572</v>
      </c>
      <c r="F1239" s="5">
        <v>45.8960026894572</v>
      </c>
      <c r="G1239" s="5">
        <v>-20.9138299140941</v>
      </c>
      <c r="H1239" s="5">
        <v>-20.9138299140941</v>
      </c>
      <c r="I1239" s="5">
        <v>-20.9138299140941</v>
      </c>
      <c r="J1239" s="5">
        <v>-1.59155056649288</v>
      </c>
      <c r="K1239" s="5">
        <v>-1.59155056649288</v>
      </c>
      <c r="L1239" s="5">
        <v>-1.59155056649288</v>
      </c>
      <c r="M1239" s="5">
        <v>-19.3222793476012</v>
      </c>
      <c r="N1239" s="5">
        <v>-19.3222793476012</v>
      </c>
      <c r="O1239" s="5">
        <v>-19.3222793476012</v>
      </c>
      <c r="P1239" s="5">
        <v>0.0</v>
      </c>
      <c r="Q1239" s="5">
        <v>0.0</v>
      </c>
      <c r="R1239" s="5">
        <v>0.0</v>
      </c>
      <c r="S1239" s="5">
        <v>24.982172775363</v>
      </c>
    </row>
    <row r="1240">
      <c r="A1240" s="6">
        <v>42156.0</v>
      </c>
      <c r="B1240" s="5">
        <v>45.9137677836808</v>
      </c>
      <c r="C1240" s="5">
        <v>-40.4915796604051</v>
      </c>
      <c r="D1240" s="5">
        <v>88.2291254064011</v>
      </c>
      <c r="E1240" s="5">
        <v>45.9137677836808</v>
      </c>
      <c r="F1240" s="5">
        <v>45.9137677836808</v>
      </c>
      <c r="G1240" s="5">
        <v>-18.2522334977866</v>
      </c>
      <c r="H1240" s="5">
        <v>-18.2522334977866</v>
      </c>
      <c r="I1240" s="5">
        <v>-18.2522334977866</v>
      </c>
      <c r="J1240" s="5">
        <v>0.0905589421212612</v>
      </c>
      <c r="K1240" s="5">
        <v>0.0905589421212612</v>
      </c>
      <c r="L1240" s="5">
        <v>0.0905589421212612</v>
      </c>
      <c r="M1240" s="5">
        <v>-18.3427924399079</v>
      </c>
      <c r="N1240" s="5">
        <v>-18.3427924399079</v>
      </c>
      <c r="O1240" s="5">
        <v>-18.3427924399079</v>
      </c>
      <c r="P1240" s="5">
        <v>0.0</v>
      </c>
      <c r="Q1240" s="5">
        <v>0.0</v>
      </c>
      <c r="R1240" s="5">
        <v>0.0</v>
      </c>
      <c r="S1240" s="5">
        <v>27.6615342858941</v>
      </c>
    </row>
    <row r="1241">
      <c r="A1241" s="6">
        <v>42157.0</v>
      </c>
      <c r="B1241" s="5">
        <v>45.9196894817554</v>
      </c>
      <c r="C1241" s="5">
        <v>-33.9011772162407</v>
      </c>
      <c r="D1241" s="5">
        <v>94.0014186020775</v>
      </c>
      <c r="E1241" s="5">
        <v>45.9196894817554</v>
      </c>
      <c r="F1241" s="5">
        <v>45.9196894817554</v>
      </c>
      <c r="G1241" s="5">
        <v>-18.18722102893</v>
      </c>
      <c r="H1241" s="5">
        <v>-18.18722102893</v>
      </c>
      <c r="I1241" s="5">
        <v>-18.18722102893</v>
      </c>
      <c r="J1241" s="5">
        <v>-0.144118857246451</v>
      </c>
      <c r="K1241" s="5">
        <v>-0.144118857246451</v>
      </c>
      <c r="L1241" s="5">
        <v>-0.144118857246451</v>
      </c>
      <c r="M1241" s="5">
        <v>-18.0431021716835</v>
      </c>
      <c r="N1241" s="5">
        <v>-18.0431021716835</v>
      </c>
      <c r="O1241" s="5">
        <v>-18.0431021716835</v>
      </c>
      <c r="P1241" s="5">
        <v>0.0</v>
      </c>
      <c r="Q1241" s="5">
        <v>0.0</v>
      </c>
      <c r="R1241" s="5">
        <v>0.0</v>
      </c>
      <c r="S1241" s="5">
        <v>27.7324684528253</v>
      </c>
    </row>
    <row r="1242">
      <c r="A1242" s="6">
        <v>42158.0</v>
      </c>
      <c r="B1242" s="5">
        <v>45.9256111798299</v>
      </c>
      <c r="C1242" s="5">
        <v>-31.7210089373078</v>
      </c>
      <c r="D1242" s="5">
        <v>88.268713690621</v>
      </c>
      <c r="E1242" s="5">
        <v>45.9256111798299</v>
      </c>
      <c r="F1242" s="5">
        <v>45.9256111798299</v>
      </c>
      <c r="G1242" s="5">
        <v>-17.762905309194</v>
      </c>
      <c r="H1242" s="5">
        <v>-17.762905309194</v>
      </c>
      <c r="I1242" s="5">
        <v>-17.762905309194</v>
      </c>
      <c r="J1242" s="5">
        <v>0.00703780528177581</v>
      </c>
      <c r="K1242" s="5">
        <v>0.00703780528177581</v>
      </c>
      <c r="L1242" s="5">
        <v>0.00703780528177581</v>
      </c>
      <c r="M1242" s="5">
        <v>-17.7699431144758</v>
      </c>
      <c r="N1242" s="5">
        <v>-17.7699431144758</v>
      </c>
      <c r="O1242" s="5">
        <v>-17.7699431144758</v>
      </c>
      <c r="P1242" s="5">
        <v>0.0</v>
      </c>
      <c r="Q1242" s="5">
        <v>0.0</v>
      </c>
      <c r="R1242" s="5">
        <v>0.0</v>
      </c>
      <c r="S1242" s="5">
        <v>28.1627058706359</v>
      </c>
    </row>
    <row r="1243">
      <c r="A1243" s="6">
        <v>42159.0</v>
      </c>
      <c r="B1243" s="5">
        <v>45.9315328779044</v>
      </c>
      <c r="C1243" s="5">
        <v>-32.5094456271053</v>
      </c>
      <c r="D1243" s="5">
        <v>94.8867729817946</v>
      </c>
      <c r="E1243" s="5">
        <v>45.9315328779044</v>
      </c>
      <c r="F1243" s="5">
        <v>45.9315328779044</v>
      </c>
      <c r="G1243" s="5">
        <v>-18.3053732663883</v>
      </c>
      <c r="H1243" s="5">
        <v>-18.3053732663883</v>
      </c>
      <c r="I1243" s="5">
        <v>-18.3053732663883</v>
      </c>
      <c r="J1243" s="5">
        <v>-0.776422525901982</v>
      </c>
      <c r="K1243" s="5">
        <v>-0.776422525901982</v>
      </c>
      <c r="L1243" s="5">
        <v>-0.776422525901982</v>
      </c>
      <c r="M1243" s="5">
        <v>-17.5289507404863</v>
      </c>
      <c r="N1243" s="5">
        <v>-17.5289507404863</v>
      </c>
      <c r="O1243" s="5">
        <v>-17.5289507404863</v>
      </c>
      <c r="P1243" s="5">
        <v>0.0</v>
      </c>
      <c r="Q1243" s="5">
        <v>0.0</v>
      </c>
      <c r="R1243" s="5">
        <v>0.0</v>
      </c>
      <c r="S1243" s="5">
        <v>27.6261596115161</v>
      </c>
    </row>
    <row r="1244">
      <c r="A1244" s="6">
        <v>42160.0</v>
      </c>
      <c r="B1244" s="5">
        <v>45.937454575979</v>
      </c>
      <c r="C1244" s="5">
        <v>-32.372094965999</v>
      </c>
      <c r="D1244" s="5">
        <v>90.9093179741525</v>
      </c>
      <c r="E1244" s="5">
        <v>45.937454575979</v>
      </c>
      <c r="F1244" s="5">
        <v>45.937454575979</v>
      </c>
      <c r="G1244" s="5">
        <v>-18.9156110576011</v>
      </c>
      <c r="H1244" s="5">
        <v>-18.9156110576011</v>
      </c>
      <c r="I1244" s="5">
        <v>-18.9156110576011</v>
      </c>
      <c r="J1244" s="5">
        <v>-1.59155056649164</v>
      </c>
      <c r="K1244" s="5">
        <v>-1.59155056649164</v>
      </c>
      <c r="L1244" s="5">
        <v>-1.59155056649164</v>
      </c>
      <c r="M1244" s="5">
        <v>-17.3240604911095</v>
      </c>
      <c r="N1244" s="5">
        <v>-17.3240604911095</v>
      </c>
      <c r="O1244" s="5">
        <v>-17.3240604911095</v>
      </c>
      <c r="P1244" s="5">
        <v>0.0</v>
      </c>
      <c r="Q1244" s="5">
        <v>0.0</v>
      </c>
      <c r="R1244" s="5">
        <v>0.0</v>
      </c>
      <c r="S1244" s="5">
        <v>27.0218435183778</v>
      </c>
    </row>
    <row r="1245">
      <c r="A1245" s="6">
        <v>42163.0</v>
      </c>
      <c r="B1245" s="5">
        <v>45.9552196702026</v>
      </c>
      <c r="C1245" s="5">
        <v>-27.1196404872041</v>
      </c>
      <c r="D1245" s="5">
        <v>88.2668756147518</v>
      </c>
      <c r="E1245" s="5">
        <v>45.9552196702026</v>
      </c>
      <c r="F1245" s="5">
        <v>45.9552196702026</v>
      </c>
      <c r="G1245" s="5">
        <v>-16.8480580707308</v>
      </c>
      <c r="H1245" s="5">
        <v>-16.8480580707308</v>
      </c>
      <c r="I1245" s="5">
        <v>-16.8480580707308</v>
      </c>
      <c r="J1245" s="5">
        <v>0.0905589421222076</v>
      </c>
      <c r="K1245" s="5">
        <v>0.0905589421222076</v>
      </c>
      <c r="L1245" s="5">
        <v>0.0905589421222076</v>
      </c>
      <c r="M1245" s="5">
        <v>-16.938617012853</v>
      </c>
      <c r="N1245" s="5">
        <v>-16.938617012853</v>
      </c>
      <c r="O1245" s="5">
        <v>-16.938617012853</v>
      </c>
      <c r="P1245" s="5">
        <v>0.0</v>
      </c>
      <c r="Q1245" s="5">
        <v>0.0</v>
      </c>
      <c r="R1245" s="5">
        <v>0.0</v>
      </c>
      <c r="S1245" s="5">
        <v>29.1071615994718</v>
      </c>
    </row>
    <row r="1246">
      <c r="A1246" s="6">
        <v>42164.0</v>
      </c>
      <c r="B1246" s="5">
        <v>45.9611413682772</v>
      </c>
      <c r="C1246" s="5">
        <v>-37.4397567791816</v>
      </c>
      <c r="D1246" s="5">
        <v>88.70461058405</v>
      </c>
      <c r="E1246" s="5">
        <v>45.9611413682772</v>
      </c>
      <c r="F1246" s="5">
        <v>45.9611413682772</v>
      </c>
      <c r="G1246" s="5">
        <v>-17.0260572994817</v>
      </c>
      <c r="H1246" s="5">
        <v>-17.0260572994817</v>
      </c>
      <c r="I1246" s="5">
        <v>-17.0260572994817</v>
      </c>
      <c r="J1246" s="5">
        <v>-0.144118857245363</v>
      </c>
      <c r="K1246" s="5">
        <v>-0.144118857245363</v>
      </c>
      <c r="L1246" s="5">
        <v>-0.144118857245363</v>
      </c>
      <c r="M1246" s="5">
        <v>-16.8819384422364</v>
      </c>
      <c r="N1246" s="5">
        <v>-16.8819384422364</v>
      </c>
      <c r="O1246" s="5">
        <v>-16.8819384422364</v>
      </c>
      <c r="P1246" s="5">
        <v>0.0</v>
      </c>
      <c r="Q1246" s="5">
        <v>0.0</v>
      </c>
      <c r="R1246" s="5">
        <v>0.0</v>
      </c>
      <c r="S1246" s="5">
        <v>28.9350840687954</v>
      </c>
    </row>
    <row r="1247">
      <c r="A1247" s="6">
        <v>42165.0</v>
      </c>
      <c r="B1247" s="5">
        <v>45.9670630663517</v>
      </c>
      <c r="C1247" s="5">
        <v>-32.0141129777876</v>
      </c>
      <c r="D1247" s="5">
        <v>96.4269946603495</v>
      </c>
      <c r="E1247" s="5">
        <v>45.9670630663517</v>
      </c>
      <c r="F1247" s="5">
        <v>45.9670630663517</v>
      </c>
      <c r="G1247" s="5">
        <v>-16.8477177188169</v>
      </c>
      <c r="H1247" s="5">
        <v>-16.8477177188169</v>
      </c>
      <c r="I1247" s="5">
        <v>-16.8477177188169</v>
      </c>
      <c r="J1247" s="5">
        <v>0.00703780528308688</v>
      </c>
      <c r="K1247" s="5">
        <v>0.00703780528308688</v>
      </c>
      <c r="L1247" s="5">
        <v>0.00703780528308688</v>
      </c>
      <c r="M1247" s="5">
        <v>-16.8547555241</v>
      </c>
      <c r="N1247" s="5">
        <v>-16.8547555241</v>
      </c>
      <c r="O1247" s="5">
        <v>-16.8547555241</v>
      </c>
      <c r="P1247" s="5">
        <v>0.0</v>
      </c>
      <c r="Q1247" s="5">
        <v>0.0</v>
      </c>
      <c r="R1247" s="5">
        <v>0.0</v>
      </c>
      <c r="S1247" s="5">
        <v>29.1193453475348</v>
      </c>
    </row>
    <row r="1248">
      <c r="A1248" s="6">
        <v>42166.0</v>
      </c>
      <c r="B1248" s="5">
        <v>45.9729847644263</v>
      </c>
      <c r="C1248" s="5">
        <v>-37.7864685995271</v>
      </c>
      <c r="D1248" s="5">
        <v>98.3793475212206</v>
      </c>
      <c r="E1248" s="5">
        <v>45.9729847644263</v>
      </c>
      <c r="F1248" s="5">
        <v>45.9729847644263</v>
      </c>
      <c r="G1248" s="5">
        <v>-17.6275089271566</v>
      </c>
      <c r="H1248" s="5">
        <v>-17.6275089271566</v>
      </c>
      <c r="I1248" s="5">
        <v>-17.6275089271566</v>
      </c>
      <c r="J1248" s="5">
        <v>-0.776422525902704</v>
      </c>
      <c r="K1248" s="5">
        <v>-0.776422525902704</v>
      </c>
      <c r="L1248" s="5">
        <v>-0.776422525902704</v>
      </c>
      <c r="M1248" s="5">
        <v>-16.8510864012539</v>
      </c>
      <c r="N1248" s="5">
        <v>-16.8510864012539</v>
      </c>
      <c r="O1248" s="5">
        <v>-16.8510864012539</v>
      </c>
      <c r="P1248" s="5">
        <v>0.0</v>
      </c>
      <c r="Q1248" s="5">
        <v>0.0</v>
      </c>
      <c r="R1248" s="5">
        <v>0.0</v>
      </c>
      <c r="S1248" s="5">
        <v>28.3454758372697</v>
      </c>
    </row>
    <row r="1249">
      <c r="A1249" s="6">
        <v>42167.0</v>
      </c>
      <c r="B1249" s="5">
        <v>45.9789064625008</v>
      </c>
      <c r="C1249" s="5">
        <v>-35.8033847122519</v>
      </c>
      <c r="D1249" s="5">
        <v>88.8224616122702</v>
      </c>
      <c r="E1249" s="5">
        <v>45.9789064625008</v>
      </c>
      <c r="F1249" s="5">
        <v>45.9789064625008</v>
      </c>
      <c r="G1249" s="5">
        <v>-18.455372012658</v>
      </c>
      <c r="H1249" s="5">
        <v>-18.455372012658</v>
      </c>
      <c r="I1249" s="5">
        <v>-18.455372012658</v>
      </c>
      <c r="J1249" s="5">
        <v>-1.59155056649378</v>
      </c>
      <c r="K1249" s="5">
        <v>-1.59155056649378</v>
      </c>
      <c r="L1249" s="5">
        <v>-1.59155056649378</v>
      </c>
      <c r="M1249" s="5">
        <v>-16.8638214461642</v>
      </c>
      <c r="N1249" s="5">
        <v>-16.8638214461642</v>
      </c>
      <c r="O1249" s="5">
        <v>-16.8638214461642</v>
      </c>
      <c r="P1249" s="5">
        <v>0.0</v>
      </c>
      <c r="Q1249" s="5">
        <v>0.0</v>
      </c>
      <c r="R1249" s="5">
        <v>0.0</v>
      </c>
      <c r="S1249" s="5">
        <v>27.5235344498428</v>
      </c>
    </row>
    <row r="1250">
      <c r="A1250" s="6">
        <v>42170.0</v>
      </c>
      <c r="B1250" s="5">
        <v>45.9966715567245</v>
      </c>
      <c r="C1250" s="5">
        <v>-34.7014263171966</v>
      </c>
      <c r="D1250" s="5">
        <v>89.6790613347606</v>
      </c>
      <c r="E1250" s="5">
        <v>45.9966715567245</v>
      </c>
      <c r="F1250" s="5">
        <v>45.9966715567245</v>
      </c>
      <c r="G1250" s="5">
        <v>-16.8275282264349</v>
      </c>
      <c r="H1250" s="5">
        <v>-16.8275282264349</v>
      </c>
      <c r="I1250" s="5">
        <v>-16.8275282264349</v>
      </c>
      <c r="J1250" s="5">
        <v>0.0905589421207702</v>
      </c>
      <c r="K1250" s="5">
        <v>0.0905589421207702</v>
      </c>
      <c r="L1250" s="5">
        <v>0.0905589421207702</v>
      </c>
      <c r="M1250" s="5">
        <v>-16.9180871685557</v>
      </c>
      <c r="N1250" s="5">
        <v>-16.9180871685557</v>
      </c>
      <c r="O1250" s="5">
        <v>-16.9180871685557</v>
      </c>
      <c r="P1250" s="5">
        <v>0.0</v>
      </c>
      <c r="Q1250" s="5">
        <v>0.0</v>
      </c>
      <c r="R1250" s="5">
        <v>0.0</v>
      </c>
      <c r="S1250" s="5">
        <v>29.1691433302895</v>
      </c>
    </row>
    <row r="1251">
      <c r="A1251" s="6">
        <v>42171.0</v>
      </c>
      <c r="B1251" s="5">
        <v>46.002593254799</v>
      </c>
      <c r="C1251" s="5">
        <v>-33.053587826501</v>
      </c>
      <c r="D1251" s="5">
        <v>91.6275983126495</v>
      </c>
      <c r="E1251" s="5">
        <v>46.002593254799</v>
      </c>
      <c r="F1251" s="5">
        <v>46.002593254799</v>
      </c>
      <c r="G1251" s="5">
        <v>-17.0565148440534</v>
      </c>
      <c r="H1251" s="5">
        <v>-17.0565148440534</v>
      </c>
      <c r="I1251" s="5">
        <v>-17.0565148440534</v>
      </c>
      <c r="J1251" s="5">
        <v>-0.144118857246799</v>
      </c>
      <c r="K1251" s="5">
        <v>-0.144118857246799</v>
      </c>
      <c r="L1251" s="5">
        <v>-0.144118857246799</v>
      </c>
      <c r="M1251" s="5">
        <v>-16.9123959868066</v>
      </c>
      <c r="N1251" s="5">
        <v>-16.9123959868066</v>
      </c>
      <c r="O1251" s="5">
        <v>-16.9123959868066</v>
      </c>
      <c r="P1251" s="5">
        <v>0.0</v>
      </c>
      <c r="Q1251" s="5">
        <v>0.0</v>
      </c>
      <c r="R1251" s="5">
        <v>0.0</v>
      </c>
      <c r="S1251" s="5">
        <v>28.9460784107455</v>
      </c>
    </row>
    <row r="1252">
      <c r="A1252" s="6">
        <v>42172.0</v>
      </c>
      <c r="B1252" s="5">
        <v>46.0085149528736</v>
      </c>
      <c r="C1252" s="5">
        <v>-33.4051378443629</v>
      </c>
      <c r="D1252" s="5">
        <v>91.2271121845713</v>
      </c>
      <c r="E1252" s="5">
        <v>46.0085149528736</v>
      </c>
      <c r="F1252" s="5">
        <v>46.0085149528736</v>
      </c>
      <c r="G1252" s="5">
        <v>-16.873452553683</v>
      </c>
      <c r="H1252" s="5">
        <v>-16.873452553683</v>
      </c>
      <c r="I1252" s="5">
        <v>-16.873452553683</v>
      </c>
      <c r="J1252" s="5">
        <v>0.00703780528322576</v>
      </c>
      <c r="K1252" s="5">
        <v>0.00703780528322576</v>
      </c>
      <c r="L1252" s="5">
        <v>0.00703780528322576</v>
      </c>
      <c r="M1252" s="5">
        <v>-16.8804903589662</v>
      </c>
      <c r="N1252" s="5">
        <v>-16.8804903589662</v>
      </c>
      <c r="O1252" s="5">
        <v>-16.8804903589662</v>
      </c>
      <c r="P1252" s="5">
        <v>0.0</v>
      </c>
      <c r="Q1252" s="5">
        <v>0.0</v>
      </c>
      <c r="R1252" s="5">
        <v>0.0</v>
      </c>
      <c r="S1252" s="5">
        <v>29.1350623991906</v>
      </c>
    </row>
    <row r="1253">
      <c r="A1253" s="6">
        <v>42173.0</v>
      </c>
      <c r="B1253" s="5">
        <v>46.0144366509481</v>
      </c>
      <c r="C1253" s="5">
        <v>-35.6344472137913</v>
      </c>
      <c r="D1253" s="5">
        <v>90.250940558206</v>
      </c>
      <c r="E1253" s="5">
        <v>46.0144366509481</v>
      </c>
      <c r="F1253" s="5">
        <v>46.0144366509481</v>
      </c>
      <c r="G1253" s="5">
        <v>-17.5909835808113</v>
      </c>
      <c r="H1253" s="5">
        <v>-17.5909835808113</v>
      </c>
      <c r="I1253" s="5">
        <v>-17.5909835808113</v>
      </c>
      <c r="J1253" s="5">
        <v>-0.776422525900576</v>
      </c>
      <c r="K1253" s="5">
        <v>-0.776422525900576</v>
      </c>
      <c r="L1253" s="5">
        <v>-0.776422525900576</v>
      </c>
      <c r="M1253" s="5">
        <v>-16.8145610549107</v>
      </c>
      <c r="N1253" s="5">
        <v>-16.8145610549107</v>
      </c>
      <c r="O1253" s="5">
        <v>-16.8145610549107</v>
      </c>
      <c r="P1253" s="5">
        <v>0.0</v>
      </c>
      <c r="Q1253" s="5">
        <v>0.0</v>
      </c>
      <c r="R1253" s="5">
        <v>0.0</v>
      </c>
      <c r="S1253" s="5">
        <v>28.4234530701368</v>
      </c>
    </row>
    <row r="1254">
      <c r="A1254" s="6">
        <v>42174.0</v>
      </c>
      <c r="B1254" s="5">
        <v>46.0203583490227</v>
      </c>
      <c r="C1254" s="5">
        <v>-35.9124839285621</v>
      </c>
      <c r="D1254" s="5">
        <v>88.1856578081239</v>
      </c>
      <c r="E1254" s="5">
        <v>46.0203583490227</v>
      </c>
      <c r="F1254" s="5">
        <v>46.0203583490227</v>
      </c>
      <c r="G1254" s="5">
        <v>-18.2992718395922</v>
      </c>
      <c r="H1254" s="5">
        <v>-18.2992718395922</v>
      </c>
      <c r="I1254" s="5">
        <v>-18.2992718395922</v>
      </c>
      <c r="J1254" s="5">
        <v>-1.59155056649254</v>
      </c>
      <c r="K1254" s="5">
        <v>-1.59155056649254</v>
      </c>
      <c r="L1254" s="5">
        <v>-1.59155056649254</v>
      </c>
      <c r="M1254" s="5">
        <v>-16.7077212730996</v>
      </c>
      <c r="N1254" s="5">
        <v>-16.7077212730996</v>
      </c>
      <c r="O1254" s="5">
        <v>-16.7077212730996</v>
      </c>
      <c r="P1254" s="5">
        <v>0.0</v>
      </c>
      <c r="Q1254" s="5">
        <v>0.0</v>
      </c>
      <c r="R1254" s="5">
        <v>0.0</v>
      </c>
      <c r="S1254" s="5">
        <v>27.7210865094305</v>
      </c>
    </row>
    <row r="1255">
      <c r="A1255" s="6">
        <v>42177.0</v>
      </c>
      <c r="B1255" s="5">
        <v>46.0381234432463</v>
      </c>
      <c r="C1255" s="5">
        <v>-35.4492020979693</v>
      </c>
      <c r="D1255" s="5">
        <v>92.572761105063</v>
      </c>
      <c r="E1255" s="5">
        <v>46.0381234432463</v>
      </c>
      <c r="F1255" s="5">
        <v>46.0381234432463</v>
      </c>
      <c r="G1255" s="5">
        <v>-16.0011304807274</v>
      </c>
      <c r="H1255" s="5">
        <v>-16.0011304807274</v>
      </c>
      <c r="I1255" s="5">
        <v>-16.0011304807274</v>
      </c>
      <c r="J1255" s="5">
        <v>0.0905589421193328</v>
      </c>
      <c r="K1255" s="5">
        <v>0.0905589421193328</v>
      </c>
      <c r="L1255" s="5">
        <v>0.0905589421193328</v>
      </c>
      <c r="M1255" s="5">
        <v>-16.0916894228468</v>
      </c>
      <c r="N1255" s="5">
        <v>-16.0916894228468</v>
      </c>
      <c r="O1255" s="5">
        <v>-16.0916894228468</v>
      </c>
      <c r="P1255" s="5">
        <v>0.0</v>
      </c>
      <c r="Q1255" s="5">
        <v>0.0</v>
      </c>
      <c r="R1255" s="5">
        <v>0.0</v>
      </c>
      <c r="S1255" s="5">
        <v>30.0369929625188</v>
      </c>
    </row>
    <row r="1256">
      <c r="A1256" s="6">
        <v>42178.0</v>
      </c>
      <c r="B1256" s="5">
        <v>46.0440451413209</v>
      </c>
      <c r="C1256" s="5">
        <v>-31.7504919629826</v>
      </c>
      <c r="D1256" s="5">
        <v>92.6501750626846</v>
      </c>
      <c r="E1256" s="5">
        <v>46.0440451413209</v>
      </c>
      <c r="F1256" s="5">
        <v>46.0440451413209</v>
      </c>
      <c r="G1256" s="5">
        <v>-15.9228368230772</v>
      </c>
      <c r="H1256" s="5">
        <v>-15.9228368230772</v>
      </c>
      <c r="I1256" s="5">
        <v>-15.9228368230772</v>
      </c>
      <c r="J1256" s="5">
        <v>-0.144118857244602</v>
      </c>
      <c r="K1256" s="5">
        <v>-0.144118857244602</v>
      </c>
      <c r="L1256" s="5">
        <v>-0.144118857244602</v>
      </c>
      <c r="M1256" s="5">
        <v>-15.7787179658326</v>
      </c>
      <c r="N1256" s="5">
        <v>-15.7787179658326</v>
      </c>
      <c r="O1256" s="5">
        <v>-15.7787179658326</v>
      </c>
      <c r="P1256" s="5">
        <v>0.0</v>
      </c>
      <c r="Q1256" s="5">
        <v>0.0</v>
      </c>
      <c r="R1256" s="5">
        <v>0.0</v>
      </c>
      <c r="S1256" s="5">
        <v>30.1212083182436</v>
      </c>
    </row>
    <row r="1257">
      <c r="A1257" s="6">
        <v>42179.0</v>
      </c>
      <c r="B1257" s="5">
        <v>46.0499668393954</v>
      </c>
      <c r="C1257" s="5">
        <v>-35.6056245843922</v>
      </c>
      <c r="D1257" s="5">
        <v>95.2665557816863</v>
      </c>
      <c r="E1257" s="5">
        <v>46.0499668393954</v>
      </c>
      <c r="F1257" s="5">
        <v>46.0499668393954</v>
      </c>
      <c r="G1257" s="5">
        <v>-15.4045367825954</v>
      </c>
      <c r="H1257" s="5">
        <v>-15.4045367825954</v>
      </c>
      <c r="I1257" s="5">
        <v>-15.4045367825954</v>
      </c>
      <c r="J1257" s="5">
        <v>0.0070378052823732</v>
      </c>
      <c r="K1257" s="5">
        <v>0.0070378052823732</v>
      </c>
      <c r="L1257" s="5">
        <v>0.0070378052823732</v>
      </c>
      <c r="M1257" s="5">
        <v>-15.4115745878778</v>
      </c>
      <c r="N1257" s="5">
        <v>-15.4115745878778</v>
      </c>
      <c r="O1257" s="5">
        <v>-15.4115745878778</v>
      </c>
      <c r="P1257" s="5">
        <v>0.0</v>
      </c>
      <c r="Q1257" s="5">
        <v>0.0</v>
      </c>
      <c r="R1257" s="5">
        <v>0.0</v>
      </c>
      <c r="S1257" s="5">
        <v>30.6454300567999</v>
      </c>
    </row>
    <row r="1258">
      <c r="A1258" s="6">
        <v>42180.0</v>
      </c>
      <c r="B1258" s="5">
        <v>46.05588853747</v>
      </c>
      <c r="C1258" s="5">
        <v>-35.7912437120757</v>
      </c>
      <c r="D1258" s="5">
        <v>89.5712939615243</v>
      </c>
      <c r="E1258" s="5">
        <v>46.05588853747</v>
      </c>
      <c r="F1258" s="5">
        <v>46.05588853747</v>
      </c>
      <c r="G1258" s="5">
        <v>-15.7690976619988</v>
      </c>
      <c r="H1258" s="5">
        <v>-15.7690976619988</v>
      </c>
      <c r="I1258" s="5">
        <v>-15.7690976619988</v>
      </c>
      <c r="J1258" s="5">
        <v>-0.776422525902673</v>
      </c>
      <c r="K1258" s="5">
        <v>-0.776422525902673</v>
      </c>
      <c r="L1258" s="5">
        <v>-0.776422525902673</v>
      </c>
      <c r="M1258" s="5">
        <v>-14.9926751360961</v>
      </c>
      <c r="N1258" s="5">
        <v>-14.9926751360961</v>
      </c>
      <c r="O1258" s="5">
        <v>-14.9926751360961</v>
      </c>
      <c r="P1258" s="5">
        <v>0.0</v>
      </c>
      <c r="Q1258" s="5">
        <v>0.0</v>
      </c>
      <c r="R1258" s="5">
        <v>0.0</v>
      </c>
      <c r="S1258" s="5">
        <v>30.2867908754711</v>
      </c>
    </row>
    <row r="1259">
      <c r="A1259" s="6">
        <v>42181.0</v>
      </c>
      <c r="B1259" s="5">
        <v>46.0618102355445</v>
      </c>
      <c r="C1259" s="5">
        <v>-35.6369979807786</v>
      </c>
      <c r="D1259" s="5">
        <v>92.396343809008</v>
      </c>
      <c r="E1259" s="5">
        <v>46.0618102355445</v>
      </c>
      <c r="F1259" s="5">
        <v>46.0618102355445</v>
      </c>
      <c r="G1259" s="5">
        <v>-16.117710968018</v>
      </c>
      <c r="H1259" s="5">
        <v>-16.117710968018</v>
      </c>
      <c r="I1259" s="5">
        <v>-16.117710968018</v>
      </c>
      <c r="J1259" s="5">
        <v>-1.59155056649161</v>
      </c>
      <c r="K1259" s="5">
        <v>-1.59155056649161</v>
      </c>
      <c r="L1259" s="5">
        <v>-1.59155056649161</v>
      </c>
      <c r="M1259" s="5">
        <v>-14.5261604015264</v>
      </c>
      <c r="N1259" s="5">
        <v>-14.5261604015264</v>
      </c>
      <c r="O1259" s="5">
        <v>-14.5261604015264</v>
      </c>
      <c r="P1259" s="5">
        <v>0.0</v>
      </c>
      <c r="Q1259" s="5">
        <v>0.0</v>
      </c>
      <c r="R1259" s="5">
        <v>0.0</v>
      </c>
      <c r="S1259" s="5">
        <v>29.9440992675264</v>
      </c>
    </row>
    <row r="1260">
      <c r="A1260" s="6">
        <v>42184.0</v>
      </c>
      <c r="B1260" s="5">
        <v>46.0795753297681</v>
      </c>
      <c r="C1260" s="5">
        <v>-31.6783434027626</v>
      </c>
      <c r="D1260" s="5">
        <v>93.7667625941626</v>
      </c>
      <c r="E1260" s="5">
        <v>46.0795753297681</v>
      </c>
      <c r="F1260" s="5">
        <v>46.0795753297681</v>
      </c>
      <c r="G1260" s="5">
        <v>-12.8153496542596</v>
      </c>
      <c r="H1260" s="5">
        <v>-12.8153496542596</v>
      </c>
      <c r="I1260" s="5">
        <v>-12.8153496542596</v>
      </c>
      <c r="J1260" s="5">
        <v>0.0905589421203593</v>
      </c>
      <c r="K1260" s="5">
        <v>0.0905589421203593</v>
      </c>
      <c r="L1260" s="5">
        <v>0.0905589421203593</v>
      </c>
      <c r="M1260" s="5">
        <v>-12.90590859638</v>
      </c>
      <c r="N1260" s="5">
        <v>-12.90590859638</v>
      </c>
      <c r="O1260" s="5">
        <v>-12.90590859638</v>
      </c>
      <c r="P1260" s="5">
        <v>0.0</v>
      </c>
      <c r="Q1260" s="5">
        <v>0.0</v>
      </c>
      <c r="R1260" s="5">
        <v>0.0</v>
      </c>
      <c r="S1260" s="5">
        <v>33.2642256755085</v>
      </c>
    </row>
    <row r="1261">
      <c r="A1261" s="6">
        <v>42185.0</v>
      </c>
      <c r="B1261" s="5">
        <v>46.0854970278427</v>
      </c>
      <c r="C1261" s="5">
        <v>-31.2361915503684</v>
      </c>
      <c r="D1261" s="5">
        <v>94.846004764093</v>
      </c>
      <c r="E1261" s="5">
        <v>46.0854970278427</v>
      </c>
      <c r="F1261" s="5">
        <v>46.0854970278427</v>
      </c>
      <c r="G1261" s="5">
        <v>-12.4646756002764</v>
      </c>
      <c r="H1261" s="5">
        <v>-12.4646756002764</v>
      </c>
      <c r="I1261" s="5">
        <v>-12.4646756002764</v>
      </c>
      <c r="J1261" s="5">
        <v>-0.144118857244928</v>
      </c>
      <c r="K1261" s="5">
        <v>-0.144118857244928</v>
      </c>
      <c r="L1261" s="5">
        <v>-0.144118857244928</v>
      </c>
      <c r="M1261" s="5">
        <v>-12.3205567430314</v>
      </c>
      <c r="N1261" s="5">
        <v>-12.3205567430314</v>
      </c>
      <c r="O1261" s="5">
        <v>-12.3205567430314</v>
      </c>
      <c r="P1261" s="5">
        <v>0.0</v>
      </c>
      <c r="Q1261" s="5">
        <v>0.0</v>
      </c>
      <c r="R1261" s="5">
        <v>0.0</v>
      </c>
      <c r="S1261" s="5">
        <v>33.6208214275663</v>
      </c>
    </row>
    <row r="1262">
      <c r="A1262" s="6">
        <v>42186.0</v>
      </c>
      <c r="B1262" s="5">
        <v>46.0914187259172</v>
      </c>
      <c r="C1262" s="5">
        <v>-25.3457696770814</v>
      </c>
      <c r="D1262" s="5">
        <v>96.7933536176379</v>
      </c>
      <c r="E1262" s="5">
        <v>46.0914187259172</v>
      </c>
      <c r="F1262" s="5">
        <v>46.0914187259172</v>
      </c>
      <c r="G1262" s="5">
        <v>-11.7221992751241</v>
      </c>
      <c r="H1262" s="5">
        <v>-11.7221992751241</v>
      </c>
      <c r="I1262" s="5">
        <v>-11.7221992751241</v>
      </c>
      <c r="J1262" s="5">
        <v>0.00703780528152078</v>
      </c>
      <c r="K1262" s="5">
        <v>0.00703780528152078</v>
      </c>
      <c r="L1262" s="5">
        <v>0.00703780528152078</v>
      </c>
      <c r="M1262" s="5">
        <v>-11.7292370804057</v>
      </c>
      <c r="N1262" s="5">
        <v>-11.7292370804057</v>
      </c>
      <c r="O1262" s="5">
        <v>-11.7292370804057</v>
      </c>
      <c r="P1262" s="5">
        <v>0.0</v>
      </c>
      <c r="Q1262" s="5">
        <v>0.0</v>
      </c>
      <c r="R1262" s="5">
        <v>0.0</v>
      </c>
      <c r="S1262" s="5">
        <v>34.369219450793</v>
      </c>
    </row>
    <row r="1263">
      <c r="A1263" s="6">
        <v>42187.0</v>
      </c>
      <c r="B1263" s="5">
        <v>46.0973404239918</v>
      </c>
      <c r="C1263" s="5">
        <v>-31.496294465591</v>
      </c>
      <c r="D1263" s="5">
        <v>93.1924416928092</v>
      </c>
      <c r="E1263" s="5">
        <v>46.0973404239918</v>
      </c>
      <c r="F1263" s="5">
        <v>46.0973404239918</v>
      </c>
      <c r="G1263" s="5">
        <v>-11.9193058732688</v>
      </c>
      <c r="H1263" s="5">
        <v>-11.9193058732688</v>
      </c>
      <c r="I1263" s="5">
        <v>-11.9193058732688</v>
      </c>
      <c r="J1263" s="5">
        <v>-0.77642252590477</v>
      </c>
      <c r="K1263" s="5">
        <v>-0.77642252590477</v>
      </c>
      <c r="L1263" s="5">
        <v>-0.77642252590477</v>
      </c>
      <c r="M1263" s="5">
        <v>-11.1428833473641</v>
      </c>
      <c r="N1263" s="5">
        <v>-11.1428833473641</v>
      </c>
      <c r="O1263" s="5">
        <v>-11.1428833473641</v>
      </c>
      <c r="P1263" s="5">
        <v>0.0</v>
      </c>
      <c r="Q1263" s="5">
        <v>0.0</v>
      </c>
      <c r="R1263" s="5">
        <v>0.0</v>
      </c>
      <c r="S1263" s="5">
        <v>34.1780345507229</v>
      </c>
    </row>
    <row r="1264">
      <c r="A1264" s="6">
        <v>42191.0</v>
      </c>
      <c r="B1264" s="5">
        <v>46.12102721629</v>
      </c>
      <c r="C1264" s="5">
        <v>-29.3074910654438</v>
      </c>
      <c r="D1264" s="5">
        <v>96.2901708199257</v>
      </c>
      <c r="E1264" s="5">
        <v>46.12102721629</v>
      </c>
      <c r="F1264" s="5">
        <v>46.12102721629</v>
      </c>
      <c r="G1264" s="5">
        <v>-8.97544154395978</v>
      </c>
      <c r="H1264" s="5">
        <v>-8.97544154395978</v>
      </c>
      <c r="I1264" s="5">
        <v>-8.97544154395978</v>
      </c>
      <c r="J1264" s="5">
        <v>0.0905589421213057</v>
      </c>
      <c r="K1264" s="5">
        <v>0.0905589421213057</v>
      </c>
      <c r="L1264" s="5">
        <v>0.0905589421213057</v>
      </c>
      <c r="M1264" s="5">
        <v>-9.06600048608108</v>
      </c>
      <c r="N1264" s="5">
        <v>-9.06600048608108</v>
      </c>
      <c r="O1264" s="5">
        <v>-9.06600048608108</v>
      </c>
      <c r="P1264" s="5">
        <v>0.0</v>
      </c>
      <c r="Q1264" s="5">
        <v>0.0</v>
      </c>
      <c r="R1264" s="5">
        <v>0.0</v>
      </c>
      <c r="S1264" s="5">
        <v>37.1455856723302</v>
      </c>
    </row>
    <row r="1265">
      <c r="A1265" s="6">
        <v>42192.0</v>
      </c>
      <c r="B1265" s="5">
        <v>46.1269489143645</v>
      </c>
      <c r="C1265" s="5">
        <v>-25.1062000600657</v>
      </c>
      <c r="D1265" s="5">
        <v>101.646617948752</v>
      </c>
      <c r="E1265" s="5">
        <v>46.1269489143645</v>
      </c>
      <c r="F1265" s="5">
        <v>46.1269489143645</v>
      </c>
      <c r="G1265" s="5">
        <v>-8.80839811761571</v>
      </c>
      <c r="H1265" s="5">
        <v>-8.80839811761571</v>
      </c>
      <c r="I1265" s="5">
        <v>-8.80839811761571</v>
      </c>
      <c r="J1265" s="5">
        <v>-0.14411885724384</v>
      </c>
      <c r="K1265" s="5">
        <v>-0.14411885724384</v>
      </c>
      <c r="L1265" s="5">
        <v>-0.14411885724384</v>
      </c>
      <c r="M1265" s="5">
        <v>-8.66427926037187</v>
      </c>
      <c r="N1265" s="5">
        <v>-8.66427926037187</v>
      </c>
      <c r="O1265" s="5">
        <v>-8.66427926037187</v>
      </c>
      <c r="P1265" s="5">
        <v>0.0</v>
      </c>
      <c r="Q1265" s="5">
        <v>0.0</v>
      </c>
      <c r="R1265" s="5">
        <v>0.0</v>
      </c>
      <c r="S1265" s="5">
        <v>37.3185507967488</v>
      </c>
    </row>
    <row r="1266">
      <c r="A1266" s="6">
        <v>42193.0</v>
      </c>
      <c r="B1266" s="5">
        <v>46.1328706124391</v>
      </c>
      <c r="C1266" s="5">
        <v>-28.6384003868731</v>
      </c>
      <c r="D1266" s="5">
        <v>97.6003916456222</v>
      </c>
      <c r="E1266" s="5">
        <v>46.1328706124391</v>
      </c>
      <c r="F1266" s="5">
        <v>46.1328706124391</v>
      </c>
      <c r="G1266" s="5">
        <v>-8.3192727555978</v>
      </c>
      <c r="H1266" s="5">
        <v>-8.3192727555978</v>
      </c>
      <c r="I1266" s="5">
        <v>-8.3192727555978</v>
      </c>
      <c r="J1266" s="5">
        <v>0.00703780528283185</v>
      </c>
      <c r="K1266" s="5">
        <v>0.00703780528283185</v>
      </c>
      <c r="L1266" s="5">
        <v>0.00703780528283185</v>
      </c>
      <c r="M1266" s="5">
        <v>-8.32631056088063</v>
      </c>
      <c r="N1266" s="5">
        <v>-8.32631056088063</v>
      </c>
      <c r="O1266" s="5">
        <v>-8.32631056088063</v>
      </c>
      <c r="P1266" s="5">
        <v>0.0</v>
      </c>
      <c r="Q1266" s="5">
        <v>0.0</v>
      </c>
      <c r="R1266" s="5">
        <v>0.0</v>
      </c>
      <c r="S1266" s="5">
        <v>37.8135978568413</v>
      </c>
    </row>
    <row r="1267">
      <c r="A1267" s="6">
        <v>42194.0</v>
      </c>
      <c r="B1267" s="5">
        <v>46.1387923105136</v>
      </c>
      <c r="C1267" s="5">
        <v>-24.0967288101001</v>
      </c>
      <c r="D1267" s="5">
        <v>98.7337247457568</v>
      </c>
      <c r="E1267" s="5">
        <v>46.1387923105136</v>
      </c>
      <c r="F1267" s="5">
        <v>46.1387923105136</v>
      </c>
      <c r="G1267" s="5">
        <v>-8.83447613009597</v>
      </c>
      <c r="H1267" s="5">
        <v>-8.83447613009597</v>
      </c>
      <c r="I1267" s="5">
        <v>-8.83447613009597</v>
      </c>
      <c r="J1267" s="5">
        <v>-0.776422525902642</v>
      </c>
      <c r="K1267" s="5">
        <v>-0.776422525902642</v>
      </c>
      <c r="L1267" s="5">
        <v>-0.776422525902642</v>
      </c>
      <c r="M1267" s="5">
        <v>-8.05805360419333</v>
      </c>
      <c r="N1267" s="5">
        <v>-8.05805360419333</v>
      </c>
      <c r="O1267" s="5">
        <v>-8.05805360419333</v>
      </c>
      <c r="P1267" s="5">
        <v>0.0</v>
      </c>
      <c r="Q1267" s="5">
        <v>0.0</v>
      </c>
      <c r="R1267" s="5">
        <v>0.0</v>
      </c>
      <c r="S1267" s="5">
        <v>37.3043161804176</v>
      </c>
    </row>
    <row r="1268">
      <c r="A1268" s="6">
        <v>42195.0</v>
      </c>
      <c r="B1268" s="5">
        <v>46.1447140085881</v>
      </c>
      <c r="C1268" s="5">
        <v>-22.3920555130804</v>
      </c>
      <c r="D1268" s="5">
        <v>98.4802276618993</v>
      </c>
      <c r="E1268" s="5">
        <v>46.1447140085881</v>
      </c>
      <c r="F1268" s="5">
        <v>46.1447140085881</v>
      </c>
      <c r="G1268" s="5">
        <v>-9.45531281657925</v>
      </c>
      <c r="H1268" s="5">
        <v>-9.45531281657925</v>
      </c>
      <c r="I1268" s="5">
        <v>-9.45531281657925</v>
      </c>
      <c r="J1268" s="5">
        <v>-1.59155056649251</v>
      </c>
      <c r="K1268" s="5">
        <v>-1.59155056649251</v>
      </c>
      <c r="L1268" s="5">
        <v>-1.59155056649251</v>
      </c>
      <c r="M1268" s="5">
        <v>-7.86376225008673</v>
      </c>
      <c r="N1268" s="5">
        <v>-7.86376225008673</v>
      </c>
      <c r="O1268" s="5">
        <v>-7.86376225008673</v>
      </c>
      <c r="P1268" s="5">
        <v>0.0</v>
      </c>
      <c r="Q1268" s="5">
        <v>0.0</v>
      </c>
      <c r="R1268" s="5">
        <v>0.0</v>
      </c>
      <c r="S1268" s="5">
        <v>36.6894011920089</v>
      </c>
    </row>
    <row r="1269">
      <c r="A1269" s="6">
        <v>42198.0</v>
      </c>
      <c r="B1269" s="5">
        <v>46.1624791028118</v>
      </c>
      <c r="C1269" s="5">
        <v>-22.9758686799019</v>
      </c>
      <c r="D1269" s="5">
        <v>102.053923524708</v>
      </c>
      <c r="E1269" s="5">
        <v>46.1624791028118</v>
      </c>
      <c r="F1269" s="5">
        <v>46.1624791028118</v>
      </c>
      <c r="G1269" s="5">
        <v>-7.64862544465553</v>
      </c>
      <c r="H1269" s="5">
        <v>-7.64862544465553</v>
      </c>
      <c r="I1269" s="5">
        <v>-7.64862544465553</v>
      </c>
      <c r="J1269" s="5">
        <v>0.0905589421222521</v>
      </c>
      <c r="K1269" s="5">
        <v>0.0905589421222521</v>
      </c>
      <c r="L1269" s="5">
        <v>0.0905589421222521</v>
      </c>
      <c r="M1269" s="5">
        <v>-7.73918438677778</v>
      </c>
      <c r="N1269" s="5">
        <v>-7.73918438677778</v>
      </c>
      <c r="O1269" s="5">
        <v>-7.73918438677778</v>
      </c>
      <c r="P1269" s="5">
        <v>0.0</v>
      </c>
      <c r="Q1269" s="5">
        <v>0.0</v>
      </c>
      <c r="R1269" s="5">
        <v>0.0</v>
      </c>
      <c r="S1269" s="5">
        <v>38.5138536581563</v>
      </c>
    </row>
    <row r="1270">
      <c r="A1270" s="6">
        <v>42199.0</v>
      </c>
      <c r="B1270" s="5">
        <v>46.1684008008863</v>
      </c>
      <c r="C1270" s="5">
        <v>-25.3512564229435</v>
      </c>
      <c r="D1270" s="5">
        <v>102.460928151627</v>
      </c>
      <c r="E1270" s="5">
        <v>46.1684008008863</v>
      </c>
      <c r="F1270" s="5">
        <v>46.1684008008863</v>
      </c>
      <c r="G1270" s="5">
        <v>-7.98970953457359</v>
      </c>
      <c r="H1270" s="5">
        <v>-7.98970953457359</v>
      </c>
      <c r="I1270" s="5">
        <v>-7.98970953457359</v>
      </c>
      <c r="J1270" s="5">
        <v>-0.14411885724669</v>
      </c>
      <c r="K1270" s="5">
        <v>-0.14411885724669</v>
      </c>
      <c r="L1270" s="5">
        <v>-0.14411885724669</v>
      </c>
      <c r="M1270" s="5">
        <v>-7.8455906773269</v>
      </c>
      <c r="N1270" s="5">
        <v>-7.8455906773269</v>
      </c>
      <c r="O1270" s="5">
        <v>-7.8455906773269</v>
      </c>
      <c r="P1270" s="5">
        <v>0.0</v>
      </c>
      <c r="Q1270" s="5">
        <v>0.0</v>
      </c>
      <c r="R1270" s="5">
        <v>0.0</v>
      </c>
      <c r="S1270" s="5">
        <v>38.1786912663127</v>
      </c>
    </row>
    <row r="1271">
      <c r="A1271" s="6">
        <v>42200.0</v>
      </c>
      <c r="B1271" s="5">
        <v>46.1743224989609</v>
      </c>
      <c r="C1271" s="5">
        <v>-26.7086340669113</v>
      </c>
      <c r="D1271" s="5">
        <v>96.4115127127947</v>
      </c>
      <c r="E1271" s="5">
        <v>46.1743224989609</v>
      </c>
      <c r="F1271" s="5">
        <v>46.1743224989609</v>
      </c>
      <c r="G1271" s="5">
        <v>-8.01176992865777</v>
      </c>
      <c r="H1271" s="5">
        <v>-8.01176992865777</v>
      </c>
      <c r="I1271" s="5">
        <v>-8.01176992865777</v>
      </c>
      <c r="J1271" s="5">
        <v>0.00703780528080707</v>
      </c>
      <c r="K1271" s="5">
        <v>0.00703780528080707</v>
      </c>
      <c r="L1271" s="5">
        <v>0.00703780528080707</v>
      </c>
      <c r="M1271" s="5">
        <v>-8.01880773393858</v>
      </c>
      <c r="N1271" s="5">
        <v>-8.01880773393858</v>
      </c>
      <c r="O1271" s="5">
        <v>-8.01880773393858</v>
      </c>
      <c r="P1271" s="5">
        <v>0.0</v>
      </c>
      <c r="Q1271" s="5">
        <v>0.0</v>
      </c>
      <c r="R1271" s="5">
        <v>0.0</v>
      </c>
      <c r="S1271" s="5">
        <v>38.1625525703031</v>
      </c>
    </row>
    <row r="1272">
      <c r="A1272" s="6">
        <v>42201.0</v>
      </c>
      <c r="B1272" s="5">
        <v>46.1802441970354</v>
      </c>
      <c r="C1272" s="5">
        <v>-28.80255248254</v>
      </c>
      <c r="D1272" s="5">
        <v>97.6801359515261</v>
      </c>
      <c r="E1272" s="5">
        <v>46.1802441970354</v>
      </c>
      <c r="F1272" s="5">
        <v>46.1802441970354</v>
      </c>
      <c r="G1272" s="5">
        <v>-9.02832936731649</v>
      </c>
      <c r="H1272" s="5">
        <v>-9.02832936731649</v>
      </c>
      <c r="I1272" s="5">
        <v>-9.02832936731649</v>
      </c>
      <c r="J1272" s="5">
        <v>-0.776422525903364</v>
      </c>
      <c r="K1272" s="5">
        <v>-0.776422525903364</v>
      </c>
      <c r="L1272" s="5">
        <v>-0.776422525903364</v>
      </c>
      <c r="M1272" s="5">
        <v>-8.25190684141312</v>
      </c>
      <c r="N1272" s="5">
        <v>-8.25190684141312</v>
      </c>
      <c r="O1272" s="5">
        <v>-8.25190684141312</v>
      </c>
      <c r="P1272" s="5">
        <v>0.0</v>
      </c>
      <c r="Q1272" s="5">
        <v>0.0</v>
      </c>
      <c r="R1272" s="5">
        <v>0.0</v>
      </c>
      <c r="S1272" s="5">
        <v>37.1519148297189</v>
      </c>
    </row>
    <row r="1273">
      <c r="A1273" s="6">
        <v>42202.0</v>
      </c>
      <c r="B1273" s="5">
        <v>46.18616589511</v>
      </c>
      <c r="C1273" s="5">
        <v>-28.2873855563929</v>
      </c>
      <c r="D1273" s="5">
        <v>97.333502432446</v>
      </c>
      <c r="E1273" s="5">
        <v>46.18616589511</v>
      </c>
      <c r="F1273" s="5">
        <v>46.18616589511</v>
      </c>
      <c r="G1273" s="5">
        <v>-10.1279853354608</v>
      </c>
      <c r="H1273" s="5">
        <v>-10.1279853354608</v>
      </c>
      <c r="I1273" s="5">
        <v>-10.1279853354608</v>
      </c>
      <c r="J1273" s="5">
        <v>-1.59155056649433</v>
      </c>
      <c r="K1273" s="5">
        <v>-1.59155056649433</v>
      </c>
      <c r="L1273" s="5">
        <v>-1.59155056649433</v>
      </c>
      <c r="M1273" s="5">
        <v>-8.53643476896648</v>
      </c>
      <c r="N1273" s="5">
        <v>-8.53643476896648</v>
      </c>
      <c r="O1273" s="5">
        <v>-8.53643476896648</v>
      </c>
      <c r="P1273" s="5">
        <v>0.0</v>
      </c>
      <c r="Q1273" s="5">
        <v>0.0</v>
      </c>
      <c r="R1273" s="5">
        <v>0.0</v>
      </c>
      <c r="S1273" s="5">
        <v>36.0581805596492</v>
      </c>
    </row>
    <row r="1274">
      <c r="A1274" s="6">
        <v>42205.0</v>
      </c>
      <c r="B1274" s="5">
        <v>46.2039309893336</v>
      </c>
      <c r="C1274" s="5">
        <v>-24.5514602793374</v>
      </c>
      <c r="D1274" s="5">
        <v>95.1848782702589</v>
      </c>
      <c r="E1274" s="5">
        <v>46.2039309893336</v>
      </c>
      <c r="F1274" s="5">
        <v>46.2039309893336</v>
      </c>
      <c r="G1274" s="5">
        <v>-9.50561062498223</v>
      </c>
      <c r="H1274" s="5">
        <v>-9.50561062498223</v>
      </c>
      <c r="I1274" s="5">
        <v>-9.50561062498223</v>
      </c>
      <c r="J1274" s="5">
        <v>0.0905589421232786</v>
      </c>
      <c r="K1274" s="5">
        <v>0.0905589421232786</v>
      </c>
      <c r="L1274" s="5">
        <v>0.0905589421232786</v>
      </c>
      <c r="M1274" s="5">
        <v>-9.59616956710551</v>
      </c>
      <c r="N1274" s="5">
        <v>-9.59616956710551</v>
      </c>
      <c r="O1274" s="5">
        <v>-9.59616956710551</v>
      </c>
      <c r="P1274" s="5">
        <v>0.0</v>
      </c>
      <c r="Q1274" s="5">
        <v>0.0</v>
      </c>
      <c r="R1274" s="5">
        <v>0.0</v>
      </c>
      <c r="S1274" s="5">
        <v>36.6983203643514</v>
      </c>
    </row>
    <row r="1275">
      <c r="A1275" s="6">
        <v>42206.0</v>
      </c>
      <c r="B1275" s="5">
        <v>46.2098526874082</v>
      </c>
      <c r="C1275" s="5">
        <v>-25.7093495666682</v>
      </c>
      <c r="D1275" s="5">
        <v>100.907129173344</v>
      </c>
      <c r="E1275" s="5">
        <v>46.2098526874082</v>
      </c>
      <c r="F1275" s="5">
        <v>46.2098526874082</v>
      </c>
      <c r="G1275" s="5">
        <v>-10.1241038295115</v>
      </c>
      <c r="H1275" s="5">
        <v>-10.1241038295115</v>
      </c>
      <c r="I1275" s="5">
        <v>-10.1241038295115</v>
      </c>
      <c r="J1275" s="5">
        <v>-0.144118857245601</v>
      </c>
      <c r="K1275" s="5">
        <v>-0.144118857245601</v>
      </c>
      <c r="L1275" s="5">
        <v>-0.144118857245601</v>
      </c>
      <c r="M1275" s="5">
        <v>-9.9799849722659</v>
      </c>
      <c r="N1275" s="5">
        <v>-9.9799849722659</v>
      </c>
      <c r="O1275" s="5">
        <v>-9.9799849722659</v>
      </c>
      <c r="P1275" s="5">
        <v>0.0</v>
      </c>
      <c r="Q1275" s="5">
        <v>0.0</v>
      </c>
      <c r="R1275" s="5">
        <v>0.0</v>
      </c>
      <c r="S1275" s="5">
        <v>36.0857488578967</v>
      </c>
    </row>
    <row r="1276">
      <c r="A1276" s="6">
        <v>42207.0</v>
      </c>
      <c r="B1276" s="5">
        <v>46.2157743854827</v>
      </c>
      <c r="C1276" s="5">
        <v>-26.1146604739798</v>
      </c>
      <c r="D1276" s="5">
        <v>102.858637086404</v>
      </c>
      <c r="E1276" s="5">
        <v>46.2157743854827</v>
      </c>
      <c r="F1276" s="5">
        <v>46.2157743854827</v>
      </c>
      <c r="G1276" s="5">
        <v>-10.3520498908195</v>
      </c>
      <c r="H1276" s="5">
        <v>-10.3520498908195</v>
      </c>
      <c r="I1276" s="5">
        <v>-10.3520498908195</v>
      </c>
      <c r="J1276" s="5">
        <v>0.00703780528211814</v>
      </c>
      <c r="K1276" s="5">
        <v>0.00703780528211814</v>
      </c>
      <c r="L1276" s="5">
        <v>0.00703780528211814</v>
      </c>
      <c r="M1276" s="5">
        <v>-10.3590876961016</v>
      </c>
      <c r="N1276" s="5">
        <v>-10.3590876961016</v>
      </c>
      <c r="O1276" s="5">
        <v>-10.3590876961016</v>
      </c>
      <c r="P1276" s="5">
        <v>0.0</v>
      </c>
      <c r="Q1276" s="5">
        <v>0.0</v>
      </c>
      <c r="R1276" s="5">
        <v>0.0</v>
      </c>
      <c r="S1276" s="5">
        <v>35.8637244946632</v>
      </c>
    </row>
    <row r="1277">
      <c r="A1277" s="6">
        <v>42208.0</v>
      </c>
      <c r="B1277" s="5">
        <v>46.2216960835573</v>
      </c>
      <c r="C1277" s="5">
        <v>-25.4668301885979</v>
      </c>
      <c r="D1277" s="5">
        <v>96.2613543518506</v>
      </c>
      <c r="E1277" s="5">
        <v>46.2216960835573</v>
      </c>
      <c r="F1277" s="5">
        <v>46.2216960835573</v>
      </c>
      <c r="G1277" s="5">
        <v>-11.4980211984125</v>
      </c>
      <c r="H1277" s="5">
        <v>-11.4980211984125</v>
      </c>
      <c r="I1277" s="5">
        <v>-11.4980211984125</v>
      </c>
      <c r="J1277" s="5">
        <v>-0.776422525904086</v>
      </c>
      <c r="K1277" s="5">
        <v>-0.776422525904086</v>
      </c>
      <c r="L1277" s="5">
        <v>-0.776422525904086</v>
      </c>
      <c r="M1277" s="5">
        <v>-10.7215986725084</v>
      </c>
      <c r="N1277" s="5">
        <v>-10.7215986725084</v>
      </c>
      <c r="O1277" s="5">
        <v>-10.7215986725084</v>
      </c>
      <c r="P1277" s="5">
        <v>0.0</v>
      </c>
      <c r="Q1277" s="5">
        <v>0.0</v>
      </c>
      <c r="R1277" s="5">
        <v>0.0</v>
      </c>
      <c r="S1277" s="5">
        <v>34.7236748851447</v>
      </c>
    </row>
    <row r="1278">
      <c r="A1278" s="6">
        <v>42209.0</v>
      </c>
      <c r="B1278" s="5">
        <v>46.2276177816318</v>
      </c>
      <c r="C1278" s="5">
        <v>-35.1853909612675</v>
      </c>
      <c r="D1278" s="5">
        <v>95.6876666038442</v>
      </c>
      <c r="E1278" s="5">
        <v>46.2276177816318</v>
      </c>
      <c r="F1278" s="5">
        <v>46.2276177816318</v>
      </c>
      <c r="G1278" s="5">
        <v>-12.6477148264378</v>
      </c>
      <c r="H1278" s="5">
        <v>-12.6477148264378</v>
      </c>
      <c r="I1278" s="5">
        <v>-12.6477148264378</v>
      </c>
      <c r="J1278" s="5">
        <v>-1.5915505664934</v>
      </c>
      <c r="K1278" s="5">
        <v>-1.5915505664934</v>
      </c>
      <c r="L1278" s="5">
        <v>-1.5915505664934</v>
      </c>
      <c r="M1278" s="5">
        <v>-11.0561642599443</v>
      </c>
      <c r="N1278" s="5">
        <v>-11.0561642599443</v>
      </c>
      <c r="O1278" s="5">
        <v>-11.0561642599443</v>
      </c>
      <c r="P1278" s="5">
        <v>0.0</v>
      </c>
      <c r="Q1278" s="5">
        <v>0.0</v>
      </c>
      <c r="R1278" s="5">
        <v>0.0</v>
      </c>
      <c r="S1278" s="5">
        <v>33.579902955194</v>
      </c>
    </row>
    <row r="1279">
      <c r="A1279" s="6">
        <v>42212.0</v>
      </c>
      <c r="B1279" s="5">
        <v>46.2453828758555</v>
      </c>
      <c r="C1279" s="5">
        <v>-27.9121675658739</v>
      </c>
      <c r="D1279" s="5">
        <v>98.1515281165775</v>
      </c>
      <c r="E1279" s="5">
        <v>46.2453828758555</v>
      </c>
      <c r="F1279" s="5">
        <v>46.2453828758555</v>
      </c>
      <c r="G1279" s="5">
        <v>-11.7020823581051</v>
      </c>
      <c r="H1279" s="5">
        <v>-11.7020823581051</v>
      </c>
      <c r="I1279" s="5">
        <v>-11.7020823581051</v>
      </c>
      <c r="J1279" s="5">
        <v>0.0905589421195375</v>
      </c>
      <c r="K1279" s="5">
        <v>0.0905589421195375</v>
      </c>
      <c r="L1279" s="5">
        <v>0.0905589421195375</v>
      </c>
      <c r="M1279" s="5">
        <v>-11.7926413002246</v>
      </c>
      <c r="N1279" s="5">
        <v>-11.7926413002246</v>
      </c>
      <c r="O1279" s="5">
        <v>-11.7926413002246</v>
      </c>
      <c r="P1279" s="5">
        <v>0.0</v>
      </c>
      <c r="Q1279" s="5">
        <v>0.0</v>
      </c>
      <c r="R1279" s="5">
        <v>0.0</v>
      </c>
      <c r="S1279" s="5">
        <v>34.5433005177503</v>
      </c>
    </row>
    <row r="1280">
      <c r="A1280" s="6">
        <v>42213.0</v>
      </c>
      <c r="B1280" s="5">
        <v>46.25130457393</v>
      </c>
      <c r="C1280" s="5">
        <v>-31.6181319265901</v>
      </c>
      <c r="D1280" s="5">
        <v>95.9703183191744</v>
      </c>
      <c r="E1280" s="5">
        <v>46.25130457393</v>
      </c>
      <c r="F1280" s="5">
        <v>46.25130457393</v>
      </c>
      <c r="G1280" s="5">
        <v>-12.0664194998308</v>
      </c>
      <c r="H1280" s="5">
        <v>-12.0664194998308</v>
      </c>
      <c r="I1280" s="5">
        <v>-12.0664194998308</v>
      </c>
      <c r="J1280" s="5">
        <v>-0.144118857244513</v>
      </c>
      <c r="K1280" s="5">
        <v>-0.144118857244513</v>
      </c>
      <c r="L1280" s="5">
        <v>-0.144118857244513</v>
      </c>
      <c r="M1280" s="5">
        <v>-11.9223006425863</v>
      </c>
      <c r="N1280" s="5">
        <v>-11.9223006425863</v>
      </c>
      <c r="O1280" s="5">
        <v>-11.9223006425863</v>
      </c>
      <c r="P1280" s="5">
        <v>0.0</v>
      </c>
      <c r="Q1280" s="5">
        <v>0.0</v>
      </c>
      <c r="R1280" s="5">
        <v>0.0</v>
      </c>
      <c r="S1280" s="5">
        <v>34.1848850740991</v>
      </c>
    </row>
    <row r="1281">
      <c r="A1281" s="6">
        <v>42214.0</v>
      </c>
      <c r="B1281" s="5">
        <v>46.2572262720046</v>
      </c>
      <c r="C1281" s="5">
        <v>-31.7095493415421</v>
      </c>
      <c r="D1281" s="5">
        <v>95.8104902476718</v>
      </c>
      <c r="E1281" s="5">
        <v>46.2572262720046</v>
      </c>
      <c r="F1281" s="5">
        <v>46.2572262720046</v>
      </c>
      <c r="G1281" s="5">
        <v>-11.9775367132942</v>
      </c>
      <c r="H1281" s="5">
        <v>-11.9775367132942</v>
      </c>
      <c r="I1281" s="5">
        <v>-11.9775367132942</v>
      </c>
      <c r="J1281" s="5">
        <v>0.00703780528126555</v>
      </c>
      <c r="K1281" s="5">
        <v>0.00703780528126555</v>
      </c>
      <c r="L1281" s="5">
        <v>0.00703780528126555</v>
      </c>
      <c r="M1281" s="5">
        <v>-11.9845745185755</v>
      </c>
      <c r="N1281" s="5">
        <v>-11.9845745185755</v>
      </c>
      <c r="O1281" s="5">
        <v>-11.9845745185755</v>
      </c>
      <c r="P1281" s="5">
        <v>0.0</v>
      </c>
      <c r="Q1281" s="5">
        <v>0.0</v>
      </c>
      <c r="R1281" s="5">
        <v>0.0</v>
      </c>
      <c r="S1281" s="5">
        <v>34.2796895587103</v>
      </c>
    </row>
    <row r="1282">
      <c r="A1282" s="6">
        <v>42215.0</v>
      </c>
      <c r="B1282" s="5">
        <v>46.2631479700791</v>
      </c>
      <c r="C1282" s="5">
        <v>-26.8517603720904</v>
      </c>
      <c r="D1282" s="5">
        <v>95.7262343027671</v>
      </c>
      <c r="E1282" s="5">
        <v>46.2631479700791</v>
      </c>
      <c r="F1282" s="5">
        <v>46.2631479700791</v>
      </c>
      <c r="G1282" s="5">
        <v>-12.7528422062059</v>
      </c>
      <c r="H1282" s="5">
        <v>-12.7528422062059</v>
      </c>
      <c r="I1282" s="5">
        <v>-12.7528422062059</v>
      </c>
      <c r="J1282" s="5">
        <v>-0.776422525906183</v>
      </c>
      <c r="K1282" s="5">
        <v>-0.776422525906183</v>
      </c>
      <c r="L1282" s="5">
        <v>-0.776422525906183</v>
      </c>
      <c r="M1282" s="5">
        <v>-11.9764196802997</v>
      </c>
      <c r="N1282" s="5">
        <v>-11.9764196802997</v>
      </c>
      <c r="O1282" s="5">
        <v>-11.9764196802997</v>
      </c>
      <c r="P1282" s="5">
        <v>0.0</v>
      </c>
      <c r="Q1282" s="5">
        <v>0.0</v>
      </c>
      <c r="R1282" s="5">
        <v>0.0</v>
      </c>
      <c r="S1282" s="5">
        <v>33.5103057638732</v>
      </c>
    </row>
    <row r="1283">
      <c r="A1283" s="6">
        <v>42216.0</v>
      </c>
      <c r="B1283" s="5">
        <v>46.2690696681536</v>
      </c>
      <c r="C1283" s="5">
        <v>-24.6202548150206</v>
      </c>
      <c r="D1283" s="5">
        <v>96.2143114722483</v>
      </c>
      <c r="E1283" s="5">
        <v>46.2690696681536</v>
      </c>
      <c r="F1283" s="5">
        <v>46.2690696681536</v>
      </c>
      <c r="G1283" s="5">
        <v>-13.4882019531347</v>
      </c>
      <c r="H1283" s="5">
        <v>-13.4882019531347</v>
      </c>
      <c r="I1283" s="5">
        <v>-13.4882019531347</v>
      </c>
      <c r="J1283" s="5">
        <v>-1.59155056649491</v>
      </c>
      <c r="K1283" s="5">
        <v>-1.59155056649491</v>
      </c>
      <c r="L1283" s="5">
        <v>-1.59155056649491</v>
      </c>
      <c r="M1283" s="5">
        <v>-11.8966513866398</v>
      </c>
      <c r="N1283" s="5">
        <v>-11.8966513866398</v>
      </c>
      <c r="O1283" s="5">
        <v>-11.8966513866398</v>
      </c>
      <c r="P1283" s="5">
        <v>0.0</v>
      </c>
      <c r="Q1283" s="5">
        <v>0.0</v>
      </c>
      <c r="R1283" s="5">
        <v>0.0</v>
      </c>
      <c r="S1283" s="5">
        <v>32.7808677150189</v>
      </c>
    </row>
    <row r="1284">
      <c r="A1284" s="6">
        <v>42219.0</v>
      </c>
      <c r="B1284" s="5">
        <v>46.2868347623773</v>
      </c>
      <c r="C1284" s="5">
        <v>-28.4278464073368</v>
      </c>
      <c r="D1284" s="5">
        <v>98.8470650711061</v>
      </c>
      <c r="E1284" s="5">
        <v>46.2868347623773</v>
      </c>
      <c r="F1284" s="5">
        <v>46.2868347623773</v>
      </c>
      <c r="G1284" s="5">
        <v>-11.1527743181917</v>
      </c>
      <c r="H1284" s="5">
        <v>-11.1527743181917</v>
      </c>
      <c r="I1284" s="5">
        <v>-11.1527743181917</v>
      </c>
      <c r="J1284" s="5">
        <v>0.0905589421204839</v>
      </c>
      <c r="K1284" s="5">
        <v>0.0905589421204839</v>
      </c>
      <c r="L1284" s="5">
        <v>0.0905589421204839</v>
      </c>
      <c r="M1284" s="5">
        <v>-11.2433332603122</v>
      </c>
      <c r="N1284" s="5">
        <v>-11.2433332603122</v>
      </c>
      <c r="O1284" s="5">
        <v>-11.2433332603122</v>
      </c>
      <c r="P1284" s="5">
        <v>0.0</v>
      </c>
      <c r="Q1284" s="5">
        <v>0.0</v>
      </c>
      <c r="R1284" s="5">
        <v>0.0</v>
      </c>
      <c r="S1284" s="5">
        <v>35.1340604441855</v>
      </c>
    </row>
    <row r="1285">
      <c r="A1285" s="6">
        <v>42220.0</v>
      </c>
      <c r="B1285" s="5">
        <v>46.2927564604518</v>
      </c>
      <c r="C1285" s="5">
        <v>-25.3698540001808</v>
      </c>
      <c r="D1285" s="5">
        <v>101.465912482021</v>
      </c>
      <c r="E1285" s="5">
        <v>46.2927564604518</v>
      </c>
      <c r="F1285" s="5">
        <v>46.2927564604518</v>
      </c>
      <c r="G1285" s="5">
        <v>-11.0454647576777</v>
      </c>
      <c r="H1285" s="5">
        <v>-11.0454647576777</v>
      </c>
      <c r="I1285" s="5">
        <v>-11.0454647576777</v>
      </c>
      <c r="J1285" s="5">
        <v>-0.144118857243425</v>
      </c>
      <c r="K1285" s="5">
        <v>-0.144118857243425</v>
      </c>
      <c r="L1285" s="5">
        <v>-0.144118857243425</v>
      </c>
      <c r="M1285" s="5">
        <v>-10.9013459004343</v>
      </c>
      <c r="N1285" s="5">
        <v>-10.9013459004343</v>
      </c>
      <c r="O1285" s="5">
        <v>-10.9013459004343</v>
      </c>
      <c r="P1285" s="5">
        <v>0.0</v>
      </c>
      <c r="Q1285" s="5">
        <v>0.0</v>
      </c>
      <c r="R1285" s="5">
        <v>0.0</v>
      </c>
      <c r="S1285" s="5">
        <v>35.2472917027741</v>
      </c>
    </row>
    <row r="1286">
      <c r="A1286" s="6">
        <v>42221.0</v>
      </c>
      <c r="B1286" s="5">
        <v>46.2986781585264</v>
      </c>
      <c r="C1286" s="5">
        <v>-26.4840049001187</v>
      </c>
      <c r="D1286" s="5">
        <v>95.4453512828662</v>
      </c>
      <c r="E1286" s="5">
        <v>46.2986781585264</v>
      </c>
      <c r="F1286" s="5">
        <v>46.2986781585264</v>
      </c>
      <c r="G1286" s="5">
        <v>-10.5008669134261</v>
      </c>
      <c r="H1286" s="5">
        <v>-10.5008669134261</v>
      </c>
      <c r="I1286" s="5">
        <v>-10.5008669134261</v>
      </c>
      <c r="J1286" s="5">
        <v>0.00703780528356789</v>
      </c>
      <c r="K1286" s="5">
        <v>0.00703780528356789</v>
      </c>
      <c r="L1286" s="5">
        <v>0.00703780528356789</v>
      </c>
      <c r="M1286" s="5">
        <v>-10.5079047187097</v>
      </c>
      <c r="N1286" s="5">
        <v>-10.5079047187097</v>
      </c>
      <c r="O1286" s="5">
        <v>-10.5079047187097</v>
      </c>
      <c r="P1286" s="5">
        <v>0.0</v>
      </c>
      <c r="Q1286" s="5">
        <v>0.0</v>
      </c>
      <c r="R1286" s="5">
        <v>0.0</v>
      </c>
      <c r="S1286" s="5">
        <v>35.7978112451002</v>
      </c>
    </row>
    <row r="1287">
      <c r="A1287" s="6">
        <v>42222.0</v>
      </c>
      <c r="B1287" s="5">
        <v>46.3045998566009</v>
      </c>
      <c r="C1287" s="5">
        <v>-26.3045642422528</v>
      </c>
      <c r="D1287" s="5">
        <v>98.9716556362215</v>
      </c>
      <c r="E1287" s="5">
        <v>46.3045998566009</v>
      </c>
      <c r="F1287" s="5">
        <v>46.3045998566009</v>
      </c>
      <c r="G1287" s="5">
        <v>-10.8476484847475</v>
      </c>
      <c r="H1287" s="5">
        <v>-10.8476484847475</v>
      </c>
      <c r="I1287" s="5">
        <v>-10.8476484847475</v>
      </c>
      <c r="J1287" s="5">
        <v>-0.77642252590268</v>
      </c>
      <c r="K1287" s="5">
        <v>-0.77642252590268</v>
      </c>
      <c r="L1287" s="5">
        <v>-0.77642252590268</v>
      </c>
      <c r="M1287" s="5">
        <v>-10.0712259588448</v>
      </c>
      <c r="N1287" s="5">
        <v>-10.0712259588448</v>
      </c>
      <c r="O1287" s="5">
        <v>-10.0712259588448</v>
      </c>
      <c r="P1287" s="5">
        <v>0.0</v>
      </c>
      <c r="Q1287" s="5">
        <v>0.0</v>
      </c>
      <c r="R1287" s="5">
        <v>0.0</v>
      </c>
      <c r="S1287" s="5">
        <v>35.4569513718534</v>
      </c>
    </row>
    <row r="1288">
      <c r="A1288" s="6">
        <v>42223.0</v>
      </c>
      <c r="B1288" s="5">
        <v>46.3105215546755</v>
      </c>
      <c r="C1288" s="5">
        <v>-30.191934456259</v>
      </c>
      <c r="D1288" s="5">
        <v>98.8385398602553</v>
      </c>
      <c r="E1288" s="5">
        <v>46.3105215546755</v>
      </c>
      <c r="F1288" s="5">
        <v>46.3105215546755</v>
      </c>
      <c r="G1288" s="5">
        <v>-11.1919432643296</v>
      </c>
      <c r="H1288" s="5">
        <v>-11.1919432643296</v>
      </c>
      <c r="I1288" s="5">
        <v>-11.1919432643296</v>
      </c>
      <c r="J1288" s="5">
        <v>-1.5915505664943</v>
      </c>
      <c r="K1288" s="5">
        <v>-1.5915505664943</v>
      </c>
      <c r="L1288" s="5">
        <v>-1.5915505664943</v>
      </c>
      <c r="M1288" s="5">
        <v>-9.60039269783532</v>
      </c>
      <c r="N1288" s="5">
        <v>-9.60039269783532</v>
      </c>
      <c r="O1288" s="5">
        <v>-9.60039269783532</v>
      </c>
      <c r="P1288" s="5">
        <v>0.0</v>
      </c>
      <c r="Q1288" s="5">
        <v>0.0</v>
      </c>
      <c r="R1288" s="5">
        <v>0.0</v>
      </c>
      <c r="S1288" s="5">
        <v>35.1185782903458</v>
      </c>
    </row>
    <row r="1289">
      <c r="A1289" s="6">
        <v>42226.0</v>
      </c>
      <c r="B1289" s="5">
        <v>46.3282866488991</v>
      </c>
      <c r="C1289" s="5">
        <v>-24.675465148018</v>
      </c>
      <c r="D1289" s="5">
        <v>97.9455068711085</v>
      </c>
      <c r="E1289" s="5">
        <v>46.3282866488991</v>
      </c>
      <c r="F1289" s="5">
        <v>46.3282866488991</v>
      </c>
      <c r="G1289" s="5">
        <v>-7.99027089997218</v>
      </c>
      <c r="H1289" s="5">
        <v>-7.99027089997218</v>
      </c>
      <c r="I1289" s="5">
        <v>-7.99027089997218</v>
      </c>
      <c r="J1289" s="5">
        <v>0.0905589421238942</v>
      </c>
      <c r="K1289" s="5">
        <v>0.0905589421238942</v>
      </c>
      <c r="L1289" s="5">
        <v>0.0905589421238942</v>
      </c>
      <c r="M1289" s="5">
        <v>-8.08082984209608</v>
      </c>
      <c r="N1289" s="5">
        <v>-8.08082984209608</v>
      </c>
      <c r="O1289" s="5">
        <v>-8.08082984209608</v>
      </c>
      <c r="P1289" s="5">
        <v>0.0</v>
      </c>
      <c r="Q1289" s="5">
        <v>0.0</v>
      </c>
      <c r="R1289" s="5">
        <v>0.0</v>
      </c>
      <c r="S1289" s="5">
        <v>38.3380157489269</v>
      </c>
    </row>
    <row r="1290">
      <c r="A1290" s="6">
        <v>42227.0</v>
      </c>
      <c r="B1290" s="5">
        <v>46.3342083469737</v>
      </c>
      <c r="C1290" s="5">
        <v>-26.4351990892565</v>
      </c>
      <c r="D1290" s="5">
        <v>95.4894442489056</v>
      </c>
      <c r="E1290" s="5">
        <v>46.3342083469737</v>
      </c>
      <c r="F1290" s="5">
        <v>46.3342083469737</v>
      </c>
      <c r="G1290" s="5">
        <v>-7.71564867759423</v>
      </c>
      <c r="H1290" s="5">
        <v>-7.71564867759423</v>
      </c>
      <c r="I1290" s="5">
        <v>-7.71564867759423</v>
      </c>
      <c r="J1290" s="5">
        <v>-0.144118857246275</v>
      </c>
      <c r="K1290" s="5">
        <v>-0.144118857246275</v>
      </c>
      <c r="L1290" s="5">
        <v>-0.144118857246275</v>
      </c>
      <c r="M1290" s="5">
        <v>-7.57152982034795</v>
      </c>
      <c r="N1290" s="5">
        <v>-7.57152982034795</v>
      </c>
      <c r="O1290" s="5">
        <v>-7.57152982034795</v>
      </c>
      <c r="P1290" s="5">
        <v>0.0</v>
      </c>
      <c r="Q1290" s="5">
        <v>0.0</v>
      </c>
      <c r="R1290" s="5">
        <v>0.0</v>
      </c>
      <c r="S1290" s="5">
        <v>38.6185596693794</v>
      </c>
    </row>
    <row r="1291">
      <c r="A1291" s="6">
        <v>42228.0</v>
      </c>
      <c r="B1291" s="5">
        <v>46.3401300450482</v>
      </c>
      <c r="C1291" s="5">
        <v>-26.2589656495183</v>
      </c>
      <c r="D1291" s="5">
        <v>105.570455858719</v>
      </c>
      <c r="E1291" s="5">
        <v>46.3401300450482</v>
      </c>
      <c r="F1291" s="5">
        <v>46.3401300450482</v>
      </c>
      <c r="G1291" s="5">
        <v>-7.0693921460744</v>
      </c>
      <c r="H1291" s="5">
        <v>-7.0693921460744</v>
      </c>
      <c r="I1291" s="5">
        <v>-7.0693921460744</v>
      </c>
      <c r="J1291" s="5">
        <v>0.00703780528271534</v>
      </c>
      <c r="K1291" s="5">
        <v>0.00703780528271534</v>
      </c>
      <c r="L1291" s="5">
        <v>0.00703780528271534</v>
      </c>
      <c r="M1291" s="5">
        <v>-7.07642995135712</v>
      </c>
      <c r="N1291" s="5">
        <v>-7.07642995135712</v>
      </c>
      <c r="O1291" s="5">
        <v>-7.07642995135712</v>
      </c>
      <c r="P1291" s="5">
        <v>0.0</v>
      </c>
      <c r="Q1291" s="5">
        <v>0.0</v>
      </c>
      <c r="R1291" s="5">
        <v>0.0</v>
      </c>
      <c r="S1291" s="5">
        <v>39.2707378989738</v>
      </c>
    </row>
    <row r="1292">
      <c r="A1292" s="6">
        <v>42229.0</v>
      </c>
      <c r="B1292" s="5">
        <v>46.3460517431228</v>
      </c>
      <c r="C1292" s="5">
        <v>-25.0616004157033</v>
      </c>
      <c r="D1292" s="5">
        <v>100.3537318313</v>
      </c>
      <c r="E1292" s="5">
        <v>46.3460517431228</v>
      </c>
      <c r="F1292" s="5">
        <v>46.3460517431228</v>
      </c>
      <c r="G1292" s="5">
        <v>-7.38022644038578</v>
      </c>
      <c r="H1292" s="5">
        <v>-7.38022644038578</v>
      </c>
      <c r="I1292" s="5">
        <v>-7.38022644038578</v>
      </c>
      <c r="J1292" s="5">
        <v>-0.776422525901927</v>
      </c>
      <c r="K1292" s="5">
        <v>-0.776422525901927</v>
      </c>
      <c r="L1292" s="5">
        <v>-0.776422525901927</v>
      </c>
      <c r="M1292" s="5">
        <v>-6.60380391448385</v>
      </c>
      <c r="N1292" s="5">
        <v>-6.60380391448385</v>
      </c>
      <c r="O1292" s="5">
        <v>-6.60380391448385</v>
      </c>
      <c r="P1292" s="5">
        <v>0.0</v>
      </c>
      <c r="Q1292" s="5">
        <v>0.0</v>
      </c>
      <c r="R1292" s="5">
        <v>0.0</v>
      </c>
      <c r="S1292" s="5">
        <v>38.965825302737</v>
      </c>
    </row>
    <row r="1293">
      <c r="A1293" s="6">
        <v>42230.0</v>
      </c>
      <c r="B1293" s="5">
        <v>46.3519734411973</v>
      </c>
      <c r="C1293" s="5">
        <v>-23.2064075988899</v>
      </c>
      <c r="D1293" s="5">
        <v>99.9958201349465</v>
      </c>
      <c r="E1293" s="5">
        <v>46.3519734411973</v>
      </c>
      <c r="F1293" s="5">
        <v>46.3519734411973</v>
      </c>
      <c r="G1293" s="5">
        <v>-7.75243009124138</v>
      </c>
      <c r="H1293" s="5">
        <v>-7.75243009124138</v>
      </c>
      <c r="I1293" s="5">
        <v>-7.75243009124138</v>
      </c>
      <c r="J1293" s="5">
        <v>-1.59155056649306</v>
      </c>
      <c r="K1293" s="5">
        <v>-1.59155056649306</v>
      </c>
      <c r="L1293" s="5">
        <v>-1.59155056649306</v>
      </c>
      <c r="M1293" s="5">
        <v>-6.16087952474832</v>
      </c>
      <c r="N1293" s="5">
        <v>-6.16087952474832</v>
      </c>
      <c r="O1293" s="5">
        <v>-6.16087952474832</v>
      </c>
      <c r="P1293" s="5">
        <v>0.0</v>
      </c>
      <c r="Q1293" s="5">
        <v>0.0</v>
      </c>
      <c r="R1293" s="5">
        <v>0.0</v>
      </c>
      <c r="S1293" s="5">
        <v>38.5995433499559</v>
      </c>
    </row>
    <row r="1294">
      <c r="A1294" s="6">
        <v>42233.0</v>
      </c>
      <c r="B1294" s="5">
        <v>46.3697385354209</v>
      </c>
      <c r="C1294" s="5">
        <v>-20.2145442440588</v>
      </c>
      <c r="D1294" s="5">
        <v>104.226550196373</v>
      </c>
      <c r="E1294" s="5">
        <v>46.3697385354209</v>
      </c>
      <c r="F1294" s="5">
        <v>46.3697385354209</v>
      </c>
      <c r="G1294" s="5">
        <v>-4.97274189909338</v>
      </c>
      <c r="H1294" s="5">
        <v>-4.97274189909338</v>
      </c>
      <c r="I1294" s="5">
        <v>-4.97274189909338</v>
      </c>
      <c r="J1294" s="5">
        <v>0.090558942122457</v>
      </c>
      <c r="K1294" s="5">
        <v>0.090558942122457</v>
      </c>
      <c r="L1294" s="5">
        <v>0.090558942122457</v>
      </c>
      <c r="M1294" s="5">
        <v>-5.06330084121584</v>
      </c>
      <c r="N1294" s="5">
        <v>-5.06330084121584</v>
      </c>
      <c r="O1294" s="5">
        <v>-5.06330084121584</v>
      </c>
      <c r="P1294" s="5">
        <v>0.0</v>
      </c>
      <c r="Q1294" s="5">
        <v>0.0</v>
      </c>
      <c r="R1294" s="5">
        <v>0.0</v>
      </c>
      <c r="S1294" s="5">
        <v>41.3969966363276</v>
      </c>
    </row>
    <row r="1295">
      <c r="A1295" s="6">
        <v>42234.0</v>
      </c>
      <c r="B1295" s="5">
        <v>46.3756602334955</v>
      </c>
      <c r="C1295" s="5">
        <v>-26.1055937318439</v>
      </c>
      <c r="D1295" s="5">
        <v>106.649544327453</v>
      </c>
      <c r="E1295" s="5">
        <v>46.3756602334955</v>
      </c>
      <c r="F1295" s="5">
        <v>46.3756602334955</v>
      </c>
      <c r="G1295" s="5">
        <v>-4.92906868851942</v>
      </c>
      <c r="H1295" s="5">
        <v>-4.92906868851942</v>
      </c>
      <c r="I1295" s="5">
        <v>-4.92906868851942</v>
      </c>
      <c r="J1295" s="5">
        <v>-0.144118857242663</v>
      </c>
      <c r="K1295" s="5">
        <v>-0.144118857242663</v>
      </c>
      <c r="L1295" s="5">
        <v>-0.144118857242663</v>
      </c>
      <c r="M1295" s="5">
        <v>-4.78494983127676</v>
      </c>
      <c r="N1295" s="5">
        <v>-4.78494983127676</v>
      </c>
      <c r="O1295" s="5">
        <v>-4.78494983127676</v>
      </c>
      <c r="P1295" s="5">
        <v>0.0</v>
      </c>
      <c r="Q1295" s="5">
        <v>0.0</v>
      </c>
      <c r="R1295" s="5">
        <v>0.0</v>
      </c>
      <c r="S1295" s="5">
        <v>41.4465915449761</v>
      </c>
    </row>
    <row r="1296">
      <c r="A1296" s="6">
        <v>42235.0</v>
      </c>
      <c r="B1296" s="5">
        <v>46.38158193157</v>
      </c>
      <c r="C1296" s="5">
        <v>-20.2942980316767</v>
      </c>
      <c r="D1296" s="5">
        <v>99.6499805962042</v>
      </c>
      <c r="E1296" s="5">
        <v>46.38158193157</v>
      </c>
      <c r="F1296" s="5">
        <v>46.38158193157</v>
      </c>
      <c r="G1296" s="5">
        <v>-4.54476017387677</v>
      </c>
      <c r="H1296" s="5">
        <v>-4.54476017387677</v>
      </c>
      <c r="I1296" s="5">
        <v>-4.54476017387677</v>
      </c>
      <c r="J1296" s="5">
        <v>0.00703780528186291</v>
      </c>
      <c r="K1296" s="5">
        <v>0.00703780528186291</v>
      </c>
      <c r="L1296" s="5">
        <v>0.00703780528186291</v>
      </c>
      <c r="M1296" s="5">
        <v>-4.55179797915863</v>
      </c>
      <c r="N1296" s="5">
        <v>-4.55179797915863</v>
      </c>
      <c r="O1296" s="5">
        <v>-4.55179797915863</v>
      </c>
      <c r="P1296" s="5">
        <v>0.0</v>
      </c>
      <c r="Q1296" s="5">
        <v>0.0</v>
      </c>
      <c r="R1296" s="5">
        <v>0.0</v>
      </c>
      <c r="S1296" s="5">
        <v>41.8368217576933</v>
      </c>
    </row>
    <row r="1297">
      <c r="A1297" s="6">
        <v>42236.0</v>
      </c>
      <c r="B1297" s="5">
        <v>46.3875036296446</v>
      </c>
      <c r="C1297" s="5">
        <v>-19.548989739956</v>
      </c>
      <c r="D1297" s="5">
        <v>107.232845249533</v>
      </c>
      <c r="E1297" s="5">
        <v>46.3875036296446</v>
      </c>
      <c r="F1297" s="5">
        <v>46.3875036296446</v>
      </c>
      <c r="G1297" s="5">
        <v>-5.13890657305665</v>
      </c>
      <c r="H1297" s="5">
        <v>-5.13890657305665</v>
      </c>
      <c r="I1297" s="5">
        <v>-5.13890657305665</v>
      </c>
      <c r="J1297" s="5">
        <v>-0.776422525901274</v>
      </c>
      <c r="K1297" s="5">
        <v>-0.776422525901274</v>
      </c>
      <c r="L1297" s="5">
        <v>-0.776422525901274</v>
      </c>
      <c r="M1297" s="5">
        <v>-4.36248404715537</v>
      </c>
      <c r="N1297" s="5">
        <v>-4.36248404715537</v>
      </c>
      <c r="O1297" s="5">
        <v>-4.36248404715537</v>
      </c>
      <c r="P1297" s="5">
        <v>0.0</v>
      </c>
      <c r="Q1297" s="5">
        <v>0.0</v>
      </c>
      <c r="R1297" s="5">
        <v>0.0</v>
      </c>
      <c r="S1297" s="5">
        <v>41.2485970565879</v>
      </c>
    </row>
    <row r="1298">
      <c r="A1298" s="6">
        <v>42237.0</v>
      </c>
      <c r="B1298" s="5">
        <v>46.3934253277191</v>
      </c>
      <c r="C1298" s="5">
        <v>-21.9450949745433</v>
      </c>
      <c r="D1298" s="5">
        <v>100.852331015969</v>
      </c>
      <c r="E1298" s="5">
        <v>46.3934253277191</v>
      </c>
      <c r="F1298" s="5">
        <v>46.3934253277191</v>
      </c>
      <c r="G1298" s="5">
        <v>-5.80582764583594</v>
      </c>
      <c r="H1298" s="5">
        <v>-5.80582764583594</v>
      </c>
      <c r="I1298" s="5">
        <v>-5.80582764583594</v>
      </c>
      <c r="J1298" s="5">
        <v>-1.59155056649456</v>
      </c>
      <c r="K1298" s="5">
        <v>-1.59155056649456</v>
      </c>
      <c r="L1298" s="5">
        <v>-1.59155056649456</v>
      </c>
      <c r="M1298" s="5">
        <v>-4.21427707934137</v>
      </c>
      <c r="N1298" s="5">
        <v>-4.21427707934137</v>
      </c>
      <c r="O1298" s="5">
        <v>-4.21427707934137</v>
      </c>
      <c r="P1298" s="5">
        <v>0.0</v>
      </c>
      <c r="Q1298" s="5">
        <v>0.0</v>
      </c>
      <c r="R1298" s="5">
        <v>0.0</v>
      </c>
      <c r="S1298" s="5">
        <v>40.5875976818832</v>
      </c>
    </row>
    <row r="1299">
      <c r="A1299" s="6">
        <v>42240.0</v>
      </c>
      <c r="B1299" s="5">
        <v>46.4111904219428</v>
      </c>
      <c r="C1299" s="5">
        <v>-18.5869940078999</v>
      </c>
      <c r="D1299" s="5">
        <v>109.389968274627</v>
      </c>
      <c r="E1299" s="5">
        <v>46.4111904219428</v>
      </c>
      <c r="F1299" s="5">
        <v>46.4111904219428</v>
      </c>
      <c r="G1299" s="5">
        <v>-3.88113975076728</v>
      </c>
      <c r="H1299" s="5">
        <v>-3.88113975076728</v>
      </c>
      <c r="I1299" s="5">
        <v>-3.88113975076728</v>
      </c>
      <c r="J1299" s="5">
        <v>0.090558942123403</v>
      </c>
      <c r="K1299" s="5">
        <v>0.090558942123403</v>
      </c>
      <c r="L1299" s="5">
        <v>0.090558942123403</v>
      </c>
      <c r="M1299" s="5">
        <v>-3.97169869289069</v>
      </c>
      <c r="N1299" s="5">
        <v>-3.97169869289069</v>
      </c>
      <c r="O1299" s="5">
        <v>-3.97169869289069</v>
      </c>
      <c r="P1299" s="5">
        <v>0.0</v>
      </c>
      <c r="Q1299" s="5">
        <v>0.0</v>
      </c>
      <c r="R1299" s="5">
        <v>0.0</v>
      </c>
      <c r="S1299" s="5">
        <v>42.5300506711755</v>
      </c>
    </row>
    <row r="1300">
      <c r="A1300" s="6">
        <v>42241.0</v>
      </c>
      <c r="B1300" s="5">
        <v>46.4171121200173</v>
      </c>
      <c r="C1300" s="5">
        <v>-21.8546546077604</v>
      </c>
      <c r="D1300" s="5">
        <v>104.066462487569</v>
      </c>
      <c r="E1300" s="5">
        <v>46.4171121200173</v>
      </c>
      <c r="F1300" s="5">
        <v>46.4171121200173</v>
      </c>
      <c r="G1300" s="5">
        <v>-4.08309029921204</v>
      </c>
      <c r="H1300" s="5">
        <v>-4.08309029921204</v>
      </c>
      <c r="I1300" s="5">
        <v>-4.08309029921204</v>
      </c>
      <c r="J1300" s="5">
        <v>-0.144118857244099</v>
      </c>
      <c r="K1300" s="5">
        <v>-0.144118857244099</v>
      </c>
      <c r="L1300" s="5">
        <v>-0.144118857244099</v>
      </c>
      <c r="M1300" s="5">
        <v>-3.93897144196794</v>
      </c>
      <c r="N1300" s="5">
        <v>-3.93897144196794</v>
      </c>
      <c r="O1300" s="5">
        <v>-3.93897144196794</v>
      </c>
      <c r="P1300" s="5">
        <v>0.0</v>
      </c>
      <c r="Q1300" s="5">
        <v>0.0</v>
      </c>
      <c r="R1300" s="5">
        <v>0.0</v>
      </c>
      <c r="S1300" s="5">
        <v>42.3340218208053</v>
      </c>
    </row>
    <row r="1301">
      <c r="A1301" s="6">
        <v>42242.0</v>
      </c>
      <c r="B1301" s="5">
        <v>46.4230338180919</v>
      </c>
      <c r="C1301" s="5">
        <v>-18.6741365402823</v>
      </c>
      <c r="D1301" s="5">
        <v>101.449892085327</v>
      </c>
      <c r="E1301" s="5">
        <v>46.4230338180919</v>
      </c>
      <c r="F1301" s="5">
        <v>46.4230338180919</v>
      </c>
      <c r="G1301" s="5">
        <v>-3.91232073026235</v>
      </c>
      <c r="H1301" s="5">
        <v>-3.91232073026235</v>
      </c>
      <c r="I1301" s="5">
        <v>-3.91232073026235</v>
      </c>
      <c r="J1301" s="5">
        <v>0.00703780528101036</v>
      </c>
      <c r="K1301" s="5">
        <v>0.00703780528101036</v>
      </c>
      <c r="L1301" s="5">
        <v>0.00703780528101036</v>
      </c>
      <c r="M1301" s="5">
        <v>-3.91935853554337</v>
      </c>
      <c r="N1301" s="5">
        <v>-3.91935853554337</v>
      </c>
      <c r="O1301" s="5">
        <v>-3.91935853554337</v>
      </c>
      <c r="P1301" s="5">
        <v>0.0</v>
      </c>
      <c r="Q1301" s="5">
        <v>0.0</v>
      </c>
      <c r="R1301" s="5">
        <v>0.0</v>
      </c>
      <c r="S1301" s="5">
        <v>42.5107130878295</v>
      </c>
    </row>
    <row r="1302">
      <c r="A1302" s="6">
        <v>42243.0</v>
      </c>
      <c r="B1302" s="5">
        <v>46.4289555161664</v>
      </c>
      <c r="C1302" s="5">
        <v>-24.9195454883218</v>
      </c>
      <c r="D1302" s="5">
        <v>103.982844384724</v>
      </c>
      <c r="E1302" s="5">
        <v>46.4289555161664</v>
      </c>
      <c r="F1302" s="5">
        <v>46.4289555161664</v>
      </c>
      <c r="G1302" s="5">
        <v>-4.68244853398275</v>
      </c>
      <c r="H1302" s="5">
        <v>-4.68244853398275</v>
      </c>
      <c r="I1302" s="5">
        <v>-4.68244853398275</v>
      </c>
      <c r="J1302" s="5">
        <v>-0.776422525900521</v>
      </c>
      <c r="K1302" s="5">
        <v>-0.776422525900521</v>
      </c>
      <c r="L1302" s="5">
        <v>-0.776422525900521</v>
      </c>
      <c r="M1302" s="5">
        <v>-3.90602600808223</v>
      </c>
      <c r="N1302" s="5">
        <v>-3.90602600808223</v>
      </c>
      <c r="O1302" s="5">
        <v>-3.90602600808223</v>
      </c>
      <c r="P1302" s="5">
        <v>0.0</v>
      </c>
      <c r="Q1302" s="5">
        <v>0.0</v>
      </c>
      <c r="R1302" s="5">
        <v>0.0</v>
      </c>
      <c r="S1302" s="5">
        <v>41.7465069821837</v>
      </c>
    </row>
    <row r="1303">
      <c r="A1303" s="6">
        <v>42244.0</v>
      </c>
      <c r="B1303" s="5">
        <v>46.434877214241</v>
      </c>
      <c r="C1303" s="5">
        <v>-24.1597920052041</v>
      </c>
      <c r="D1303" s="5">
        <v>102.290790839037</v>
      </c>
      <c r="E1303" s="5">
        <v>46.434877214241</v>
      </c>
      <c r="F1303" s="5">
        <v>46.434877214241</v>
      </c>
      <c r="G1303" s="5">
        <v>-5.48388723367613</v>
      </c>
      <c r="H1303" s="5">
        <v>-5.48388723367613</v>
      </c>
      <c r="I1303" s="5">
        <v>-5.48388723367613</v>
      </c>
      <c r="J1303" s="5">
        <v>-1.59155056649364</v>
      </c>
      <c r="K1303" s="5">
        <v>-1.59155056649364</v>
      </c>
      <c r="L1303" s="5">
        <v>-1.59155056649364</v>
      </c>
      <c r="M1303" s="5">
        <v>-3.89233666718249</v>
      </c>
      <c r="N1303" s="5">
        <v>-3.89233666718249</v>
      </c>
      <c r="O1303" s="5">
        <v>-3.89233666718249</v>
      </c>
      <c r="P1303" s="5">
        <v>0.0</v>
      </c>
      <c r="Q1303" s="5">
        <v>0.0</v>
      </c>
      <c r="R1303" s="5">
        <v>0.0</v>
      </c>
      <c r="S1303" s="5">
        <v>40.9509899805648</v>
      </c>
    </row>
    <row r="1304">
      <c r="A1304" s="6">
        <v>42247.0</v>
      </c>
      <c r="B1304" s="5">
        <v>46.4526423084646</v>
      </c>
      <c r="C1304" s="5">
        <v>-20.9026986775187</v>
      </c>
      <c r="D1304" s="5">
        <v>104.741691143919</v>
      </c>
      <c r="E1304" s="5">
        <v>46.4526423084646</v>
      </c>
      <c r="F1304" s="5">
        <v>46.4526423084646</v>
      </c>
      <c r="G1304" s="5">
        <v>-3.70042817553859</v>
      </c>
      <c r="H1304" s="5">
        <v>-3.70042817553859</v>
      </c>
      <c r="I1304" s="5">
        <v>-3.70042817553859</v>
      </c>
      <c r="J1304" s="5">
        <v>0.0905589421195818</v>
      </c>
      <c r="K1304" s="5">
        <v>0.0905589421195818</v>
      </c>
      <c r="L1304" s="5">
        <v>0.0905589421195818</v>
      </c>
      <c r="M1304" s="5">
        <v>-3.79098711765817</v>
      </c>
      <c r="N1304" s="5">
        <v>-3.79098711765817</v>
      </c>
      <c r="O1304" s="5">
        <v>-3.79098711765817</v>
      </c>
      <c r="P1304" s="5">
        <v>0.0</v>
      </c>
      <c r="Q1304" s="5">
        <v>0.0</v>
      </c>
      <c r="R1304" s="5">
        <v>0.0</v>
      </c>
      <c r="S1304" s="5">
        <v>42.752214132926</v>
      </c>
    </row>
    <row r="1305">
      <c r="A1305" s="6">
        <v>42248.0</v>
      </c>
      <c r="B1305" s="5">
        <v>46.4585640065392</v>
      </c>
      <c r="C1305" s="5">
        <v>-18.3285549196039</v>
      </c>
      <c r="D1305" s="5">
        <v>107.224730922466</v>
      </c>
      <c r="E1305" s="5">
        <v>46.4585640065392</v>
      </c>
      <c r="F1305" s="5">
        <v>46.4585640065392</v>
      </c>
      <c r="G1305" s="5">
        <v>-3.86614926597817</v>
      </c>
      <c r="H1305" s="5">
        <v>-3.86614926597817</v>
      </c>
      <c r="I1305" s="5">
        <v>-3.86614926597817</v>
      </c>
      <c r="J1305" s="5">
        <v>-0.144118857246949</v>
      </c>
      <c r="K1305" s="5">
        <v>-0.144118857246949</v>
      </c>
      <c r="L1305" s="5">
        <v>-0.144118857246949</v>
      </c>
      <c r="M1305" s="5">
        <v>-3.72203040873122</v>
      </c>
      <c r="N1305" s="5">
        <v>-3.72203040873122</v>
      </c>
      <c r="O1305" s="5">
        <v>-3.72203040873122</v>
      </c>
      <c r="P1305" s="5">
        <v>0.0</v>
      </c>
      <c r="Q1305" s="5">
        <v>0.0</v>
      </c>
      <c r="R1305" s="5">
        <v>0.0</v>
      </c>
      <c r="S1305" s="5">
        <v>42.592414740561</v>
      </c>
    </row>
    <row r="1306">
      <c r="A1306" s="6">
        <v>42249.0</v>
      </c>
      <c r="B1306" s="5">
        <v>46.4644857046137</v>
      </c>
      <c r="C1306" s="5">
        <v>-23.6154183699595</v>
      </c>
      <c r="D1306" s="5">
        <v>101.008033861079</v>
      </c>
      <c r="E1306" s="5">
        <v>46.4644857046137</v>
      </c>
      <c r="F1306" s="5">
        <v>46.4644857046137</v>
      </c>
      <c r="G1306" s="5">
        <v>-3.62369190920419</v>
      </c>
      <c r="H1306" s="5">
        <v>-3.62369190920419</v>
      </c>
      <c r="I1306" s="5">
        <v>-3.62369190920419</v>
      </c>
      <c r="J1306" s="5">
        <v>0.00703780528331273</v>
      </c>
      <c r="K1306" s="5">
        <v>0.00703780528331273</v>
      </c>
      <c r="L1306" s="5">
        <v>0.00703780528331273</v>
      </c>
      <c r="M1306" s="5">
        <v>-3.6307297144875</v>
      </c>
      <c r="N1306" s="5">
        <v>-3.6307297144875</v>
      </c>
      <c r="O1306" s="5">
        <v>-3.6307297144875</v>
      </c>
      <c r="P1306" s="5">
        <v>0.0</v>
      </c>
      <c r="Q1306" s="5">
        <v>0.0</v>
      </c>
      <c r="R1306" s="5">
        <v>0.0</v>
      </c>
      <c r="S1306" s="5">
        <v>42.8407937954095</v>
      </c>
    </row>
    <row r="1307">
      <c r="A1307" s="6">
        <v>42250.0</v>
      </c>
      <c r="B1307" s="5">
        <v>46.4704074026882</v>
      </c>
      <c r="C1307" s="5">
        <v>-22.9778867435918</v>
      </c>
      <c r="D1307" s="5">
        <v>105.776422325554</v>
      </c>
      <c r="E1307" s="5">
        <v>46.4704074026882</v>
      </c>
      <c r="F1307" s="5">
        <v>46.4704074026882</v>
      </c>
      <c r="G1307" s="5">
        <v>-4.2925923431214</v>
      </c>
      <c r="H1307" s="5">
        <v>-4.2925923431214</v>
      </c>
      <c r="I1307" s="5">
        <v>-4.2925923431214</v>
      </c>
      <c r="J1307" s="5">
        <v>-0.776422525901243</v>
      </c>
      <c r="K1307" s="5">
        <v>-0.776422525901243</v>
      </c>
      <c r="L1307" s="5">
        <v>-0.776422525901243</v>
      </c>
      <c r="M1307" s="5">
        <v>-3.51616981722015</v>
      </c>
      <c r="N1307" s="5">
        <v>-3.51616981722015</v>
      </c>
      <c r="O1307" s="5">
        <v>-3.51616981722015</v>
      </c>
      <c r="P1307" s="5">
        <v>0.0</v>
      </c>
      <c r="Q1307" s="5">
        <v>0.0</v>
      </c>
      <c r="R1307" s="5">
        <v>0.0</v>
      </c>
      <c r="S1307" s="5">
        <v>42.1778150595668</v>
      </c>
    </row>
    <row r="1308">
      <c r="A1308" s="6">
        <v>42251.0</v>
      </c>
      <c r="B1308" s="5">
        <v>46.4763291007628</v>
      </c>
      <c r="C1308" s="5">
        <v>-18.7902511202489</v>
      </c>
      <c r="D1308" s="5">
        <v>103.955986127812</v>
      </c>
      <c r="E1308" s="5">
        <v>46.4763291007628</v>
      </c>
      <c r="F1308" s="5">
        <v>46.4763291007628</v>
      </c>
      <c r="G1308" s="5">
        <v>-4.97037410928624</v>
      </c>
      <c r="H1308" s="5">
        <v>-4.97037410928624</v>
      </c>
      <c r="I1308" s="5">
        <v>-4.97037410928624</v>
      </c>
      <c r="J1308" s="5">
        <v>-1.5915505664924</v>
      </c>
      <c r="K1308" s="5">
        <v>-1.5915505664924</v>
      </c>
      <c r="L1308" s="5">
        <v>-1.5915505664924</v>
      </c>
      <c r="M1308" s="5">
        <v>-3.37882354279384</v>
      </c>
      <c r="N1308" s="5">
        <v>-3.37882354279384</v>
      </c>
      <c r="O1308" s="5">
        <v>-3.37882354279384</v>
      </c>
      <c r="P1308" s="5">
        <v>0.0</v>
      </c>
      <c r="Q1308" s="5">
        <v>0.0</v>
      </c>
      <c r="R1308" s="5">
        <v>0.0</v>
      </c>
      <c r="S1308" s="5">
        <v>41.5059549914766</v>
      </c>
    </row>
    <row r="1309">
      <c r="A1309" s="6">
        <v>42255.0</v>
      </c>
      <c r="B1309" s="5">
        <v>46.500015893061</v>
      </c>
      <c r="C1309" s="5">
        <v>-21.1764223009346</v>
      </c>
      <c r="D1309" s="5">
        <v>106.087244376334</v>
      </c>
      <c r="E1309" s="5">
        <v>46.500015893061</v>
      </c>
      <c r="F1309" s="5">
        <v>46.500015893061</v>
      </c>
      <c r="G1309" s="5">
        <v>-2.80249717243388</v>
      </c>
      <c r="H1309" s="5">
        <v>-2.80249717243388</v>
      </c>
      <c r="I1309" s="5">
        <v>-2.80249717243388</v>
      </c>
      <c r="J1309" s="5">
        <v>-0.144118857245861</v>
      </c>
      <c r="K1309" s="5">
        <v>-0.144118857245861</v>
      </c>
      <c r="L1309" s="5">
        <v>-0.144118857245861</v>
      </c>
      <c r="M1309" s="5">
        <v>-2.65837831518802</v>
      </c>
      <c r="N1309" s="5">
        <v>-2.65837831518802</v>
      </c>
      <c r="O1309" s="5">
        <v>-2.65837831518802</v>
      </c>
      <c r="P1309" s="5">
        <v>0.0</v>
      </c>
      <c r="Q1309" s="5">
        <v>0.0</v>
      </c>
      <c r="R1309" s="5">
        <v>0.0</v>
      </c>
      <c r="S1309" s="5">
        <v>43.6975187206271</v>
      </c>
    </row>
    <row r="1310">
      <c r="A1310" s="6">
        <v>42256.0</v>
      </c>
      <c r="B1310" s="5">
        <v>46.5059375911355</v>
      </c>
      <c r="C1310" s="5">
        <v>-17.4737612966015</v>
      </c>
      <c r="D1310" s="5">
        <v>109.532967937395</v>
      </c>
      <c r="E1310" s="5">
        <v>46.5059375911355</v>
      </c>
      <c r="F1310" s="5">
        <v>46.5059375911355</v>
      </c>
      <c r="G1310" s="5">
        <v>-2.45316947137893</v>
      </c>
      <c r="H1310" s="5">
        <v>-2.45316947137893</v>
      </c>
      <c r="I1310" s="5">
        <v>-2.45316947137893</v>
      </c>
      <c r="J1310" s="5">
        <v>0.00703780528128802</v>
      </c>
      <c r="K1310" s="5">
        <v>0.00703780528128802</v>
      </c>
      <c r="L1310" s="5">
        <v>0.00703780528128802</v>
      </c>
      <c r="M1310" s="5">
        <v>-2.46020727666022</v>
      </c>
      <c r="N1310" s="5">
        <v>-2.46020727666022</v>
      </c>
      <c r="O1310" s="5">
        <v>-2.46020727666022</v>
      </c>
      <c r="P1310" s="5">
        <v>0.0</v>
      </c>
      <c r="Q1310" s="5">
        <v>0.0</v>
      </c>
      <c r="R1310" s="5">
        <v>0.0</v>
      </c>
      <c r="S1310" s="5">
        <v>44.0527681197566</v>
      </c>
    </row>
    <row r="1311">
      <c r="A1311" s="6">
        <v>42257.0</v>
      </c>
      <c r="B1311" s="5">
        <v>46.5118592892101</v>
      </c>
      <c r="C1311" s="5">
        <v>-22.734747771538</v>
      </c>
      <c r="D1311" s="5">
        <v>108.608943073843</v>
      </c>
      <c r="E1311" s="5">
        <v>46.5118592892101</v>
      </c>
      <c r="F1311" s="5">
        <v>46.5118592892101</v>
      </c>
      <c r="G1311" s="5">
        <v>-3.04440953070845</v>
      </c>
      <c r="H1311" s="5">
        <v>-3.04440953070845</v>
      </c>
      <c r="I1311" s="5">
        <v>-3.04440953070845</v>
      </c>
      <c r="J1311" s="5">
        <v>-0.776422525901965</v>
      </c>
      <c r="K1311" s="5">
        <v>-0.776422525901965</v>
      </c>
      <c r="L1311" s="5">
        <v>-0.776422525901965</v>
      </c>
      <c r="M1311" s="5">
        <v>-2.26798700480649</v>
      </c>
      <c r="N1311" s="5">
        <v>-2.26798700480649</v>
      </c>
      <c r="O1311" s="5">
        <v>-2.26798700480649</v>
      </c>
      <c r="P1311" s="5">
        <v>0.0</v>
      </c>
      <c r="Q1311" s="5">
        <v>0.0</v>
      </c>
      <c r="R1311" s="5">
        <v>0.0</v>
      </c>
      <c r="S1311" s="5">
        <v>43.4674497585016</v>
      </c>
    </row>
    <row r="1312">
      <c r="A1312" s="6">
        <v>42258.0</v>
      </c>
      <c r="B1312" s="5">
        <v>46.5177809872846</v>
      </c>
      <c r="C1312" s="5">
        <v>-21.1361739230755</v>
      </c>
      <c r="D1312" s="5">
        <v>105.741750075654</v>
      </c>
      <c r="E1312" s="5">
        <v>46.5177809872846</v>
      </c>
      <c r="F1312" s="5">
        <v>46.5177809872846</v>
      </c>
      <c r="G1312" s="5">
        <v>-3.68088753199533</v>
      </c>
      <c r="H1312" s="5">
        <v>-3.68088753199533</v>
      </c>
      <c r="I1312" s="5">
        <v>-3.68088753199533</v>
      </c>
      <c r="J1312" s="5">
        <v>-1.59155056649179</v>
      </c>
      <c r="K1312" s="5">
        <v>-1.59155056649179</v>
      </c>
      <c r="L1312" s="5">
        <v>-1.59155056649179</v>
      </c>
      <c r="M1312" s="5">
        <v>-2.08933696550354</v>
      </c>
      <c r="N1312" s="5">
        <v>-2.08933696550354</v>
      </c>
      <c r="O1312" s="5">
        <v>-2.08933696550354</v>
      </c>
      <c r="P1312" s="5">
        <v>0.0</v>
      </c>
      <c r="Q1312" s="5">
        <v>0.0</v>
      </c>
      <c r="R1312" s="5">
        <v>0.0</v>
      </c>
      <c r="S1312" s="5">
        <v>42.8368934552893</v>
      </c>
    </row>
    <row r="1313">
      <c r="A1313" s="6">
        <v>42261.0</v>
      </c>
      <c r="B1313" s="5">
        <v>46.5355460815083</v>
      </c>
      <c r="C1313" s="5">
        <v>-16.2306300716172</v>
      </c>
      <c r="D1313" s="5">
        <v>110.24771952741</v>
      </c>
      <c r="E1313" s="5">
        <v>46.5355460815083</v>
      </c>
      <c r="F1313" s="5">
        <v>46.5355460815083</v>
      </c>
      <c r="G1313" s="5">
        <v>-1.62125891218101</v>
      </c>
      <c r="H1313" s="5">
        <v>-1.62125891218101</v>
      </c>
      <c r="I1313" s="5">
        <v>-1.62125891218101</v>
      </c>
      <c r="J1313" s="5">
        <v>0.0905589421215548</v>
      </c>
      <c r="K1313" s="5">
        <v>0.0905589421215548</v>
      </c>
      <c r="L1313" s="5">
        <v>0.0905589421215548</v>
      </c>
      <c r="M1313" s="5">
        <v>-1.71181785430257</v>
      </c>
      <c r="N1313" s="5">
        <v>-1.71181785430257</v>
      </c>
      <c r="O1313" s="5">
        <v>-1.71181785430257</v>
      </c>
      <c r="P1313" s="5">
        <v>0.0</v>
      </c>
      <c r="Q1313" s="5">
        <v>0.0</v>
      </c>
      <c r="R1313" s="5">
        <v>0.0</v>
      </c>
      <c r="S1313" s="5">
        <v>44.9142871693273</v>
      </c>
    </row>
    <row r="1314">
      <c r="A1314" s="6">
        <v>42262.0</v>
      </c>
      <c r="B1314" s="5">
        <v>46.5414677795828</v>
      </c>
      <c r="C1314" s="5">
        <v>-20.8462583122768</v>
      </c>
      <c r="D1314" s="5">
        <v>109.254984997033</v>
      </c>
      <c r="E1314" s="5">
        <v>46.5414677795828</v>
      </c>
      <c r="F1314" s="5">
        <v>46.5414677795828</v>
      </c>
      <c r="G1314" s="5">
        <v>-1.80681708697</v>
      </c>
      <c r="H1314" s="5">
        <v>-1.80681708697</v>
      </c>
      <c r="I1314" s="5">
        <v>-1.80681708697</v>
      </c>
      <c r="J1314" s="5">
        <v>-0.144118857247296</v>
      </c>
      <c r="K1314" s="5">
        <v>-0.144118857247296</v>
      </c>
      <c r="L1314" s="5">
        <v>-0.144118857247296</v>
      </c>
      <c r="M1314" s="5">
        <v>-1.6626982297227</v>
      </c>
      <c r="N1314" s="5">
        <v>-1.6626982297227</v>
      </c>
      <c r="O1314" s="5">
        <v>-1.6626982297227</v>
      </c>
      <c r="P1314" s="5">
        <v>0.0</v>
      </c>
      <c r="Q1314" s="5">
        <v>0.0</v>
      </c>
      <c r="R1314" s="5">
        <v>0.0</v>
      </c>
      <c r="S1314" s="5">
        <v>44.7346506926128</v>
      </c>
    </row>
    <row r="1315">
      <c r="A1315" s="6">
        <v>42263.0</v>
      </c>
      <c r="B1315" s="5">
        <v>46.5473894776574</v>
      </c>
      <c r="C1315" s="5">
        <v>-18.0047753926769</v>
      </c>
      <c r="D1315" s="5">
        <v>105.43467468151</v>
      </c>
      <c r="E1315" s="5">
        <v>46.5473894776574</v>
      </c>
      <c r="F1315" s="5">
        <v>46.5473894776574</v>
      </c>
      <c r="G1315" s="5">
        <v>-1.65497510993829</v>
      </c>
      <c r="H1315" s="5">
        <v>-1.65497510993829</v>
      </c>
      <c r="I1315" s="5">
        <v>-1.65497510993829</v>
      </c>
      <c r="J1315" s="5">
        <v>0.00703780528259919</v>
      </c>
      <c r="K1315" s="5">
        <v>0.00703780528259919</v>
      </c>
      <c r="L1315" s="5">
        <v>0.00703780528259919</v>
      </c>
      <c r="M1315" s="5">
        <v>-1.66201291522089</v>
      </c>
      <c r="N1315" s="5">
        <v>-1.66201291522089</v>
      </c>
      <c r="O1315" s="5">
        <v>-1.66201291522089</v>
      </c>
      <c r="P1315" s="5">
        <v>0.0</v>
      </c>
      <c r="Q1315" s="5">
        <v>0.0</v>
      </c>
      <c r="R1315" s="5">
        <v>0.0</v>
      </c>
      <c r="S1315" s="5">
        <v>44.8924143677191</v>
      </c>
    </row>
    <row r="1316">
      <c r="A1316" s="6">
        <v>42264.0</v>
      </c>
      <c r="B1316" s="5">
        <v>46.5533111757319</v>
      </c>
      <c r="C1316" s="5">
        <v>-19.2454998253118</v>
      </c>
      <c r="D1316" s="5">
        <v>107.220488369905</v>
      </c>
      <c r="E1316" s="5">
        <v>46.5533111757319</v>
      </c>
      <c r="F1316" s="5">
        <v>46.5533111757319</v>
      </c>
      <c r="G1316" s="5">
        <v>-2.49054280707603</v>
      </c>
      <c r="H1316" s="5">
        <v>-2.49054280707603</v>
      </c>
      <c r="I1316" s="5">
        <v>-2.49054280707603</v>
      </c>
      <c r="J1316" s="5">
        <v>-0.776422525899837</v>
      </c>
      <c r="K1316" s="5">
        <v>-0.776422525899837</v>
      </c>
      <c r="L1316" s="5">
        <v>-0.776422525899837</v>
      </c>
      <c r="M1316" s="5">
        <v>-1.7141202811762</v>
      </c>
      <c r="N1316" s="5">
        <v>-1.7141202811762</v>
      </c>
      <c r="O1316" s="5">
        <v>-1.7141202811762</v>
      </c>
      <c r="P1316" s="5">
        <v>0.0</v>
      </c>
      <c r="Q1316" s="5">
        <v>0.0</v>
      </c>
      <c r="R1316" s="5">
        <v>0.0</v>
      </c>
      <c r="S1316" s="5">
        <v>44.0627683686559</v>
      </c>
    </row>
    <row r="1317">
      <c r="A1317" s="6">
        <v>42265.0</v>
      </c>
      <c r="B1317" s="5">
        <v>46.5592328738065</v>
      </c>
      <c r="C1317" s="5">
        <v>-18.3383728363062</v>
      </c>
      <c r="D1317" s="5">
        <v>112.04022815423</v>
      </c>
      <c r="E1317" s="5">
        <v>46.5592328738065</v>
      </c>
      <c r="F1317" s="5">
        <v>46.5592328738065</v>
      </c>
      <c r="G1317" s="5">
        <v>-3.41348273381464</v>
      </c>
      <c r="H1317" s="5">
        <v>-3.41348273381464</v>
      </c>
      <c r="I1317" s="5">
        <v>-3.41348273381464</v>
      </c>
      <c r="J1317" s="5">
        <v>-1.59155056649329</v>
      </c>
      <c r="K1317" s="5">
        <v>-1.59155056649329</v>
      </c>
      <c r="L1317" s="5">
        <v>-1.59155056649329</v>
      </c>
      <c r="M1317" s="5">
        <v>-1.82193216732134</v>
      </c>
      <c r="N1317" s="5">
        <v>-1.82193216732134</v>
      </c>
      <c r="O1317" s="5">
        <v>-1.82193216732134</v>
      </c>
      <c r="P1317" s="5">
        <v>0.0</v>
      </c>
      <c r="Q1317" s="5">
        <v>0.0</v>
      </c>
      <c r="R1317" s="5">
        <v>0.0</v>
      </c>
      <c r="S1317" s="5">
        <v>43.1457501399918</v>
      </c>
    </row>
    <row r="1318">
      <c r="A1318" s="6">
        <v>42268.0</v>
      </c>
      <c r="B1318" s="5">
        <v>46.5769979680301</v>
      </c>
      <c r="C1318" s="5">
        <v>-17.5079946484203</v>
      </c>
      <c r="D1318" s="5">
        <v>108.013908553384</v>
      </c>
      <c r="E1318" s="5">
        <v>46.5769979680301</v>
      </c>
      <c r="F1318" s="5">
        <v>46.5769979680301</v>
      </c>
      <c r="G1318" s="5">
        <v>-2.39297245793993</v>
      </c>
      <c r="H1318" s="5">
        <v>-2.39297245793993</v>
      </c>
      <c r="I1318" s="5">
        <v>-2.39297245793993</v>
      </c>
      <c r="J1318" s="5">
        <v>0.0905589421201174</v>
      </c>
      <c r="K1318" s="5">
        <v>0.0905589421201174</v>
      </c>
      <c r="L1318" s="5">
        <v>0.0905589421201174</v>
      </c>
      <c r="M1318" s="5">
        <v>-2.48353140006005</v>
      </c>
      <c r="N1318" s="5">
        <v>-2.48353140006005</v>
      </c>
      <c r="O1318" s="5">
        <v>-2.48353140006005</v>
      </c>
      <c r="P1318" s="5">
        <v>0.0</v>
      </c>
      <c r="Q1318" s="5">
        <v>0.0</v>
      </c>
      <c r="R1318" s="5">
        <v>0.0</v>
      </c>
      <c r="S1318" s="5">
        <v>44.1840255100902</v>
      </c>
    </row>
    <row r="1319">
      <c r="A1319" s="6">
        <v>42269.0</v>
      </c>
      <c r="B1319" s="5">
        <v>46.5829196661047</v>
      </c>
      <c r="C1319" s="5">
        <v>-17.9276649685575</v>
      </c>
      <c r="D1319" s="5">
        <v>111.03128693969</v>
      </c>
      <c r="E1319" s="5">
        <v>46.5829196661047</v>
      </c>
      <c r="F1319" s="5">
        <v>46.5829196661047</v>
      </c>
      <c r="G1319" s="5">
        <v>-2.95311119601501</v>
      </c>
      <c r="H1319" s="5">
        <v>-2.95311119601501</v>
      </c>
      <c r="I1319" s="5">
        <v>-2.95311119601501</v>
      </c>
      <c r="J1319" s="5">
        <v>-0.144118857243685</v>
      </c>
      <c r="K1319" s="5">
        <v>-0.144118857243685</v>
      </c>
      <c r="L1319" s="5">
        <v>-0.144118857243685</v>
      </c>
      <c r="M1319" s="5">
        <v>-2.80899233877132</v>
      </c>
      <c r="N1319" s="5">
        <v>-2.80899233877132</v>
      </c>
      <c r="O1319" s="5">
        <v>-2.80899233877132</v>
      </c>
      <c r="P1319" s="5">
        <v>0.0</v>
      </c>
      <c r="Q1319" s="5">
        <v>0.0</v>
      </c>
      <c r="R1319" s="5">
        <v>0.0</v>
      </c>
      <c r="S1319" s="5">
        <v>43.6298084700896</v>
      </c>
    </row>
    <row r="1320">
      <c r="A1320" s="6">
        <v>42270.0</v>
      </c>
      <c r="B1320" s="5">
        <v>46.5888413641792</v>
      </c>
      <c r="C1320" s="5">
        <v>-13.698717907398</v>
      </c>
      <c r="D1320" s="5">
        <v>104.468403653671</v>
      </c>
      <c r="E1320" s="5">
        <v>46.5888413641792</v>
      </c>
      <c r="F1320" s="5">
        <v>46.5888413641792</v>
      </c>
      <c r="G1320" s="5">
        <v>-3.17132335647067</v>
      </c>
      <c r="H1320" s="5">
        <v>-3.17132335647067</v>
      </c>
      <c r="I1320" s="5">
        <v>-3.17132335647067</v>
      </c>
      <c r="J1320" s="5">
        <v>0.00703780528057435</v>
      </c>
      <c r="K1320" s="5">
        <v>0.00703780528057435</v>
      </c>
      <c r="L1320" s="5">
        <v>0.00703780528057435</v>
      </c>
      <c r="M1320" s="5">
        <v>-3.17836116175125</v>
      </c>
      <c r="N1320" s="5">
        <v>-3.17836116175125</v>
      </c>
      <c r="O1320" s="5">
        <v>-3.17836116175125</v>
      </c>
      <c r="P1320" s="5">
        <v>0.0</v>
      </c>
      <c r="Q1320" s="5">
        <v>0.0</v>
      </c>
      <c r="R1320" s="5">
        <v>0.0</v>
      </c>
      <c r="S1320" s="5">
        <v>43.4175180077085</v>
      </c>
    </row>
    <row r="1321">
      <c r="A1321" s="6">
        <v>42271.0</v>
      </c>
      <c r="B1321" s="5">
        <v>46.5947630622537</v>
      </c>
      <c r="C1321" s="5">
        <v>-20.1893367038071</v>
      </c>
      <c r="D1321" s="5">
        <v>103.593905080805</v>
      </c>
      <c r="E1321" s="5">
        <v>46.5947630622537</v>
      </c>
      <c r="F1321" s="5">
        <v>46.5947630622537</v>
      </c>
      <c r="G1321" s="5">
        <v>-4.36022404652319</v>
      </c>
      <c r="H1321" s="5">
        <v>-4.36022404652319</v>
      </c>
      <c r="I1321" s="5">
        <v>-4.36022404652319</v>
      </c>
      <c r="J1321" s="5">
        <v>-0.776422525901934</v>
      </c>
      <c r="K1321" s="5">
        <v>-0.776422525901934</v>
      </c>
      <c r="L1321" s="5">
        <v>-0.776422525901934</v>
      </c>
      <c r="M1321" s="5">
        <v>-3.58380152062126</v>
      </c>
      <c r="N1321" s="5">
        <v>-3.58380152062126</v>
      </c>
      <c r="O1321" s="5">
        <v>-3.58380152062126</v>
      </c>
      <c r="P1321" s="5">
        <v>0.0</v>
      </c>
      <c r="Q1321" s="5">
        <v>0.0</v>
      </c>
      <c r="R1321" s="5">
        <v>0.0</v>
      </c>
      <c r="S1321" s="5">
        <v>42.2345390157305</v>
      </c>
    </row>
    <row r="1322">
      <c r="A1322" s="6">
        <v>42272.0</v>
      </c>
      <c r="B1322" s="5">
        <v>46.6006847603283</v>
      </c>
      <c r="C1322" s="5">
        <v>-20.8340839321997</v>
      </c>
      <c r="D1322" s="5">
        <v>104.751872758477</v>
      </c>
      <c r="E1322" s="5">
        <v>46.6006847603283</v>
      </c>
      <c r="F1322" s="5">
        <v>46.6006847603283</v>
      </c>
      <c r="G1322" s="5">
        <v>-5.60739229047017</v>
      </c>
      <c r="H1322" s="5">
        <v>-5.60739229047017</v>
      </c>
      <c r="I1322" s="5">
        <v>-5.60739229047017</v>
      </c>
      <c r="J1322" s="5">
        <v>-1.59155056649237</v>
      </c>
      <c r="K1322" s="5">
        <v>-1.59155056649237</v>
      </c>
      <c r="L1322" s="5">
        <v>-1.59155056649237</v>
      </c>
      <c r="M1322" s="5">
        <v>-4.0158417239778</v>
      </c>
      <c r="N1322" s="5">
        <v>-4.0158417239778</v>
      </c>
      <c r="O1322" s="5">
        <v>-4.0158417239778</v>
      </c>
      <c r="P1322" s="5">
        <v>0.0</v>
      </c>
      <c r="Q1322" s="5">
        <v>0.0</v>
      </c>
      <c r="R1322" s="5">
        <v>0.0</v>
      </c>
      <c r="S1322" s="5">
        <v>40.9932924698581</v>
      </c>
    </row>
    <row r="1323">
      <c r="A1323" s="6">
        <v>42275.0</v>
      </c>
      <c r="B1323" s="5">
        <v>46.6184498545519</v>
      </c>
      <c r="C1323" s="5">
        <v>-26.9131914053898</v>
      </c>
      <c r="D1323" s="5">
        <v>102.088337605771</v>
      </c>
      <c r="E1323" s="5">
        <v>46.6184498545519</v>
      </c>
      <c r="F1323" s="5">
        <v>46.6184498545519</v>
      </c>
      <c r="G1323" s="5">
        <v>-5.26607212335555</v>
      </c>
      <c r="H1323" s="5">
        <v>-5.26607212335555</v>
      </c>
      <c r="I1323" s="5">
        <v>-5.26607212335555</v>
      </c>
      <c r="J1323" s="5">
        <v>0.0905589421211439</v>
      </c>
      <c r="K1323" s="5">
        <v>0.0905589421211439</v>
      </c>
      <c r="L1323" s="5">
        <v>0.0905589421211439</v>
      </c>
      <c r="M1323" s="5">
        <v>-5.3566310654767</v>
      </c>
      <c r="N1323" s="5">
        <v>-5.3566310654767</v>
      </c>
      <c r="O1323" s="5">
        <v>-5.3566310654767</v>
      </c>
      <c r="P1323" s="5">
        <v>0.0</v>
      </c>
      <c r="Q1323" s="5">
        <v>0.0</v>
      </c>
      <c r="R1323" s="5">
        <v>0.0</v>
      </c>
      <c r="S1323" s="5">
        <v>41.3523777311964</v>
      </c>
    </row>
    <row r="1324">
      <c r="A1324" s="6">
        <v>42276.0</v>
      </c>
      <c r="B1324" s="5">
        <v>46.6243715526265</v>
      </c>
      <c r="C1324" s="5">
        <v>-23.1592355876088</v>
      </c>
      <c r="D1324" s="5">
        <v>105.65463463992</v>
      </c>
      <c r="E1324" s="5">
        <v>46.6243715526265</v>
      </c>
      <c r="F1324" s="5">
        <v>46.6243715526265</v>
      </c>
      <c r="G1324" s="5">
        <v>-5.91937304786313</v>
      </c>
      <c r="H1324" s="5">
        <v>-5.91937304786313</v>
      </c>
      <c r="I1324" s="5">
        <v>-5.91937304786313</v>
      </c>
      <c r="J1324" s="5">
        <v>-0.144118857246534</v>
      </c>
      <c r="K1324" s="5">
        <v>-0.144118857246534</v>
      </c>
      <c r="L1324" s="5">
        <v>-0.144118857246534</v>
      </c>
      <c r="M1324" s="5">
        <v>-5.77525419061659</v>
      </c>
      <c r="N1324" s="5">
        <v>-5.77525419061659</v>
      </c>
      <c r="O1324" s="5">
        <v>-5.77525419061659</v>
      </c>
      <c r="P1324" s="5">
        <v>0.0</v>
      </c>
      <c r="Q1324" s="5">
        <v>0.0</v>
      </c>
      <c r="R1324" s="5">
        <v>0.0</v>
      </c>
      <c r="S1324" s="5">
        <v>40.7049985047633</v>
      </c>
    </row>
    <row r="1325">
      <c r="A1325" s="6">
        <v>42277.0</v>
      </c>
      <c r="B1325" s="5">
        <v>46.630293250701</v>
      </c>
      <c r="C1325" s="5">
        <v>-20.8760946187313</v>
      </c>
      <c r="D1325" s="5">
        <v>99.0557472652101</v>
      </c>
      <c r="E1325" s="5">
        <v>46.630293250701</v>
      </c>
      <c r="F1325" s="5">
        <v>46.630293250701</v>
      </c>
      <c r="G1325" s="5">
        <v>-6.14973494696878</v>
      </c>
      <c r="H1325" s="5">
        <v>-6.14973494696878</v>
      </c>
      <c r="I1325" s="5">
        <v>-6.14973494696878</v>
      </c>
      <c r="J1325" s="5">
        <v>0.00703780528188538</v>
      </c>
      <c r="K1325" s="5">
        <v>0.00703780528188538</v>
      </c>
      <c r="L1325" s="5">
        <v>0.00703780528188538</v>
      </c>
      <c r="M1325" s="5">
        <v>-6.15677275225067</v>
      </c>
      <c r="N1325" s="5">
        <v>-6.15677275225067</v>
      </c>
      <c r="O1325" s="5">
        <v>-6.15677275225067</v>
      </c>
      <c r="P1325" s="5">
        <v>0.0</v>
      </c>
      <c r="Q1325" s="5">
        <v>0.0</v>
      </c>
      <c r="R1325" s="5">
        <v>0.0</v>
      </c>
      <c r="S1325" s="5">
        <v>40.4805583037322</v>
      </c>
    </row>
    <row r="1326">
      <c r="A1326" s="6">
        <v>42278.0</v>
      </c>
      <c r="B1326" s="5">
        <v>46.636215004372</v>
      </c>
      <c r="C1326" s="5">
        <v>-22.492749838046</v>
      </c>
      <c r="D1326" s="5">
        <v>101.703091857531</v>
      </c>
      <c r="E1326" s="5">
        <v>46.636215004372</v>
      </c>
      <c r="F1326" s="5">
        <v>46.636215004372</v>
      </c>
      <c r="G1326" s="5">
        <v>-7.26374862816622</v>
      </c>
      <c r="H1326" s="5">
        <v>-7.26374862816622</v>
      </c>
      <c r="I1326" s="5">
        <v>-7.26374862816622</v>
      </c>
      <c r="J1326" s="5">
        <v>-0.776422525902656</v>
      </c>
      <c r="K1326" s="5">
        <v>-0.776422525902656</v>
      </c>
      <c r="L1326" s="5">
        <v>-0.776422525902656</v>
      </c>
      <c r="M1326" s="5">
        <v>-6.48732610226357</v>
      </c>
      <c r="N1326" s="5">
        <v>-6.48732610226357</v>
      </c>
      <c r="O1326" s="5">
        <v>-6.48732610226357</v>
      </c>
      <c r="P1326" s="5">
        <v>0.0</v>
      </c>
      <c r="Q1326" s="5">
        <v>0.0</v>
      </c>
      <c r="R1326" s="5">
        <v>0.0</v>
      </c>
      <c r="S1326" s="5">
        <v>39.3724663762058</v>
      </c>
    </row>
    <row r="1327">
      <c r="A1327" s="6">
        <v>42279.0</v>
      </c>
      <c r="B1327" s="5">
        <v>46.6421367580431</v>
      </c>
      <c r="C1327" s="5">
        <v>-25.0331600001601</v>
      </c>
      <c r="D1327" s="5">
        <v>102.9752818403</v>
      </c>
      <c r="E1327" s="5">
        <v>46.6421367580431</v>
      </c>
      <c r="F1327" s="5">
        <v>46.6421367580431</v>
      </c>
      <c r="G1327" s="5">
        <v>-8.34504805701212</v>
      </c>
      <c r="H1327" s="5">
        <v>-8.34504805701212</v>
      </c>
      <c r="I1327" s="5">
        <v>-8.34504805701212</v>
      </c>
      <c r="J1327" s="5">
        <v>-1.59155056649144</v>
      </c>
      <c r="K1327" s="5">
        <v>-1.59155056649144</v>
      </c>
      <c r="L1327" s="5">
        <v>-1.59155056649144</v>
      </c>
      <c r="M1327" s="5">
        <v>-6.75349749052067</v>
      </c>
      <c r="N1327" s="5">
        <v>-6.75349749052067</v>
      </c>
      <c r="O1327" s="5">
        <v>-6.75349749052067</v>
      </c>
      <c r="P1327" s="5">
        <v>0.0</v>
      </c>
      <c r="Q1327" s="5">
        <v>0.0</v>
      </c>
      <c r="R1327" s="5">
        <v>0.0</v>
      </c>
      <c r="S1327" s="5">
        <v>38.2970887010309</v>
      </c>
    </row>
    <row r="1328">
      <c r="A1328" s="6">
        <v>42282.0</v>
      </c>
      <c r="B1328" s="5">
        <v>46.6599020190561</v>
      </c>
      <c r="C1328" s="5">
        <v>-21.2036118048042</v>
      </c>
      <c r="D1328" s="5">
        <v>104.405665226608</v>
      </c>
      <c r="E1328" s="5">
        <v>46.6599020190561</v>
      </c>
      <c r="F1328" s="5">
        <v>46.6599020190561</v>
      </c>
      <c r="G1328" s="5">
        <v>-6.95507330718686</v>
      </c>
      <c r="H1328" s="5">
        <v>-6.95507330718686</v>
      </c>
      <c r="I1328" s="5">
        <v>-6.95507330718686</v>
      </c>
      <c r="J1328" s="5">
        <v>0.0905589421220904</v>
      </c>
      <c r="K1328" s="5">
        <v>0.0905589421220904</v>
      </c>
      <c r="L1328" s="5">
        <v>0.0905589421220904</v>
      </c>
      <c r="M1328" s="5">
        <v>-7.04563224930895</v>
      </c>
      <c r="N1328" s="5">
        <v>-7.04563224930895</v>
      </c>
      <c r="O1328" s="5">
        <v>-7.04563224930895</v>
      </c>
      <c r="P1328" s="5">
        <v>0.0</v>
      </c>
      <c r="Q1328" s="5">
        <v>0.0</v>
      </c>
      <c r="R1328" s="5">
        <v>0.0</v>
      </c>
      <c r="S1328" s="5">
        <v>39.7048287118692</v>
      </c>
    </row>
    <row r="1329">
      <c r="A1329" s="6">
        <v>42283.0</v>
      </c>
      <c r="B1329" s="5">
        <v>46.6658237727271</v>
      </c>
      <c r="C1329" s="5">
        <v>-22.242838093232</v>
      </c>
      <c r="D1329" s="5">
        <v>103.304405358148</v>
      </c>
      <c r="E1329" s="5">
        <v>46.6658237727271</v>
      </c>
      <c r="F1329" s="5">
        <v>46.6658237727271</v>
      </c>
      <c r="G1329" s="5">
        <v>-7.08528875378084</v>
      </c>
      <c r="H1329" s="5">
        <v>-7.08528875378084</v>
      </c>
      <c r="I1329" s="5">
        <v>-7.08528875378084</v>
      </c>
      <c r="J1329" s="5">
        <v>-0.144118857245446</v>
      </c>
      <c r="K1329" s="5">
        <v>-0.144118857245446</v>
      </c>
      <c r="L1329" s="5">
        <v>-0.144118857245446</v>
      </c>
      <c r="M1329" s="5">
        <v>-6.94116989653539</v>
      </c>
      <c r="N1329" s="5">
        <v>-6.94116989653539</v>
      </c>
      <c r="O1329" s="5">
        <v>-6.94116989653539</v>
      </c>
      <c r="P1329" s="5">
        <v>0.0</v>
      </c>
      <c r="Q1329" s="5">
        <v>0.0</v>
      </c>
      <c r="R1329" s="5">
        <v>0.0</v>
      </c>
      <c r="S1329" s="5">
        <v>39.5805350189463</v>
      </c>
    </row>
    <row r="1330">
      <c r="A1330" s="6">
        <v>42284.0</v>
      </c>
      <c r="B1330" s="5">
        <v>46.6717455263981</v>
      </c>
      <c r="C1330" s="5">
        <v>-20.4642192443626</v>
      </c>
      <c r="D1330" s="5">
        <v>103.015958395941</v>
      </c>
      <c r="E1330" s="5">
        <v>46.6717455263981</v>
      </c>
      <c r="F1330" s="5">
        <v>46.6717455263981</v>
      </c>
      <c r="G1330" s="5">
        <v>-6.71671101055106</v>
      </c>
      <c r="H1330" s="5">
        <v>-6.71671101055106</v>
      </c>
      <c r="I1330" s="5">
        <v>-6.71671101055106</v>
      </c>
      <c r="J1330" s="5">
        <v>0.00703780528319659</v>
      </c>
      <c r="K1330" s="5">
        <v>0.00703780528319659</v>
      </c>
      <c r="L1330" s="5">
        <v>0.00703780528319659</v>
      </c>
      <c r="M1330" s="5">
        <v>-6.72374881583426</v>
      </c>
      <c r="N1330" s="5">
        <v>-6.72374881583426</v>
      </c>
      <c r="O1330" s="5">
        <v>-6.72374881583426</v>
      </c>
      <c r="P1330" s="5">
        <v>0.0</v>
      </c>
      <c r="Q1330" s="5">
        <v>0.0</v>
      </c>
      <c r="R1330" s="5">
        <v>0.0</v>
      </c>
      <c r="S1330" s="5">
        <v>39.9550345158471</v>
      </c>
    </row>
    <row r="1331">
      <c r="A1331" s="6">
        <v>42285.0</v>
      </c>
      <c r="B1331" s="5">
        <v>46.6776672800691</v>
      </c>
      <c r="C1331" s="5">
        <v>-23.9648773088996</v>
      </c>
      <c r="D1331" s="5">
        <v>106.425390664658</v>
      </c>
      <c r="E1331" s="5">
        <v>46.6776672800691</v>
      </c>
      <c r="F1331" s="5">
        <v>46.6776672800691</v>
      </c>
      <c r="G1331" s="5">
        <v>-7.16573597736331</v>
      </c>
      <c r="H1331" s="5">
        <v>-7.16573597736331</v>
      </c>
      <c r="I1331" s="5">
        <v>-7.16573597736331</v>
      </c>
      <c r="J1331" s="5">
        <v>-0.776422525904753</v>
      </c>
      <c r="K1331" s="5">
        <v>-0.776422525904753</v>
      </c>
      <c r="L1331" s="5">
        <v>-0.776422525904753</v>
      </c>
      <c r="M1331" s="5">
        <v>-6.38931345145856</v>
      </c>
      <c r="N1331" s="5">
        <v>-6.38931345145856</v>
      </c>
      <c r="O1331" s="5">
        <v>-6.38931345145856</v>
      </c>
      <c r="P1331" s="5">
        <v>0.0</v>
      </c>
      <c r="Q1331" s="5">
        <v>0.0</v>
      </c>
      <c r="R1331" s="5">
        <v>0.0</v>
      </c>
      <c r="S1331" s="5">
        <v>39.5119313027058</v>
      </c>
    </row>
    <row r="1332">
      <c r="A1332" s="6">
        <v>42286.0</v>
      </c>
      <c r="B1332" s="5">
        <v>46.6835890337402</v>
      </c>
      <c r="C1332" s="5">
        <v>-20.5393110539162</v>
      </c>
      <c r="D1332" s="5">
        <v>103.138725094003</v>
      </c>
      <c r="E1332" s="5">
        <v>46.6835890337402</v>
      </c>
      <c r="F1332" s="5">
        <v>46.6835890337402</v>
      </c>
      <c r="G1332" s="5">
        <v>-7.5276909356066</v>
      </c>
      <c r="H1332" s="5">
        <v>-7.5276909356066</v>
      </c>
      <c r="I1332" s="5">
        <v>-7.5276909356066</v>
      </c>
      <c r="J1332" s="5">
        <v>-1.59155056649326</v>
      </c>
      <c r="K1332" s="5">
        <v>-1.59155056649326</v>
      </c>
      <c r="L1332" s="5">
        <v>-1.59155056649326</v>
      </c>
      <c r="M1332" s="5">
        <v>-5.93614036911334</v>
      </c>
      <c r="N1332" s="5">
        <v>-5.93614036911334</v>
      </c>
      <c r="O1332" s="5">
        <v>-5.93614036911334</v>
      </c>
      <c r="P1332" s="5">
        <v>0.0</v>
      </c>
      <c r="Q1332" s="5">
        <v>0.0</v>
      </c>
      <c r="R1332" s="5">
        <v>0.0</v>
      </c>
      <c r="S1332" s="5">
        <v>39.1558980981336</v>
      </c>
    </row>
    <row r="1333">
      <c r="A1333" s="6">
        <v>42289.0</v>
      </c>
      <c r="B1333" s="5">
        <v>46.7013542947532</v>
      </c>
      <c r="C1333" s="5">
        <v>-22.4837322371522</v>
      </c>
      <c r="D1333" s="5">
        <v>104.022712904094</v>
      </c>
      <c r="E1333" s="5">
        <v>46.7013542947532</v>
      </c>
      <c r="F1333" s="5">
        <v>46.7013542947532</v>
      </c>
      <c r="G1333" s="5">
        <v>-3.79260379201691</v>
      </c>
      <c r="H1333" s="5">
        <v>-3.79260379201691</v>
      </c>
      <c r="I1333" s="5">
        <v>-3.79260379201691</v>
      </c>
      <c r="J1333" s="5">
        <v>0.090558942120653</v>
      </c>
      <c r="K1333" s="5">
        <v>0.090558942120653</v>
      </c>
      <c r="L1333" s="5">
        <v>0.090558942120653</v>
      </c>
      <c r="M1333" s="5">
        <v>-3.88316273413756</v>
      </c>
      <c r="N1333" s="5">
        <v>-3.88316273413756</v>
      </c>
      <c r="O1333" s="5">
        <v>-3.88316273413756</v>
      </c>
      <c r="P1333" s="5">
        <v>0.0</v>
      </c>
      <c r="Q1333" s="5">
        <v>0.0</v>
      </c>
      <c r="R1333" s="5">
        <v>0.0</v>
      </c>
      <c r="S1333" s="5">
        <v>42.9087505027363</v>
      </c>
    </row>
    <row r="1334">
      <c r="A1334" s="6">
        <v>42290.0</v>
      </c>
      <c r="B1334" s="5">
        <v>46.7072760484242</v>
      </c>
      <c r="C1334" s="5">
        <v>-18.3625621233804</v>
      </c>
      <c r="D1334" s="5">
        <v>107.494521316132</v>
      </c>
      <c r="E1334" s="5">
        <v>46.7072760484242</v>
      </c>
      <c r="F1334" s="5">
        <v>46.7072760484242</v>
      </c>
      <c r="G1334" s="5">
        <v>-3.13000931135355</v>
      </c>
      <c r="H1334" s="5">
        <v>-3.13000931135355</v>
      </c>
      <c r="I1334" s="5">
        <v>-3.13000931135355</v>
      </c>
      <c r="J1334" s="5">
        <v>-0.144118857245773</v>
      </c>
      <c r="K1334" s="5">
        <v>-0.144118857245773</v>
      </c>
      <c r="L1334" s="5">
        <v>-0.144118857245773</v>
      </c>
      <c r="M1334" s="5">
        <v>-2.98589045410778</v>
      </c>
      <c r="N1334" s="5">
        <v>-2.98589045410778</v>
      </c>
      <c r="O1334" s="5">
        <v>-2.98589045410778</v>
      </c>
      <c r="P1334" s="5">
        <v>0.0</v>
      </c>
      <c r="Q1334" s="5">
        <v>0.0</v>
      </c>
      <c r="R1334" s="5">
        <v>0.0</v>
      </c>
      <c r="S1334" s="5">
        <v>43.5772667370707</v>
      </c>
    </row>
    <row r="1335">
      <c r="A1335" s="6">
        <v>42291.0</v>
      </c>
      <c r="B1335" s="5">
        <v>46.7131978020952</v>
      </c>
      <c r="C1335" s="5">
        <v>-21.0850338533592</v>
      </c>
      <c r="D1335" s="5">
        <v>105.916916576939</v>
      </c>
      <c r="E1335" s="5">
        <v>46.7131978020952</v>
      </c>
      <c r="F1335" s="5">
        <v>46.7131978020952</v>
      </c>
      <c r="G1335" s="5">
        <v>-1.98976734846319</v>
      </c>
      <c r="H1335" s="5">
        <v>-1.98976734846319</v>
      </c>
      <c r="I1335" s="5">
        <v>-1.98976734846319</v>
      </c>
      <c r="J1335" s="5">
        <v>0.00703780528117164</v>
      </c>
      <c r="K1335" s="5">
        <v>0.00703780528117164</v>
      </c>
      <c r="L1335" s="5">
        <v>0.00703780528117164</v>
      </c>
      <c r="M1335" s="5">
        <v>-1.99680515374436</v>
      </c>
      <c r="N1335" s="5">
        <v>-1.99680515374436</v>
      </c>
      <c r="O1335" s="5">
        <v>-1.99680515374436</v>
      </c>
      <c r="P1335" s="5">
        <v>0.0</v>
      </c>
      <c r="Q1335" s="5">
        <v>0.0</v>
      </c>
      <c r="R1335" s="5">
        <v>0.0</v>
      </c>
      <c r="S1335" s="5">
        <v>44.7234304536321</v>
      </c>
    </row>
    <row r="1336">
      <c r="A1336" s="6">
        <v>42292.0</v>
      </c>
      <c r="B1336" s="5">
        <v>46.7191195557663</v>
      </c>
      <c r="C1336" s="5">
        <v>-19.2490935418856</v>
      </c>
      <c r="D1336" s="5">
        <v>107.639706465869</v>
      </c>
      <c r="E1336" s="5">
        <v>46.7191195557663</v>
      </c>
      <c r="F1336" s="5">
        <v>46.7191195557663</v>
      </c>
      <c r="G1336" s="5">
        <v>-1.70406231887441</v>
      </c>
      <c r="H1336" s="5">
        <v>-1.70406231887441</v>
      </c>
      <c r="I1336" s="5">
        <v>-1.70406231887441</v>
      </c>
      <c r="J1336" s="5">
        <v>-0.776422525901249</v>
      </c>
      <c r="K1336" s="5">
        <v>-0.776422525901249</v>
      </c>
      <c r="L1336" s="5">
        <v>-0.776422525901249</v>
      </c>
      <c r="M1336" s="5">
        <v>-0.927639792973166</v>
      </c>
      <c r="N1336" s="5">
        <v>-0.927639792973166</v>
      </c>
      <c r="O1336" s="5">
        <v>-0.927639792973166</v>
      </c>
      <c r="P1336" s="5">
        <v>0.0</v>
      </c>
      <c r="Q1336" s="5">
        <v>0.0</v>
      </c>
      <c r="R1336" s="5">
        <v>0.0</v>
      </c>
      <c r="S1336" s="5">
        <v>45.0150572368918</v>
      </c>
    </row>
    <row r="1337">
      <c r="A1337" s="6">
        <v>42293.0</v>
      </c>
      <c r="B1337" s="5">
        <v>46.7250413094373</v>
      </c>
      <c r="C1337" s="5">
        <v>-16.1325456384036</v>
      </c>
      <c r="D1337" s="5">
        <v>106.557523181027</v>
      </c>
      <c r="E1337" s="5">
        <v>46.7250413094373</v>
      </c>
      <c r="F1337" s="5">
        <v>46.7250413094373</v>
      </c>
      <c r="G1337" s="5">
        <v>-1.38327143972395</v>
      </c>
      <c r="H1337" s="5">
        <v>-1.38327143972395</v>
      </c>
      <c r="I1337" s="5">
        <v>-1.38327143972395</v>
      </c>
      <c r="J1337" s="5">
        <v>-1.59155056649202</v>
      </c>
      <c r="K1337" s="5">
        <v>-1.59155056649202</v>
      </c>
      <c r="L1337" s="5">
        <v>-1.59155056649202</v>
      </c>
      <c r="M1337" s="5">
        <v>0.208279126768071</v>
      </c>
      <c r="N1337" s="5">
        <v>0.208279126768071</v>
      </c>
      <c r="O1337" s="5">
        <v>0.208279126768071</v>
      </c>
      <c r="P1337" s="5">
        <v>0.0</v>
      </c>
      <c r="Q1337" s="5">
        <v>0.0</v>
      </c>
      <c r="R1337" s="5">
        <v>0.0</v>
      </c>
      <c r="S1337" s="5">
        <v>45.3417698697133</v>
      </c>
    </row>
    <row r="1338">
      <c r="A1338" s="6">
        <v>42296.0</v>
      </c>
      <c r="B1338" s="5">
        <v>46.7428065704503</v>
      </c>
      <c r="C1338" s="5">
        <v>-14.5974089117788</v>
      </c>
      <c r="D1338" s="5">
        <v>113.605082982942</v>
      </c>
      <c r="E1338" s="5">
        <v>46.7428065704503</v>
      </c>
      <c r="F1338" s="5">
        <v>46.7428065704503</v>
      </c>
      <c r="G1338" s="5">
        <v>3.95688948740052</v>
      </c>
      <c r="H1338" s="5">
        <v>3.95688948740052</v>
      </c>
      <c r="I1338" s="5">
        <v>3.95688948740052</v>
      </c>
      <c r="J1338" s="5">
        <v>0.0905589421215992</v>
      </c>
      <c r="K1338" s="5">
        <v>0.0905589421215992</v>
      </c>
      <c r="L1338" s="5">
        <v>0.0905589421215992</v>
      </c>
      <c r="M1338" s="5">
        <v>3.86633054527892</v>
      </c>
      <c r="N1338" s="5">
        <v>3.86633054527892</v>
      </c>
      <c r="O1338" s="5">
        <v>3.86633054527892</v>
      </c>
      <c r="P1338" s="5">
        <v>0.0</v>
      </c>
      <c r="Q1338" s="5">
        <v>0.0</v>
      </c>
      <c r="R1338" s="5">
        <v>0.0</v>
      </c>
      <c r="S1338" s="5">
        <v>50.6996960578508</v>
      </c>
    </row>
    <row r="1339">
      <c r="A1339" s="6">
        <v>42297.0</v>
      </c>
      <c r="B1339" s="5">
        <v>46.7487283241213</v>
      </c>
      <c r="C1339" s="5">
        <v>-12.836589528597</v>
      </c>
      <c r="D1339" s="5">
        <v>112.027021289983</v>
      </c>
      <c r="E1339" s="5">
        <v>46.7487283241213</v>
      </c>
      <c r="F1339" s="5">
        <v>46.7487283241213</v>
      </c>
      <c r="G1339" s="5">
        <v>4.97184065967281</v>
      </c>
      <c r="H1339" s="5">
        <v>4.97184065967281</v>
      </c>
      <c r="I1339" s="5">
        <v>4.97184065967281</v>
      </c>
      <c r="J1339" s="5">
        <v>-0.144118857246099</v>
      </c>
      <c r="K1339" s="5">
        <v>-0.144118857246099</v>
      </c>
      <c r="L1339" s="5">
        <v>-0.144118857246099</v>
      </c>
      <c r="M1339" s="5">
        <v>5.11595951691891</v>
      </c>
      <c r="N1339" s="5">
        <v>5.11595951691891</v>
      </c>
      <c r="O1339" s="5">
        <v>5.11595951691891</v>
      </c>
      <c r="P1339" s="5">
        <v>0.0</v>
      </c>
      <c r="Q1339" s="5">
        <v>0.0</v>
      </c>
      <c r="R1339" s="5">
        <v>0.0</v>
      </c>
      <c r="S1339" s="5">
        <v>51.7205689837941</v>
      </c>
    </row>
    <row r="1340">
      <c r="A1340" s="6">
        <v>42298.0</v>
      </c>
      <c r="B1340" s="5">
        <v>46.7546500777923</v>
      </c>
      <c r="C1340" s="5">
        <v>-9.07000816507424</v>
      </c>
      <c r="D1340" s="5">
        <v>118.349716696099</v>
      </c>
      <c r="E1340" s="5">
        <v>46.7546500777923</v>
      </c>
      <c r="F1340" s="5">
        <v>46.7546500777923</v>
      </c>
      <c r="G1340" s="5">
        <v>6.36100827787465</v>
      </c>
      <c r="H1340" s="5">
        <v>6.36100827787465</v>
      </c>
      <c r="I1340" s="5">
        <v>6.36100827787465</v>
      </c>
      <c r="J1340" s="5">
        <v>0.00703780528248275</v>
      </c>
      <c r="K1340" s="5">
        <v>0.00703780528248275</v>
      </c>
      <c r="L1340" s="5">
        <v>0.00703780528248275</v>
      </c>
      <c r="M1340" s="5">
        <v>6.35397047259217</v>
      </c>
      <c r="N1340" s="5">
        <v>6.35397047259217</v>
      </c>
      <c r="O1340" s="5">
        <v>6.35397047259217</v>
      </c>
      <c r="P1340" s="5">
        <v>0.0</v>
      </c>
      <c r="Q1340" s="5">
        <v>0.0</v>
      </c>
      <c r="R1340" s="5">
        <v>0.0</v>
      </c>
      <c r="S1340" s="5">
        <v>53.115658355667</v>
      </c>
    </row>
    <row r="1341">
      <c r="A1341" s="6">
        <v>42299.0</v>
      </c>
      <c r="B1341" s="5">
        <v>46.7605718314634</v>
      </c>
      <c r="C1341" s="5">
        <v>-14.0724036611802</v>
      </c>
      <c r="D1341" s="5">
        <v>112.28409169112</v>
      </c>
      <c r="E1341" s="5">
        <v>46.7605718314634</v>
      </c>
      <c r="F1341" s="5">
        <v>46.7605718314634</v>
      </c>
      <c r="G1341" s="5">
        <v>6.78859582280733</v>
      </c>
      <c r="H1341" s="5">
        <v>6.78859582280733</v>
      </c>
      <c r="I1341" s="5">
        <v>6.78859582280733</v>
      </c>
      <c r="J1341" s="5">
        <v>-0.776422525903347</v>
      </c>
      <c r="K1341" s="5">
        <v>-0.776422525903347</v>
      </c>
      <c r="L1341" s="5">
        <v>-0.776422525903347</v>
      </c>
      <c r="M1341" s="5">
        <v>7.56501834871068</v>
      </c>
      <c r="N1341" s="5">
        <v>7.56501834871068</v>
      </c>
      <c r="O1341" s="5">
        <v>7.56501834871068</v>
      </c>
      <c r="P1341" s="5">
        <v>0.0</v>
      </c>
      <c r="Q1341" s="5">
        <v>0.0</v>
      </c>
      <c r="R1341" s="5">
        <v>0.0</v>
      </c>
      <c r="S1341" s="5">
        <v>53.5491676542707</v>
      </c>
    </row>
    <row r="1342">
      <c r="A1342" s="6">
        <v>42300.0</v>
      </c>
      <c r="B1342" s="5">
        <v>46.7664935851344</v>
      </c>
      <c r="C1342" s="5">
        <v>-8.81249285131373</v>
      </c>
      <c r="D1342" s="5">
        <v>116.671651431283</v>
      </c>
      <c r="E1342" s="5">
        <v>46.7664935851344</v>
      </c>
      <c r="F1342" s="5">
        <v>46.7664935851344</v>
      </c>
      <c r="G1342" s="5">
        <v>7.14320130999716</v>
      </c>
      <c r="H1342" s="5">
        <v>7.14320130999716</v>
      </c>
      <c r="I1342" s="5">
        <v>7.14320130999716</v>
      </c>
      <c r="J1342" s="5">
        <v>-1.59155056649416</v>
      </c>
      <c r="K1342" s="5">
        <v>-1.59155056649416</v>
      </c>
      <c r="L1342" s="5">
        <v>-1.59155056649416</v>
      </c>
      <c r="M1342" s="5">
        <v>8.73475187649132</v>
      </c>
      <c r="N1342" s="5">
        <v>8.73475187649132</v>
      </c>
      <c r="O1342" s="5">
        <v>8.73475187649132</v>
      </c>
      <c r="P1342" s="5">
        <v>0.0</v>
      </c>
      <c r="Q1342" s="5">
        <v>0.0</v>
      </c>
      <c r="R1342" s="5">
        <v>0.0</v>
      </c>
      <c r="S1342" s="5">
        <v>53.9096948951315</v>
      </c>
    </row>
    <row r="1343">
      <c r="A1343" s="6">
        <v>42303.0</v>
      </c>
      <c r="B1343" s="5">
        <v>46.7842588461474</v>
      </c>
      <c r="C1343" s="5">
        <v>-6.00110415470507</v>
      </c>
      <c r="D1343" s="5">
        <v>122.212320484205</v>
      </c>
      <c r="E1343" s="5">
        <v>46.7842588461474</v>
      </c>
      <c r="F1343" s="5">
        <v>46.7842588461474</v>
      </c>
      <c r="G1343" s="5">
        <v>11.9648108870569</v>
      </c>
      <c r="H1343" s="5">
        <v>11.9648108870569</v>
      </c>
      <c r="I1343" s="5">
        <v>11.9648108870569</v>
      </c>
      <c r="J1343" s="5">
        <v>0.090558942120242</v>
      </c>
      <c r="K1343" s="5">
        <v>0.090558942120242</v>
      </c>
      <c r="L1343" s="5">
        <v>0.090558942120242</v>
      </c>
      <c r="M1343" s="5">
        <v>11.8742519449367</v>
      </c>
      <c r="N1343" s="5">
        <v>11.8742519449367</v>
      </c>
      <c r="O1343" s="5">
        <v>11.8742519449367</v>
      </c>
      <c r="P1343" s="5">
        <v>0.0</v>
      </c>
      <c r="Q1343" s="5">
        <v>0.0</v>
      </c>
      <c r="R1343" s="5">
        <v>0.0</v>
      </c>
      <c r="S1343" s="5">
        <v>58.7490697332044</v>
      </c>
    </row>
    <row r="1344">
      <c r="A1344" s="6">
        <v>42304.0</v>
      </c>
      <c r="B1344" s="5">
        <v>46.7901805998184</v>
      </c>
      <c r="C1344" s="5">
        <v>-2.68240195819334</v>
      </c>
      <c r="D1344" s="5">
        <v>121.573079028904</v>
      </c>
      <c r="E1344" s="5">
        <v>46.7901805998184</v>
      </c>
      <c r="F1344" s="5">
        <v>46.7901805998184</v>
      </c>
      <c r="G1344" s="5">
        <v>12.6218851201947</v>
      </c>
      <c r="H1344" s="5">
        <v>12.6218851201947</v>
      </c>
      <c r="I1344" s="5">
        <v>12.6218851201947</v>
      </c>
      <c r="J1344" s="5">
        <v>-0.144118857245011</v>
      </c>
      <c r="K1344" s="5">
        <v>-0.144118857245011</v>
      </c>
      <c r="L1344" s="5">
        <v>-0.144118857245011</v>
      </c>
      <c r="M1344" s="5">
        <v>12.7660039774397</v>
      </c>
      <c r="N1344" s="5">
        <v>12.7660039774397</v>
      </c>
      <c r="O1344" s="5">
        <v>12.7660039774397</v>
      </c>
      <c r="P1344" s="5">
        <v>0.0</v>
      </c>
      <c r="Q1344" s="5">
        <v>0.0</v>
      </c>
      <c r="R1344" s="5">
        <v>0.0</v>
      </c>
      <c r="S1344" s="5">
        <v>59.4120657200132</v>
      </c>
    </row>
    <row r="1345">
      <c r="A1345" s="6">
        <v>42305.0</v>
      </c>
      <c r="B1345" s="5">
        <v>46.7961023534894</v>
      </c>
      <c r="C1345" s="5">
        <v>-3.21760044148536</v>
      </c>
      <c r="D1345" s="5">
        <v>122.067997289453</v>
      </c>
      <c r="E1345" s="5">
        <v>46.7961023534894</v>
      </c>
      <c r="F1345" s="5">
        <v>46.7961023534894</v>
      </c>
      <c r="G1345" s="5">
        <v>13.5768896921713</v>
      </c>
      <c r="H1345" s="5">
        <v>13.5768896921713</v>
      </c>
      <c r="I1345" s="5">
        <v>13.5768896921713</v>
      </c>
      <c r="J1345" s="5">
        <v>0.00703780528163019</v>
      </c>
      <c r="K1345" s="5">
        <v>0.00703780528163019</v>
      </c>
      <c r="L1345" s="5">
        <v>0.00703780528163019</v>
      </c>
      <c r="M1345" s="5">
        <v>13.5698518868897</v>
      </c>
      <c r="N1345" s="5">
        <v>13.5698518868897</v>
      </c>
      <c r="O1345" s="5">
        <v>13.5698518868897</v>
      </c>
      <c r="P1345" s="5">
        <v>0.0</v>
      </c>
      <c r="Q1345" s="5">
        <v>0.0</v>
      </c>
      <c r="R1345" s="5">
        <v>0.0</v>
      </c>
      <c r="S1345" s="5">
        <v>60.3729920456608</v>
      </c>
    </row>
    <row r="1346">
      <c r="A1346" s="6">
        <v>42306.0</v>
      </c>
      <c r="B1346" s="5">
        <v>46.8020241071605</v>
      </c>
      <c r="C1346" s="5">
        <v>-3.14591994803611</v>
      </c>
      <c r="D1346" s="5">
        <v>123.676564266095</v>
      </c>
      <c r="E1346" s="5">
        <v>46.8020241071605</v>
      </c>
      <c r="F1346" s="5">
        <v>46.8020241071605</v>
      </c>
      <c r="G1346" s="5">
        <v>13.5064330717307</v>
      </c>
      <c r="H1346" s="5">
        <v>13.5064330717307</v>
      </c>
      <c r="I1346" s="5">
        <v>13.5064330717307</v>
      </c>
      <c r="J1346" s="5">
        <v>-0.776422525905444</v>
      </c>
      <c r="K1346" s="5">
        <v>-0.776422525905444</v>
      </c>
      <c r="L1346" s="5">
        <v>-0.776422525905444</v>
      </c>
      <c r="M1346" s="5">
        <v>14.2828555976362</v>
      </c>
      <c r="N1346" s="5">
        <v>14.2828555976362</v>
      </c>
      <c r="O1346" s="5">
        <v>14.2828555976362</v>
      </c>
      <c r="P1346" s="5">
        <v>0.0</v>
      </c>
      <c r="Q1346" s="5">
        <v>0.0</v>
      </c>
      <c r="R1346" s="5">
        <v>0.0</v>
      </c>
      <c r="S1346" s="5">
        <v>60.3084571788912</v>
      </c>
    </row>
    <row r="1347">
      <c r="A1347" s="6">
        <v>42307.0</v>
      </c>
      <c r="B1347" s="5">
        <v>46.8079458608315</v>
      </c>
      <c r="C1347" s="5">
        <v>-4.53939269385172</v>
      </c>
      <c r="D1347" s="5">
        <v>126.125417914163</v>
      </c>
      <c r="E1347" s="5">
        <v>46.8079458608315</v>
      </c>
      <c r="F1347" s="5">
        <v>46.8079458608315</v>
      </c>
      <c r="G1347" s="5">
        <v>13.3128182936842</v>
      </c>
      <c r="H1347" s="5">
        <v>13.3128182936842</v>
      </c>
      <c r="I1347" s="5">
        <v>13.3128182936842</v>
      </c>
      <c r="J1347" s="5">
        <v>-1.59155056649566</v>
      </c>
      <c r="K1347" s="5">
        <v>-1.59155056649566</v>
      </c>
      <c r="L1347" s="5">
        <v>-1.59155056649566</v>
      </c>
      <c r="M1347" s="5">
        <v>14.9043688601798</v>
      </c>
      <c r="N1347" s="5">
        <v>14.9043688601798</v>
      </c>
      <c r="O1347" s="5">
        <v>14.9043688601798</v>
      </c>
      <c r="P1347" s="5">
        <v>0.0</v>
      </c>
      <c r="Q1347" s="5">
        <v>0.0</v>
      </c>
      <c r="R1347" s="5">
        <v>0.0</v>
      </c>
      <c r="S1347" s="5">
        <v>60.1207641545157</v>
      </c>
    </row>
    <row r="1348">
      <c r="A1348" s="6">
        <v>42310.0</v>
      </c>
      <c r="B1348" s="5">
        <v>46.8257111218445</v>
      </c>
      <c r="C1348" s="5">
        <v>1.35889175845156</v>
      </c>
      <c r="D1348" s="5">
        <v>127.274369947392</v>
      </c>
      <c r="E1348" s="5">
        <v>46.8257111218445</v>
      </c>
      <c r="F1348" s="5">
        <v>46.8257111218445</v>
      </c>
      <c r="G1348" s="5">
        <v>16.3368368599615</v>
      </c>
      <c r="H1348" s="5">
        <v>16.3368368599615</v>
      </c>
      <c r="I1348" s="5">
        <v>16.3368368599615</v>
      </c>
      <c r="J1348" s="5">
        <v>0.0905589421211883</v>
      </c>
      <c r="K1348" s="5">
        <v>0.0905589421211883</v>
      </c>
      <c r="L1348" s="5">
        <v>0.0905589421211883</v>
      </c>
      <c r="M1348" s="5">
        <v>16.2462779178404</v>
      </c>
      <c r="N1348" s="5">
        <v>16.2462779178404</v>
      </c>
      <c r="O1348" s="5">
        <v>16.2462779178404</v>
      </c>
      <c r="P1348" s="5">
        <v>0.0</v>
      </c>
      <c r="Q1348" s="5">
        <v>0.0</v>
      </c>
      <c r="R1348" s="5">
        <v>0.0</v>
      </c>
      <c r="S1348" s="5">
        <v>63.1625479818061</v>
      </c>
    </row>
    <row r="1349">
      <c r="A1349" s="6">
        <v>42311.0</v>
      </c>
      <c r="B1349" s="5">
        <v>46.8316328755155</v>
      </c>
      <c r="C1349" s="5">
        <v>-0.548288157547042</v>
      </c>
      <c r="D1349" s="5">
        <v>123.360306459297</v>
      </c>
      <c r="E1349" s="5">
        <v>46.8316328755155</v>
      </c>
      <c r="F1349" s="5">
        <v>46.8316328755155</v>
      </c>
      <c r="G1349" s="5">
        <v>16.3938355802385</v>
      </c>
      <c r="H1349" s="5">
        <v>16.3938355802385</v>
      </c>
      <c r="I1349" s="5">
        <v>16.3938355802385</v>
      </c>
      <c r="J1349" s="5">
        <v>-0.144118857243923</v>
      </c>
      <c r="K1349" s="5">
        <v>-0.144118857243923</v>
      </c>
      <c r="L1349" s="5">
        <v>-0.144118857243923</v>
      </c>
      <c r="M1349" s="5">
        <v>16.5379544374824</v>
      </c>
      <c r="N1349" s="5">
        <v>16.5379544374824</v>
      </c>
      <c r="O1349" s="5">
        <v>16.5379544374824</v>
      </c>
      <c r="P1349" s="5">
        <v>0.0</v>
      </c>
      <c r="Q1349" s="5">
        <v>0.0</v>
      </c>
      <c r="R1349" s="5">
        <v>0.0</v>
      </c>
      <c r="S1349" s="5">
        <v>63.2254684557541</v>
      </c>
    </row>
    <row r="1350">
      <c r="A1350" s="6">
        <v>42312.0</v>
      </c>
      <c r="B1350" s="5">
        <v>46.8375546291865</v>
      </c>
      <c r="C1350" s="5">
        <v>6.59852146289571</v>
      </c>
      <c r="D1350" s="5">
        <v>121.85788325109</v>
      </c>
      <c r="E1350" s="5">
        <v>46.8375546291865</v>
      </c>
      <c r="F1350" s="5">
        <v>46.8375546291865</v>
      </c>
      <c r="G1350" s="5">
        <v>16.7722449539844</v>
      </c>
      <c r="H1350" s="5">
        <v>16.7722449539844</v>
      </c>
      <c r="I1350" s="5">
        <v>16.7722449539844</v>
      </c>
      <c r="J1350" s="5">
        <v>0.00703780528294126</v>
      </c>
      <c r="K1350" s="5">
        <v>0.00703780528294126</v>
      </c>
      <c r="L1350" s="5">
        <v>0.00703780528294126</v>
      </c>
      <c r="M1350" s="5">
        <v>16.7652071487014</v>
      </c>
      <c r="N1350" s="5">
        <v>16.7652071487014</v>
      </c>
      <c r="O1350" s="5">
        <v>16.7652071487014</v>
      </c>
      <c r="P1350" s="5">
        <v>0.0</v>
      </c>
      <c r="Q1350" s="5">
        <v>0.0</v>
      </c>
      <c r="R1350" s="5">
        <v>0.0</v>
      </c>
      <c r="S1350" s="5">
        <v>63.609799583171</v>
      </c>
    </row>
    <row r="1351">
      <c r="A1351" s="6">
        <v>42313.0</v>
      </c>
      <c r="B1351" s="5">
        <v>46.8434763828576</v>
      </c>
      <c r="C1351" s="5">
        <v>0.335386809588135</v>
      </c>
      <c r="D1351" s="5">
        <v>125.635838653776</v>
      </c>
      <c r="E1351" s="5">
        <v>46.8434763828576</v>
      </c>
      <c r="F1351" s="5">
        <v>46.8434763828576</v>
      </c>
      <c r="G1351" s="5">
        <v>16.1614940139505</v>
      </c>
      <c r="H1351" s="5">
        <v>16.1614940139505</v>
      </c>
      <c r="I1351" s="5">
        <v>16.1614940139505</v>
      </c>
      <c r="J1351" s="5">
        <v>-0.77642252590194</v>
      </c>
      <c r="K1351" s="5">
        <v>-0.77642252590194</v>
      </c>
      <c r="L1351" s="5">
        <v>-0.77642252590194</v>
      </c>
      <c r="M1351" s="5">
        <v>16.9379165398524</v>
      </c>
      <c r="N1351" s="5">
        <v>16.9379165398524</v>
      </c>
      <c r="O1351" s="5">
        <v>16.9379165398524</v>
      </c>
      <c r="P1351" s="5">
        <v>0.0</v>
      </c>
      <c r="Q1351" s="5">
        <v>0.0</v>
      </c>
      <c r="R1351" s="5">
        <v>0.0</v>
      </c>
      <c r="S1351" s="5">
        <v>63.0049703968081</v>
      </c>
    </row>
    <row r="1352">
      <c r="A1352" s="6">
        <v>42314.0</v>
      </c>
      <c r="B1352" s="5">
        <v>46.8493981365286</v>
      </c>
      <c r="C1352" s="5">
        <v>-0.482029532098111</v>
      </c>
      <c r="D1352" s="5">
        <v>127.844674446531</v>
      </c>
      <c r="E1352" s="5">
        <v>46.8493981365286</v>
      </c>
      <c r="F1352" s="5">
        <v>46.8493981365286</v>
      </c>
      <c r="G1352" s="5">
        <v>15.4751727715518</v>
      </c>
      <c r="H1352" s="5">
        <v>15.4751727715518</v>
      </c>
      <c r="I1352" s="5">
        <v>15.4751727715518</v>
      </c>
      <c r="J1352" s="5">
        <v>-1.59155056649505</v>
      </c>
      <c r="K1352" s="5">
        <v>-1.59155056649505</v>
      </c>
      <c r="L1352" s="5">
        <v>-1.59155056649505</v>
      </c>
      <c r="M1352" s="5">
        <v>17.0667233380469</v>
      </c>
      <c r="N1352" s="5">
        <v>17.0667233380469</v>
      </c>
      <c r="O1352" s="5">
        <v>17.0667233380469</v>
      </c>
      <c r="P1352" s="5">
        <v>0.0</v>
      </c>
      <c r="Q1352" s="5">
        <v>0.0</v>
      </c>
      <c r="R1352" s="5">
        <v>0.0</v>
      </c>
      <c r="S1352" s="5">
        <v>62.3245709080804</v>
      </c>
    </row>
    <row r="1353">
      <c r="A1353" s="6">
        <v>42317.0</v>
      </c>
      <c r="B1353" s="5">
        <v>46.8671633975416</v>
      </c>
      <c r="C1353" s="5">
        <v>0.878447192508479</v>
      </c>
      <c r="D1353" s="5">
        <v>123.874968608811</v>
      </c>
      <c r="E1353" s="5">
        <v>46.8671633975416</v>
      </c>
      <c r="F1353" s="5">
        <v>46.8671633975416</v>
      </c>
      <c r="G1353" s="5">
        <v>17.3904114867251</v>
      </c>
      <c r="H1353" s="5">
        <v>17.3904114867251</v>
      </c>
      <c r="I1353" s="5">
        <v>17.3904114867251</v>
      </c>
      <c r="J1353" s="5">
        <v>0.0905589421198311</v>
      </c>
      <c r="K1353" s="5">
        <v>0.0905589421198311</v>
      </c>
      <c r="L1353" s="5">
        <v>0.0905589421198311</v>
      </c>
      <c r="M1353" s="5">
        <v>17.2998525446053</v>
      </c>
      <c r="N1353" s="5">
        <v>17.2998525446053</v>
      </c>
      <c r="O1353" s="5">
        <v>17.2998525446053</v>
      </c>
      <c r="P1353" s="5">
        <v>0.0</v>
      </c>
      <c r="Q1353" s="5">
        <v>0.0</v>
      </c>
      <c r="R1353" s="5">
        <v>0.0</v>
      </c>
      <c r="S1353" s="5">
        <v>64.2575748842668</v>
      </c>
    </row>
    <row r="1354">
      <c r="A1354" s="6">
        <v>42318.0</v>
      </c>
      <c r="B1354" s="5">
        <v>46.8730851512126</v>
      </c>
      <c r="C1354" s="5">
        <v>4.18160763451685</v>
      </c>
      <c r="D1354" s="5">
        <v>125.039693744462</v>
      </c>
      <c r="E1354" s="5">
        <v>46.8730851512126</v>
      </c>
      <c r="F1354" s="5">
        <v>46.8730851512126</v>
      </c>
      <c r="G1354" s="5">
        <v>17.2177273095359</v>
      </c>
      <c r="H1354" s="5">
        <v>17.2177273095359</v>
      </c>
      <c r="I1354" s="5">
        <v>17.2177273095359</v>
      </c>
      <c r="J1354" s="5">
        <v>-0.144118857246772</v>
      </c>
      <c r="K1354" s="5">
        <v>-0.144118857246772</v>
      </c>
      <c r="L1354" s="5">
        <v>-0.144118857246772</v>
      </c>
      <c r="M1354" s="5">
        <v>17.3618461667826</v>
      </c>
      <c r="N1354" s="5">
        <v>17.3618461667826</v>
      </c>
      <c r="O1354" s="5">
        <v>17.3618461667826</v>
      </c>
      <c r="P1354" s="5">
        <v>0.0</v>
      </c>
      <c r="Q1354" s="5">
        <v>0.0</v>
      </c>
      <c r="R1354" s="5">
        <v>0.0</v>
      </c>
      <c r="S1354" s="5">
        <v>64.0908124607485</v>
      </c>
    </row>
    <row r="1355">
      <c r="A1355" s="6">
        <v>42319.0</v>
      </c>
      <c r="B1355" s="5">
        <v>46.8790069048836</v>
      </c>
      <c r="C1355" s="5">
        <v>-2.95979184494496</v>
      </c>
      <c r="D1355" s="5">
        <v>123.903358155923</v>
      </c>
      <c r="E1355" s="5">
        <v>46.8790069048836</v>
      </c>
      <c r="F1355" s="5">
        <v>46.8790069048836</v>
      </c>
      <c r="G1355" s="5">
        <v>17.4388280783962</v>
      </c>
      <c r="H1355" s="5">
        <v>17.4388280783962</v>
      </c>
      <c r="I1355" s="5">
        <v>17.4388280783962</v>
      </c>
      <c r="J1355" s="5">
        <v>0.00703780528308014</v>
      </c>
      <c r="K1355" s="5">
        <v>0.00703780528308014</v>
      </c>
      <c r="L1355" s="5">
        <v>0.00703780528308014</v>
      </c>
      <c r="M1355" s="5">
        <v>17.4317902731132</v>
      </c>
      <c r="N1355" s="5">
        <v>17.4317902731132</v>
      </c>
      <c r="O1355" s="5">
        <v>17.4317902731132</v>
      </c>
      <c r="P1355" s="5">
        <v>0.0</v>
      </c>
      <c r="Q1355" s="5">
        <v>0.0</v>
      </c>
      <c r="R1355" s="5">
        <v>0.0</v>
      </c>
      <c r="S1355" s="5">
        <v>64.3178349832799</v>
      </c>
    </row>
    <row r="1356">
      <c r="A1356" s="6">
        <v>42320.0</v>
      </c>
      <c r="B1356" s="5">
        <v>46.8849286585547</v>
      </c>
      <c r="C1356" s="5">
        <v>1.81498086558095</v>
      </c>
      <c r="D1356" s="5">
        <v>127.20694794763</v>
      </c>
      <c r="E1356" s="5">
        <v>46.8849286585547</v>
      </c>
      <c r="F1356" s="5">
        <v>46.8849286585547</v>
      </c>
      <c r="G1356" s="5">
        <v>16.7409643682978</v>
      </c>
      <c r="H1356" s="5">
        <v>16.7409643682978</v>
      </c>
      <c r="I1356" s="5">
        <v>16.7409643682978</v>
      </c>
      <c r="J1356" s="5">
        <v>-0.776422525904037</v>
      </c>
      <c r="K1356" s="5">
        <v>-0.776422525904037</v>
      </c>
      <c r="L1356" s="5">
        <v>-0.776422525904037</v>
      </c>
      <c r="M1356" s="5">
        <v>17.5173868942018</v>
      </c>
      <c r="N1356" s="5">
        <v>17.5173868942018</v>
      </c>
      <c r="O1356" s="5">
        <v>17.5173868942018</v>
      </c>
      <c r="P1356" s="5">
        <v>0.0</v>
      </c>
      <c r="Q1356" s="5">
        <v>0.0</v>
      </c>
      <c r="R1356" s="5">
        <v>0.0</v>
      </c>
      <c r="S1356" s="5">
        <v>63.6258930268525</v>
      </c>
    </row>
    <row r="1357">
      <c r="A1357" s="6">
        <v>42321.0</v>
      </c>
      <c r="B1357" s="5">
        <v>46.8908504122257</v>
      </c>
      <c r="C1357" s="5">
        <v>1.77008842504811</v>
      </c>
      <c r="D1357" s="5">
        <v>121.533032295388</v>
      </c>
      <c r="E1357" s="5">
        <v>46.8908504122257</v>
      </c>
      <c r="F1357" s="5">
        <v>46.8908504122257</v>
      </c>
      <c r="G1357" s="5">
        <v>16.0332372773134</v>
      </c>
      <c r="H1357" s="5">
        <v>16.0332372773134</v>
      </c>
      <c r="I1357" s="5">
        <v>16.0332372773134</v>
      </c>
      <c r="J1357" s="5">
        <v>-1.59155056649381</v>
      </c>
      <c r="K1357" s="5">
        <v>-1.59155056649381</v>
      </c>
      <c r="L1357" s="5">
        <v>-1.59155056649381</v>
      </c>
      <c r="M1357" s="5">
        <v>17.6247878438072</v>
      </c>
      <c r="N1357" s="5">
        <v>17.6247878438072</v>
      </c>
      <c r="O1357" s="5">
        <v>17.6247878438072</v>
      </c>
      <c r="P1357" s="5">
        <v>0.0</v>
      </c>
      <c r="Q1357" s="5">
        <v>0.0</v>
      </c>
      <c r="R1357" s="5">
        <v>0.0</v>
      </c>
      <c r="S1357" s="5">
        <v>62.9240876895391</v>
      </c>
    </row>
    <row r="1358">
      <c r="A1358" s="6">
        <v>42324.0</v>
      </c>
      <c r="B1358" s="5">
        <v>46.9086156732387</v>
      </c>
      <c r="C1358" s="5">
        <v>0.72804242707093</v>
      </c>
      <c r="D1358" s="5">
        <v>122.515694645296</v>
      </c>
      <c r="E1358" s="5">
        <v>46.9086156732387</v>
      </c>
      <c r="F1358" s="5">
        <v>46.9086156732387</v>
      </c>
      <c r="G1358" s="5">
        <v>18.2030437171267</v>
      </c>
      <c r="H1358" s="5">
        <v>18.2030437171267</v>
      </c>
      <c r="I1358" s="5">
        <v>18.2030437171267</v>
      </c>
      <c r="J1358" s="5">
        <v>0.0905589421232416</v>
      </c>
      <c r="K1358" s="5">
        <v>0.0905589421232416</v>
      </c>
      <c r="L1358" s="5">
        <v>0.0905589421232416</v>
      </c>
      <c r="M1358" s="5">
        <v>18.1124847750035</v>
      </c>
      <c r="N1358" s="5">
        <v>18.1124847750035</v>
      </c>
      <c r="O1358" s="5">
        <v>18.1124847750035</v>
      </c>
      <c r="P1358" s="5">
        <v>0.0</v>
      </c>
      <c r="Q1358" s="5">
        <v>0.0</v>
      </c>
      <c r="R1358" s="5">
        <v>0.0</v>
      </c>
      <c r="S1358" s="5">
        <v>65.1116593903655</v>
      </c>
    </row>
    <row r="1359">
      <c r="A1359" s="6">
        <v>42325.0</v>
      </c>
      <c r="B1359" s="5">
        <v>46.9145374269097</v>
      </c>
      <c r="C1359" s="5">
        <v>2.57201827952277</v>
      </c>
      <c r="D1359" s="5">
        <v>132.433078701703</v>
      </c>
      <c r="E1359" s="5">
        <v>46.9145374269097</v>
      </c>
      <c r="F1359" s="5">
        <v>46.9145374269097</v>
      </c>
      <c r="G1359" s="5">
        <v>18.1880705535375</v>
      </c>
      <c r="H1359" s="5">
        <v>18.1880705535375</v>
      </c>
      <c r="I1359" s="5">
        <v>18.1880705535375</v>
      </c>
      <c r="J1359" s="5">
        <v>-0.144118857243161</v>
      </c>
      <c r="K1359" s="5">
        <v>-0.144118857243161</v>
      </c>
      <c r="L1359" s="5">
        <v>-0.144118857243161</v>
      </c>
      <c r="M1359" s="5">
        <v>18.3321894107806</v>
      </c>
      <c r="N1359" s="5">
        <v>18.3321894107806</v>
      </c>
      <c r="O1359" s="5">
        <v>18.3321894107806</v>
      </c>
      <c r="P1359" s="5">
        <v>0.0</v>
      </c>
      <c r="Q1359" s="5">
        <v>0.0</v>
      </c>
      <c r="R1359" s="5">
        <v>0.0</v>
      </c>
      <c r="S1359" s="5">
        <v>65.1026079804472</v>
      </c>
    </row>
    <row r="1360">
      <c r="A1360" s="6">
        <v>42326.0</v>
      </c>
      <c r="B1360" s="5">
        <v>46.9204591805808</v>
      </c>
      <c r="C1360" s="5">
        <v>2.50889120321479</v>
      </c>
      <c r="D1360" s="5">
        <v>127.636227554544</v>
      </c>
      <c r="E1360" s="5">
        <v>46.9204591805808</v>
      </c>
      <c r="F1360" s="5">
        <v>46.9204591805808</v>
      </c>
      <c r="G1360" s="5">
        <v>18.5836820510176</v>
      </c>
      <c r="H1360" s="5">
        <v>18.5836820510176</v>
      </c>
      <c r="I1360" s="5">
        <v>18.5836820510176</v>
      </c>
      <c r="J1360" s="5">
        <v>0.00703780528222769</v>
      </c>
      <c r="K1360" s="5">
        <v>0.00703780528222769</v>
      </c>
      <c r="L1360" s="5">
        <v>0.00703780528222769</v>
      </c>
      <c r="M1360" s="5">
        <v>18.5766442457353</v>
      </c>
      <c r="N1360" s="5">
        <v>18.5766442457353</v>
      </c>
      <c r="O1360" s="5">
        <v>18.5766442457353</v>
      </c>
      <c r="P1360" s="5">
        <v>0.0</v>
      </c>
      <c r="Q1360" s="5">
        <v>0.0</v>
      </c>
      <c r="R1360" s="5">
        <v>0.0</v>
      </c>
      <c r="S1360" s="5">
        <v>65.5041412315984</v>
      </c>
    </row>
    <row r="1361">
      <c r="A1361" s="6">
        <v>42327.0</v>
      </c>
      <c r="B1361" s="5">
        <v>46.9263809342518</v>
      </c>
      <c r="C1361" s="5">
        <v>9.17866746964766</v>
      </c>
      <c r="D1361" s="5">
        <v>133.532300137097</v>
      </c>
      <c r="E1361" s="5">
        <v>46.9263809342518</v>
      </c>
      <c r="F1361" s="5">
        <v>46.9263809342518</v>
      </c>
      <c r="G1361" s="5">
        <v>18.0644234042511</v>
      </c>
      <c r="H1361" s="5">
        <v>18.0644234042511</v>
      </c>
      <c r="I1361" s="5">
        <v>18.0644234042511</v>
      </c>
      <c r="J1361" s="5">
        <v>-0.776422525904759</v>
      </c>
      <c r="K1361" s="5">
        <v>-0.776422525904759</v>
      </c>
      <c r="L1361" s="5">
        <v>-0.776422525904759</v>
      </c>
      <c r="M1361" s="5">
        <v>18.8408459301558</v>
      </c>
      <c r="N1361" s="5">
        <v>18.8408459301558</v>
      </c>
      <c r="O1361" s="5">
        <v>18.8408459301558</v>
      </c>
      <c r="P1361" s="5">
        <v>0.0</v>
      </c>
      <c r="Q1361" s="5">
        <v>0.0</v>
      </c>
      <c r="R1361" s="5">
        <v>0.0</v>
      </c>
      <c r="S1361" s="5">
        <v>64.9908043385029</v>
      </c>
    </row>
    <row r="1362">
      <c r="A1362" s="6">
        <v>42328.0</v>
      </c>
      <c r="B1362" s="5">
        <v>46.9323026879228</v>
      </c>
      <c r="C1362" s="5">
        <v>3.58530712407406</v>
      </c>
      <c r="D1362" s="5">
        <v>132.669472319003</v>
      </c>
      <c r="E1362" s="5">
        <v>46.9323026879228</v>
      </c>
      <c r="F1362" s="5">
        <v>46.9323026879228</v>
      </c>
      <c r="G1362" s="5">
        <v>17.5266633291583</v>
      </c>
      <c r="H1362" s="5">
        <v>17.5266633291583</v>
      </c>
      <c r="I1362" s="5">
        <v>17.5266633291583</v>
      </c>
      <c r="J1362" s="5">
        <v>-1.59155056649288</v>
      </c>
      <c r="K1362" s="5">
        <v>-1.59155056649288</v>
      </c>
      <c r="L1362" s="5">
        <v>-1.59155056649288</v>
      </c>
      <c r="M1362" s="5">
        <v>19.1182138956512</v>
      </c>
      <c r="N1362" s="5">
        <v>19.1182138956512</v>
      </c>
      <c r="O1362" s="5">
        <v>19.1182138956512</v>
      </c>
      <c r="P1362" s="5">
        <v>0.0</v>
      </c>
      <c r="Q1362" s="5">
        <v>0.0</v>
      </c>
      <c r="R1362" s="5">
        <v>0.0</v>
      </c>
      <c r="S1362" s="5">
        <v>64.4589660170811</v>
      </c>
    </row>
    <row r="1363">
      <c r="A1363" s="6">
        <v>42331.0</v>
      </c>
      <c r="B1363" s="5">
        <v>46.9500679489358</v>
      </c>
      <c r="C1363" s="5">
        <v>6.24135450805504</v>
      </c>
      <c r="D1363" s="5">
        <v>129.104734036892</v>
      </c>
      <c r="E1363" s="5">
        <v>46.9500679489358</v>
      </c>
      <c r="F1363" s="5">
        <v>46.9500679489358</v>
      </c>
      <c r="G1363" s="5">
        <v>20.0357716719978</v>
      </c>
      <c r="H1363" s="5">
        <v>20.0357716719978</v>
      </c>
      <c r="I1363" s="5">
        <v>20.0357716719978</v>
      </c>
      <c r="J1363" s="5">
        <v>0.0905589421241879</v>
      </c>
      <c r="K1363" s="5">
        <v>0.0905589421241879</v>
      </c>
      <c r="L1363" s="5">
        <v>0.0905589421241879</v>
      </c>
      <c r="M1363" s="5">
        <v>19.9452127298736</v>
      </c>
      <c r="N1363" s="5">
        <v>19.9452127298736</v>
      </c>
      <c r="O1363" s="5">
        <v>19.9452127298736</v>
      </c>
      <c r="P1363" s="5">
        <v>0.0</v>
      </c>
      <c r="Q1363" s="5">
        <v>0.0</v>
      </c>
      <c r="R1363" s="5">
        <v>0.0</v>
      </c>
      <c r="S1363" s="5">
        <v>66.9858396209336</v>
      </c>
    </row>
    <row r="1364">
      <c r="A1364" s="6">
        <v>42332.0</v>
      </c>
      <c r="B1364" s="5">
        <v>46.9559897026068</v>
      </c>
      <c r="C1364" s="5">
        <v>-0.741456031207653</v>
      </c>
      <c r="D1364" s="5">
        <v>128.493174124011</v>
      </c>
      <c r="E1364" s="5">
        <v>46.9559897026068</v>
      </c>
      <c r="F1364" s="5">
        <v>46.9559897026068</v>
      </c>
      <c r="G1364" s="5">
        <v>20.0431100330388</v>
      </c>
      <c r="H1364" s="5">
        <v>20.0431100330388</v>
      </c>
      <c r="I1364" s="5">
        <v>20.0431100330388</v>
      </c>
      <c r="J1364" s="5">
        <v>-0.144118857244596</v>
      </c>
      <c r="K1364" s="5">
        <v>-0.144118857244596</v>
      </c>
      <c r="L1364" s="5">
        <v>-0.144118857244596</v>
      </c>
      <c r="M1364" s="5">
        <v>20.1872288902834</v>
      </c>
      <c r="N1364" s="5">
        <v>20.1872288902834</v>
      </c>
      <c r="O1364" s="5">
        <v>20.1872288902834</v>
      </c>
      <c r="P1364" s="5">
        <v>0.0</v>
      </c>
      <c r="Q1364" s="5">
        <v>0.0</v>
      </c>
      <c r="R1364" s="5">
        <v>0.0</v>
      </c>
      <c r="S1364" s="5">
        <v>66.9990997356457</v>
      </c>
    </row>
    <row r="1365">
      <c r="A1365" s="6">
        <v>42333.0</v>
      </c>
      <c r="B1365" s="5">
        <v>46.9619114562779</v>
      </c>
      <c r="C1365" s="5">
        <v>2.92806863214901</v>
      </c>
      <c r="D1365" s="5">
        <v>131.164081598073</v>
      </c>
      <c r="E1365" s="5">
        <v>46.9619114562779</v>
      </c>
      <c r="F1365" s="5">
        <v>46.9619114562779</v>
      </c>
      <c r="G1365" s="5">
        <v>20.402760624867</v>
      </c>
      <c r="H1365" s="5">
        <v>20.402760624867</v>
      </c>
      <c r="I1365" s="5">
        <v>20.402760624867</v>
      </c>
      <c r="J1365" s="5">
        <v>0.00703780528137513</v>
      </c>
      <c r="K1365" s="5">
        <v>0.00703780528137513</v>
      </c>
      <c r="L1365" s="5">
        <v>0.00703780528137513</v>
      </c>
      <c r="M1365" s="5">
        <v>20.3957228195856</v>
      </c>
      <c r="N1365" s="5">
        <v>20.3957228195856</v>
      </c>
      <c r="O1365" s="5">
        <v>20.3957228195856</v>
      </c>
      <c r="P1365" s="5">
        <v>0.0</v>
      </c>
      <c r="Q1365" s="5">
        <v>0.0</v>
      </c>
      <c r="R1365" s="5">
        <v>0.0</v>
      </c>
      <c r="S1365" s="5">
        <v>67.3646720811449</v>
      </c>
    </row>
    <row r="1366">
      <c r="A1366" s="6">
        <v>42335.0</v>
      </c>
      <c r="B1366" s="5">
        <v>46.9737549636199</v>
      </c>
      <c r="C1366" s="5">
        <v>3.37932617261393</v>
      </c>
      <c r="D1366" s="5">
        <v>130.881099456968</v>
      </c>
      <c r="E1366" s="5">
        <v>46.9737549636199</v>
      </c>
      <c r="F1366" s="5">
        <v>46.9737549636199</v>
      </c>
      <c r="G1366" s="5">
        <v>19.0826950085904</v>
      </c>
      <c r="H1366" s="5">
        <v>19.0826950085904</v>
      </c>
      <c r="I1366" s="5">
        <v>19.0826950085904</v>
      </c>
      <c r="J1366" s="5">
        <v>-1.59155056649439</v>
      </c>
      <c r="K1366" s="5">
        <v>-1.59155056649439</v>
      </c>
      <c r="L1366" s="5">
        <v>-1.59155056649439</v>
      </c>
      <c r="M1366" s="5">
        <v>20.6742455750848</v>
      </c>
      <c r="N1366" s="5">
        <v>20.6742455750848</v>
      </c>
      <c r="O1366" s="5">
        <v>20.6742455750848</v>
      </c>
      <c r="P1366" s="5">
        <v>0.0</v>
      </c>
      <c r="Q1366" s="5">
        <v>0.0</v>
      </c>
      <c r="R1366" s="5">
        <v>0.0</v>
      </c>
      <c r="S1366" s="5">
        <v>66.0564499722104</v>
      </c>
    </row>
    <row r="1367">
      <c r="A1367" s="6">
        <v>42338.0</v>
      </c>
      <c r="B1367" s="5">
        <v>46.9915202246329</v>
      </c>
      <c r="C1367" s="5">
        <v>2.64921164495994</v>
      </c>
      <c r="D1367" s="5">
        <v>128.8066820426</v>
      </c>
      <c r="E1367" s="5">
        <v>46.9915202246329</v>
      </c>
      <c r="F1367" s="5">
        <v>46.9915202246329</v>
      </c>
      <c r="G1367" s="5">
        <v>20.721664454147</v>
      </c>
      <c r="H1367" s="5">
        <v>20.721664454147</v>
      </c>
      <c r="I1367" s="5">
        <v>20.721664454147</v>
      </c>
      <c r="J1367" s="5">
        <v>0.0905589421203666</v>
      </c>
      <c r="K1367" s="5">
        <v>0.0905589421203666</v>
      </c>
      <c r="L1367" s="5">
        <v>0.0905589421203666</v>
      </c>
      <c r="M1367" s="5">
        <v>20.6311055120266</v>
      </c>
      <c r="N1367" s="5">
        <v>20.6311055120266</v>
      </c>
      <c r="O1367" s="5">
        <v>20.6311055120266</v>
      </c>
      <c r="P1367" s="5">
        <v>0.0</v>
      </c>
      <c r="Q1367" s="5">
        <v>0.0</v>
      </c>
      <c r="R1367" s="5">
        <v>0.0</v>
      </c>
      <c r="S1367" s="5">
        <v>67.71318467878</v>
      </c>
    </row>
    <row r="1368">
      <c r="A1368" s="6">
        <v>42339.0</v>
      </c>
      <c r="B1368" s="5">
        <v>46.9974419783039</v>
      </c>
      <c r="C1368" s="5">
        <v>3.81647589987824</v>
      </c>
      <c r="D1368" s="5">
        <v>133.569140073619</v>
      </c>
      <c r="E1368" s="5">
        <v>46.9974419783039</v>
      </c>
      <c r="F1368" s="5">
        <v>46.9974419783039</v>
      </c>
      <c r="G1368" s="5">
        <v>20.3299758061603</v>
      </c>
      <c r="H1368" s="5">
        <v>20.3299758061603</v>
      </c>
      <c r="I1368" s="5">
        <v>20.3299758061603</v>
      </c>
      <c r="J1368" s="5">
        <v>-0.144118857243508</v>
      </c>
      <c r="K1368" s="5">
        <v>-0.144118857243508</v>
      </c>
      <c r="L1368" s="5">
        <v>-0.144118857243508</v>
      </c>
      <c r="M1368" s="5">
        <v>20.4740946634038</v>
      </c>
      <c r="N1368" s="5">
        <v>20.4740946634038</v>
      </c>
      <c r="O1368" s="5">
        <v>20.4740946634038</v>
      </c>
      <c r="P1368" s="5">
        <v>0.0</v>
      </c>
      <c r="Q1368" s="5">
        <v>0.0</v>
      </c>
      <c r="R1368" s="5">
        <v>0.0</v>
      </c>
      <c r="S1368" s="5">
        <v>67.3274177844643</v>
      </c>
    </row>
    <row r="1369">
      <c r="A1369" s="6">
        <v>42340.0</v>
      </c>
      <c r="B1369" s="5">
        <v>47.003363731975</v>
      </c>
      <c r="C1369" s="5">
        <v>0.0376314727150819</v>
      </c>
      <c r="D1369" s="5">
        <v>131.521192434116</v>
      </c>
      <c r="E1369" s="5">
        <v>47.003363731975</v>
      </c>
      <c r="F1369" s="5">
        <v>47.003363731975</v>
      </c>
      <c r="G1369" s="5">
        <v>20.2503233336172</v>
      </c>
      <c r="H1369" s="5">
        <v>20.2503233336172</v>
      </c>
      <c r="I1369" s="5">
        <v>20.2503233336172</v>
      </c>
      <c r="J1369" s="5">
        <v>0.00703780528367744</v>
      </c>
      <c r="K1369" s="5">
        <v>0.00703780528367744</v>
      </c>
      <c r="L1369" s="5">
        <v>0.00703780528367744</v>
      </c>
      <c r="M1369" s="5">
        <v>20.2432855283335</v>
      </c>
      <c r="N1369" s="5">
        <v>20.2432855283335</v>
      </c>
      <c r="O1369" s="5">
        <v>20.2432855283335</v>
      </c>
      <c r="P1369" s="5">
        <v>0.0</v>
      </c>
      <c r="Q1369" s="5">
        <v>0.0</v>
      </c>
      <c r="R1369" s="5">
        <v>0.0</v>
      </c>
      <c r="S1369" s="5">
        <v>67.2536870655922</v>
      </c>
    </row>
    <row r="1370">
      <c r="A1370" s="6">
        <v>42341.0</v>
      </c>
      <c r="B1370" s="5">
        <v>47.009285485646</v>
      </c>
      <c r="C1370" s="5">
        <v>1.59162589762073</v>
      </c>
      <c r="D1370" s="5">
        <v>125.576330992627</v>
      </c>
      <c r="E1370" s="5">
        <v>47.009285485646</v>
      </c>
      <c r="F1370" s="5">
        <v>47.009285485646</v>
      </c>
      <c r="G1370" s="5">
        <v>19.1641316173493</v>
      </c>
      <c r="H1370" s="5">
        <v>19.1641316173493</v>
      </c>
      <c r="I1370" s="5">
        <v>19.1641316173493</v>
      </c>
      <c r="J1370" s="5">
        <v>-0.776422525900503</v>
      </c>
      <c r="K1370" s="5">
        <v>-0.776422525900503</v>
      </c>
      <c r="L1370" s="5">
        <v>-0.776422525900503</v>
      </c>
      <c r="M1370" s="5">
        <v>19.9405541432498</v>
      </c>
      <c r="N1370" s="5">
        <v>19.9405541432498</v>
      </c>
      <c r="O1370" s="5">
        <v>19.9405541432498</v>
      </c>
      <c r="P1370" s="5">
        <v>0.0</v>
      </c>
      <c r="Q1370" s="5">
        <v>0.0</v>
      </c>
      <c r="R1370" s="5">
        <v>0.0</v>
      </c>
      <c r="S1370" s="5">
        <v>66.1734171029953</v>
      </c>
    </row>
    <row r="1371">
      <c r="A1371" s="6">
        <v>42342.0</v>
      </c>
      <c r="B1371" s="5">
        <v>47.015207239317</v>
      </c>
      <c r="C1371" s="5">
        <v>1.33953088481183</v>
      </c>
      <c r="D1371" s="5">
        <v>131.361586733564</v>
      </c>
      <c r="E1371" s="5">
        <v>47.015207239317</v>
      </c>
      <c r="F1371" s="5">
        <v>47.015207239317</v>
      </c>
      <c r="G1371" s="5">
        <v>17.9785778394305</v>
      </c>
      <c r="H1371" s="5">
        <v>17.9785778394305</v>
      </c>
      <c r="I1371" s="5">
        <v>17.9785778394305</v>
      </c>
      <c r="J1371" s="5">
        <v>-1.59155056649315</v>
      </c>
      <c r="K1371" s="5">
        <v>-1.59155056649315</v>
      </c>
      <c r="L1371" s="5">
        <v>-1.59155056649315</v>
      </c>
      <c r="M1371" s="5">
        <v>19.5701284059237</v>
      </c>
      <c r="N1371" s="5">
        <v>19.5701284059237</v>
      </c>
      <c r="O1371" s="5">
        <v>19.5701284059237</v>
      </c>
      <c r="P1371" s="5">
        <v>0.0</v>
      </c>
      <c r="Q1371" s="5">
        <v>0.0</v>
      </c>
      <c r="R1371" s="5">
        <v>0.0</v>
      </c>
      <c r="S1371" s="5">
        <v>64.9937850787475</v>
      </c>
    </row>
    <row r="1372">
      <c r="A1372" s="6">
        <v>42345.0</v>
      </c>
      <c r="B1372" s="5">
        <v>47.03297250033</v>
      </c>
      <c r="C1372" s="5">
        <v>2.68414850019836</v>
      </c>
      <c r="D1372" s="5">
        <v>125.033910062278</v>
      </c>
      <c r="E1372" s="5">
        <v>47.03297250033</v>
      </c>
      <c r="F1372" s="5">
        <v>47.03297250033</v>
      </c>
      <c r="G1372" s="5">
        <v>18.2199466870561</v>
      </c>
      <c r="H1372" s="5">
        <v>18.2199466870561</v>
      </c>
      <c r="I1372" s="5">
        <v>18.2199466870561</v>
      </c>
      <c r="J1372" s="5">
        <v>0.0905589421237768</v>
      </c>
      <c r="K1372" s="5">
        <v>0.0905589421237768</v>
      </c>
      <c r="L1372" s="5">
        <v>0.0905589421237768</v>
      </c>
      <c r="M1372" s="5">
        <v>18.1293877449324</v>
      </c>
      <c r="N1372" s="5">
        <v>18.1293877449324</v>
      </c>
      <c r="O1372" s="5">
        <v>18.1293877449324</v>
      </c>
      <c r="P1372" s="5">
        <v>0.0</v>
      </c>
      <c r="Q1372" s="5">
        <v>0.0</v>
      </c>
      <c r="R1372" s="5">
        <v>0.0</v>
      </c>
      <c r="S1372" s="5">
        <v>65.2529191873862</v>
      </c>
    </row>
    <row r="1373">
      <c r="A1373" s="6">
        <v>42346.0</v>
      </c>
      <c r="B1373" s="5">
        <v>47.038894254001</v>
      </c>
      <c r="C1373" s="5">
        <v>3.51749321763149</v>
      </c>
      <c r="D1373" s="5">
        <v>123.539502264875</v>
      </c>
      <c r="E1373" s="5">
        <v>47.038894254001</v>
      </c>
      <c r="F1373" s="5">
        <v>47.038894254001</v>
      </c>
      <c r="G1373" s="5">
        <v>17.4312940020385</v>
      </c>
      <c r="H1373" s="5">
        <v>17.4312940020385</v>
      </c>
      <c r="I1373" s="5">
        <v>17.4312940020385</v>
      </c>
      <c r="J1373" s="5">
        <v>-0.144118857246358</v>
      </c>
      <c r="K1373" s="5">
        <v>-0.144118857246358</v>
      </c>
      <c r="L1373" s="5">
        <v>-0.144118857246358</v>
      </c>
      <c r="M1373" s="5">
        <v>17.5754128592849</v>
      </c>
      <c r="N1373" s="5">
        <v>17.5754128592849</v>
      </c>
      <c r="O1373" s="5">
        <v>17.5754128592849</v>
      </c>
      <c r="P1373" s="5">
        <v>0.0</v>
      </c>
      <c r="Q1373" s="5">
        <v>0.0</v>
      </c>
      <c r="R1373" s="5">
        <v>0.0</v>
      </c>
      <c r="S1373" s="5">
        <v>64.4701882560396</v>
      </c>
    </row>
    <row r="1374">
      <c r="A1374" s="6">
        <v>42347.0</v>
      </c>
      <c r="B1374" s="5">
        <v>47.0448160076721</v>
      </c>
      <c r="C1374" s="5">
        <v>2.59485597142972</v>
      </c>
      <c r="D1374" s="5">
        <v>125.521774270992</v>
      </c>
      <c r="E1374" s="5">
        <v>47.0448160076721</v>
      </c>
      <c r="F1374" s="5">
        <v>47.0448160076721</v>
      </c>
      <c r="G1374" s="5">
        <v>17.0141316431639</v>
      </c>
      <c r="H1374" s="5">
        <v>17.0141316431639</v>
      </c>
      <c r="I1374" s="5">
        <v>17.0141316431639</v>
      </c>
      <c r="J1374" s="5">
        <v>0.00703780528066142</v>
      </c>
      <c r="K1374" s="5">
        <v>0.00703780528066142</v>
      </c>
      <c r="L1374" s="5">
        <v>0.00703780528066142</v>
      </c>
      <c r="M1374" s="5">
        <v>17.0070938378832</v>
      </c>
      <c r="N1374" s="5">
        <v>17.0070938378832</v>
      </c>
      <c r="O1374" s="5">
        <v>17.0070938378832</v>
      </c>
      <c r="P1374" s="5">
        <v>0.0</v>
      </c>
      <c r="Q1374" s="5">
        <v>0.0</v>
      </c>
      <c r="R1374" s="5">
        <v>0.0</v>
      </c>
      <c r="S1374" s="5">
        <v>64.058947650836</v>
      </c>
    </row>
    <row r="1375">
      <c r="A1375" s="6">
        <v>42348.0</v>
      </c>
      <c r="B1375" s="5">
        <v>47.0507377613431</v>
      </c>
      <c r="C1375" s="5">
        <v>0.77344345072934</v>
      </c>
      <c r="D1375" s="5">
        <v>123.499299723464</v>
      </c>
      <c r="E1375" s="5">
        <v>47.0507377613431</v>
      </c>
      <c r="F1375" s="5">
        <v>47.0507377613431</v>
      </c>
      <c r="G1375" s="5">
        <v>15.6635606536763</v>
      </c>
      <c r="H1375" s="5">
        <v>15.6635606536763</v>
      </c>
      <c r="I1375" s="5">
        <v>15.6635606536763</v>
      </c>
      <c r="J1375" s="5">
        <v>-0.776422525901225</v>
      </c>
      <c r="K1375" s="5">
        <v>-0.776422525901225</v>
      </c>
      <c r="L1375" s="5">
        <v>-0.776422525901225</v>
      </c>
      <c r="M1375" s="5">
        <v>16.4399831795775</v>
      </c>
      <c r="N1375" s="5">
        <v>16.4399831795775</v>
      </c>
      <c r="O1375" s="5">
        <v>16.4399831795775</v>
      </c>
      <c r="P1375" s="5">
        <v>0.0</v>
      </c>
      <c r="Q1375" s="5">
        <v>0.0</v>
      </c>
      <c r="R1375" s="5">
        <v>0.0</v>
      </c>
      <c r="S1375" s="5">
        <v>62.7142984150194</v>
      </c>
    </row>
    <row r="1376">
      <c r="A1376" s="6">
        <v>42349.0</v>
      </c>
      <c r="B1376" s="5">
        <v>47.0566595150141</v>
      </c>
      <c r="C1376" s="5">
        <v>1.53638654937615</v>
      </c>
      <c r="D1376" s="5">
        <v>125.196882556038</v>
      </c>
      <c r="E1376" s="5">
        <v>47.0566595150141</v>
      </c>
      <c r="F1376" s="5">
        <v>47.0566595150141</v>
      </c>
      <c r="G1376" s="5">
        <v>14.29891958948</v>
      </c>
      <c r="H1376" s="5">
        <v>14.29891958948</v>
      </c>
      <c r="I1376" s="5">
        <v>14.29891958948</v>
      </c>
      <c r="J1376" s="5">
        <v>-1.59155056649254</v>
      </c>
      <c r="K1376" s="5">
        <v>-1.59155056649254</v>
      </c>
      <c r="L1376" s="5">
        <v>-1.59155056649254</v>
      </c>
      <c r="M1376" s="5">
        <v>15.8904701559726</v>
      </c>
      <c r="N1376" s="5">
        <v>15.8904701559726</v>
      </c>
      <c r="O1376" s="5">
        <v>15.8904701559726</v>
      </c>
      <c r="P1376" s="5">
        <v>0.0</v>
      </c>
      <c r="Q1376" s="5">
        <v>0.0</v>
      </c>
      <c r="R1376" s="5">
        <v>0.0</v>
      </c>
      <c r="S1376" s="5">
        <v>61.3555791044941</v>
      </c>
    </row>
    <row r="1377">
      <c r="A1377" s="6">
        <v>42352.0</v>
      </c>
      <c r="B1377" s="5">
        <v>47.0744247760271</v>
      </c>
      <c r="C1377" s="5">
        <v>-3.61698786687886</v>
      </c>
      <c r="D1377" s="5">
        <v>118.732388488688</v>
      </c>
      <c r="E1377" s="5">
        <v>47.0744247760271</v>
      </c>
      <c r="F1377" s="5">
        <v>47.0744247760271</v>
      </c>
      <c r="G1377" s="5">
        <v>14.6054404497502</v>
      </c>
      <c r="H1377" s="5">
        <v>14.6054404497502</v>
      </c>
      <c r="I1377" s="5">
        <v>14.6054404497502</v>
      </c>
      <c r="J1377" s="5">
        <v>0.0905589421223394</v>
      </c>
      <c r="K1377" s="5">
        <v>0.0905589421223394</v>
      </c>
      <c r="L1377" s="5">
        <v>0.0905589421223394</v>
      </c>
      <c r="M1377" s="5">
        <v>14.5148815076278</v>
      </c>
      <c r="N1377" s="5">
        <v>14.5148815076278</v>
      </c>
      <c r="O1377" s="5">
        <v>14.5148815076278</v>
      </c>
      <c r="P1377" s="5">
        <v>0.0</v>
      </c>
      <c r="Q1377" s="5">
        <v>0.0</v>
      </c>
      <c r="R1377" s="5">
        <v>0.0</v>
      </c>
      <c r="S1377" s="5">
        <v>61.6798652257774</v>
      </c>
    </row>
    <row r="1378">
      <c r="A1378" s="6">
        <v>42353.0</v>
      </c>
      <c r="B1378" s="5">
        <v>47.0803465296982</v>
      </c>
      <c r="C1378" s="5">
        <v>-2.67604701637395</v>
      </c>
      <c r="D1378" s="5">
        <v>119.901520171948</v>
      </c>
      <c r="E1378" s="5">
        <v>47.0803465296982</v>
      </c>
      <c r="F1378" s="5">
        <v>47.0803465296982</v>
      </c>
      <c r="G1378" s="5">
        <v>14.0569805428248</v>
      </c>
      <c r="H1378" s="5">
        <v>14.0569805428248</v>
      </c>
      <c r="I1378" s="5">
        <v>14.0569805428248</v>
      </c>
      <c r="J1378" s="5">
        <v>-0.144118857247794</v>
      </c>
      <c r="K1378" s="5">
        <v>-0.144118857247794</v>
      </c>
      <c r="L1378" s="5">
        <v>-0.144118857247794</v>
      </c>
      <c r="M1378" s="5">
        <v>14.2010994000726</v>
      </c>
      <c r="N1378" s="5">
        <v>14.2010994000726</v>
      </c>
      <c r="O1378" s="5">
        <v>14.2010994000726</v>
      </c>
      <c r="P1378" s="5">
        <v>0.0</v>
      </c>
      <c r="Q1378" s="5">
        <v>0.0</v>
      </c>
      <c r="R1378" s="5">
        <v>0.0</v>
      </c>
      <c r="S1378" s="5">
        <v>61.137327072523</v>
      </c>
    </row>
    <row r="1379">
      <c r="A1379" s="6">
        <v>42354.0</v>
      </c>
      <c r="B1379" s="5">
        <v>47.0862682833692</v>
      </c>
      <c r="C1379" s="5">
        <v>-2.63388029576983</v>
      </c>
      <c r="D1379" s="5">
        <v>125.342667737024</v>
      </c>
      <c r="E1379" s="5">
        <v>47.0862682833692</v>
      </c>
      <c r="F1379" s="5">
        <v>47.0862682833692</v>
      </c>
      <c r="G1379" s="5">
        <v>13.9910067938785</v>
      </c>
      <c r="H1379" s="5">
        <v>13.9910067938785</v>
      </c>
      <c r="I1379" s="5">
        <v>13.9910067938785</v>
      </c>
      <c r="J1379" s="5">
        <v>0.00703780528197233</v>
      </c>
      <c r="K1379" s="5">
        <v>0.00703780528197233</v>
      </c>
      <c r="L1379" s="5">
        <v>0.00703780528197233</v>
      </c>
      <c r="M1379" s="5">
        <v>13.9839689885965</v>
      </c>
      <c r="N1379" s="5">
        <v>13.9839689885965</v>
      </c>
      <c r="O1379" s="5">
        <v>13.9839689885965</v>
      </c>
      <c r="P1379" s="5">
        <v>0.0</v>
      </c>
      <c r="Q1379" s="5">
        <v>0.0</v>
      </c>
      <c r="R1379" s="5">
        <v>0.0</v>
      </c>
      <c r="S1379" s="5">
        <v>61.0772750772477</v>
      </c>
    </row>
    <row r="1380">
      <c r="A1380" s="6">
        <v>42355.0</v>
      </c>
      <c r="B1380" s="5">
        <v>47.0921900370402</v>
      </c>
      <c r="C1380" s="5">
        <v>-5.48576386885583</v>
      </c>
      <c r="D1380" s="5">
        <v>125.708637547842</v>
      </c>
      <c r="E1380" s="5">
        <v>47.0921900370402</v>
      </c>
      <c r="F1380" s="5">
        <v>47.0921900370402</v>
      </c>
      <c r="G1380" s="5">
        <v>13.0991628543076</v>
      </c>
      <c r="H1380" s="5">
        <v>13.0991628543076</v>
      </c>
      <c r="I1380" s="5">
        <v>13.0991628543076</v>
      </c>
      <c r="J1380" s="5">
        <v>-0.776422525901947</v>
      </c>
      <c r="K1380" s="5">
        <v>-0.776422525901947</v>
      </c>
      <c r="L1380" s="5">
        <v>-0.776422525901947</v>
      </c>
      <c r="M1380" s="5">
        <v>13.8755853802096</v>
      </c>
      <c r="N1380" s="5">
        <v>13.8755853802096</v>
      </c>
      <c r="O1380" s="5">
        <v>13.8755853802096</v>
      </c>
      <c r="P1380" s="5">
        <v>0.0</v>
      </c>
      <c r="Q1380" s="5">
        <v>0.0</v>
      </c>
      <c r="R1380" s="5">
        <v>0.0</v>
      </c>
      <c r="S1380" s="5">
        <v>60.1913528913478</v>
      </c>
    </row>
    <row r="1381">
      <c r="A1381" s="6">
        <v>42356.0</v>
      </c>
      <c r="B1381" s="5">
        <v>47.0981117907112</v>
      </c>
      <c r="C1381" s="5">
        <v>-2.55417134679733</v>
      </c>
      <c r="D1381" s="5">
        <v>124.691913388787</v>
      </c>
      <c r="E1381" s="5">
        <v>47.0981117907112</v>
      </c>
      <c r="F1381" s="5">
        <v>47.0981117907112</v>
      </c>
      <c r="G1381" s="5">
        <v>12.2942998683108</v>
      </c>
      <c r="H1381" s="5">
        <v>12.2942998683108</v>
      </c>
      <c r="I1381" s="5">
        <v>12.2942998683108</v>
      </c>
      <c r="J1381" s="5">
        <v>-1.59155056649405</v>
      </c>
      <c r="K1381" s="5">
        <v>-1.59155056649405</v>
      </c>
      <c r="L1381" s="5">
        <v>-1.59155056649405</v>
      </c>
      <c r="M1381" s="5">
        <v>13.8858504348048</v>
      </c>
      <c r="N1381" s="5">
        <v>13.8858504348048</v>
      </c>
      <c r="O1381" s="5">
        <v>13.8858504348048</v>
      </c>
      <c r="P1381" s="5">
        <v>0.0</v>
      </c>
      <c r="Q1381" s="5">
        <v>0.0</v>
      </c>
      <c r="R1381" s="5">
        <v>0.0</v>
      </c>
      <c r="S1381" s="5">
        <v>59.392411659022</v>
      </c>
    </row>
    <row r="1382">
      <c r="A1382" s="6">
        <v>42359.0</v>
      </c>
      <c r="B1382" s="5">
        <v>47.1158770517242</v>
      </c>
      <c r="C1382" s="5">
        <v>-2.11117536599592</v>
      </c>
      <c r="D1382" s="5">
        <v>131.522922806823</v>
      </c>
      <c r="E1382" s="5">
        <v>47.1158770517242</v>
      </c>
      <c r="F1382" s="5">
        <v>47.1158770517242</v>
      </c>
      <c r="G1382" s="5">
        <v>14.7787969397377</v>
      </c>
      <c r="H1382" s="5">
        <v>14.7787969397377</v>
      </c>
      <c r="I1382" s="5">
        <v>14.7787969397377</v>
      </c>
      <c r="J1382" s="5">
        <v>0.0905589421209021</v>
      </c>
      <c r="K1382" s="5">
        <v>0.0905589421209021</v>
      </c>
      <c r="L1382" s="5">
        <v>0.0905589421209021</v>
      </c>
      <c r="M1382" s="5">
        <v>14.6882379976168</v>
      </c>
      <c r="N1382" s="5">
        <v>14.6882379976168</v>
      </c>
      <c r="O1382" s="5">
        <v>14.6882379976168</v>
      </c>
      <c r="P1382" s="5">
        <v>0.0</v>
      </c>
      <c r="Q1382" s="5">
        <v>0.0</v>
      </c>
      <c r="R1382" s="5">
        <v>0.0</v>
      </c>
      <c r="S1382" s="5">
        <v>61.894673991462</v>
      </c>
    </row>
    <row r="1383">
      <c r="A1383" s="6">
        <v>42360.0</v>
      </c>
      <c r="B1383" s="5">
        <v>47.1217988053953</v>
      </c>
      <c r="C1383" s="5">
        <v>-3.65039846288091</v>
      </c>
      <c r="D1383" s="5">
        <v>124.554100997948</v>
      </c>
      <c r="E1383" s="5">
        <v>47.1217988053953</v>
      </c>
      <c r="F1383" s="5">
        <v>47.1217988053953</v>
      </c>
      <c r="G1383" s="5">
        <v>15.0740414715445</v>
      </c>
      <c r="H1383" s="5">
        <v>15.0740414715445</v>
      </c>
      <c r="I1383" s="5">
        <v>15.0740414715445</v>
      </c>
      <c r="J1383" s="5">
        <v>-0.144118857244182</v>
      </c>
      <c r="K1383" s="5">
        <v>-0.144118857244182</v>
      </c>
      <c r="L1383" s="5">
        <v>-0.144118857244182</v>
      </c>
      <c r="M1383" s="5">
        <v>15.2181603287887</v>
      </c>
      <c r="N1383" s="5">
        <v>15.2181603287887</v>
      </c>
      <c r="O1383" s="5">
        <v>15.2181603287887</v>
      </c>
      <c r="P1383" s="5">
        <v>0.0</v>
      </c>
      <c r="Q1383" s="5">
        <v>0.0</v>
      </c>
      <c r="R1383" s="5">
        <v>0.0</v>
      </c>
      <c r="S1383" s="5">
        <v>62.1958402769399</v>
      </c>
    </row>
    <row r="1384">
      <c r="A1384" s="6">
        <v>42361.0</v>
      </c>
      <c r="B1384" s="5">
        <v>47.1277205590663</v>
      </c>
      <c r="C1384" s="5">
        <v>1.90468661040367</v>
      </c>
      <c r="D1384" s="5">
        <v>125.733750985106</v>
      </c>
      <c r="E1384" s="5">
        <v>47.1277205590663</v>
      </c>
      <c r="F1384" s="5">
        <v>47.1277205590663</v>
      </c>
      <c r="G1384" s="5">
        <v>15.8812420932947</v>
      </c>
      <c r="H1384" s="5">
        <v>15.8812420932947</v>
      </c>
      <c r="I1384" s="5">
        <v>15.8812420932947</v>
      </c>
      <c r="J1384" s="5">
        <v>0.00703780528093895</v>
      </c>
      <c r="K1384" s="5">
        <v>0.00703780528093895</v>
      </c>
      <c r="L1384" s="5">
        <v>0.00703780528093895</v>
      </c>
      <c r="M1384" s="5">
        <v>15.8742042880137</v>
      </c>
      <c r="N1384" s="5">
        <v>15.8742042880137</v>
      </c>
      <c r="O1384" s="5">
        <v>15.8742042880137</v>
      </c>
      <c r="P1384" s="5">
        <v>0.0</v>
      </c>
      <c r="Q1384" s="5">
        <v>0.0</v>
      </c>
      <c r="R1384" s="5">
        <v>0.0</v>
      </c>
      <c r="S1384" s="5">
        <v>63.008962652361</v>
      </c>
    </row>
    <row r="1385">
      <c r="A1385" s="6">
        <v>42362.0</v>
      </c>
      <c r="B1385" s="5">
        <v>47.1336423127373</v>
      </c>
      <c r="C1385" s="5">
        <v>-2.62623505972538</v>
      </c>
      <c r="D1385" s="5">
        <v>125.063417943755</v>
      </c>
      <c r="E1385" s="5">
        <v>47.1336423127373</v>
      </c>
      <c r="F1385" s="5">
        <v>47.1336423127373</v>
      </c>
      <c r="G1385" s="5">
        <v>15.8722093210926</v>
      </c>
      <c r="H1385" s="5">
        <v>15.8722093210926</v>
      </c>
      <c r="I1385" s="5">
        <v>15.8722093210926</v>
      </c>
      <c r="J1385" s="5">
        <v>-0.776422525901194</v>
      </c>
      <c r="K1385" s="5">
        <v>-0.776422525901194</v>
      </c>
      <c r="L1385" s="5">
        <v>-0.776422525901194</v>
      </c>
      <c r="M1385" s="5">
        <v>16.6486318469938</v>
      </c>
      <c r="N1385" s="5">
        <v>16.6486318469938</v>
      </c>
      <c r="O1385" s="5">
        <v>16.6486318469938</v>
      </c>
      <c r="P1385" s="5">
        <v>0.0</v>
      </c>
      <c r="Q1385" s="5">
        <v>0.0</v>
      </c>
      <c r="R1385" s="5">
        <v>0.0</v>
      </c>
      <c r="S1385" s="5">
        <v>63.0058516338299</v>
      </c>
    </row>
    <row r="1386">
      <c r="A1386" s="6">
        <v>42366.0</v>
      </c>
      <c r="B1386" s="5">
        <v>47.1573293274213</v>
      </c>
      <c r="C1386" s="5">
        <v>4.88523896107149</v>
      </c>
      <c r="D1386" s="5">
        <v>127.768227588415</v>
      </c>
      <c r="E1386" s="5">
        <v>47.1573293274213</v>
      </c>
      <c r="F1386" s="5">
        <v>47.1573293274213</v>
      </c>
      <c r="G1386" s="5">
        <v>20.7663548583602</v>
      </c>
      <c r="H1386" s="5">
        <v>20.7663548583602</v>
      </c>
      <c r="I1386" s="5">
        <v>20.7663548583602</v>
      </c>
      <c r="J1386" s="5">
        <v>0.0905589421194645</v>
      </c>
      <c r="K1386" s="5">
        <v>0.0905589421194645</v>
      </c>
      <c r="L1386" s="5">
        <v>0.0905589421194645</v>
      </c>
      <c r="M1386" s="5">
        <v>20.6757959162408</v>
      </c>
      <c r="N1386" s="5">
        <v>20.6757959162408</v>
      </c>
      <c r="O1386" s="5">
        <v>20.6757959162408</v>
      </c>
      <c r="P1386" s="5">
        <v>0.0</v>
      </c>
      <c r="Q1386" s="5">
        <v>0.0</v>
      </c>
      <c r="R1386" s="5">
        <v>0.0</v>
      </c>
      <c r="S1386" s="5">
        <v>67.9236841857816</v>
      </c>
    </row>
    <row r="1387">
      <c r="A1387" s="6">
        <v>42367.0</v>
      </c>
      <c r="B1387" s="5">
        <v>47.1632510810924</v>
      </c>
      <c r="C1387" s="5">
        <v>6.34701161346826</v>
      </c>
      <c r="D1387" s="5">
        <v>136.038914489973</v>
      </c>
      <c r="E1387" s="5">
        <v>47.1632510810924</v>
      </c>
      <c r="F1387" s="5">
        <v>47.1632510810924</v>
      </c>
      <c r="G1387" s="5">
        <v>21.6861688003655</v>
      </c>
      <c r="H1387" s="5">
        <v>21.6861688003655</v>
      </c>
      <c r="I1387" s="5">
        <v>21.6861688003655</v>
      </c>
      <c r="J1387" s="5">
        <v>-0.144118857247032</v>
      </c>
      <c r="K1387" s="5">
        <v>-0.144118857247032</v>
      </c>
      <c r="L1387" s="5">
        <v>-0.144118857247032</v>
      </c>
      <c r="M1387" s="5">
        <v>21.8302876576125</v>
      </c>
      <c r="N1387" s="5">
        <v>21.8302876576125</v>
      </c>
      <c r="O1387" s="5">
        <v>21.8302876576125</v>
      </c>
      <c r="P1387" s="5">
        <v>0.0</v>
      </c>
      <c r="Q1387" s="5">
        <v>0.0</v>
      </c>
      <c r="R1387" s="5">
        <v>0.0</v>
      </c>
      <c r="S1387" s="5">
        <v>68.8494198814579</v>
      </c>
    </row>
    <row r="1388">
      <c r="A1388" s="6">
        <v>42368.0</v>
      </c>
      <c r="B1388" s="5">
        <v>47.1691728347634</v>
      </c>
      <c r="C1388" s="5">
        <v>15.5030848892965</v>
      </c>
      <c r="D1388" s="5">
        <v>135.721379948461</v>
      </c>
      <c r="E1388" s="5">
        <v>47.1691728347634</v>
      </c>
      <c r="F1388" s="5">
        <v>47.1691728347634</v>
      </c>
      <c r="G1388" s="5">
        <v>23.0106899297614</v>
      </c>
      <c r="H1388" s="5">
        <v>23.0106899297614</v>
      </c>
      <c r="I1388" s="5">
        <v>23.0106899297614</v>
      </c>
      <c r="J1388" s="5">
        <v>0.00703780528225016</v>
      </c>
      <c r="K1388" s="5">
        <v>0.00703780528225016</v>
      </c>
      <c r="L1388" s="5">
        <v>0.00703780528225016</v>
      </c>
      <c r="M1388" s="5">
        <v>23.0036521244791</v>
      </c>
      <c r="N1388" s="5">
        <v>23.0036521244791</v>
      </c>
      <c r="O1388" s="5">
        <v>23.0036521244791</v>
      </c>
      <c r="P1388" s="5">
        <v>0.0</v>
      </c>
      <c r="Q1388" s="5">
        <v>0.0</v>
      </c>
      <c r="R1388" s="5">
        <v>0.0</v>
      </c>
      <c r="S1388" s="5">
        <v>70.1798627645248</v>
      </c>
    </row>
    <row r="1389">
      <c r="A1389" s="6">
        <v>42369.0</v>
      </c>
      <c r="B1389" s="5">
        <v>47.1750945884344</v>
      </c>
      <c r="C1389" s="5">
        <v>8.82005964979113</v>
      </c>
      <c r="D1389" s="5">
        <v>131.553927623867</v>
      </c>
      <c r="E1389" s="5">
        <v>47.1750945884344</v>
      </c>
      <c r="F1389" s="5">
        <v>47.1750945884344</v>
      </c>
      <c r="G1389" s="5">
        <v>23.3974523281043</v>
      </c>
      <c r="H1389" s="5">
        <v>23.3974523281043</v>
      </c>
      <c r="I1389" s="5">
        <v>23.3974523281043</v>
      </c>
      <c r="J1389" s="5">
        <v>-0.776422525901916</v>
      </c>
      <c r="K1389" s="5">
        <v>-0.776422525901916</v>
      </c>
      <c r="L1389" s="5">
        <v>-0.776422525901916</v>
      </c>
      <c r="M1389" s="5">
        <v>24.1738748540062</v>
      </c>
      <c r="N1389" s="5">
        <v>24.1738748540062</v>
      </c>
      <c r="O1389" s="5">
        <v>24.1738748540062</v>
      </c>
      <c r="P1389" s="5">
        <v>0.0</v>
      </c>
      <c r="Q1389" s="5">
        <v>0.0</v>
      </c>
      <c r="R1389" s="5">
        <v>0.0</v>
      </c>
      <c r="S1389" s="5">
        <v>70.5725469165387</v>
      </c>
    </row>
    <row r="1390">
      <c r="A1390" s="6">
        <v>42373.0</v>
      </c>
      <c r="B1390" s="5">
        <v>47.1987816031184</v>
      </c>
      <c r="C1390" s="5">
        <v>11.2063654554909</v>
      </c>
      <c r="D1390" s="5">
        <v>136.238191963532</v>
      </c>
      <c r="E1390" s="5">
        <v>47.1987816031184</v>
      </c>
      <c r="F1390" s="5">
        <v>47.1987816031184</v>
      </c>
      <c r="G1390" s="5">
        <v>28.4746889321631</v>
      </c>
      <c r="H1390" s="5">
        <v>28.4746889321631</v>
      </c>
      <c r="I1390" s="5">
        <v>28.4746889321631</v>
      </c>
      <c r="J1390" s="5">
        <v>0.090558942122875</v>
      </c>
      <c r="K1390" s="5">
        <v>0.090558942122875</v>
      </c>
      <c r="L1390" s="5">
        <v>0.090558942122875</v>
      </c>
      <c r="M1390" s="5">
        <v>28.3841299900403</v>
      </c>
      <c r="N1390" s="5">
        <v>28.3841299900403</v>
      </c>
      <c r="O1390" s="5">
        <v>28.3841299900403</v>
      </c>
      <c r="P1390" s="5">
        <v>0.0</v>
      </c>
      <c r="Q1390" s="5">
        <v>0.0</v>
      </c>
      <c r="R1390" s="5">
        <v>0.0</v>
      </c>
      <c r="S1390" s="5">
        <v>75.6734705352816</v>
      </c>
    </row>
    <row r="1391">
      <c r="A1391" s="6">
        <v>42374.0</v>
      </c>
      <c r="B1391" s="5">
        <v>47.2047033567895</v>
      </c>
      <c r="C1391" s="5">
        <v>12.3284697635379</v>
      </c>
      <c r="D1391" s="5">
        <v>139.896788374729</v>
      </c>
      <c r="E1391" s="5">
        <v>47.2047033567895</v>
      </c>
      <c r="F1391" s="5">
        <v>47.2047033567895</v>
      </c>
      <c r="G1391" s="5">
        <v>29.0726665634385</v>
      </c>
      <c r="H1391" s="5">
        <v>29.0726665634385</v>
      </c>
      <c r="I1391" s="5">
        <v>29.0726665634385</v>
      </c>
      <c r="J1391" s="5">
        <v>-0.144118857245944</v>
      </c>
      <c r="K1391" s="5">
        <v>-0.144118857245944</v>
      </c>
      <c r="L1391" s="5">
        <v>-0.144118857245944</v>
      </c>
      <c r="M1391" s="5">
        <v>29.2167854206845</v>
      </c>
      <c r="N1391" s="5">
        <v>29.2167854206845</v>
      </c>
      <c r="O1391" s="5">
        <v>29.2167854206845</v>
      </c>
      <c r="P1391" s="5">
        <v>0.0</v>
      </c>
      <c r="Q1391" s="5">
        <v>0.0</v>
      </c>
      <c r="R1391" s="5">
        <v>0.0</v>
      </c>
      <c r="S1391" s="5">
        <v>76.277369920228</v>
      </c>
    </row>
    <row r="1392">
      <c r="A1392" s="6">
        <v>42375.0</v>
      </c>
      <c r="B1392" s="5">
        <v>47.2106251104605</v>
      </c>
      <c r="C1392" s="5">
        <v>17.5118684122822</v>
      </c>
      <c r="D1392" s="5">
        <v>136.993241029626</v>
      </c>
      <c r="E1392" s="5">
        <v>47.2106251104605</v>
      </c>
      <c r="F1392" s="5">
        <v>47.2106251104605</v>
      </c>
      <c r="G1392" s="5">
        <v>29.9333805044761</v>
      </c>
      <c r="H1392" s="5">
        <v>29.9333805044761</v>
      </c>
      <c r="I1392" s="5">
        <v>29.9333805044761</v>
      </c>
      <c r="J1392" s="5">
        <v>0.00703780528139757</v>
      </c>
      <c r="K1392" s="5">
        <v>0.00703780528139757</v>
      </c>
      <c r="L1392" s="5">
        <v>0.00703780528139757</v>
      </c>
      <c r="M1392" s="5">
        <v>29.9263426991947</v>
      </c>
      <c r="N1392" s="5">
        <v>29.9263426991947</v>
      </c>
      <c r="O1392" s="5">
        <v>29.9263426991947</v>
      </c>
      <c r="P1392" s="5">
        <v>0.0</v>
      </c>
      <c r="Q1392" s="5">
        <v>0.0</v>
      </c>
      <c r="R1392" s="5">
        <v>0.0</v>
      </c>
      <c r="S1392" s="5">
        <v>77.1440056149367</v>
      </c>
    </row>
    <row r="1393">
      <c r="A1393" s="6">
        <v>42376.0</v>
      </c>
      <c r="B1393" s="5">
        <v>47.2165468641315</v>
      </c>
      <c r="C1393" s="5">
        <v>16.9192308121363</v>
      </c>
      <c r="D1393" s="5">
        <v>135.993495725493</v>
      </c>
      <c r="E1393" s="5">
        <v>47.2165468641315</v>
      </c>
      <c r="F1393" s="5">
        <v>47.2165468641315</v>
      </c>
      <c r="G1393" s="5">
        <v>29.7229007969712</v>
      </c>
      <c r="H1393" s="5">
        <v>29.7229007969712</v>
      </c>
      <c r="I1393" s="5">
        <v>29.7229007969712</v>
      </c>
      <c r="J1393" s="5">
        <v>-0.776422525904013</v>
      </c>
      <c r="K1393" s="5">
        <v>-0.776422525904013</v>
      </c>
      <c r="L1393" s="5">
        <v>-0.776422525904013</v>
      </c>
      <c r="M1393" s="5">
        <v>30.4993233228752</v>
      </c>
      <c r="N1393" s="5">
        <v>30.4993233228752</v>
      </c>
      <c r="O1393" s="5">
        <v>30.4993233228752</v>
      </c>
      <c r="P1393" s="5">
        <v>0.0</v>
      </c>
      <c r="Q1393" s="5">
        <v>0.0</v>
      </c>
      <c r="R1393" s="5">
        <v>0.0</v>
      </c>
      <c r="S1393" s="5">
        <v>76.9394476611027</v>
      </c>
    </row>
    <row r="1394">
      <c r="A1394" s="6">
        <v>42377.0</v>
      </c>
      <c r="B1394" s="5">
        <v>47.2224686178025</v>
      </c>
      <c r="C1394" s="5">
        <v>16.7647194730832</v>
      </c>
      <c r="D1394" s="5">
        <v>139.016890666796</v>
      </c>
      <c r="E1394" s="5">
        <v>47.2224686178025</v>
      </c>
      <c r="F1394" s="5">
        <v>47.2224686178025</v>
      </c>
      <c r="G1394" s="5">
        <v>29.333589406441</v>
      </c>
      <c r="H1394" s="5">
        <v>29.333589406441</v>
      </c>
      <c r="I1394" s="5">
        <v>29.333589406441</v>
      </c>
      <c r="J1394" s="5">
        <v>-1.59155056649127</v>
      </c>
      <c r="K1394" s="5">
        <v>-1.59155056649127</v>
      </c>
      <c r="L1394" s="5">
        <v>-1.59155056649127</v>
      </c>
      <c r="M1394" s="5">
        <v>30.9251399729322</v>
      </c>
      <c r="N1394" s="5">
        <v>30.9251399729322</v>
      </c>
      <c r="O1394" s="5">
        <v>30.9251399729322</v>
      </c>
      <c r="P1394" s="5">
        <v>0.0</v>
      </c>
      <c r="Q1394" s="5">
        <v>0.0</v>
      </c>
      <c r="R1394" s="5">
        <v>0.0</v>
      </c>
      <c r="S1394" s="5">
        <v>76.5560580242435</v>
      </c>
    </row>
    <row r="1395">
      <c r="A1395" s="6">
        <v>42380.0</v>
      </c>
      <c r="B1395" s="5">
        <v>47.2402338788155</v>
      </c>
      <c r="C1395" s="5">
        <v>15.9090551927027</v>
      </c>
      <c r="D1395" s="5">
        <v>143.018138557388</v>
      </c>
      <c r="E1395" s="5">
        <v>47.2402338788155</v>
      </c>
      <c r="F1395" s="5">
        <v>47.2402338788155</v>
      </c>
      <c r="G1395" s="5">
        <v>31.3521611789904</v>
      </c>
      <c r="H1395" s="5">
        <v>31.3521611789904</v>
      </c>
      <c r="I1395" s="5">
        <v>31.3521611789904</v>
      </c>
      <c r="J1395" s="5">
        <v>0.0905589421214376</v>
      </c>
      <c r="K1395" s="5">
        <v>0.0905589421214376</v>
      </c>
      <c r="L1395" s="5">
        <v>0.0905589421214376</v>
      </c>
      <c r="M1395" s="5">
        <v>31.261602236869</v>
      </c>
      <c r="N1395" s="5">
        <v>31.261602236869</v>
      </c>
      <c r="O1395" s="5">
        <v>31.261602236869</v>
      </c>
      <c r="P1395" s="5">
        <v>0.0</v>
      </c>
      <c r="Q1395" s="5">
        <v>0.0</v>
      </c>
      <c r="R1395" s="5">
        <v>0.0</v>
      </c>
      <c r="S1395" s="5">
        <v>78.592395057806</v>
      </c>
    </row>
    <row r="1396">
      <c r="A1396" s="6">
        <v>42381.0</v>
      </c>
      <c r="B1396" s="5">
        <v>47.2461556324866</v>
      </c>
      <c r="C1396" s="5">
        <v>16.319283120668</v>
      </c>
      <c r="D1396" s="5">
        <v>141.538333136347</v>
      </c>
      <c r="E1396" s="5">
        <v>47.2461556324866</v>
      </c>
      <c r="F1396" s="5">
        <v>47.2461556324866</v>
      </c>
      <c r="G1396" s="5">
        <v>30.9133236955618</v>
      </c>
      <c r="H1396" s="5">
        <v>30.9133236955618</v>
      </c>
      <c r="I1396" s="5">
        <v>30.9133236955618</v>
      </c>
      <c r="J1396" s="5">
        <v>-0.144118857244856</v>
      </c>
      <c r="K1396" s="5">
        <v>-0.144118857244856</v>
      </c>
      <c r="L1396" s="5">
        <v>-0.144118857244856</v>
      </c>
      <c r="M1396" s="5">
        <v>31.0574425528066</v>
      </c>
      <c r="N1396" s="5">
        <v>31.0574425528066</v>
      </c>
      <c r="O1396" s="5">
        <v>31.0574425528066</v>
      </c>
      <c r="P1396" s="5">
        <v>0.0</v>
      </c>
      <c r="Q1396" s="5">
        <v>0.0</v>
      </c>
      <c r="R1396" s="5">
        <v>0.0</v>
      </c>
      <c r="S1396" s="5">
        <v>78.1594793280484</v>
      </c>
    </row>
    <row r="1397">
      <c r="A1397" s="6">
        <v>42382.0</v>
      </c>
      <c r="B1397" s="5">
        <v>47.2520773861576</v>
      </c>
      <c r="C1397" s="5">
        <v>10.2830573299392</v>
      </c>
      <c r="D1397" s="5">
        <v>140.187285003252</v>
      </c>
      <c r="E1397" s="5">
        <v>47.2520773861576</v>
      </c>
      <c r="F1397" s="5">
        <v>47.2520773861576</v>
      </c>
      <c r="G1397" s="5">
        <v>30.7091404915992</v>
      </c>
      <c r="H1397" s="5">
        <v>30.7091404915992</v>
      </c>
      <c r="I1397" s="5">
        <v>30.7091404915992</v>
      </c>
      <c r="J1397" s="5">
        <v>0.00703780528054501</v>
      </c>
      <c r="K1397" s="5">
        <v>0.00703780528054501</v>
      </c>
      <c r="L1397" s="5">
        <v>0.00703780528054501</v>
      </c>
      <c r="M1397" s="5">
        <v>30.7021026863187</v>
      </c>
      <c r="N1397" s="5">
        <v>30.7021026863187</v>
      </c>
      <c r="O1397" s="5">
        <v>30.7021026863187</v>
      </c>
      <c r="P1397" s="5">
        <v>0.0</v>
      </c>
      <c r="Q1397" s="5">
        <v>0.0</v>
      </c>
      <c r="R1397" s="5">
        <v>0.0</v>
      </c>
      <c r="S1397" s="5">
        <v>77.9612178777569</v>
      </c>
    </row>
    <row r="1398">
      <c r="A1398" s="6">
        <v>42383.0</v>
      </c>
      <c r="B1398" s="5">
        <v>47.2579991398286</v>
      </c>
      <c r="C1398" s="5">
        <v>16.7766137087765</v>
      </c>
      <c r="D1398" s="5">
        <v>139.703454856719</v>
      </c>
      <c r="E1398" s="5">
        <v>47.2579991398286</v>
      </c>
      <c r="F1398" s="5">
        <v>47.2579991398286</v>
      </c>
      <c r="G1398" s="5">
        <v>29.4280630542232</v>
      </c>
      <c r="H1398" s="5">
        <v>29.4280630542232</v>
      </c>
      <c r="I1398" s="5">
        <v>29.4280630542232</v>
      </c>
      <c r="J1398" s="5">
        <v>-0.77642252590051</v>
      </c>
      <c r="K1398" s="5">
        <v>-0.77642252590051</v>
      </c>
      <c r="L1398" s="5">
        <v>-0.77642252590051</v>
      </c>
      <c r="M1398" s="5">
        <v>30.2044855801237</v>
      </c>
      <c r="N1398" s="5">
        <v>30.2044855801237</v>
      </c>
      <c r="O1398" s="5">
        <v>30.2044855801237</v>
      </c>
      <c r="P1398" s="5">
        <v>0.0</v>
      </c>
      <c r="Q1398" s="5">
        <v>0.0</v>
      </c>
      <c r="R1398" s="5">
        <v>0.0</v>
      </c>
      <c r="S1398" s="5">
        <v>76.6860621940518</v>
      </c>
    </row>
    <row r="1399">
      <c r="A1399" s="6">
        <v>42384.0</v>
      </c>
      <c r="B1399" s="5">
        <v>47.2639208934996</v>
      </c>
      <c r="C1399" s="5">
        <v>10.9831830986647</v>
      </c>
      <c r="D1399" s="5">
        <v>140.631366233521</v>
      </c>
      <c r="E1399" s="5">
        <v>47.2639208934996</v>
      </c>
      <c r="F1399" s="5">
        <v>47.2639208934996</v>
      </c>
      <c r="G1399" s="5">
        <v>27.9847589821889</v>
      </c>
      <c r="H1399" s="5">
        <v>27.9847589821889</v>
      </c>
      <c r="I1399" s="5">
        <v>27.9847589821889</v>
      </c>
      <c r="J1399" s="5">
        <v>-1.59155056649277</v>
      </c>
      <c r="K1399" s="5">
        <v>-1.59155056649277</v>
      </c>
      <c r="L1399" s="5">
        <v>-1.59155056649277</v>
      </c>
      <c r="M1399" s="5">
        <v>29.5763095486817</v>
      </c>
      <c r="N1399" s="5">
        <v>29.5763095486817</v>
      </c>
      <c r="O1399" s="5">
        <v>29.5763095486817</v>
      </c>
      <c r="P1399" s="5">
        <v>0.0</v>
      </c>
      <c r="Q1399" s="5">
        <v>0.0</v>
      </c>
      <c r="R1399" s="5">
        <v>0.0</v>
      </c>
      <c r="S1399" s="5">
        <v>75.2486798756886</v>
      </c>
    </row>
    <row r="1400">
      <c r="A1400" s="6">
        <v>42388.0</v>
      </c>
      <c r="B1400" s="5">
        <v>47.2876079081837</v>
      </c>
      <c r="C1400" s="5">
        <v>6.20200591540056</v>
      </c>
      <c r="D1400" s="5">
        <v>133.17868257267</v>
      </c>
      <c r="E1400" s="5">
        <v>47.2876079081837</v>
      </c>
      <c r="F1400" s="5">
        <v>47.2876079081837</v>
      </c>
      <c r="G1400" s="5">
        <v>25.9264048967683</v>
      </c>
      <c r="H1400" s="5">
        <v>25.9264048967683</v>
      </c>
      <c r="I1400" s="5">
        <v>25.9264048967683</v>
      </c>
      <c r="J1400" s="5">
        <v>-0.144118857246596</v>
      </c>
      <c r="K1400" s="5">
        <v>-0.144118857246596</v>
      </c>
      <c r="L1400" s="5">
        <v>-0.144118857246596</v>
      </c>
      <c r="M1400" s="5">
        <v>26.0705237540149</v>
      </c>
      <c r="N1400" s="5">
        <v>26.0705237540149</v>
      </c>
      <c r="O1400" s="5">
        <v>26.0705237540149</v>
      </c>
      <c r="P1400" s="5">
        <v>0.0</v>
      </c>
      <c r="Q1400" s="5">
        <v>0.0</v>
      </c>
      <c r="R1400" s="5">
        <v>0.0</v>
      </c>
      <c r="S1400" s="5">
        <v>73.214012804952</v>
      </c>
    </row>
    <row r="1401">
      <c r="A1401" s="6">
        <v>42389.0</v>
      </c>
      <c r="B1401" s="5">
        <v>47.2935296618547</v>
      </c>
      <c r="C1401" s="5">
        <v>10.6682598769435</v>
      </c>
      <c r="D1401" s="5">
        <v>141.828950788024</v>
      </c>
      <c r="E1401" s="5">
        <v>47.2935296618547</v>
      </c>
      <c r="F1401" s="5">
        <v>47.2935296618547</v>
      </c>
      <c r="G1401" s="5">
        <v>25.0442823952851</v>
      </c>
      <c r="H1401" s="5">
        <v>25.0442823952851</v>
      </c>
      <c r="I1401" s="5">
        <v>25.0442823952851</v>
      </c>
      <c r="J1401" s="5">
        <v>0.00703780528068389</v>
      </c>
      <c r="K1401" s="5">
        <v>0.00703780528068389</v>
      </c>
      <c r="L1401" s="5">
        <v>0.00703780528068389</v>
      </c>
      <c r="M1401" s="5">
        <v>25.0372445900044</v>
      </c>
      <c r="N1401" s="5">
        <v>25.0372445900044</v>
      </c>
      <c r="O1401" s="5">
        <v>25.0372445900044</v>
      </c>
      <c r="P1401" s="5">
        <v>0.0</v>
      </c>
      <c r="Q1401" s="5">
        <v>0.0</v>
      </c>
      <c r="R1401" s="5">
        <v>0.0</v>
      </c>
      <c r="S1401" s="5">
        <v>72.3378120571398</v>
      </c>
    </row>
    <row r="1402">
      <c r="A1402" s="6">
        <v>42390.0</v>
      </c>
      <c r="B1402" s="5">
        <v>47.2994514155257</v>
      </c>
      <c r="C1402" s="5">
        <v>11.0438868970765</v>
      </c>
      <c r="D1402" s="5">
        <v>134.581673658666</v>
      </c>
      <c r="E1402" s="5">
        <v>47.2994514155257</v>
      </c>
      <c r="F1402" s="5">
        <v>47.2994514155257</v>
      </c>
      <c r="G1402" s="5">
        <v>23.2039156805462</v>
      </c>
      <c r="H1402" s="5">
        <v>23.2039156805462</v>
      </c>
      <c r="I1402" s="5">
        <v>23.2039156805462</v>
      </c>
      <c r="J1402" s="5">
        <v>-0.776422525902607</v>
      </c>
      <c r="K1402" s="5">
        <v>-0.776422525902607</v>
      </c>
      <c r="L1402" s="5">
        <v>-0.776422525902607</v>
      </c>
      <c r="M1402" s="5">
        <v>23.9803382064489</v>
      </c>
      <c r="N1402" s="5">
        <v>23.9803382064489</v>
      </c>
      <c r="O1402" s="5">
        <v>23.9803382064489</v>
      </c>
      <c r="P1402" s="5">
        <v>0.0</v>
      </c>
      <c r="Q1402" s="5">
        <v>0.0</v>
      </c>
      <c r="R1402" s="5">
        <v>0.0</v>
      </c>
      <c r="S1402" s="5">
        <v>70.503367096072</v>
      </c>
    </row>
    <row r="1403">
      <c r="A1403" s="6">
        <v>42391.0</v>
      </c>
      <c r="B1403" s="5">
        <v>47.3053731691967</v>
      </c>
      <c r="C1403" s="5">
        <v>5.99994668951427</v>
      </c>
      <c r="D1403" s="5">
        <v>133.304994064368</v>
      </c>
      <c r="E1403" s="5">
        <v>47.3053731691967</v>
      </c>
      <c r="F1403" s="5">
        <v>47.3053731691967</v>
      </c>
      <c r="G1403" s="5">
        <v>21.3276048648271</v>
      </c>
      <c r="H1403" s="5">
        <v>21.3276048648271</v>
      </c>
      <c r="I1403" s="5">
        <v>21.3276048648271</v>
      </c>
      <c r="J1403" s="5">
        <v>-1.59155056649185</v>
      </c>
      <c r="K1403" s="5">
        <v>-1.59155056649185</v>
      </c>
      <c r="L1403" s="5">
        <v>-1.59155056649185</v>
      </c>
      <c r="M1403" s="5">
        <v>22.919155431319</v>
      </c>
      <c r="N1403" s="5">
        <v>22.919155431319</v>
      </c>
      <c r="O1403" s="5">
        <v>22.919155431319</v>
      </c>
      <c r="P1403" s="5">
        <v>0.0</v>
      </c>
      <c r="Q1403" s="5">
        <v>0.0</v>
      </c>
      <c r="R1403" s="5">
        <v>0.0</v>
      </c>
      <c r="S1403" s="5">
        <v>68.6329780340239</v>
      </c>
    </row>
    <row r="1404">
      <c r="A1404" s="6">
        <v>42394.0</v>
      </c>
      <c r="B1404" s="5">
        <v>47.3231384302098</v>
      </c>
      <c r="C1404" s="5">
        <v>3.0521213486654</v>
      </c>
      <c r="D1404" s="5">
        <v>130.558463918902</v>
      </c>
      <c r="E1404" s="5">
        <v>47.3231384302098</v>
      </c>
      <c r="F1404" s="5">
        <v>47.3231384302098</v>
      </c>
      <c r="G1404" s="5">
        <v>19.9769671430444</v>
      </c>
      <c r="H1404" s="5">
        <v>19.9769671430444</v>
      </c>
      <c r="I1404" s="5">
        <v>19.9769671430444</v>
      </c>
      <c r="J1404" s="5">
        <v>0.0905589421210267</v>
      </c>
      <c r="K1404" s="5">
        <v>0.0905589421210267</v>
      </c>
      <c r="L1404" s="5">
        <v>0.0905589421210267</v>
      </c>
      <c r="M1404" s="5">
        <v>19.8864082009234</v>
      </c>
      <c r="N1404" s="5">
        <v>19.8864082009234</v>
      </c>
      <c r="O1404" s="5">
        <v>19.8864082009234</v>
      </c>
      <c r="P1404" s="5">
        <v>0.0</v>
      </c>
      <c r="Q1404" s="5">
        <v>0.0</v>
      </c>
      <c r="R1404" s="5">
        <v>0.0</v>
      </c>
      <c r="S1404" s="5">
        <v>67.3001055732542</v>
      </c>
    </row>
    <row r="1405">
      <c r="A1405" s="6">
        <v>42395.0</v>
      </c>
      <c r="B1405" s="5">
        <v>47.3290601838808</v>
      </c>
      <c r="C1405" s="5">
        <v>0.343082697050507</v>
      </c>
      <c r="D1405" s="5">
        <v>129.313580559458</v>
      </c>
      <c r="E1405" s="5">
        <v>47.3290601838808</v>
      </c>
      <c r="F1405" s="5">
        <v>47.3290601838808</v>
      </c>
      <c r="G1405" s="5">
        <v>18.8316014611584</v>
      </c>
      <c r="H1405" s="5">
        <v>18.8316014611584</v>
      </c>
      <c r="I1405" s="5">
        <v>18.8316014611584</v>
      </c>
      <c r="J1405" s="5">
        <v>-0.144118857245508</v>
      </c>
      <c r="K1405" s="5">
        <v>-0.144118857245508</v>
      </c>
      <c r="L1405" s="5">
        <v>-0.144118857245508</v>
      </c>
      <c r="M1405" s="5">
        <v>18.9757203184039</v>
      </c>
      <c r="N1405" s="5">
        <v>18.9757203184039</v>
      </c>
      <c r="O1405" s="5">
        <v>18.9757203184039</v>
      </c>
      <c r="P1405" s="5">
        <v>0.0</v>
      </c>
      <c r="Q1405" s="5">
        <v>0.0</v>
      </c>
      <c r="R1405" s="5">
        <v>0.0</v>
      </c>
      <c r="S1405" s="5">
        <v>66.1606616450392</v>
      </c>
    </row>
    <row r="1406">
      <c r="A1406" s="6">
        <v>42396.0</v>
      </c>
      <c r="B1406" s="5">
        <v>47.3349819375518</v>
      </c>
      <c r="C1406" s="5">
        <v>3.08149882681973</v>
      </c>
      <c r="D1406" s="5">
        <v>129.387089874822</v>
      </c>
      <c r="E1406" s="5">
        <v>47.3349819375518</v>
      </c>
      <c r="F1406" s="5">
        <v>47.3349819375518</v>
      </c>
      <c r="G1406" s="5">
        <v>18.1413912786099</v>
      </c>
      <c r="H1406" s="5">
        <v>18.1413912786099</v>
      </c>
      <c r="I1406" s="5">
        <v>18.1413912786099</v>
      </c>
      <c r="J1406" s="5">
        <v>0.00703780528199493</v>
      </c>
      <c r="K1406" s="5">
        <v>0.00703780528199493</v>
      </c>
      <c r="L1406" s="5">
        <v>0.00703780528199493</v>
      </c>
      <c r="M1406" s="5">
        <v>18.1343534733279</v>
      </c>
      <c r="N1406" s="5">
        <v>18.1343534733279</v>
      </c>
      <c r="O1406" s="5">
        <v>18.1343534733279</v>
      </c>
      <c r="P1406" s="5">
        <v>0.0</v>
      </c>
      <c r="Q1406" s="5">
        <v>0.0</v>
      </c>
      <c r="R1406" s="5">
        <v>0.0</v>
      </c>
      <c r="S1406" s="5">
        <v>65.4763732161617</v>
      </c>
    </row>
    <row r="1407">
      <c r="A1407" s="6">
        <v>42397.0</v>
      </c>
      <c r="B1407" s="5">
        <v>47.3409036912228</v>
      </c>
      <c r="C1407" s="5">
        <v>1.42955922518482</v>
      </c>
      <c r="D1407" s="5">
        <v>132.887931758968</v>
      </c>
      <c r="E1407" s="5">
        <v>47.3409036912228</v>
      </c>
      <c r="F1407" s="5">
        <v>47.3409036912228</v>
      </c>
      <c r="G1407" s="5">
        <v>16.5933225325077</v>
      </c>
      <c r="H1407" s="5">
        <v>16.5933225325077</v>
      </c>
      <c r="I1407" s="5">
        <v>16.5933225325077</v>
      </c>
      <c r="J1407" s="5">
        <v>-0.776422525903329</v>
      </c>
      <c r="K1407" s="5">
        <v>-0.776422525903329</v>
      </c>
      <c r="L1407" s="5">
        <v>-0.776422525903329</v>
      </c>
      <c r="M1407" s="5">
        <v>17.369745058411</v>
      </c>
      <c r="N1407" s="5">
        <v>17.369745058411</v>
      </c>
      <c r="O1407" s="5">
        <v>17.369745058411</v>
      </c>
      <c r="P1407" s="5">
        <v>0.0</v>
      </c>
      <c r="Q1407" s="5">
        <v>0.0</v>
      </c>
      <c r="R1407" s="5">
        <v>0.0</v>
      </c>
      <c r="S1407" s="5">
        <v>63.9342262237306</v>
      </c>
    </row>
    <row r="1408">
      <c r="A1408" s="6">
        <v>42398.0</v>
      </c>
      <c r="B1408" s="5">
        <v>47.3468254448938</v>
      </c>
      <c r="C1408" s="5">
        <v>-1.82938601567015</v>
      </c>
      <c r="D1408" s="5">
        <v>126.532119182782</v>
      </c>
      <c r="E1408" s="5">
        <v>47.3468254448938</v>
      </c>
      <c r="F1408" s="5">
        <v>47.3468254448938</v>
      </c>
      <c r="G1408" s="5">
        <v>15.0947834955568</v>
      </c>
      <c r="H1408" s="5">
        <v>15.0947834955568</v>
      </c>
      <c r="I1408" s="5">
        <v>15.0947834955568</v>
      </c>
      <c r="J1408" s="5">
        <v>-1.59155056649061</v>
      </c>
      <c r="K1408" s="5">
        <v>-1.59155056649061</v>
      </c>
      <c r="L1408" s="5">
        <v>-1.59155056649061</v>
      </c>
      <c r="M1408" s="5">
        <v>16.6863340620475</v>
      </c>
      <c r="N1408" s="5">
        <v>16.6863340620475</v>
      </c>
      <c r="O1408" s="5">
        <v>16.6863340620475</v>
      </c>
      <c r="P1408" s="5">
        <v>0.0</v>
      </c>
      <c r="Q1408" s="5">
        <v>0.0</v>
      </c>
      <c r="R1408" s="5">
        <v>0.0</v>
      </c>
      <c r="S1408" s="5">
        <v>62.4416089404507</v>
      </c>
    </row>
    <row r="1409">
      <c r="A1409" s="6">
        <v>42401.0</v>
      </c>
      <c r="B1409" s="5">
        <v>47.3645907059069</v>
      </c>
      <c r="C1409" s="5">
        <v>-0.821126701035564</v>
      </c>
      <c r="D1409" s="5">
        <v>123.449994237984</v>
      </c>
      <c r="E1409" s="5">
        <v>47.3645907059069</v>
      </c>
      <c r="F1409" s="5">
        <v>47.3645907059069</v>
      </c>
      <c r="G1409" s="5">
        <v>15.212068411083</v>
      </c>
      <c r="H1409" s="5">
        <v>15.212068411083</v>
      </c>
      <c r="I1409" s="5">
        <v>15.212068411083</v>
      </c>
      <c r="J1409" s="5">
        <v>0.0905589421219729</v>
      </c>
      <c r="K1409" s="5">
        <v>0.0905589421219729</v>
      </c>
      <c r="L1409" s="5">
        <v>0.0905589421219729</v>
      </c>
      <c r="M1409" s="5">
        <v>15.1215094689611</v>
      </c>
      <c r="N1409" s="5">
        <v>15.1215094689611</v>
      </c>
      <c r="O1409" s="5">
        <v>15.1215094689611</v>
      </c>
      <c r="P1409" s="5">
        <v>0.0</v>
      </c>
      <c r="Q1409" s="5">
        <v>0.0</v>
      </c>
      <c r="R1409" s="5">
        <v>0.0</v>
      </c>
      <c r="S1409" s="5">
        <v>62.5766591169899</v>
      </c>
    </row>
    <row r="1410">
      <c r="A1410" s="6">
        <v>42402.0</v>
      </c>
      <c r="B1410" s="5">
        <v>47.3705124595779</v>
      </c>
      <c r="C1410" s="5">
        <v>2.87459094063194</v>
      </c>
      <c r="D1410" s="5">
        <v>126.592915541774</v>
      </c>
      <c r="E1410" s="5">
        <v>47.3705124595779</v>
      </c>
      <c r="F1410" s="5">
        <v>47.3705124595779</v>
      </c>
      <c r="G1410" s="5">
        <v>14.6020063712233</v>
      </c>
      <c r="H1410" s="5">
        <v>14.6020063712233</v>
      </c>
      <c r="I1410" s="5">
        <v>14.6020063712233</v>
      </c>
      <c r="J1410" s="5">
        <v>-0.14411885724442</v>
      </c>
      <c r="K1410" s="5">
        <v>-0.14411885724442</v>
      </c>
      <c r="L1410" s="5">
        <v>-0.14411885724442</v>
      </c>
      <c r="M1410" s="5">
        <v>14.7461252284678</v>
      </c>
      <c r="N1410" s="5">
        <v>14.7461252284678</v>
      </c>
      <c r="O1410" s="5">
        <v>14.7461252284678</v>
      </c>
      <c r="P1410" s="5">
        <v>0.0</v>
      </c>
      <c r="Q1410" s="5">
        <v>0.0</v>
      </c>
      <c r="R1410" s="5">
        <v>0.0</v>
      </c>
      <c r="S1410" s="5">
        <v>61.9725188308013</v>
      </c>
    </row>
    <row r="1411">
      <c r="A1411" s="6">
        <v>42403.0</v>
      </c>
      <c r="B1411" s="5">
        <v>47.3764342132489</v>
      </c>
      <c r="C1411" s="5">
        <v>3.25020777525683</v>
      </c>
      <c r="D1411" s="5">
        <v>122.250608025371</v>
      </c>
      <c r="E1411" s="5">
        <v>47.3764342132489</v>
      </c>
      <c r="F1411" s="5">
        <v>47.3764342132489</v>
      </c>
      <c r="G1411" s="5">
        <v>14.4361955103173</v>
      </c>
      <c r="H1411" s="5">
        <v>14.4361955103173</v>
      </c>
      <c r="I1411" s="5">
        <v>14.4361955103173</v>
      </c>
      <c r="J1411" s="5">
        <v>0.007037805283306</v>
      </c>
      <c r="K1411" s="5">
        <v>0.007037805283306</v>
      </c>
      <c r="L1411" s="5">
        <v>0.007037805283306</v>
      </c>
      <c r="M1411" s="5">
        <v>14.429157705034</v>
      </c>
      <c r="N1411" s="5">
        <v>14.429157705034</v>
      </c>
      <c r="O1411" s="5">
        <v>14.429157705034</v>
      </c>
      <c r="P1411" s="5">
        <v>0.0</v>
      </c>
      <c r="Q1411" s="5">
        <v>0.0</v>
      </c>
      <c r="R1411" s="5">
        <v>0.0</v>
      </c>
      <c r="S1411" s="5">
        <v>61.8126297235662</v>
      </c>
    </row>
    <row r="1412">
      <c r="A1412" s="6">
        <v>42404.0</v>
      </c>
      <c r="B1412" s="5">
        <v>47.3823559669199</v>
      </c>
      <c r="C1412" s="5">
        <v>-2.42257802618691</v>
      </c>
      <c r="D1412" s="5">
        <v>124.042348147311</v>
      </c>
      <c r="E1412" s="5">
        <v>47.3823559669199</v>
      </c>
      <c r="F1412" s="5">
        <v>47.3823559669199</v>
      </c>
      <c r="G1412" s="5">
        <v>13.3817904997951</v>
      </c>
      <c r="H1412" s="5">
        <v>13.3817904997951</v>
      </c>
      <c r="I1412" s="5">
        <v>13.3817904997951</v>
      </c>
      <c r="J1412" s="5">
        <v>-0.776422525904051</v>
      </c>
      <c r="K1412" s="5">
        <v>-0.776422525904051</v>
      </c>
      <c r="L1412" s="5">
        <v>-0.776422525904051</v>
      </c>
      <c r="M1412" s="5">
        <v>14.1582130256991</v>
      </c>
      <c r="N1412" s="5">
        <v>14.1582130256991</v>
      </c>
      <c r="O1412" s="5">
        <v>14.1582130256991</v>
      </c>
      <c r="P1412" s="5">
        <v>0.0</v>
      </c>
      <c r="Q1412" s="5">
        <v>0.0</v>
      </c>
      <c r="R1412" s="5">
        <v>0.0</v>
      </c>
      <c r="S1412" s="5">
        <v>60.764146466715</v>
      </c>
    </row>
    <row r="1413">
      <c r="A1413" s="6">
        <v>42405.0</v>
      </c>
      <c r="B1413" s="5">
        <v>47.3882777205909</v>
      </c>
      <c r="C1413" s="5">
        <v>-1.77009458170612</v>
      </c>
      <c r="D1413" s="5">
        <v>121.465132991817</v>
      </c>
      <c r="E1413" s="5">
        <v>47.3882777205909</v>
      </c>
      <c r="F1413" s="5">
        <v>47.3882777205909</v>
      </c>
      <c r="G1413" s="5">
        <v>12.3274649096616</v>
      </c>
      <c r="H1413" s="5">
        <v>12.3274649096616</v>
      </c>
      <c r="I1413" s="5">
        <v>12.3274649096616</v>
      </c>
      <c r="J1413" s="5">
        <v>-1.5915505664958</v>
      </c>
      <c r="K1413" s="5">
        <v>-1.5915505664958</v>
      </c>
      <c r="L1413" s="5">
        <v>-1.5915505664958</v>
      </c>
      <c r="M1413" s="5">
        <v>13.9190154761574</v>
      </c>
      <c r="N1413" s="5">
        <v>13.9190154761574</v>
      </c>
      <c r="O1413" s="5">
        <v>13.9190154761574</v>
      </c>
      <c r="P1413" s="5">
        <v>0.0</v>
      </c>
      <c r="Q1413" s="5">
        <v>0.0</v>
      </c>
      <c r="R1413" s="5">
        <v>0.0</v>
      </c>
      <c r="S1413" s="5">
        <v>59.7157426302526</v>
      </c>
    </row>
    <row r="1414">
      <c r="A1414" s="6">
        <v>42408.0</v>
      </c>
      <c r="B1414" s="5">
        <v>47.406042981604</v>
      </c>
      <c r="C1414" s="5">
        <v>0.0329616632429064</v>
      </c>
      <c r="D1414" s="5">
        <v>126.070329169338</v>
      </c>
      <c r="E1414" s="5">
        <v>47.406042981604</v>
      </c>
      <c r="F1414" s="5">
        <v>47.406042981604</v>
      </c>
      <c r="G1414" s="5">
        <v>13.3207999473734</v>
      </c>
      <c r="H1414" s="5">
        <v>13.3207999473734</v>
      </c>
      <c r="I1414" s="5">
        <v>13.3207999473734</v>
      </c>
      <c r="J1414" s="5">
        <v>0.0905589421205356</v>
      </c>
      <c r="K1414" s="5">
        <v>0.0905589421205356</v>
      </c>
      <c r="L1414" s="5">
        <v>0.0905589421205356</v>
      </c>
      <c r="M1414" s="5">
        <v>13.2302410052528</v>
      </c>
      <c r="N1414" s="5">
        <v>13.2302410052528</v>
      </c>
      <c r="O1414" s="5">
        <v>13.2302410052528</v>
      </c>
      <c r="P1414" s="5">
        <v>0.0</v>
      </c>
      <c r="Q1414" s="5">
        <v>0.0</v>
      </c>
      <c r="R1414" s="5">
        <v>0.0</v>
      </c>
      <c r="S1414" s="5">
        <v>60.7268429289774</v>
      </c>
    </row>
    <row r="1415">
      <c r="A1415" s="6">
        <v>42409.0</v>
      </c>
      <c r="B1415" s="5">
        <v>47.411964735275</v>
      </c>
      <c r="C1415" s="5">
        <v>-2.65790132066388</v>
      </c>
      <c r="D1415" s="5">
        <v>124.724648374573</v>
      </c>
      <c r="E1415" s="5">
        <v>47.411964735275</v>
      </c>
      <c r="F1415" s="5">
        <v>47.411964735275</v>
      </c>
      <c r="G1415" s="5">
        <v>12.8093490031437</v>
      </c>
      <c r="H1415" s="5">
        <v>12.8093490031437</v>
      </c>
      <c r="I1415" s="5">
        <v>12.8093490031437</v>
      </c>
      <c r="J1415" s="5">
        <v>-0.144118857245856</v>
      </c>
      <c r="K1415" s="5">
        <v>-0.144118857245856</v>
      </c>
      <c r="L1415" s="5">
        <v>-0.144118857245856</v>
      </c>
      <c r="M1415" s="5">
        <v>12.9534678603895</v>
      </c>
      <c r="N1415" s="5">
        <v>12.9534678603895</v>
      </c>
      <c r="O1415" s="5">
        <v>12.9534678603895</v>
      </c>
      <c r="P1415" s="5">
        <v>0.0</v>
      </c>
      <c r="Q1415" s="5">
        <v>0.0</v>
      </c>
      <c r="R1415" s="5">
        <v>0.0</v>
      </c>
      <c r="S1415" s="5">
        <v>60.2213137384187</v>
      </c>
    </row>
    <row r="1416">
      <c r="A1416" s="6">
        <v>42410.0</v>
      </c>
      <c r="B1416" s="5">
        <v>47.417886488946</v>
      </c>
      <c r="C1416" s="5">
        <v>-1.0249785066373</v>
      </c>
      <c r="D1416" s="5">
        <v>118.875823736104</v>
      </c>
      <c r="E1416" s="5">
        <v>47.417886488946</v>
      </c>
      <c r="F1416" s="5">
        <v>47.417886488946</v>
      </c>
      <c r="G1416" s="5">
        <v>12.6320669651933</v>
      </c>
      <c r="H1416" s="5">
        <v>12.6320669651933</v>
      </c>
      <c r="I1416" s="5">
        <v>12.6320669651933</v>
      </c>
      <c r="J1416" s="5">
        <v>0.00703780528344475</v>
      </c>
      <c r="K1416" s="5">
        <v>0.00703780528344475</v>
      </c>
      <c r="L1416" s="5">
        <v>0.00703780528344475</v>
      </c>
      <c r="M1416" s="5">
        <v>12.6250291599098</v>
      </c>
      <c r="N1416" s="5">
        <v>12.6250291599098</v>
      </c>
      <c r="O1416" s="5">
        <v>12.6250291599098</v>
      </c>
      <c r="P1416" s="5">
        <v>0.0</v>
      </c>
      <c r="Q1416" s="5">
        <v>0.0</v>
      </c>
      <c r="R1416" s="5">
        <v>0.0</v>
      </c>
      <c r="S1416" s="5">
        <v>60.0499534541393</v>
      </c>
    </row>
    <row r="1417">
      <c r="A1417" s="6">
        <v>42411.0</v>
      </c>
      <c r="B1417" s="5">
        <v>47.423808242617</v>
      </c>
      <c r="C1417" s="5">
        <v>-2.25683125379707</v>
      </c>
      <c r="D1417" s="5">
        <v>121.762360501114</v>
      </c>
      <c r="E1417" s="5">
        <v>47.423808242617</v>
      </c>
      <c r="F1417" s="5">
        <v>47.423808242617</v>
      </c>
      <c r="G1417" s="5">
        <v>11.452900930453</v>
      </c>
      <c r="H1417" s="5">
        <v>11.452900930453</v>
      </c>
      <c r="I1417" s="5">
        <v>11.452900930453</v>
      </c>
      <c r="J1417" s="5">
        <v>-0.776422525901923</v>
      </c>
      <c r="K1417" s="5">
        <v>-0.776422525901923</v>
      </c>
      <c r="L1417" s="5">
        <v>-0.776422525901923</v>
      </c>
      <c r="M1417" s="5">
        <v>12.229323456355</v>
      </c>
      <c r="N1417" s="5">
        <v>12.229323456355</v>
      </c>
      <c r="O1417" s="5">
        <v>12.229323456355</v>
      </c>
      <c r="P1417" s="5">
        <v>0.0</v>
      </c>
      <c r="Q1417" s="5">
        <v>0.0</v>
      </c>
      <c r="R1417" s="5">
        <v>0.0</v>
      </c>
      <c r="S1417" s="5">
        <v>58.8767091730701</v>
      </c>
    </row>
    <row r="1418">
      <c r="A1418" s="6">
        <v>42412.0</v>
      </c>
      <c r="B1418" s="5">
        <v>47.429729996288</v>
      </c>
      <c r="C1418" s="5">
        <v>-6.02327153002595</v>
      </c>
      <c r="D1418" s="5">
        <v>118.127930285502</v>
      </c>
      <c r="E1418" s="5">
        <v>47.429729996288</v>
      </c>
      <c r="F1418" s="5">
        <v>47.429729996288</v>
      </c>
      <c r="G1418" s="5">
        <v>10.1606898771256</v>
      </c>
      <c r="H1418" s="5">
        <v>10.1606898771256</v>
      </c>
      <c r="I1418" s="5">
        <v>10.1606898771256</v>
      </c>
      <c r="J1418" s="5">
        <v>-1.59155056649456</v>
      </c>
      <c r="K1418" s="5">
        <v>-1.59155056649456</v>
      </c>
      <c r="L1418" s="5">
        <v>-1.59155056649456</v>
      </c>
      <c r="M1418" s="5">
        <v>11.7522404436202</v>
      </c>
      <c r="N1418" s="5">
        <v>11.7522404436202</v>
      </c>
      <c r="O1418" s="5">
        <v>11.7522404436202</v>
      </c>
      <c r="P1418" s="5">
        <v>0.0</v>
      </c>
      <c r="Q1418" s="5">
        <v>0.0</v>
      </c>
      <c r="R1418" s="5">
        <v>0.0</v>
      </c>
      <c r="S1418" s="5">
        <v>57.5904198734137</v>
      </c>
    </row>
    <row r="1419">
      <c r="A1419" s="6">
        <v>42416.0</v>
      </c>
      <c r="B1419" s="5">
        <v>47.4534170109721</v>
      </c>
      <c r="C1419" s="5">
        <v>-6.00163247331959</v>
      </c>
      <c r="D1419" s="5">
        <v>119.699231926105</v>
      </c>
      <c r="E1419" s="5">
        <v>47.4534170109721</v>
      </c>
      <c r="F1419" s="5">
        <v>47.4534170109721</v>
      </c>
      <c r="G1419" s="5">
        <v>8.67814505613392</v>
      </c>
      <c r="H1419" s="5">
        <v>8.67814505613392</v>
      </c>
      <c r="I1419" s="5">
        <v>8.67814505613392</v>
      </c>
      <c r="J1419" s="5">
        <v>-0.144118857243658</v>
      </c>
      <c r="K1419" s="5">
        <v>-0.144118857243658</v>
      </c>
      <c r="L1419" s="5">
        <v>-0.144118857243658</v>
      </c>
      <c r="M1419" s="5">
        <v>8.82226391337758</v>
      </c>
      <c r="N1419" s="5">
        <v>8.82226391337758</v>
      </c>
      <c r="O1419" s="5">
        <v>8.82226391337758</v>
      </c>
      <c r="P1419" s="5">
        <v>0.0</v>
      </c>
      <c r="Q1419" s="5">
        <v>0.0</v>
      </c>
      <c r="R1419" s="5">
        <v>0.0</v>
      </c>
      <c r="S1419" s="5">
        <v>56.131562067106</v>
      </c>
    </row>
    <row r="1420">
      <c r="A1420" s="6">
        <v>42417.0</v>
      </c>
      <c r="B1420" s="5">
        <v>47.4593387646431</v>
      </c>
      <c r="C1420" s="5">
        <v>-9.0458336324866</v>
      </c>
      <c r="D1420" s="5">
        <v>117.086687022584</v>
      </c>
      <c r="E1420" s="5">
        <v>47.4593387646431</v>
      </c>
      <c r="F1420" s="5">
        <v>47.4593387646431</v>
      </c>
      <c r="G1420" s="5">
        <v>7.81228399588264</v>
      </c>
      <c r="H1420" s="5">
        <v>7.81228399588264</v>
      </c>
      <c r="I1420" s="5">
        <v>7.81228399588264</v>
      </c>
      <c r="J1420" s="5">
        <v>0.00703780528259229</v>
      </c>
      <c r="K1420" s="5">
        <v>0.00703780528259229</v>
      </c>
      <c r="L1420" s="5">
        <v>0.00703780528259229</v>
      </c>
      <c r="M1420" s="5">
        <v>7.80524619060005</v>
      </c>
      <c r="N1420" s="5">
        <v>7.80524619060005</v>
      </c>
      <c r="O1420" s="5">
        <v>7.80524619060005</v>
      </c>
      <c r="P1420" s="5">
        <v>0.0</v>
      </c>
      <c r="Q1420" s="5">
        <v>0.0</v>
      </c>
      <c r="R1420" s="5">
        <v>0.0</v>
      </c>
      <c r="S1420" s="5">
        <v>55.2716227605257</v>
      </c>
    </row>
    <row r="1421">
      <c r="A1421" s="6">
        <v>42418.0</v>
      </c>
      <c r="B1421" s="5">
        <v>47.4789017586961</v>
      </c>
      <c r="C1421" s="5">
        <v>-11.1113196609112</v>
      </c>
      <c r="D1421" s="5">
        <v>121.032197151711</v>
      </c>
      <c r="E1421" s="5">
        <v>47.4789017586961</v>
      </c>
      <c r="F1421" s="5">
        <v>47.4789017586961</v>
      </c>
      <c r="G1421" s="5">
        <v>5.8966040391564</v>
      </c>
      <c r="H1421" s="5">
        <v>5.8966040391564</v>
      </c>
      <c r="I1421" s="5">
        <v>5.8966040391564</v>
      </c>
      <c r="J1421" s="5">
        <v>-0.77642252590402</v>
      </c>
      <c r="K1421" s="5">
        <v>-0.77642252590402</v>
      </c>
      <c r="L1421" s="5">
        <v>-0.77642252590402</v>
      </c>
      <c r="M1421" s="5">
        <v>6.67302656506042</v>
      </c>
      <c r="N1421" s="5">
        <v>6.67302656506042</v>
      </c>
      <c r="O1421" s="5">
        <v>6.67302656506042</v>
      </c>
      <c r="P1421" s="5">
        <v>0.0</v>
      </c>
      <c r="Q1421" s="5">
        <v>0.0</v>
      </c>
      <c r="R1421" s="5">
        <v>0.0</v>
      </c>
      <c r="S1421" s="5">
        <v>53.3755057978525</v>
      </c>
    </row>
    <row r="1422">
      <c r="A1422" s="6">
        <v>42419.0</v>
      </c>
      <c r="B1422" s="5">
        <v>47.4984647527491</v>
      </c>
      <c r="C1422" s="5">
        <v>-15.3880902035088</v>
      </c>
      <c r="D1422" s="5">
        <v>114.802597710807</v>
      </c>
      <c r="E1422" s="5">
        <v>47.4984647527491</v>
      </c>
      <c r="F1422" s="5">
        <v>47.4984647527491</v>
      </c>
      <c r="G1422" s="5">
        <v>3.83871082015255</v>
      </c>
      <c r="H1422" s="5">
        <v>3.83871082015255</v>
      </c>
      <c r="I1422" s="5">
        <v>3.83871082015255</v>
      </c>
      <c r="J1422" s="5">
        <v>-1.59155056649364</v>
      </c>
      <c r="K1422" s="5">
        <v>-1.59155056649364</v>
      </c>
      <c r="L1422" s="5">
        <v>-1.59155056649364</v>
      </c>
      <c r="M1422" s="5">
        <v>5.43026138664619</v>
      </c>
      <c r="N1422" s="5">
        <v>5.43026138664619</v>
      </c>
      <c r="O1422" s="5">
        <v>5.43026138664619</v>
      </c>
      <c r="P1422" s="5">
        <v>0.0</v>
      </c>
      <c r="Q1422" s="5">
        <v>0.0</v>
      </c>
      <c r="R1422" s="5">
        <v>0.0</v>
      </c>
      <c r="S1422" s="5">
        <v>51.3371755729017</v>
      </c>
    </row>
    <row r="1423">
      <c r="A1423" s="6">
        <v>42422.0</v>
      </c>
      <c r="B1423" s="5">
        <v>47.5571537349082</v>
      </c>
      <c r="C1423" s="5">
        <v>-14.6400623135549</v>
      </c>
      <c r="D1423" s="5">
        <v>111.754662627195</v>
      </c>
      <c r="E1423" s="5">
        <v>47.5571537349082</v>
      </c>
      <c r="F1423" s="5">
        <v>47.5571537349082</v>
      </c>
      <c r="G1423" s="5">
        <v>1.21967914330421</v>
      </c>
      <c r="H1423" s="5">
        <v>1.21967914330421</v>
      </c>
      <c r="I1423" s="5">
        <v>1.21967914330421</v>
      </c>
      <c r="J1423" s="5">
        <v>0.0905589421225888</v>
      </c>
      <c r="K1423" s="5">
        <v>0.0905589421225888</v>
      </c>
      <c r="L1423" s="5">
        <v>0.0905589421225888</v>
      </c>
      <c r="M1423" s="5">
        <v>1.12912020118162</v>
      </c>
      <c r="N1423" s="5">
        <v>1.12912020118162</v>
      </c>
      <c r="O1423" s="5">
        <v>1.12912020118162</v>
      </c>
      <c r="P1423" s="5">
        <v>0.0</v>
      </c>
      <c r="Q1423" s="5">
        <v>0.0</v>
      </c>
      <c r="R1423" s="5">
        <v>0.0</v>
      </c>
      <c r="S1423" s="5">
        <v>48.7768328782124</v>
      </c>
    </row>
    <row r="1424">
      <c r="A1424" s="6">
        <v>42423.0</v>
      </c>
      <c r="B1424" s="5">
        <v>47.5767167289612</v>
      </c>
      <c r="C1424" s="5">
        <v>-17.123971704334</v>
      </c>
      <c r="D1424" s="5">
        <v>110.696678167909</v>
      </c>
      <c r="E1424" s="5">
        <v>47.5767167289612</v>
      </c>
      <c r="F1424" s="5">
        <v>47.5767167289612</v>
      </c>
      <c r="G1424" s="5">
        <v>-0.596355554708289</v>
      </c>
      <c r="H1424" s="5">
        <v>-0.596355554708289</v>
      </c>
      <c r="I1424" s="5">
        <v>-0.596355554708289</v>
      </c>
      <c r="J1424" s="5">
        <v>-0.144118857245094</v>
      </c>
      <c r="K1424" s="5">
        <v>-0.144118857245094</v>
      </c>
      <c r="L1424" s="5">
        <v>-0.144118857245094</v>
      </c>
      <c r="M1424" s="5">
        <v>-0.452236697463195</v>
      </c>
      <c r="N1424" s="5">
        <v>-0.452236697463195</v>
      </c>
      <c r="O1424" s="5">
        <v>-0.452236697463195</v>
      </c>
      <c r="P1424" s="5">
        <v>0.0</v>
      </c>
      <c r="Q1424" s="5">
        <v>0.0</v>
      </c>
      <c r="R1424" s="5">
        <v>0.0</v>
      </c>
      <c r="S1424" s="5">
        <v>46.9803611742529</v>
      </c>
    </row>
    <row r="1425">
      <c r="A1425" s="6">
        <v>42424.0</v>
      </c>
      <c r="B1425" s="5">
        <v>47.5962797230142</v>
      </c>
      <c r="C1425" s="5">
        <v>-15.1855545498325</v>
      </c>
      <c r="D1425" s="5">
        <v>104.02689522204</v>
      </c>
      <c r="E1425" s="5">
        <v>47.5962797230142</v>
      </c>
      <c r="F1425" s="5">
        <v>47.5962797230142</v>
      </c>
      <c r="G1425" s="5">
        <v>-2.07318751513195</v>
      </c>
      <c r="H1425" s="5">
        <v>-2.07318751513195</v>
      </c>
      <c r="I1425" s="5">
        <v>-2.07318751513195</v>
      </c>
      <c r="J1425" s="5">
        <v>0.00703780528173974</v>
      </c>
      <c r="K1425" s="5">
        <v>0.00703780528173974</v>
      </c>
      <c r="L1425" s="5">
        <v>0.00703780528173974</v>
      </c>
      <c r="M1425" s="5">
        <v>-2.08022532041369</v>
      </c>
      <c r="N1425" s="5">
        <v>-2.08022532041369</v>
      </c>
      <c r="O1425" s="5">
        <v>-2.08022532041369</v>
      </c>
      <c r="P1425" s="5">
        <v>0.0</v>
      </c>
      <c r="Q1425" s="5">
        <v>0.0</v>
      </c>
      <c r="R1425" s="5">
        <v>0.0</v>
      </c>
      <c r="S1425" s="5">
        <v>45.5230922078823</v>
      </c>
    </row>
    <row r="1426">
      <c r="A1426" s="6">
        <v>42425.0</v>
      </c>
      <c r="B1426" s="5">
        <v>47.6158427170672</v>
      </c>
      <c r="C1426" s="5">
        <v>-19.0364097773018</v>
      </c>
      <c r="D1426" s="5">
        <v>105.261114829818</v>
      </c>
      <c r="E1426" s="5">
        <v>47.6158427170672</v>
      </c>
      <c r="F1426" s="5">
        <v>47.6158427170672</v>
      </c>
      <c r="G1426" s="5">
        <v>-4.51241675758725</v>
      </c>
      <c r="H1426" s="5">
        <v>-4.51241675758725</v>
      </c>
      <c r="I1426" s="5">
        <v>-4.51241675758725</v>
      </c>
      <c r="J1426" s="5">
        <v>-0.776422525906117</v>
      </c>
      <c r="K1426" s="5">
        <v>-0.776422525906117</v>
      </c>
      <c r="L1426" s="5">
        <v>-0.776422525906117</v>
      </c>
      <c r="M1426" s="5">
        <v>-3.73599423168113</v>
      </c>
      <c r="N1426" s="5">
        <v>-3.73599423168113</v>
      </c>
      <c r="O1426" s="5">
        <v>-3.73599423168113</v>
      </c>
      <c r="P1426" s="5">
        <v>0.0</v>
      </c>
      <c r="Q1426" s="5">
        <v>0.0</v>
      </c>
      <c r="R1426" s="5">
        <v>0.0</v>
      </c>
      <c r="S1426" s="5">
        <v>43.10342595948</v>
      </c>
    </row>
    <row r="1427">
      <c r="A1427" s="6">
        <v>42426.0</v>
      </c>
      <c r="B1427" s="5">
        <v>47.6354057111202</v>
      </c>
      <c r="C1427" s="5">
        <v>-20.5818987634048</v>
      </c>
      <c r="D1427" s="5">
        <v>103.636250297687</v>
      </c>
      <c r="E1427" s="5">
        <v>47.6354057111202</v>
      </c>
      <c r="F1427" s="5">
        <v>47.6354057111202</v>
      </c>
      <c r="G1427" s="5">
        <v>-6.99115467918187</v>
      </c>
      <c r="H1427" s="5">
        <v>-6.99115467918187</v>
      </c>
      <c r="I1427" s="5">
        <v>-6.99115467918187</v>
      </c>
      <c r="J1427" s="5">
        <v>-1.59155056649514</v>
      </c>
      <c r="K1427" s="5">
        <v>-1.59155056649514</v>
      </c>
      <c r="L1427" s="5">
        <v>-1.59155056649514</v>
      </c>
      <c r="M1427" s="5">
        <v>-5.39960411268672</v>
      </c>
      <c r="N1427" s="5">
        <v>-5.39960411268672</v>
      </c>
      <c r="O1427" s="5">
        <v>-5.39960411268672</v>
      </c>
      <c r="P1427" s="5">
        <v>0.0</v>
      </c>
      <c r="Q1427" s="5">
        <v>0.0</v>
      </c>
      <c r="R1427" s="5">
        <v>0.0</v>
      </c>
      <c r="S1427" s="5">
        <v>40.6442510319384</v>
      </c>
    </row>
    <row r="1428">
      <c r="A1428" s="6">
        <v>42429.0</v>
      </c>
      <c r="B1428" s="5">
        <v>47.6940946932793</v>
      </c>
      <c r="C1428" s="5">
        <v>-23.1607955244497</v>
      </c>
      <c r="D1428" s="5">
        <v>97.6226999662262</v>
      </c>
      <c r="E1428" s="5">
        <v>47.6940946932793</v>
      </c>
      <c r="F1428" s="5">
        <v>47.6940946932793</v>
      </c>
      <c r="G1428" s="5">
        <v>-10.1411229689746</v>
      </c>
      <c r="H1428" s="5">
        <v>-10.1411229689746</v>
      </c>
      <c r="I1428" s="5">
        <v>-10.1411229689746</v>
      </c>
      <c r="J1428" s="5">
        <v>0.0905589421211512</v>
      </c>
      <c r="K1428" s="5">
        <v>0.0905589421211512</v>
      </c>
      <c r="L1428" s="5">
        <v>0.0905589421211512</v>
      </c>
      <c r="M1428" s="5">
        <v>-10.2316819110958</v>
      </c>
      <c r="N1428" s="5">
        <v>-10.2316819110958</v>
      </c>
      <c r="O1428" s="5">
        <v>-10.2316819110958</v>
      </c>
      <c r="P1428" s="5">
        <v>0.0</v>
      </c>
      <c r="Q1428" s="5">
        <v>0.0</v>
      </c>
      <c r="R1428" s="5">
        <v>0.0</v>
      </c>
      <c r="S1428" s="5">
        <v>37.5529717243047</v>
      </c>
    </row>
    <row r="1429">
      <c r="A1429" s="6">
        <v>42430.0</v>
      </c>
      <c r="B1429" s="5">
        <v>47.7136576873323</v>
      </c>
      <c r="C1429" s="5">
        <v>-26.4509186875948</v>
      </c>
      <c r="D1429" s="5">
        <v>97.9710909741709</v>
      </c>
      <c r="E1429" s="5">
        <v>47.7136576873323</v>
      </c>
      <c r="F1429" s="5">
        <v>47.7136576873323</v>
      </c>
      <c r="G1429" s="5">
        <v>-11.8661888889348</v>
      </c>
      <c r="H1429" s="5">
        <v>-11.8661888889348</v>
      </c>
      <c r="I1429" s="5">
        <v>-11.8661888889348</v>
      </c>
      <c r="J1429" s="5">
        <v>-0.144118857244006</v>
      </c>
      <c r="K1429" s="5">
        <v>-0.144118857244006</v>
      </c>
      <c r="L1429" s="5">
        <v>-0.144118857244006</v>
      </c>
      <c r="M1429" s="5">
        <v>-11.7220700316907</v>
      </c>
      <c r="N1429" s="5">
        <v>-11.7220700316907</v>
      </c>
      <c r="O1429" s="5">
        <v>-11.7220700316907</v>
      </c>
      <c r="P1429" s="5">
        <v>0.0</v>
      </c>
      <c r="Q1429" s="5">
        <v>0.0</v>
      </c>
      <c r="R1429" s="5">
        <v>0.0</v>
      </c>
      <c r="S1429" s="5">
        <v>35.8474687983975</v>
      </c>
    </row>
    <row r="1430">
      <c r="A1430" s="6">
        <v>42431.0</v>
      </c>
      <c r="B1430" s="5">
        <v>47.7332206813853</v>
      </c>
      <c r="C1430" s="5">
        <v>-30.5207822596354</v>
      </c>
      <c r="D1430" s="5">
        <v>93.2923727241341</v>
      </c>
      <c r="E1430" s="5">
        <v>47.7332206813853</v>
      </c>
      <c r="F1430" s="5">
        <v>47.7332206813853</v>
      </c>
      <c r="G1430" s="5">
        <v>-13.113798774392</v>
      </c>
      <c r="H1430" s="5">
        <v>-13.113798774392</v>
      </c>
      <c r="I1430" s="5">
        <v>-13.113798774392</v>
      </c>
      <c r="J1430" s="5">
        <v>0.00703780528305081</v>
      </c>
      <c r="K1430" s="5">
        <v>0.00703780528305081</v>
      </c>
      <c r="L1430" s="5">
        <v>0.00703780528305081</v>
      </c>
      <c r="M1430" s="5">
        <v>-13.120836579675</v>
      </c>
      <c r="N1430" s="5">
        <v>-13.120836579675</v>
      </c>
      <c r="O1430" s="5">
        <v>-13.120836579675</v>
      </c>
      <c r="P1430" s="5">
        <v>0.0</v>
      </c>
      <c r="Q1430" s="5">
        <v>0.0</v>
      </c>
      <c r="R1430" s="5">
        <v>0.0</v>
      </c>
      <c r="S1430" s="5">
        <v>34.6194219069933</v>
      </c>
    </row>
    <row r="1431">
      <c r="A1431" s="6">
        <v>42432.0</v>
      </c>
      <c r="B1431" s="5">
        <v>47.7527836754383</v>
      </c>
      <c r="C1431" s="5">
        <v>-27.8819641490996</v>
      </c>
      <c r="D1431" s="5">
        <v>92.6769095611735</v>
      </c>
      <c r="E1431" s="5">
        <v>47.7527836754383</v>
      </c>
      <c r="F1431" s="5">
        <v>47.7527836754383</v>
      </c>
      <c r="G1431" s="5">
        <v>-15.1877513509745</v>
      </c>
      <c r="H1431" s="5">
        <v>-15.1877513509745</v>
      </c>
      <c r="I1431" s="5">
        <v>-15.1877513509745</v>
      </c>
      <c r="J1431" s="5">
        <v>-0.776422525899764</v>
      </c>
      <c r="K1431" s="5">
        <v>-0.776422525899764</v>
      </c>
      <c r="L1431" s="5">
        <v>-0.776422525899764</v>
      </c>
      <c r="M1431" s="5">
        <v>-14.4113288250748</v>
      </c>
      <c r="N1431" s="5">
        <v>-14.4113288250748</v>
      </c>
      <c r="O1431" s="5">
        <v>-14.4113288250748</v>
      </c>
      <c r="P1431" s="5">
        <v>0.0</v>
      </c>
      <c r="Q1431" s="5">
        <v>0.0</v>
      </c>
      <c r="R1431" s="5">
        <v>0.0</v>
      </c>
      <c r="S1431" s="5">
        <v>32.5650323244638</v>
      </c>
    </row>
    <row r="1432">
      <c r="A1432" s="6">
        <v>42433.0</v>
      </c>
      <c r="B1432" s="5">
        <v>47.7723466694914</v>
      </c>
      <c r="C1432" s="5">
        <v>-32.7450332774093</v>
      </c>
      <c r="D1432" s="5">
        <v>93.7753555146347</v>
      </c>
      <c r="E1432" s="5">
        <v>47.7723466694914</v>
      </c>
      <c r="F1432" s="5">
        <v>47.7723466694914</v>
      </c>
      <c r="G1432" s="5">
        <v>-17.1704493168491</v>
      </c>
      <c r="H1432" s="5">
        <v>-17.1704493168491</v>
      </c>
      <c r="I1432" s="5">
        <v>-17.1704493168491</v>
      </c>
      <c r="J1432" s="5">
        <v>-1.59155056649422</v>
      </c>
      <c r="K1432" s="5">
        <v>-1.59155056649422</v>
      </c>
      <c r="L1432" s="5">
        <v>-1.59155056649422</v>
      </c>
      <c r="M1432" s="5">
        <v>-15.5788987503549</v>
      </c>
      <c r="N1432" s="5">
        <v>-15.5788987503549</v>
      </c>
      <c r="O1432" s="5">
        <v>-15.5788987503549</v>
      </c>
      <c r="P1432" s="5">
        <v>0.0</v>
      </c>
      <c r="Q1432" s="5">
        <v>0.0</v>
      </c>
      <c r="R1432" s="5">
        <v>0.0</v>
      </c>
      <c r="S1432" s="5">
        <v>30.6018973526422</v>
      </c>
    </row>
    <row r="1433">
      <c r="A1433" s="6">
        <v>42436.0</v>
      </c>
      <c r="B1433" s="5">
        <v>47.8310356516504</v>
      </c>
      <c r="C1433" s="5">
        <v>-35.4506622899282</v>
      </c>
      <c r="D1433" s="5">
        <v>94.0521305823303</v>
      </c>
      <c r="E1433" s="5">
        <v>47.8310356516504</v>
      </c>
      <c r="F1433" s="5">
        <v>47.8310356516504</v>
      </c>
      <c r="G1433" s="5">
        <v>-18.1429428460102</v>
      </c>
      <c r="H1433" s="5">
        <v>-18.1429428460102</v>
      </c>
      <c r="I1433" s="5">
        <v>-18.1429428460102</v>
      </c>
      <c r="J1433" s="5">
        <v>0.0905589421197138</v>
      </c>
      <c r="K1433" s="5">
        <v>0.0905589421197138</v>
      </c>
      <c r="L1433" s="5">
        <v>0.0905589421197138</v>
      </c>
      <c r="M1433" s="5">
        <v>-18.2335017881299</v>
      </c>
      <c r="N1433" s="5">
        <v>-18.2335017881299</v>
      </c>
      <c r="O1433" s="5">
        <v>-18.2335017881299</v>
      </c>
      <c r="P1433" s="5">
        <v>0.0</v>
      </c>
      <c r="Q1433" s="5">
        <v>0.0</v>
      </c>
      <c r="R1433" s="5">
        <v>0.0</v>
      </c>
      <c r="S1433" s="5">
        <v>29.6880928056401</v>
      </c>
    </row>
    <row r="1434">
      <c r="A1434" s="6">
        <v>42437.0</v>
      </c>
      <c r="B1434" s="5">
        <v>47.8505986457034</v>
      </c>
      <c r="C1434" s="5">
        <v>-35.5225878934506</v>
      </c>
      <c r="D1434" s="5">
        <v>88.9175372313392</v>
      </c>
      <c r="E1434" s="5">
        <v>47.8505986457034</v>
      </c>
      <c r="F1434" s="5">
        <v>47.8505986457034</v>
      </c>
      <c r="G1434" s="5">
        <v>-18.9562291577344</v>
      </c>
      <c r="H1434" s="5">
        <v>-18.9562291577344</v>
      </c>
      <c r="I1434" s="5">
        <v>-18.9562291577344</v>
      </c>
      <c r="J1434" s="5">
        <v>-0.144118857246856</v>
      </c>
      <c r="K1434" s="5">
        <v>-0.144118857246856</v>
      </c>
      <c r="L1434" s="5">
        <v>-0.144118857246856</v>
      </c>
      <c r="M1434" s="5">
        <v>-18.8121103004876</v>
      </c>
      <c r="N1434" s="5">
        <v>-18.8121103004876</v>
      </c>
      <c r="O1434" s="5">
        <v>-18.8121103004876</v>
      </c>
      <c r="P1434" s="5">
        <v>0.0</v>
      </c>
      <c r="Q1434" s="5">
        <v>0.0</v>
      </c>
      <c r="R1434" s="5">
        <v>0.0</v>
      </c>
      <c r="S1434" s="5">
        <v>28.8943694879689</v>
      </c>
    </row>
    <row r="1435">
      <c r="A1435" s="6">
        <v>42438.0</v>
      </c>
      <c r="B1435" s="5">
        <v>47.8701616397564</v>
      </c>
      <c r="C1435" s="5">
        <v>-37.3953257116517</v>
      </c>
      <c r="D1435" s="5">
        <v>93.3674897613768</v>
      </c>
      <c r="E1435" s="5">
        <v>47.8701616397564</v>
      </c>
      <c r="F1435" s="5">
        <v>47.8701616397564</v>
      </c>
      <c r="G1435" s="5">
        <v>-19.2257601664789</v>
      </c>
      <c r="H1435" s="5">
        <v>-19.2257601664789</v>
      </c>
      <c r="I1435" s="5">
        <v>-19.2257601664789</v>
      </c>
      <c r="J1435" s="5">
        <v>0.00703780528102603</v>
      </c>
      <c r="K1435" s="5">
        <v>0.00703780528102603</v>
      </c>
      <c r="L1435" s="5">
        <v>0.00703780528102603</v>
      </c>
      <c r="M1435" s="5">
        <v>-19.2327979717599</v>
      </c>
      <c r="N1435" s="5">
        <v>-19.2327979717599</v>
      </c>
      <c r="O1435" s="5">
        <v>-19.2327979717599</v>
      </c>
      <c r="P1435" s="5">
        <v>0.0</v>
      </c>
      <c r="Q1435" s="5">
        <v>0.0</v>
      </c>
      <c r="R1435" s="5">
        <v>0.0</v>
      </c>
      <c r="S1435" s="5">
        <v>28.6444014732775</v>
      </c>
    </row>
    <row r="1436">
      <c r="A1436" s="6">
        <v>42439.0</v>
      </c>
      <c r="B1436" s="5">
        <v>47.8897246338095</v>
      </c>
      <c r="C1436" s="5">
        <v>-42.8730915136611</v>
      </c>
      <c r="D1436" s="5">
        <v>91.9956488642974</v>
      </c>
      <c r="E1436" s="5">
        <v>47.8897246338095</v>
      </c>
      <c r="F1436" s="5">
        <v>47.8897246338095</v>
      </c>
      <c r="G1436" s="5">
        <v>-20.2733055737414</v>
      </c>
      <c r="H1436" s="5">
        <v>-20.2733055737414</v>
      </c>
      <c r="I1436" s="5">
        <v>-20.2733055737414</v>
      </c>
      <c r="J1436" s="5">
        <v>-0.776422525899111</v>
      </c>
      <c r="K1436" s="5">
        <v>-0.776422525899111</v>
      </c>
      <c r="L1436" s="5">
        <v>-0.776422525899111</v>
      </c>
      <c r="M1436" s="5">
        <v>-19.4968830478422</v>
      </c>
      <c r="N1436" s="5">
        <v>-19.4968830478422</v>
      </c>
      <c r="O1436" s="5">
        <v>-19.4968830478422</v>
      </c>
      <c r="P1436" s="5">
        <v>0.0</v>
      </c>
      <c r="Q1436" s="5">
        <v>0.0</v>
      </c>
      <c r="R1436" s="5">
        <v>0.0</v>
      </c>
      <c r="S1436" s="5">
        <v>27.6164190600681</v>
      </c>
    </row>
    <row r="1437">
      <c r="A1437" s="6">
        <v>42440.0</v>
      </c>
      <c r="B1437" s="5">
        <v>47.9092876278625</v>
      </c>
      <c r="C1437" s="5">
        <v>-40.828264153144</v>
      </c>
      <c r="D1437" s="5">
        <v>91.3130285431114</v>
      </c>
      <c r="E1437" s="5">
        <v>47.9092876278625</v>
      </c>
      <c r="F1437" s="5">
        <v>47.9092876278625</v>
      </c>
      <c r="G1437" s="5">
        <v>-21.1998991747776</v>
      </c>
      <c r="H1437" s="5">
        <v>-21.1998991747776</v>
      </c>
      <c r="I1437" s="5">
        <v>-21.1998991747776</v>
      </c>
      <c r="J1437" s="5">
        <v>-1.59155056649329</v>
      </c>
      <c r="K1437" s="5">
        <v>-1.59155056649329</v>
      </c>
      <c r="L1437" s="5">
        <v>-1.59155056649329</v>
      </c>
      <c r="M1437" s="5">
        <v>-19.6083486082843</v>
      </c>
      <c r="N1437" s="5">
        <v>-19.6083486082843</v>
      </c>
      <c r="O1437" s="5">
        <v>-19.6083486082843</v>
      </c>
      <c r="P1437" s="5">
        <v>0.0</v>
      </c>
      <c r="Q1437" s="5">
        <v>0.0</v>
      </c>
      <c r="R1437" s="5">
        <v>0.0</v>
      </c>
      <c r="S1437" s="5">
        <v>26.7093884530848</v>
      </c>
    </row>
    <row r="1438">
      <c r="A1438" s="6">
        <v>42443.0</v>
      </c>
      <c r="B1438" s="5">
        <v>47.9679766100215</v>
      </c>
      <c r="C1438" s="5">
        <v>-32.2559677007751</v>
      </c>
      <c r="D1438" s="5">
        <v>93.3405970375297</v>
      </c>
      <c r="E1438" s="5">
        <v>47.9679766100215</v>
      </c>
      <c r="F1438" s="5">
        <v>47.9679766100215</v>
      </c>
      <c r="G1438" s="5">
        <v>-19.0120937599238</v>
      </c>
      <c r="H1438" s="5">
        <v>-19.0120937599238</v>
      </c>
      <c r="I1438" s="5">
        <v>-19.0120937599238</v>
      </c>
      <c r="J1438" s="5">
        <v>0.090558942123124</v>
      </c>
      <c r="K1438" s="5">
        <v>0.090558942123124</v>
      </c>
      <c r="L1438" s="5">
        <v>0.090558942123124</v>
      </c>
      <c r="M1438" s="5">
        <v>-19.1026527020469</v>
      </c>
      <c r="N1438" s="5">
        <v>-19.1026527020469</v>
      </c>
      <c r="O1438" s="5">
        <v>-19.1026527020469</v>
      </c>
      <c r="P1438" s="5">
        <v>0.0</v>
      </c>
      <c r="Q1438" s="5">
        <v>0.0</v>
      </c>
      <c r="R1438" s="5">
        <v>0.0</v>
      </c>
      <c r="S1438" s="5">
        <v>28.9558828500977</v>
      </c>
    </row>
    <row r="1439">
      <c r="A1439" s="6">
        <v>42444.0</v>
      </c>
      <c r="B1439" s="5">
        <v>47.9875396040745</v>
      </c>
      <c r="C1439" s="5">
        <v>-34.1543989845027</v>
      </c>
      <c r="D1439" s="5">
        <v>88.4054445036648</v>
      </c>
      <c r="E1439" s="5">
        <v>47.9875396040745</v>
      </c>
      <c r="F1439" s="5">
        <v>47.9875396040745</v>
      </c>
      <c r="G1439" s="5">
        <v>-18.8334291305717</v>
      </c>
      <c r="H1439" s="5">
        <v>-18.8334291305717</v>
      </c>
      <c r="I1439" s="5">
        <v>-18.8334291305717</v>
      </c>
      <c r="J1439" s="5">
        <v>-0.144118857245767</v>
      </c>
      <c r="K1439" s="5">
        <v>-0.144118857245767</v>
      </c>
      <c r="L1439" s="5">
        <v>-0.144118857245767</v>
      </c>
      <c r="M1439" s="5">
        <v>-18.6893102733259</v>
      </c>
      <c r="N1439" s="5">
        <v>-18.6893102733259</v>
      </c>
      <c r="O1439" s="5">
        <v>-18.6893102733259</v>
      </c>
      <c r="P1439" s="5">
        <v>0.0</v>
      </c>
      <c r="Q1439" s="5">
        <v>0.0</v>
      </c>
      <c r="R1439" s="5">
        <v>0.0</v>
      </c>
      <c r="S1439" s="5">
        <v>29.1541104735028</v>
      </c>
    </row>
    <row r="1440">
      <c r="A1440" s="6">
        <v>42445.0</v>
      </c>
      <c r="B1440" s="5">
        <v>48.0071025981276</v>
      </c>
      <c r="C1440" s="5">
        <v>-30.4052008694008</v>
      </c>
      <c r="D1440" s="5">
        <v>91.5005632949186</v>
      </c>
      <c r="E1440" s="5">
        <v>48.0071025981276</v>
      </c>
      <c r="F1440" s="5">
        <v>48.0071025981276</v>
      </c>
      <c r="G1440" s="5">
        <v>-18.1680550602433</v>
      </c>
      <c r="H1440" s="5">
        <v>-18.1680550602433</v>
      </c>
      <c r="I1440" s="5">
        <v>-18.1680550602433</v>
      </c>
      <c r="J1440" s="5">
        <v>0.00703780528233713</v>
      </c>
      <c r="K1440" s="5">
        <v>0.00703780528233713</v>
      </c>
      <c r="L1440" s="5">
        <v>0.00703780528233713</v>
      </c>
      <c r="M1440" s="5">
        <v>-18.1750928655256</v>
      </c>
      <c r="N1440" s="5">
        <v>-18.1750928655256</v>
      </c>
      <c r="O1440" s="5">
        <v>-18.1750928655256</v>
      </c>
      <c r="P1440" s="5">
        <v>0.0</v>
      </c>
      <c r="Q1440" s="5">
        <v>0.0</v>
      </c>
      <c r="R1440" s="5">
        <v>0.0</v>
      </c>
      <c r="S1440" s="5">
        <v>29.8390475378842</v>
      </c>
    </row>
    <row r="1441">
      <c r="A1441" s="6">
        <v>42446.0</v>
      </c>
      <c r="B1441" s="5">
        <v>48.0266655921806</v>
      </c>
      <c r="C1441" s="5">
        <v>-32.7169193133546</v>
      </c>
      <c r="D1441" s="5">
        <v>96.3478922181579</v>
      </c>
      <c r="E1441" s="5">
        <v>48.0266655921806</v>
      </c>
      <c r="F1441" s="5">
        <v>48.0266655921806</v>
      </c>
      <c r="G1441" s="5">
        <v>-18.3509019267045</v>
      </c>
      <c r="H1441" s="5">
        <v>-18.3509019267045</v>
      </c>
      <c r="I1441" s="5">
        <v>-18.3509019267045</v>
      </c>
      <c r="J1441" s="5">
        <v>-0.776422525901208</v>
      </c>
      <c r="K1441" s="5">
        <v>-0.776422525901208</v>
      </c>
      <c r="L1441" s="5">
        <v>-0.776422525901208</v>
      </c>
      <c r="M1441" s="5">
        <v>-17.5744794008033</v>
      </c>
      <c r="N1441" s="5">
        <v>-17.5744794008033</v>
      </c>
      <c r="O1441" s="5">
        <v>-17.5744794008033</v>
      </c>
      <c r="P1441" s="5">
        <v>0.0</v>
      </c>
      <c r="Q1441" s="5">
        <v>0.0</v>
      </c>
      <c r="R1441" s="5">
        <v>0.0</v>
      </c>
      <c r="S1441" s="5">
        <v>29.675763665476</v>
      </c>
    </row>
    <row r="1442">
      <c r="A1442" s="6">
        <v>42447.0</v>
      </c>
      <c r="B1442" s="5">
        <v>48.0462285862336</v>
      </c>
      <c r="C1442" s="5">
        <v>-28.3537529789252</v>
      </c>
      <c r="D1442" s="5">
        <v>88.5983860711865</v>
      </c>
      <c r="E1442" s="5">
        <v>48.0462285862336</v>
      </c>
      <c r="F1442" s="5">
        <v>48.0462285862336</v>
      </c>
      <c r="G1442" s="5">
        <v>-18.4940120124503</v>
      </c>
      <c r="H1442" s="5">
        <v>-18.4940120124503</v>
      </c>
      <c r="I1442" s="5">
        <v>-18.4940120124503</v>
      </c>
      <c r="J1442" s="5">
        <v>-1.59155056649237</v>
      </c>
      <c r="K1442" s="5">
        <v>-1.59155056649237</v>
      </c>
      <c r="L1442" s="5">
        <v>-1.59155056649237</v>
      </c>
      <c r="M1442" s="5">
        <v>-16.9024614459579</v>
      </c>
      <c r="N1442" s="5">
        <v>-16.9024614459579</v>
      </c>
      <c r="O1442" s="5">
        <v>-16.9024614459579</v>
      </c>
      <c r="P1442" s="5">
        <v>0.0</v>
      </c>
      <c r="Q1442" s="5">
        <v>0.0</v>
      </c>
      <c r="R1442" s="5">
        <v>0.0</v>
      </c>
      <c r="S1442" s="5">
        <v>29.5522165737832</v>
      </c>
    </row>
    <row r="1443">
      <c r="A1443" s="6">
        <v>42450.0</v>
      </c>
      <c r="B1443" s="5">
        <v>48.1049175683926</v>
      </c>
      <c r="C1443" s="5">
        <v>-32.4453212019688</v>
      </c>
      <c r="D1443" s="5">
        <v>94.4717471436137</v>
      </c>
      <c r="E1443" s="5">
        <v>48.1049175683926</v>
      </c>
      <c r="F1443" s="5">
        <v>48.1049175683926</v>
      </c>
      <c r="G1443" s="5">
        <v>-14.5171108140776</v>
      </c>
      <c r="H1443" s="5">
        <v>-14.5171108140776</v>
      </c>
      <c r="I1443" s="5">
        <v>-14.5171108140776</v>
      </c>
      <c r="J1443" s="5">
        <v>0.0905589421193029</v>
      </c>
      <c r="K1443" s="5">
        <v>0.0905589421193029</v>
      </c>
      <c r="L1443" s="5">
        <v>0.0905589421193029</v>
      </c>
      <c r="M1443" s="5">
        <v>-14.6076697561969</v>
      </c>
      <c r="N1443" s="5">
        <v>-14.6076697561969</v>
      </c>
      <c r="O1443" s="5">
        <v>-14.6076697561969</v>
      </c>
      <c r="P1443" s="5">
        <v>0.0</v>
      </c>
      <c r="Q1443" s="5">
        <v>0.0</v>
      </c>
      <c r="R1443" s="5">
        <v>0.0</v>
      </c>
      <c r="S1443" s="5">
        <v>33.587806754315</v>
      </c>
    </row>
    <row r="1444">
      <c r="A1444" s="6">
        <v>42451.0</v>
      </c>
      <c r="B1444" s="5">
        <v>48.1244805624457</v>
      </c>
      <c r="C1444" s="5">
        <v>-32.855050124183</v>
      </c>
      <c r="D1444" s="5">
        <v>96.4029955231203</v>
      </c>
      <c r="E1444" s="5">
        <v>48.1244805624457</v>
      </c>
      <c r="F1444" s="5">
        <v>48.1244805624457</v>
      </c>
      <c r="G1444" s="5">
        <v>-13.9413098600625</v>
      </c>
      <c r="H1444" s="5">
        <v>-13.9413098600625</v>
      </c>
      <c r="I1444" s="5">
        <v>-13.9413098600625</v>
      </c>
      <c r="J1444" s="5">
        <v>-0.144118857244679</v>
      </c>
      <c r="K1444" s="5">
        <v>-0.144118857244679</v>
      </c>
      <c r="L1444" s="5">
        <v>-0.144118857244679</v>
      </c>
      <c r="M1444" s="5">
        <v>-13.7971910028178</v>
      </c>
      <c r="N1444" s="5">
        <v>-13.7971910028178</v>
      </c>
      <c r="O1444" s="5">
        <v>-13.7971910028178</v>
      </c>
      <c r="P1444" s="5">
        <v>0.0</v>
      </c>
      <c r="Q1444" s="5">
        <v>0.0</v>
      </c>
      <c r="R1444" s="5">
        <v>0.0</v>
      </c>
      <c r="S1444" s="5">
        <v>34.1831707023831</v>
      </c>
    </row>
    <row r="1445">
      <c r="A1445" s="6">
        <v>42452.0</v>
      </c>
      <c r="B1445" s="5">
        <v>48.1440435564987</v>
      </c>
      <c r="C1445" s="5">
        <v>-35.045345064111</v>
      </c>
      <c r="D1445" s="5">
        <v>98.3934039747117</v>
      </c>
      <c r="E1445" s="5">
        <v>48.1440435564987</v>
      </c>
      <c r="F1445" s="5">
        <v>48.1440435564987</v>
      </c>
      <c r="G1445" s="5">
        <v>-12.9782360987343</v>
      </c>
      <c r="H1445" s="5">
        <v>-12.9782360987343</v>
      </c>
      <c r="I1445" s="5">
        <v>-12.9782360987343</v>
      </c>
      <c r="J1445" s="5">
        <v>0.00703780528148454</v>
      </c>
      <c r="K1445" s="5">
        <v>0.00703780528148454</v>
      </c>
      <c r="L1445" s="5">
        <v>0.00703780528148454</v>
      </c>
      <c r="M1445" s="5">
        <v>-12.9852739040158</v>
      </c>
      <c r="N1445" s="5">
        <v>-12.9852739040158</v>
      </c>
      <c r="O1445" s="5">
        <v>-12.9852739040158</v>
      </c>
      <c r="P1445" s="5">
        <v>0.0</v>
      </c>
      <c r="Q1445" s="5">
        <v>0.0</v>
      </c>
      <c r="R1445" s="5">
        <v>0.0</v>
      </c>
      <c r="S1445" s="5">
        <v>35.1658074577643</v>
      </c>
    </row>
    <row r="1446">
      <c r="A1446" s="6">
        <v>42453.0</v>
      </c>
      <c r="B1446" s="5">
        <v>48.1636065505517</v>
      </c>
      <c r="C1446" s="5">
        <v>-28.880252979701</v>
      </c>
      <c r="D1446" s="5">
        <v>97.3726090657335</v>
      </c>
      <c r="E1446" s="5">
        <v>48.1636065505517</v>
      </c>
      <c r="F1446" s="5">
        <v>48.1636065505517</v>
      </c>
      <c r="G1446" s="5">
        <v>-12.959203669873</v>
      </c>
      <c r="H1446" s="5">
        <v>-12.959203669873</v>
      </c>
      <c r="I1446" s="5">
        <v>-12.959203669873</v>
      </c>
      <c r="J1446" s="5">
        <v>-0.776422525900455</v>
      </c>
      <c r="K1446" s="5">
        <v>-0.776422525900455</v>
      </c>
      <c r="L1446" s="5">
        <v>-0.776422525900455</v>
      </c>
      <c r="M1446" s="5">
        <v>-12.1827811439725</v>
      </c>
      <c r="N1446" s="5">
        <v>-12.1827811439725</v>
      </c>
      <c r="O1446" s="5">
        <v>-12.1827811439725</v>
      </c>
      <c r="P1446" s="5">
        <v>0.0</v>
      </c>
      <c r="Q1446" s="5">
        <v>0.0</v>
      </c>
      <c r="R1446" s="5">
        <v>0.0</v>
      </c>
      <c r="S1446" s="5">
        <v>35.2044028806787</v>
      </c>
    </row>
    <row r="1447">
      <c r="A1447" s="6">
        <v>42457.0</v>
      </c>
      <c r="B1447" s="5">
        <v>48.2418585267638</v>
      </c>
      <c r="C1447" s="5">
        <v>-22.7246476210008</v>
      </c>
      <c r="D1447" s="5">
        <v>96.1919755164074</v>
      </c>
      <c r="E1447" s="5">
        <v>48.2418585267638</v>
      </c>
      <c r="F1447" s="5">
        <v>48.2418585267638</v>
      </c>
      <c r="G1447" s="5">
        <v>-9.13742616837253</v>
      </c>
      <c r="H1447" s="5">
        <v>-9.13742616837253</v>
      </c>
      <c r="I1447" s="5">
        <v>-9.13742616837253</v>
      </c>
      <c r="J1447" s="5">
        <v>0.0905589421202493</v>
      </c>
      <c r="K1447" s="5">
        <v>0.0905589421202493</v>
      </c>
      <c r="L1447" s="5">
        <v>0.0905589421202493</v>
      </c>
      <c r="M1447" s="5">
        <v>-9.22798511049278</v>
      </c>
      <c r="N1447" s="5">
        <v>-9.22798511049278</v>
      </c>
      <c r="O1447" s="5">
        <v>-9.22798511049278</v>
      </c>
      <c r="P1447" s="5">
        <v>0.0</v>
      </c>
      <c r="Q1447" s="5">
        <v>0.0</v>
      </c>
      <c r="R1447" s="5">
        <v>0.0</v>
      </c>
      <c r="S1447" s="5">
        <v>39.1044323583912</v>
      </c>
    </row>
    <row r="1448">
      <c r="A1448" s="6">
        <v>42458.0</v>
      </c>
      <c r="B1448" s="5">
        <v>48.2614215208168</v>
      </c>
      <c r="C1448" s="5">
        <v>-21.6745689471231</v>
      </c>
      <c r="D1448" s="5">
        <v>103.850197575807</v>
      </c>
      <c r="E1448" s="5">
        <v>48.2614215208168</v>
      </c>
      <c r="F1448" s="5">
        <v>48.2614215208168</v>
      </c>
      <c r="G1448" s="5">
        <v>-8.7225828032582</v>
      </c>
      <c r="H1448" s="5">
        <v>-8.7225828032582</v>
      </c>
      <c r="I1448" s="5">
        <v>-8.7225828032582</v>
      </c>
      <c r="J1448" s="5">
        <v>-0.144118857243591</v>
      </c>
      <c r="K1448" s="5">
        <v>-0.144118857243591</v>
      </c>
      <c r="L1448" s="5">
        <v>-0.144118857243591</v>
      </c>
      <c r="M1448" s="5">
        <v>-8.57846394601461</v>
      </c>
      <c r="N1448" s="5">
        <v>-8.57846394601461</v>
      </c>
      <c r="O1448" s="5">
        <v>-8.57846394601461</v>
      </c>
      <c r="P1448" s="5">
        <v>0.0</v>
      </c>
      <c r="Q1448" s="5">
        <v>0.0</v>
      </c>
      <c r="R1448" s="5">
        <v>0.0</v>
      </c>
      <c r="S1448" s="5">
        <v>39.5388387175586</v>
      </c>
    </row>
    <row r="1449">
      <c r="A1449" s="6">
        <v>42459.0</v>
      </c>
      <c r="B1449" s="5">
        <v>48.2809845148698</v>
      </c>
      <c r="C1449" s="5">
        <v>-19.7657827684267</v>
      </c>
      <c r="D1449" s="5">
        <v>102.230521301389</v>
      </c>
      <c r="E1449" s="5">
        <v>48.2809845148698</v>
      </c>
      <c r="F1449" s="5">
        <v>48.2809845148698</v>
      </c>
      <c r="G1449" s="5">
        <v>-7.96195687904017</v>
      </c>
      <c r="H1449" s="5">
        <v>-7.96195687904017</v>
      </c>
      <c r="I1449" s="5">
        <v>-7.96195687904017</v>
      </c>
      <c r="J1449" s="5">
        <v>0.00703780528378701</v>
      </c>
      <c r="K1449" s="5">
        <v>0.00703780528378701</v>
      </c>
      <c r="L1449" s="5">
        <v>0.00703780528378701</v>
      </c>
      <c r="M1449" s="5">
        <v>-7.96899468432396</v>
      </c>
      <c r="N1449" s="5">
        <v>-7.96899468432396</v>
      </c>
      <c r="O1449" s="5">
        <v>-7.96899468432396</v>
      </c>
      <c r="P1449" s="5">
        <v>0.0</v>
      </c>
      <c r="Q1449" s="5">
        <v>0.0</v>
      </c>
      <c r="R1449" s="5">
        <v>0.0</v>
      </c>
      <c r="S1449" s="5">
        <v>40.3190276358296</v>
      </c>
    </row>
    <row r="1450">
      <c r="A1450" s="6">
        <v>42460.0</v>
      </c>
      <c r="B1450" s="5">
        <v>48.3005475089228</v>
      </c>
      <c r="C1450" s="5">
        <v>-24.1859131928849</v>
      </c>
      <c r="D1450" s="5">
        <v>104.445385962933</v>
      </c>
      <c r="E1450" s="5">
        <v>48.3005475089228</v>
      </c>
      <c r="F1450" s="5">
        <v>48.3005475089228</v>
      </c>
      <c r="G1450" s="5">
        <v>-8.17560719342454</v>
      </c>
      <c r="H1450" s="5">
        <v>-8.17560719342454</v>
      </c>
      <c r="I1450" s="5">
        <v>-8.17560719342454</v>
      </c>
      <c r="J1450" s="5">
        <v>-0.776422525901177</v>
      </c>
      <c r="K1450" s="5">
        <v>-0.776422525901177</v>
      </c>
      <c r="L1450" s="5">
        <v>-0.776422525901177</v>
      </c>
      <c r="M1450" s="5">
        <v>-7.39918466752336</v>
      </c>
      <c r="N1450" s="5">
        <v>-7.39918466752336</v>
      </c>
      <c r="O1450" s="5">
        <v>-7.39918466752336</v>
      </c>
      <c r="P1450" s="5">
        <v>0.0</v>
      </c>
      <c r="Q1450" s="5">
        <v>0.0</v>
      </c>
      <c r="R1450" s="5">
        <v>0.0</v>
      </c>
      <c r="S1450" s="5">
        <v>40.1249403154983</v>
      </c>
    </row>
    <row r="1451">
      <c r="A1451" s="6">
        <v>42461.0</v>
      </c>
      <c r="B1451" s="5">
        <v>48.3201105029758</v>
      </c>
      <c r="C1451" s="5">
        <v>-22.8182906197878</v>
      </c>
      <c r="D1451" s="5">
        <v>102.969911882301</v>
      </c>
      <c r="E1451" s="5">
        <v>48.3201105029758</v>
      </c>
      <c r="F1451" s="5">
        <v>48.3201105029758</v>
      </c>
      <c r="G1451" s="5">
        <v>-8.45899782047814</v>
      </c>
      <c r="H1451" s="5">
        <v>-8.45899782047814</v>
      </c>
      <c r="I1451" s="5">
        <v>-8.45899782047814</v>
      </c>
      <c r="J1451" s="5">
        <v>-1.59155056649326</v>
      </c>
      <c r="K1451" s="5">
        <v>-1.59155056649326</v>
      </c>
      <c r="L1451" s="5">
        <v>-1.59155056649326</v>
      </c>
      <c r="M1451" s="5">
        <v>-6.86744725398487</v>
      </c>
      <c r="N1451" s="5">
        <v>-6.86744725398487</v>
      </c>
      <c r="O1451" s="5">
        <v>-6.86744725398487</v>
      </c>
      <c r="P1451" s="5">
        <v>0.0</v>
      </c>
      <c r="Q1451" s="5">
        <v>0.0</v>
      </c>
      <c r="R1451" s="5">
        <v>0.0</v>
      </c>
      <c r="S1451" s="5">
        <v>39.8611126824977</v>
      </c>
    </row>
    <row r="1452">
      <c r="A1452" s="6">
        <v>42464.0</v>
      </c>
      <c r="B1452" s="5">
        <v>48.3787994851349</v>
      </c>
      <c r="C1452" s="5">
        <v>-20.3042296686119</v>
      </c>
      <c r="D1452" s="5">
        <v>102.394011625432</v>
      </c>
      <c r="E1452" s="5">
        <v>48.3787994851349</v>
      </c>
      <c r="F1452" s="5">
        <v>48.3787994851349</v>
      </c>
      <c r="G1452" s="5">
        <v>-5.38131298465364</v>
      </c>
      <c r="H1452" s="5">
        <v>-5.38131298465364</v>
      </c>
      <c r="I1452" s="5">
        <v>-5.38131298465364</v>
      </c>
      <c r="J1452" s="5">
        <v>0.0905589421236596</v>
      </c>
      <c r="K1452" s="5">
        <v>0.0905589421236596</v>
      </c>
      <c r="L1452" s="5">
        <v>0.0905589421236596</v>
      </c>
      <c r="M1452" s="5">
        <v>-5.4718719267773</v>
      </c>
      <c r="N1452" s="5">
        <v>-5.4718719267773</v>
      </c>
      <c r="O1452" s="5">
        <v>-5.4718719267773</v>
      </c>
      <c r="P1452" s="5">
        <v>0.0</v>
      </c>
      <c r="Q1452" s="5">
        <v>0.0</v>
      </c>
      <c r="R1452" s="5">
        <v>0.0</v>
      </c>
      <c r="S1452" s="5">
        <v>42.9974865004812</v>
      </c>
    </row>
    <row r="1453">
      <c r="A1453" s="6">
        <v>42465.0</v>
      </c>
      <c r="B1453" s="5">
        <v>48.3983624791879</v>
      </c>
      <c r="C1453" s="5">
        <v>-21.3922048754958</v>
      </c>
      <c r="D1453" s="5">
        <v>103.839812384254</v>
      </c>
      <c r="E1453" s="5">
        <v>48.3983624791879</v>
      </c>
      <c r="F1453" s="5">
        <v>48.3983624791879</v>
      </c>
      <c r="G1453" s="5">
        <v>-5.20526525521344</v>
      </c>
      <c r="H1453" s="5">
        <v>-5.20526525521344</v>
      </c>
      <c r="I1453" s="5">
        <v>-5.20526525521344</v>
      </c>
      <c r="J1453" s="5">
        <v>-0.144118857246441</v>
      </c>
      <c r="K1453" s="5">
        <v>-0.144118857246441</v>
      </c>
      <c r="L1453" s="5">
        <v>-0.144118857246441</v>
      </c>
      <c r="M1453" s="5">
        <v>-5.061146397967</v>
      </c>
      <c r="N1453" s="5">
        <v>-5.061146397967</v>
      </c>
      <c r="O1453" s="5">
        <v>-5.061146397967</v>
      </c>
      <c r="P1453" s="5">
        <v>0.0</v>
      </c>
      <c r="Q1453" s="5">
        <v>0.0</v>
      </c>
      <c r="R1453" s="5">
        <v>0.0</v>
      </c>
      <c r="S1453" s="5">
        <v>43.1930972239745</v>
      </c>
    </row>
    <row r="1454">
      <c r="A1454" s="6">
        <v>42466.0</v>
      </c>
      <c r="B1454" s="5">
        <v>48.4179254732409</v>
      </c>
      <c r="C1454" s="5">
        <v>-19.3083970722644</v>
      </c>
      <c r="D1454" s="5">
        <v>105.430225613313</v>
      </c>
      <c r="E1454" s="5">
        <v>48.4179254732409</v>
      </c>
      <c r="F1454" s="5">
        <v>48.4179254732409</v>
      </c>
      <c r="G1454" s="5">
        <v>-4.6642815001919</v>
      </c>
      <c r="H1454" s="5">
        <v>-4.6642815001919</v>
      </c>
      <c r="I1454" s="5">
        <v>-4.6642815001919</v>
      </c>
      <c r="J1454" s="5">
        <v>0.00703780528176237</v>
      </c>
      <c r="K1454" s="5">
        <v>0.00703780528176237</v>
      </c>
      <c r="L1454" s="5">
        <v>0.00703780528176237</v>
      </c>
      <c r="M1454" s="5">
        <v>-4.67131930547366</v>
      </c>
      <c r="N1454" s="5">
        <v>-4.67131930547366</v>
      </c>
      <c r="O1454" s="5">
        <v>-4.67131930547366</v>
      </c>
      <c r="P1454" s="5">
        <v>0.0</v>
      </c>
      <c r="Q1454" s="5">
        <v>0.0</v>
      </c>
      <c r="R1454" s="5">
        <v>0.0</v>
      </c>
      <c r="S1454" s="5">
        <v>43.753643973049</v>
      </c>
    </row>
    <row r="1455">
      <c r="A1455" s="6">
        <v>42467.0</v>
      </c>
      <c r="B1455" s="5">
        <v>48.4374884672939</v>
      </c>
      <c r="C1455" s="5">
        <v>-20.512217568817</v>
      </c>
      <c r="D1455" s="5">
        <v>102.26993615089</v>
      </c>
      <c r="E1455" s="5">
        <v>48.4374884672939</v>
      </c>
      <c r="F1455" s="5">
        <v>48.4374884672939</v>
      </c>
      <c r="G1455" s="5">
        <v>-5.07538592847402</v>
      </c>
      <c r="H1455" s="5">
        <v>-5.07538592847402</v>
      </c>
      <c r="I1455" s="5">
        <v>-5.07538592847402</v>
      </c>
      <c r="J1455" s="5">
        <v>-0.776422525903274</v>
      </c>
      <c r="K1455" s="5">
        <v>-0.776422525903274</v>
      </c>
      <c r="L1455" s="5">
        <v>-0.776422525903274</v>
      </c>
      <c r="M1455" s="5">
        <v>-4.29896340257075</v>
      </c>
      <c r="N1455" s="5">
        <v>-4.29896340257075</v>
      </c>
      <c r="O1455" s="5">
        <v>-4.29896340257075</v>
      </c>
      <c r="P1455" s="5">
        <v>0.0</v>
      </c>
      <c r="Q1455" s="5">
        <v>0.0</v>
      </c>
      <c r="R1455" s="5">
        <v>0.0</v>
      </c>
      <c r="S1455" s="5">
        <v>43.3621025388199</v>
      </c>
    </row>
    <row r="1456">
      <c r="A1456" s="6">
        <v>42468.0</v>
      </c>
      <c r="B1456" s="5">
        <v>48.457051461347</v>
      </c>
      <c r="C1456" s="5">
        <v>-23.6920245094306</v>
      </c>
      <c r="D1456" s="5">
        <v>105.577066070687</v>
      </c>
      <c r="E1456" s="5">
        <v>48.457051461347</v>
      </c>
      <c r="F1456" s="5">
        <v>48.457051461347</v>
      </c>
      <c r="G1456" s="5">
        <v>-5.5327854152825</v>
      </c>
      <c r="H1456" s="5">
        <v>-5.5327854152825</v>
      </c>
      <c r="I1456" s="5">
        <v>-5.5327854152825</v>
      </c>
      <c r="J1456" s="5">
        <v>-1.59155056649202</v>
      </c>
      <c r="K1456" s="5">
        <v>-1.59155056649202</v>
      </c>
      <c r="L1456" s="5">
        <v>-1.59155056649202</v>
      </c>
      <c r="M1456" s="5">
        <v>-3.94123484879047</v>
      </c>
      <c r="N1456" s="5">
        <v>-3.94123484879047</v>
      </c>
      <c r="O1456" s="5">
        <v>-3.94123484879047</v>
      </c>
      <c r="P1456" s="5">
        <v>0.0</v>
      </c>
      <c r="Q1456" s="5">
        <v>0.0</v>
      </c>
      <c r="R1456" s="5">
        <v>0.0</v>
      </c>
      <c r="S1456" s="5">
        <v>42.9242660460645</v>
      </c>
    </row>
    <row r="1457">
      <c r="A1457" s="6">
        <v>42471.0</v>
      </c>
      <c r="B1457" s="5">
        <v>48.515740443506</v>
      </c>
      <c r="C1457" s="5">
        <v>-21.3763430866844</v>
      </c>
      <c r="D1457" s="5">
        <v>108.680055817771</v>
      </c>
      <c r="E1457" s="5">
        <v>48.515740443506</v>
      </c>
      <c r="F1457" s="5">
        <v>48.515740443506</v>
      </c>
      <c r="G1457" s="5">
        <v>-2.84953060045835</v>
      </c>
      <c r="H1457" s="5">
        <v>-2.84953060045835</v>
      </c>
      <c r="I1457" s="5">
        <v>-2.84953060045835</v>
      </c>
      <c r="J1457" s="5">
        <v>0.0905589421222222</v>
      </c>
      <c r="K1457" s="5">
        <v>0.0905589421222222</v>
      </c>
      <c r="L1457" s="5">
        <v>0.0905589421222222</v>
      </c>
      <c r="M1457" s="5">
        <v>-2.94008954258058</v>
      </c>
      <c r="N1457" s="5">
        <v>-2.94008954258058</v>
      </c>
      <c r="O1457" s="5">
        <v>-2.94008954258058</v>
      </c>
      <c r="P1457" s="5">
        <v>0.0</v>
      </c>
      <c r="Q1457" s="5">
        <v>0.0</v>
      </c>
      <c r="R1457" s="5">
        <v>0.0</v>
      </c>
      <c r="S1457" s="5">
        <v>45.6662098430476</v>
      </c>
    </row>
    <row r="1458">
      <c r="A1458" s="6">
        <v>42472.0</v>
      </c>
      <c r="B1458" s="5">
        <v>48.535303437559</v>
      </c>
      <c r="C1458" s="5">
        <v>-14.3863072148753</v>
      </c>
      <c r="D1458" s="5">
        <v>103.773630203486</v>
      </c>
      <c r="E1458" s="5">
        <v>48.535303437559</v>
      </c>
      <c r="F1458" s="5">
        <v>48.535303437559</v>
      </c>
      <c r="G1458" s="5">
        <v>-2.77445080871726</v>
      </c>
      <c r="H1458" s="5">
        <v>-2.77445080871726</v>
      </c>
      <c r="I1458" s="5">
        <v>-2.77445080871726</v>
      </c>
      <c r="J1458" s="5">
        <v>-0.144118857242829</v>
      </c>
      <c r="K1458" s="5">
        <v>-0.144118857242829</v>
      </c>
      <c r="L1458" s="5">
        <v>-0.144118857242829</v>
      </c>
      <c r="M1458" s="5">
        <v>-2.63033195147443</v>
      </c>
      <c r="N1458" s="5">
        <v>-2.63033195147443</v>
      </c>
      <c r="O1458" s="5">
        <v>-2.63033195147443</v>
      </c>
      <c r="P1458" s="5">
        <v>0.0</v>
      </c>
      <c r="Q1458" s="5">
        <v>0.0</v>
      </c>
      <c r="R1458" s="5">
        <v>0.0</v>
      </c>
      <c r="S1458" s="5">
        <v>45.7608526288418</v>
      </c>
    </row>
    <row r="1459">
      <c r="A1459" s="6">
        <v>42473.0</v>
      </c>
      <c r="B1459" s="5">
        <v>48.554866431612</v>
      </c>
      <c r="C1459" s="5">
        <v>-15.924044487532</v>
      </c>
      <c r="D1459" s="5">
        <v>113.393537477199</v>
      </c>
      <c r="E1459" s="5">
        <v>48.554866431612</v>
      </c>
      <c r="F1459" s="5">
        <v>48.554866431612</v>
      </c>
      <c r="G1459" s="5">
        <v>-2.32834031589455</v>
      </c>
      <c r="H1459" s="5">
        <v>-2.32834031589455</v>
      </c>
      <c r="I1459" s="5">
        <v>-2.32834031589455</v>
      </c>
      <c r="J1459" s="5">
        <v>0.00703780528090965</v>
      </c>
      <c r="K1459" s="5">
        <v>0.00703780528090965</v>
      </c>
      <c r="L1459" s="5">
        <v>0.00703780528090965</v>
      </c>
      <c r="M1459" s="5">
        <v>-2.33537812117546</v>
      </c>
      <c r="N1459" s="5">
        <v>-2.33537812117546</v>
      </c>
      <c r="O1459" s="5">
        <v>-2.33537812117546</v>
      </c>
      <c r="P1459" s="5">
        <v>0.0</v>
      </c>
      <c r="Q1459" s="5">
        <v>0.0</v>
      </c>
      <c r="R1459" s="5">
        <v>0.0</v>
      </c>
      <c r="S1459" s="5">
        <v>46.2265261157175</v>
      </c>
    </row>
    <row r="1460">
      <c r="A1460" s="6">
        <v>42474.0</v>
      </c>
      <c r="B1460" s="5">
        <v>48.5744294256651</v>
      </c>
      <c r="C1460" s="5">
        <v>-19.9395397454746</v>
      </c>
      <c r="D1460" s="5">
        <v>108.922909428343</v>
      </c>
      <c r="E1460" s="5">
        <v>48.5744294256651</v>
      </c>
      <c r="F1460" s="5">
        <v>48.5744294256651</v>
      </c>
      <c r="G1460" s="5">
        <v>-2.83507686432132</v>
      </c>
      <c r="H1460" s="5">
        <v>-2.83507686432132</v>
      </c>
      <c r="I1460" s="5">
        <v>-2.83507686432132</v>
      </c>
      <c r="J1460" s="5">
        <v>-0.77642252590262</v>
      </c>
      <c r="K1460" s="5">
        <v>-0.77642252590262</v>
      </c>
      <c r="L1460" s="5">
        <v>-0.77642252590262</v>
      </c>
      <c r="M1460" s="5">
        <v>-2.0586543384187</v>
      </c>
      <c r="N1460" s="5">
        <v>-2.0586543384187</v>
      </c>
      <c r="O1460" s="5">
        <v>-2.0586543384187</v>
      </c>
      <c r="P1460" s="5">
        <v>0.0</v>
      </c>
      <c r="Q1460" s="5">
        <v>0.0</v>
      </c>
      <c r="R1460" s="5">
        <v>0.0</v>
      </c>
      <c r="S1460" s="5">
        <v>45.7393525613437</v>
      </c>
    </row>
    <row r="1461">
      <c r="A1461" s="6">
        <v>42475.0</v>
      </c>
      <c r="B1461" s="5">
        <v>48.5939924197181</v>
      </c>
      <c r="C1461" s="5">
        <v>-18.049042169513</v>
      </c>
      <c r="D1461" s="5">
        <v>113.151944648381</v>
      </c>
      <c r="E1461" s="5">
        <v>48.5939924197181</v>
      </c>
      <c r="F1461" s="5">
        <v>48.5939924197181</v>
      </c>
      <c r="G1461" s="5">
        <v>-3.39621254104727</v>
      </c>
      <c r="H1461" s="5">
        <v>-3.39621254104727</v>
      </c>
      <c r="I1461" s="5">
        <v>-3.39621254104727</v>
      </c>
      <c r="J1461" s="5">
        <v>-1.59155056649353</v>
      </c>
      <c r="K1461" s="5">
        <v>-1.59155056649353</v>
      </c>
      <c r="L1461" s="5">
        <v>-1.59155056649353</v>
      </c>
      <c r="M1461" s="5">
        <v>-1.80466197455373</v>
      </c>
      <c r="N1461" s="5">
        <v>-1.80466197455373</v>
      </c>
      <c r="O1461" s="5">
        <v>-1.80466197455373</v>
      </c>
      <c r="P1461" s="5">
        <v>0.0</v>
      </c>
      <c r="Q1461" s="5">
        <v>0.0</v>
      </c>
      <c r="R1461" s="5">
        <v>0.0</v>
      </c>
      <c r="S1461" s="5">
        <v>45.1977798786708</v>
      </c>
    </row>
    <row r="1462">
      <c r="A1462" s="6">
        <v>42478.0</v>
      </c>
      <c r="B1462" s="5">
        <v>48.6526814018771</v>
      </c>
      <c r="C1462" s="5">
        <v>-16.4082874334711</v>
      </c>
      <c r="D1462" s="5">
        <v>110.238856290009</v>
      </c>
      <c r="E1462" s="5">
        <v>48.6526814018771</v>
      </c>
      <c r="F1462" s="5">
        <v>48.6526814018771</v>
      </c>
      <c r="G1462" s="5">
        <v>-1.14685213509571</v>
      </c>
      <c r="H1462" s="5">
        <v>-1.14685213509571</v>
      </c>
      <c r="I1462" s="5">
        <v>-1.14685213509571</v>
      </c>
      <c r="J1462" s="5">
        <v>0.0905589421231686</v>
      </c>
      <c r="K1462" s="5">
        <v>0.0905589421231686</v>
      </c>
      <c r="L1462" s="5">
        <v>0.0905589421231686</v>
      </c>
      <c r="M1462" s="5">
        <v>-1.23741107721888</v>
      </c>
      <c r="N1462" s="5">
        <v>-1.23741107721888</v>
      </c>
      <c r="O1462" s="5">
        <v>-1.23741107721888</v>
      </c>
      <c r="P1462" s="5">
        <v>0.0</v>
      </c>
      <c r="Q1462" s="5">
        <v>0.0</v>
      </c>
      <c r="R1462" s="5">
        <v>0.0</v>
      </c>
      <c r="S1462" s="5">
        <v>47.5058292667814</v>
      </c>
    </row>
    <row r="1463">
      <c r="A1463" s="6">
        <v>42479.0</v>
      </c>
      <c r="B1463" s="5">
        <v>48.6722443959301</v>
      </c>
      <c r="C1463" s="5">
        <v>-12.7388475369597</v>
      </c>
      <c r="D1463" s="5">
        <v>110.837312503344</v>
      </c>
      <c r="E1463" s="5">
        <v>48.6722443959301</v>
      </c>
      <c r="F1463" s="5">
        <v>48.6722443959301</v>
      </c>
      <c r="G1463" s="5">
        <v>-1.2799402050459</v>
      </c>
      <c r="H1463" s="5">
        <v>-1.2799402050459</v>
      </c>
      <c r="I1463" s="5">
        <v>-1.2799402050459</v>
      </c>
      <c r="J1463" s="5">
        <v>-0.144118857244265</v>
      </c>
      <c r="K1463" s="5">
        <v>-0.144118857244265</v>
      </c>
      <c r="L1463" s="5">
        <v>-0.144118857244265</v>
      </c>
      <c r="M1463" s="5">
        <v>-1.13582134780164</v>
      </c>
      <c r="N1463" s="5">
        <v>-1.13582134780164</v>
      </c>
      <c r="O1463" s="5">
        <v>-1.13582134780164</v>
      </c>
      <c r="P1463" s="5">
        <v>0.0</v>
      </c>
      <c r="Q1463" s="5">
        <v>0.0</v>
      </c>
      <c r="R1463" s="5">
        <v>0.0</v>
      </c>
      <c r="S1463" s="5">
        <v>47.3923041908842</v>
      </c>
    </row>
    <row r="1464">
      <c r="A1464" s="6">
        <v>42480.0</v>
      </c>
      <c r="B1464" s="5">
        <v>48.6918073899832</v>
      </c>
      <c r="C1464" s="5">
        <v>-18.660160170129</v>
      </c>
      <c r="D1464" s="5">
        <v>107.579965045812</v>
      </c>
      <c r="E1464" s="5">
        <v>48.6918073899832</v>
      </c>
      <c r="F1464" s="5">
        <v>48.6918073899832</v>
      </c>
      <c r="G1464" s="5">
        <v>-1.08300554554277</v>
      </c>
      <c r="H1464" s="5">
        <v>-1.08300554554277</v>
      </c>
      <c r="I1464" s="5">
        <v>-1.08300554554277</v>
      </c>
      <c r="J1464" s="5">
        <v>0.0070378052810485</v>
      </c>
      <c r="K1464" s="5">
        <v>0.0070378052810485</v>
      </c>
      <c r="L1464" s="5">
        <v>0.0070378052810485</v>
      </c>
      <c r="M1464" s="5">
        <v>-1.09004335082382</v>
      </c>
      <c r="N1464" s="5">
        <v>-1.09004335082382</v>
      </c>
      <c r="O1464" s="5">
        <v>-1.09004335082382</v>
      </c>
      <c r="P1464" s="5">
        <v>0.0</v>
      </c>
      <c r="Q1464" s="5">
        <v>0.0</v>
      </c>
      <c r="R1464" s="5">
        <v>0.0</v>
      </c>
      <c r="S1464" s="5">
        <v>47.6088018444404</v>
      </c>
    </row>
    <row r="1465">
      <c r="A1465" s="6">
        <v>42481.0</v>
      </c>
      <c r="B1465" s="5">
        <v>48.7113703840362</v>
      </c>
      <c r="C1465" s="5">
        <v>-15.3749038016261</v>
      </c>
      <c r="D1465" s="5">
        <v>113.76330369699</v>
      </c>
      <c r="E1465" s="5">
        <v>48.7113703840362</v>
      </c>
      <c r="F1465" s="5">
        <v>48.7113703840362</v>
      </c>
      <c r="G1465" s="5">
        <v>-1.88366264713487</v>
      </c>
      <c r="H1465" s="5">
        <v>-1.88366264713487</v>
      </c>
      <c r="I1465" s="5">
        <v>-1.88366264713487</v>
      </c>
      <c r="J1465" s="5">
        <v>-0.776422525901868</v>
      </c>
      <c r="K1465" s="5">
        <v>-0.776422525901868</v>
      </c>
      <c r="L1465" s="5">
        <v>-0.776422525901868</v>
      </c>
      <c r="M1465" s="5">
        <v>-1.107240121233</v>
      </c>
      <c r="N1465" s="5">
        <v>-1.107240121233</v>
      </c>
      <c r="O1465" s="5">
        <v>-1.107240121233</v>
      </c>
      <c r="P1465" s="5">
        <v>0.0</v>
      </c>
      <c r="Q1465" s="5">
        <v>0.0</v>
      </c>
      <c r="R1465" s="5">
        <v>0.0</v>
      </c>
      <c r="S1465" s="5">
        <v>46.8277077369013</v>
      </c>
    </row>
    <row r="1466">
      <c r="A1466" s="6">
        <v>42482.0</v>
      </c>
      <c r="B1466" s="5">
        <v>48.7309333780892</v>
      </c>
      <c r="C1466" s="5">
        <v>-17.8214389707852</v>
      </c>
      <c r="D1466" s="5">
        <v>111.056808436907</v>
      </c>
      <c r="E1466" s="5">
        <v>48.7309333780892</v>
      </c>
      <c r="F1466" s="5">
        <v>48.7309333780892</v>
      </c>
      <c r="G1466" s="5">
        <v>-2.78569513913209</v>
      </c>
      <c r="H1466" s="5">
        <v>-2.78569513913209</v>
      </c>
      <c r="I1466" s="5">
        <v>-2.78569513913209</v>
      </c>
      <c r="J1466" s="5">
        <v>-1.5915505664926</v>
      </c>
      <c r="K1466" s="5">
        <v>-1.5915505664926</v>
      </c>
      <c r="L1466" s="5">
        <v>-1.5915505664926</v>
      </c>
      <c r="M1466" s="5">
        <v>-1.19414457263949</v>
      </c>
      <c r="N1466" s="5">
        <v>-1.19414457263949</v>
      </c>
      <c r="O1466" s="5">
        <v>-1.19414457263949</v>
      </c>
      <c r="P1466" s="5">
        <v>0.0</v>
      </c>
      <c r="Q1466" s="5">
        <v>0.0</v>
      </c>
      <c r="R1466" s="5">
        <v>0.0</v>
      </c>
      <c r="S1466" s="5">
        <v>45.9452382389571</v>
      </c>
    </row>
    <row r="1467">
      <c r="A1467" s="6">
        <v>42485.0</v>
      </c>
      <c r="B1467" s="5">
        <v>48.7896223602482</v>
      </c>
      <c r="C1467" s="5">
        <v>-17.6630453886803</v>
      </c>
      <c r="D1467" s="5">
        <v>113.387354516697</v>
      </c>
      <c r="E1467" s="5">
        <v>48.7896223602482</v>
      </c>
      <c r="F1467" s="5">
        <v>48.7896223602482</v>
      </c>
      <c r="G1467" s="5">
        <v>-1.83784594862071</v>
      </c>
      <c r="H1467" s="5">
        <v>-1.83784594862071</v>
      </c>
      <c r="I1467" s="5">
        <v>-1.83784594862071</v>
      </c>
      <c r="J1467" s="5">
        <v>0.0905589421193474</v>
      </c>
      <c r="K1467" s="5">
        <v>0.0905589421193474</v>
      </c>
      <c r="L1467" s="5">
        <v>0.0905589421193474</v>
      </c>
      <c r="M1467" s="5">
        <v>-1.92840489074006</v>
      </c>
      <c r="N1467" s="5">
        <v>-1.92840489074006</v>
      </c>
      <c r="O1467" s="5">
        <v>-1.92840489074006</v>
      </c>
      <c r="P1467" s="5">
        <v>0.0</v>
      </c>
      <c r="Q1467" s="5">
        <v>0.0</v>
      </c>
      <c r="R1467" s="5">
        <v>0.0</v>
      </c>
      <c r="S1467" s="5">
        <v>46.9517764116275</v>
      </c>
    </row>
    <row r="1468">
      <c r="A1468" s="6">
        <v>42486.0</v>
      </c>
      <c r="B1468" s="5">
        <v>48.8091853543013</v>
      </c>
      <c r="C1468" s="5">
        <v>-20.4468591367876</v>
      </c>
      <c r="D1468" s="5">
        <v>107.062777536921</v>
      </c>
      <c r="E1468" s="5">
        <v>48.8091853543013</v>
      </c>
      <c r="F1468" s="5">
        <v>48.8091853543013</v>
      </c>
      <c r="G1468" s="5">
        <v>-2.48785334228321</v>
      </c>
      <c r="H1468" s="5">
        <v>-2.48785334228321</v>
      </c>
      <c r="I1468" s="5">
        <v>-2.48785334228321</v>
      </c>
      <c r="J1468" s="5">
        <v>-0.144118857247115</v>
      </c>
      <c r="K1468" s="5">
        <v>-0.144118857247115</v>
      </c>
      <c r="L1468" s="5">
        <v>-0.144118857247115</v>
      </c>
      <c r="M1468" s="5">
        <v>-2.3437344850361</v>
      </c>
      <c r="N1468" s="5">
        <v>-2.3437344850361</v>
      </c>
      <c r="O1468" s="5">
        <v>-2.3437344850361</v>
      </c>
      <c r="P1468" s="5">
        <v>0.0</v>
      </c>
      <c r="Q1468" s="5">
        <v>0.0</v>
      </c>
      <c r="R1468" s="5">
        <v>0.0</v>
      </c>
      <c r="S1468" s="5">
        <v>46.321332012018</v>
      </c>
    </row>
    <row r="1469">
      <c r="A1469" s="6">
        <v>42487.0</v>
      </c>
      <c r="B1469" s="5">
        <v>48.8287483483543</v>
      </c>
      <c r="C1469" s="5">
        <v>-21.3170145575969</v>
      </c>
      <c r="D1469" s="5">
        <v>104.875360074602</v>
      </c>
      <c r="E1469" s="5">
        <v>48.8287483483543</v>
      </c>
      <c r="F1469" s="5">
        <v>48.8287483483543</v>
      </c>
      <c r="G1469" s="5">
        <v>-2.84010631725465</v>
      </c>
      <c r="H1469" s="5">
        <v>-2.84010631725465</v>
      </c>
      <c r="I1469" s="5">
        <v>-2.84010631725465</v>
      </c>
      <c r="J1469" s="5">
        <v>0.00703780528235953</v>
      </c>
      <c r="K1469" s="5">
        <v>0.00703780528235953</v>
      </c>
      <c r="L1469" s="5">
        <v>0.00703780528235953</v>
      </c>
      <c r="M1469" s="5">
        <v>-2.84714412253701</v>
      </c>
      <c r="N1469" s="5">
        <v>-2.84714412253701</v>
      </c>
      <c r="O1469" s="5">
        <v>-2.84714412253701</v>
      </c>
      <c r="P1469" s="5">
        <v>0.0</v>
      </c>
      <c r="Q1469" s="5">
        <v>0.0</v>
      </c>
      <c r="R1469" s="5">
        <v>0.0</v>
      </c>
      <c r="S1469" s="5">
        <v>45.9886420310996</v>
      </c>
    </row>
    <row r="1470">
      <c r="A1470" s="6">
        <v>42488.0</v>
      </c>
      <c r="B1470" s="5">
        <v>48.8483113424073</v>
      </c>
      <c r="C1470" s="5">
        <v>-19.5977200628239</v>
      </c>
      <c r="D1470" s="5">
        <v>111.301382552815</v>
      </c>
      <c r="E1470" s="5">
        <v>48.8483113424073</v>
      </c>
      <c r="F1470" s="5">
        <v>48.8483113424073</v>
      </c>
      <c r="G1470" s="5">
        <v>-4.21426135935375</v>
      </c>
      <c r="H1470" s="5">
        <v>-4.21426135935375</v>
      </c>
      <c r="I1470" s="5">
        <v>-4.21426135935375</v>
      </c>
      <c r="J1470" s="5">
        <v>-0.77642252590259</v>
      </c>
      <c r="K1470" s="5">
        <v>-0.77642252590259</v>
      </c>
      <c r="L1470" s="5">
        <v>-0.77642252590259</v>
      </c>
      <c r="M1470" s="5">
        <v>-3.43783883345116</v>
      </c>
      <c r="N1470" s="5">
        <v>-3.43783883345116</v>
      </c>
      <c r="O1470" s="5">
        <v>-3.43783883345116</v>
      </c>
      <c r="P1470" s="5">
        <v>0.0</v>
      </c>
      <c r="Q1470" s="5">
        <v>0.0</v>
      </c>
      <c r="R1470" s="5">
        <v>0.0</v>
      </c>
      <c r="S1470" s="5">
        <v>44.6340499830535</v>
      </c>
    </row>
    <row r="1471">
      <c r="A1471" s="6">
        <v>42489.0</v>
      </c>
      <c r="B1471" s="5">
        <v>48.8678743364603</v>
      </c>
      <c r="C1471" s="5">
        <v>-19.1910590282856</v>
      </c>
      <c r="D1471" s="5">
        <v>102.155138920784</v>
      </c>
      <c r="E1471" s="5">
        <v>48.8678743364603</v>
      </c>
      <c r="F1471" s="5">
        <v>48.8678743364603</v>
      </c>
      <c r="G1471" s="5">
        <v>-5.70479240934147</v>
      </c>
      <c r="H1471" s="5">
        <v>-5.70479240934147</v>
      </c>
      <c r="I1471" s="5">
        <v>-5.70479240934147</v>
      </c>
      <c r="J1471" s="5">
        <v>-1.59155056649136</v>
      </c>
      <c r="K1471" s="5">
        <v>-1.59155056649136</v>
      </c>
      <c r="L1471" s="5">
        <v>-1.59155056649136</v>
      </c>
      <c r="M1471" s="5">
        <v>-4.1132418428501</v>
      </c>
      <c r="N1471" s="5">
        <v>-4.1132418428501</v>
      </c>
      <c r="O1471" s="5">
        <v>-4.1132418428501</v>
      </c>
      <c r="P1471" s="5">
        <v>0.0</v>
      </c>
      <c r="Q1471" s="5">
        <v>0.0</v>
      </c>
      <c r="R1471" s="5">
        <v>0.0</v>
      </c>
      <c r="S1471" s="5">
        <v>43.1630819271188</v>
      </c>
    </row>
    <row r="1472">
      <c r="A1472" s="6">
        <v>42492.0</v>
      </c>
      <c r="B1472" s="5">
        <v>48.9265633186194</v>
      </c>
      <c r="C1472" s="5">
        <v>-21.9525925909291</v>
      </c>
      <c r="D1472" s="5">
        <v>107.668046129297</v>
      </c>
      <c r="E1472" s="5">
        <v>48.9265633186194</v>
      </c>
      <c r="F1472" s="5">
        <v>48.9265633186194</v>
      </c>
      <c r="G1472" s="5">
        <v>-6.5043835248717</v>
      </c>
      <c r="H1472" s="5">
        <v>-6.5043835248717</v>
      </c>
      <c r="I1472" s="5">
        <v>-6.5043835248717</v>
      </c>
      <c r="J1472" s="5">
        <v>0.0905589421227576</v>
      </c>
      <c r="K1472" s="5">
        <v>0.0905589421227576</v>
      </c>
      <c r="L1472" s="5">
        <v>0.0905589421227576</v>
      </c>
      <c r="M1472" s="5">
        <v>-6.59494246699446</v>
      </c>
      <c r="N1472" s="5">
        <v>-6.59494246699446</v>
      </c>
      <c r="O1472" s="5">
        <v>-6.59494246699446</v>
      </c>
      <c r="P1472" s="5">
        <v>0.0</v>
      </c>
      <c r="Q1472" s="5">
        <v>0.0</v>
      </c>
      <c r="R1472" s="5">
        <v>0.0</v>
      </c>
      <c r="S1472" s="5">
        <v>42.4221797937477</v>
      </c>
    </row>
    <row r="1473">
      <c r="A1473" s="6">
        <v>42493.0</v>
      </c>
      <c r="B1473" s="5">
        <v>48.9461263126724</v>
      </c>
      <c r="C1473" s="5">
        <v>-20.1318861488842</v>
      </c>
      <c r="D1473" s="5">
        <v>105.200726130743</v>
      </c>
      <c r="E1473" s="5">
        <v>48.9461263126724</v>
      </c>
      <c r="F1473" s="5">
        <v>48.9461263126724</v>
      </c>
      <c r="G1473" s="5">
        <v>-7.69194539338213</v>
      </c>
      <c r="H1473" s="5">
        <v>-7.69194539338213</v>
      </c>
      <c r="I1473" s="5">
        <v>-7.69194539338213</v>
      </c>
      <c r="J1473" s="5">
        <v>-0.144118857244917</v>
      </c>
      <c r="K1473" s="5">
        <v>-0.144118857244917</v>
      </c>
      <c r="L1473" s="5">
        <v>-0.144118857244917</v>
      </c>
      <c r="M1473" s="5">
        <v>-7.54782653613721</v>
      </c>
      <c r="N1473" s="5">
        <v>-7.54782653613721</v>
      </c>
      <c r="O1473" s="5">
        <v>-7.54782653613721</v>
      </c>
      <c r="P1473" s="5">
        <v>0.0</v>
      </c>
      <c r="Q1473" s="5">
        <v>0.0</v>
      </c>
      <c r="R1473" s="5">
        <v>0.0</v>
      </c>
      <c r="S1473" s="5">
        <v>41.2541809192903</v>
      </c>
    </row>
    <row r="1474">
      <c r="A1474" s="6">
        <v>42494.0</v>
      </c>
      <c r="B1474" s="5">
        <v>48.9656893067254</v>
      </c>
      <c r="C1474" s="5">
        <v>-23.4695290092652</v>
      </c>
      <c r="D1474" s="5">
        <v>103.393312735481</v>
      </c>
      <c r="E1474" s="5">
        <v>48.9656893067254</v>
      </c>
      <c r="F1474" s="5">
        <v>48.9656893067254</v>
      </c>
      <c r="G1474" s="5">
        <v>-8.53955186743808</v>
      </c>
      <c r="H1474" s="5">
        <v>-8.53955186743808</v>
      </c>
      <c r="I1474" s="5">
        <v>-8.53955186743808</v>
      </c>
      <c r="J1474" s="5">
        <v>0.00703780528150714</v>
      </c>
      <c r="K1474" s="5">
        <v>0.00703780528150714</v>
      </c>
      <c r="L1474" s="5">
        <v>0.00703780528150714</v>
      </c>
      <c r="M1474" s="5">
        <v>-8.54658967271958</v>
      </c>
      <c r="N1474" s="5">
        <v>-8.54658967271958</v>
      </c>
      <c r="O1474" s="5">
        <v>-8.54658967271958</v>
      </c>
      <c r="P1474" s="5">
        <v>0.0</v>
      </c>
      <c r="Q1474" s="5">
        <v>0.0</v>
      </c>
      <c r="R1474" s="5">
        <v>0.0</v>
      </c>
      <c r="S1474" s="5">
        <v>40.4261374392873</v>
      </c>
    </row>
    <row r="1475">
      <c r="A1475" s="6">
        <v>42495.0</v>
      </c>
      <c r="B1475" s="5">
        <v>48.9852523007784</v>
      </c>
      <c r="C1475" s="5">
        <v>-23.9779046843402</v>
      </c>
      <c r="D1475" s="5">
        <v>105.650429039408</v>
      </c>
      <c r="E1475" s="5">
        <v>48.9852523007784</v>
      </c>
      <c r="F1475" s="5">
        <v>48.9852523007784</v>
      </c>
      <c r="G1475" s="5">
        <v>-10.3555703145385</v>
      </c>
      <c r="H1475" s="5">
        <v>-10.3555703145385</v>
      </c>
      <c r="I1475" s="5">
        <v>-10.3555703145385</v>
      </c>
      <c r="J1475" s="5">
        <v>-0.776422525903311</v>
      </c>
      <c r="K1475" s="5">
        <v>-0.776422525903311</v>
      </c>
      <c r="L1475" s="5">
        <v>-0.776422525903311</v>
      </c>
      <c r="M1475" s="5">
        <v>-9.57914778863519</v>
      </c>
      <c r="N1475" s="5">
        <v>-9.57914778863519</v>
      </c>
      <c r="O1475" s="5">
        <v>-9.57914778863519</v>
      </c>
      <c r="P1475" s="5">
        <v>0.0</v>
      </c>
      <c r="Q1475" s="5">
        <v>0.0</v>
      </c>
      <c r="R1475" s="5">
        <v>0.0</v>
      </c>
      <c r="S1475" s="5">
        <v>38.6296819862399</v>
      </c>
    </row>
    <row r="1476">
      <c r="A1476" s="6">
        <v>42496.0</v>
      </c>
      <c r="B1476" s="5">
        <v>49.0048152948314</v>
      </c>
      <c r="C1476" s="5">
        <v>-24.8555359796602</v>
      </c>
      <c r="D1476" s="5">
        <v>104.699552886641</v>
      </c>
      <c r="E1476" s="5">
        <v>49.0048152948314</v>
      </c>
      <c r="F1476" s="5">
        <v>49.0048152948314</v>
      </c>
      <c r="G1476" s="5">
        <v>-12.2240316850601</v>
      </c>
      <c r="H1476" s="5">
        <v>-12.2240316850601</v>
      </c>
      <c r="I1476" s="5">
        <v>-12.2240316850601</v>
      </c>
      <c r="J1476" s="5">
        <v>-1.59155056649075</v>
      </c>
      <c r="K1476" s="5">
        <v>-1.59155056649075</v>
      </c>
      <c r="L1476" s="5">
        <v>-1.59155056649075</v>
      </c>
      <c r="M1476" s="5">
        <v>-10.6324811185693</v>
      </c>
      <c r="N1476" s="5">
        <v>-10.6324811185693</v>
      </c>
      <c r="O1476" s="5">
        <v>-10.6324811185693</v>
      </c>
      <c r="P1476" s="5">
        <v>0.0</v>
      </c>
      <c r="Q1476" s="5">
        <v>0.0</v>
      </c>
      <c r="R1476" s="5">
        <v>0.0</v>
      </c>
      <c r="S1476" s="5">
        <v>36.7807836097713</v>
      </c>
    </row>
    <row r="1477">
      <c r="A1477" s="6">
        <v>42499.0</v>
      </c>
      <c r="B1477" s="5">
        <v>49.0635042769905</v>
      </c>
      <c r="C1477" s="5">
        <v>-27.3102650937707</v>
      </c>
      <c r="D1477" s="5">
        <v>98.9738648544214</v>
      </c>
      <c r="E1477" s="5">
        <v>49.0635042769905</v>
      </c>
      <c r="F1477" s="5">
        <v>49.0635042769905</v>
      </c>
      <c r="G1477" s="5">
        <v>-13.688543297745</v>
      </c>
      <c r="H1477" s="5">
        <v>-13.688543297745</v>
      </c>
      <c r="I1477" s="5">
        <v>-13.688543297745</v>
      </c>
      <c r="J1477" s="5">
        <v>0.0905589421213202</v>
      </c>
      <c r="K1477" s="5">
        <v>0.0905589421213202</v>
      </c>
      <c r="L1477" s="5">
        <v>0.0905589421213202</v>
      </c>
      <c r="M1477" s="5">
        <v>-13.7791022398664</v>
      </c>
      <c r="N1477" s="5">
        <v>-13.7791022398664</v>
      </c>
      <c r="O1477" s="5">
        <v>-13.7791022398664</v>
      </c>
      <c r="P1477" s="5">
        <v>0.0</v>
      </c>
      <c r="Q1477" s="5">
        <v>0.0</v>
      </c>
      <c r="R1477" s="5">
        <v>0.0</v>
      </c>
      <c r="S1477" s="5">
        <v>35.3749609792454</v>
      </c>
    </row>
    <row r="1478">
      <c r="A1478" s="6">
        <v>42500.0</v>
      </c>
      <c r="B1478" s="5">
        <v>49.0830672710435</v>
      </c>
      <c r="C1478" s="5">
        <v>-31.0730037916773</v>
      </c>
      <c r="D1478" s="5">
        <v>95.697609262587</v>
      </c>
      <c r="E1478" s="5">
        <v>49.0830672710435</v>
      </c>
      <c r="F1478" s="5">
        <v>49.0830672710435</v>
      </c>
      <c r="G1478" s="5">
        <v>-14.9212482676362</v>
      </c>
      <c r="H1478" s="5">
        <v>-14.9212482676362</v>
      </c>
      <c r="I1478" s="5">
        <v>-14.9212482676362</v>
      </c>
      <c r="J1478" s="5">
        <v>-0.144118857246353</v>
      </c>
      <c r="K1478" s="5">
        <v>-0.144118857246353</v>
      </c>
      <c r="L1478" s="5">
        <v>-0.144118857246353</v>
      </c>
      <c r="M1478" s="5">
        <v>-14.7771294103898</v>
      </c>
      <c r="N1478" s="5">
        <v>-14.7771294103898</v>
      </c>
      <c r="O1478" s="5">
        <v>-14.7771294103898</v>
      </c>
      <c r="P1478" s="5">
        <v>0.0</v>
      </c>
      <c r="Q1478" s="5">
        <v>0.0</v>
      </c>
      <c r="R1478" s="5">
        <v>0.0</v>
      </c>
      <c r="S1478" s="5">
        <v>34.1618190034073</v>
      </c>
    </row>
    <row r="1479">
      <c r="A1479" s="6">
        <v>42501.0</v>
      </c>
      <c r="B1479" s="5">
        <v>49.1026302650965</v>
      </c>
      <c r="C1479" s="5">
        <v>-29.2757507346007</v>
      </c>
      <c r="D1479" s="5">
        <v>96.1686446016948</v>
      </c>
      <c r="E1479" s="5">
        <v>49.1026302650965</v>
      </c>
      <c r="F1479" s="5">
        <v>49.1026302650965</v>
      </c>
      <c r="G1479" s="5">
        <v>-15.720459115099</v>
      </c>
      <c r="H1479" s="5">
        <v>-15.720459115099</v>
      </c>
      <c r="I1479" s="5">
        <v>-15.720459115099</v>
      </c>
      <c r="J1479" s="5">
        <v>0.00703780528281818</v>
      </c>
      <c r="K1479" s="5">
        <v>0.00703780528281818</v>
      </c>
      <c r="L1479" s="5">
        <v>0.00703780528281818</v>
      </c>
      <c r="M1479" s="5">
        <v>-15.7274969203818</v>
      </c>
      <c r="N1479" s="5">
        <v>-15.7274969203818</v>
      </c>
      <c r="O1479" s="5">
        <v>-15.7274969203818</v>
      </c>
      <c r="P1479" s="5">
        <v>0.0</v>
      </c>
      <c r="Q1479" s="5">
        <v>0.0</v>
      </c>
      <c r="R1479" s="5">
        <v>0.0</v>
      </c>
      <c r="S1479" s="5">
        <v>33.3821711499975</v>
      </c>
    </row>
    <row r="1480">
      <c r="A1480" s="6">
        <v>42502.0</v>
      </c>
      <c r="B1480" s="5">
        <v>49.1221932591495</v>
      </c>
      <c r="C1480" s="5">
        <v>-30.2682439654176</v>
      </c>
      <c r="D1480" s="5">
        <v>93.8860004625967</v>
      </c>
      <c r="E1480" s="5">
        <v>49.1221932591495</v>
      </c>
      <c r="F1480" s="5">
        <v>49.1221932591495</v>
      </c>
      <c r="G1480" s="5">
        <v>-17.394530243594</v>
      </c>
      <c r="H1480" s="5">
        <v>-17.394530243594</v>
      </c>
      <c r="I1480" s="5">
        <v>-17.394530243594</v>
      </c>
      <c r="J1480" s="5">
        <v>-0.776422525901184</v>
      </c>
      <c r="K1480" s="5">
        <v>-0.776422525901184</v>
      </c>
      <c r="L1480" s="5">
        <v>-0.776422525901184</v>
      </c>
      <c r="M1480" s="5">
        <v>-16.6181077176928</v>
      </c>
      <c r="N1480" s="5">
        <v>-16.6181077176928</v>
      </c>
      <c r="O1480" s="5">
        <v>-16.6181077176928</v>
      </c>
      <c r="P1480" s="5">
        <v>0.0</v>
      </c>
      <c r="Q1480" s="5">
        <v>0.0</v>
      </c>
      <c r="R1480" s="5">
        <v>0.0</v>
      </c>
      <c r="S1480" s="5">
        <v>31.7276630155555</v>
      </c>
    </row>
    <row r="1481">
      <c r="A1481" s="6">
        <v>42503.0</v>
      </c>
      <c r="B1481" s="5">
        <v>49.1417562532025</v>
      </c>
      <c r="C1481" s="5">
        <v>-37.2905437640983</v>
      </c>
      <c r="D1481" s="5">
        <v>93.1790295748547</v>
      </c>
      <c r="E1481" s="5">
        <v>49.1417562532025</v>
      </c>
      <c r="F1481" s="5">
        <v>49.1417562532025</v>
      </c>
      <c r="G1481" s="5">
        <v>-19.0296588029739</v>
      </c>
      <c r="H1481" s="5">
        <v>-19.0296588029739</v>
      </c>
      <c r="I1481" s="5">
        <v>-19.0296588029739</v>
      </c>
      <c r="J1481" s="5">
        <v>-1.59155056649226</v>
      </c>
      <c r="K1481" s="5">
        <v>-1.59155056649226</v>
      </c>
      <c r="L1481" s="5">
        <v>-1.59155056649226</v>
      </c>
      <c r="M1481" s="5">
        <v>-17.4381082364817</v>
      </c>
      <c r="N1481" s="5">
        <v>-17.4381082364817</v>
      </c>
      <c r="O1481" s="5">
        <v>-17.4381082364817</v>
      </c>
      <c r="P1481" s="5">
        <v>0.0</v>
      </c>
      <c r="Q1481" s="5">
        <v>0.0</v>
      </c>
      <c r="R1481" s="5">
        <v>0.0</v>
      </c>
      <c r="S1481" s="5">
        <v>30.1120974502286</v>
      </c>
    </row>
    <row r="1482">
      <c r="A1482" s="6">
        <v>42506.0</v>
      </c>
      <c r="B1482" s="5">
        <v>49.2004452353616</v>
      </c>
      <c r="C1482" s="5">
        <v>-34.8506444671896</v>
      </c>
      <c r="D1482" s="5">
        <v>95.1388484381699</v>
      </c>
      <c r="E1482" s="5">
        <v>49.2004452353616</v>
      </c>
      <c r="F1482" s="5">
        <v>49.2004452353616</v>
      </c>
      <c r="G1482" s="5">
        <v>-19.2991170172827</v>
      </c>
      <c r="H1482" s="5">
        <v>-19.2991170172827</v>
      </c>
      <c r="I1482" s="5">
        <v>-19.2991170172827</v>
      </c>
      <c r="J1482" s="5">
        <v>0.0905589421198828</v>
      </c>
      <c r="K1482" s="5">
        <v>0.0905589421198828</v>
      </c>
      <c r="L1482" s="5">
        <v>0.0905589421198828</v>
      </c>
      <c r="M1482" s="5">
        <v>-19.3896759594025</v>
      </c>
      <c r="N1482" s="5">
        <v>-19.3896759594025</v>
      </c>
      <c r="O1482" s="5">
        <v>-19.3896759594025</v>
      </c>
      <c r="P1482" s="5">
        <v>0.0</v>
      </c>
      <c r="Q1482" s="5">
        <v>0.0</v>
      </c>
      <c r="R1482" s="5">
        <v>0.0</v>
      </c>
      <c r="S1482" s="5">
        <v>29.9013282180789</v>
      </c>
    </row>
    <row r="1483">
      <c r="A1483" s="6">
        <v>42507.0</v>
      </c>
      <c r="B1483" s="5">
        <v>49.2200082294146</v>
      </c>
      <c r="C1483" s="5">
        <v>-34.9914342764873</v>
      </c>
      <c r="D1483" s="5">
        <v>89.96846656737</v>
      </c>
      <c r="E1483" s="5">
        <v>49.2200082294146</v>
      </c>
      <c r="F1483" s="5">
        <v>49.2200082294146</v>
      </c>
      <c r="G1483" s="5">
        <v>-19.995810275976</v>
      </c>
      <c r="H1483" s="5">
        <v>-19.995810275976</v>
      </c>
      <c r="I1483" s="5">
        <v>-19.995810275976</v>
      </c>
      <c r="J1483" s="5">
        <v>-0.144118857244156</v>
      </c>
      <c r="K1483" s="5">
        <v>-0.144118857244156</v>
      </c>
      <c r="L1483" s="5">
        <v>-0.144118857244156</v>
      </c>
      <c r="M1483" s="5">
        <v>-19.8516914187318</v>
      </c>
      <c r="N1483" s="5">
        <v>-19.8516914187318</v>
      </c>
      <c r="O1483" s="5">
        <v>-19.8516914187318</v>
      </c>
      <c r="P1483" s="5">
        <v>0.0</v>
      </c>
      <c r="Q1483" s="5">
        <v>0.0</v>
      </c>
      <c r="R1483" s="5">
        <v>0.0</v>
      </c>
      <c r="S1483" s="5">
        <v>29.2241979534386</v>
      </c>
    </row>
    <row r="1484">
      <c r="A1484" s="6">
        <v>42508.0</v>
      </c>
      <c r="B1484" s="5">
        <v>49.2395712234676</v>
      </c>
      <c r="C1484" s="5">
        <v>-33.8088755000546</v>
      </c>
      <c r="D1484" s="5">
        <v>91.9050182877829</v>
      </c>
      <c r="E1484" s="5">
        <v>49.2395712234676</v>
      </c>
      <c r="F1484" s="5">
        <v>49.2395712234676</v>
      </c>
      <c r="G1484" s="5">
        <v>-20.2079379761768</v>
      </c>
      <c r="H1484" s="5">
        <v>-20.2079379761768</v>
      </c>
      <c r="I1484" s="5">
        <v>-20.2079379761768</v>
      </c>
      <c r="J1484" s="5">
        <v>0.00703780528079344</v>
      </c>
      <c r="K1484" s="5">
        <v>0.00703780528079344</v>
      </c>
      <c r="L1484" s="5">
        <v>0.00703780528079344</v>
      </c>
      <c r="M1484" s="5">
        <v>-20.2149757814576</v>
      </c>
      <c r="N1484" s="5">
        <v>-20.2149757814576</v>
      </c>
      <c r="O1484" s="5">
        <v>-20.2149757814576</v>
      </c>
      <c r="P1484" s="5">
        <v>0.0</v>
      </c>
      <c r="Q1484" s="5">
        <v>0.0</v>
      </c>
      <c r="R1484" s="5">
        <v>0.0</v>
      </c>
      <c r="S1484" s="5">
        <v>29.0316332472908</v>
      </c>
    </row>
    <row r="1485">
      <c r="A1485" s="6">
        <v>42509.0</v>
      </c>
      <c r="B1485" s="5">
        <v>49.2591342175206</v>
      </c>
      <c r="C1485" s="5">
        <v>-36.0641079220071</v>
      </c>
      <c r="D1485" s="5">
        <v>90.8431283626137</v>
      </c>
      <c r="E1485" s="5">
        <v>49.2591342175206</v>
      </c>
      <c r="F1485" s="5">
        <v>49.2591342175206</v>
      </c>
      <c r="G1485" s="5">
        <v>-21.2563898188582</v>
      </c>
      <c r="H1485" s="5">
        <v>-21.2563898188582</v>
      </c>
      <c r="I1485" s="5">
        <v>-21.2563898188582</v>
      </c>
      <c r="J1485" s="5">
        <v>-0.776422525903281</v>
      </c>
      <c r="K1485" s="5">
        <v>-0.776422525903281</v>
      </c>
      <c r="L1485" s="5">
        <v>-0.776422525903281</v>
      </c>
      <c r="M1485" s="5">
        <v>-20.479967292955</v>
      </c>
      <c r="N1485" s="5">
        <v>-20.479967292955</v>
      </c>
      <c r="O1485" s="5">
        <v>-20.479967292955</v>
      </c>
      <c r="P1485" s="5">
        <v>0.0</v>
      </c>
      <c r="Q1485" s="5">
        <v>0.0</v>
      </c>
      <c r="R1485" s="5">
        <v>0.0</v>
      </c>
      <c r="S1485" s="5">
        <v>28.0027443986623</v>
      </c>
    </row>
    <row r="1486">
      <c r="A1486" s="6">
        <v>42510.0</v>
      </c>
      <c r="B1486" s="5">
        <v>49.2786972115737</v>
      </c>
      <c r="C1486" s="5">
        <v>-46.4655604721258</v>
      </c>
      <c r="D1486" s="5">
        <v>90.8142418649857</v>
      </c>
      <c r="E1486" s="5">
        <v>49.2786972115737</v>
      </c>
      <c r="F1486" s="5">
        <v>49.2786972115737</v>
      </c>
      <c r="G1486" s="5">
        <v>-22.2407016329107</v>
      </c>
      <c r="H1486" s="5">
        <v>-22.2407016329107</v>
      </c>
      <c r="I1486" s="5">
        <v>-22.2407016329107</v>
      </c>
      <c r="J1486" s="5">
        <v>-1.59155056649439</v>
      </c>
      <c r="K1486" s="5">
        <v>-1.59155056649439</v>
      </c>
      <c r="L1486" s="5">
        <v>-1.59155056649439</v>
      </c>
      <c r="M1486" s="5">
        <v>-20.6491510664163</v>
      </c>
      <c r="N1486" s="5">
        <v>-20.6491510664163</v>
      </c>
      <c r="O1486" s="5">
        <v>-20.6491510664163</v>
      </c>
      <c r="P1486" s="5">
        <v>0.0</v>
      </c>
      <c r="Q1486" s="5">
        <v>0.0</v>
      </c>
      <c r="R1486" s="5">
        <v>0.0</v>
      </c>
      <c r="S1486" s="5">
        <v>27.0379955786629</v>
      </c>
    </row>
    <row r="1487">
      <c r="A1487" s="6">
        <v>42513.0</v>
      </c>
      <c r="B1487" s="5">
        <v>49.3373861937327</v>
      </c>
      <c r="C1487" s="5">
        <v>-32.0400338450097</v>
      </c>
      <c r="D1487" s="5">
        <v>89.0380582611278</v>
      </c>
      <c r="E1487" s="5">
        <v>49.3373861937327</v>
      </c>
      <c r="F1487" s="5">
        <v>49.3373861937327</v>
      </c>
      <c r="G1487" s="5">
        <v>-20.5443904619003</v>
      </c>
      <c r="H1487" s="5">
        <v>-20.5443904619003</v>
      </c>
      <c r="I1487" s="5">
        <v>-20.5443904619003</v>
      </c>
      <c r="J1487" s="5">
        <v>0.0905589421209094</v>
      </c>
      <c r="K1487" s="5">
        <v>0.0905589421209094</v>
      </c>
      <c r="L1487" s="5">
        <v>0.0905589421209094</v>
      </c>
      <c r="M1487" s="5">
        <v>-20.6349494040212</v>
      </c>
      <c r="N1487" s="5">
        <v>-20.6349494040212</v>
      </c>
      <c r="O1487" s="5">
        <v>-20.6349494040212</v>
      </c>
      <c r="P1487" s="5">
        <v>0.0</v>
      </c>
      <c r="Q1487" s="5">
        <v>0.0</v>
      </c>
      <c r="R1487" s="5">
        <v>0.0</v>
      </c>
      <c r="S1487" s="5">
        <v>28.7929957318324</v>
      </c>
    </row>
    <row r="1488">
      <c r="A1488" s="6">
        <v>42514.0</v>
      </c>
      <c r="B1488" s="5">
        <v>49.3569491877857</v>
      </c>
      <c r="C1488" s="5">
        <v>-32.8587128247132</v>
      </c>
      <c r="D1488" s="5">
        <v>91.464006892001</v>
      </c>
      <c r="E1488" s="5">
        <v>49.3569491877857</v>
      </c>
      <c r="F1488" s="5">
        <v>49.3569491877857</v>
      </c>
      <c r="G1488" s="5">
        <v>-20.6262450680383</v>
      </c>
      <c r="H1488" s="5">
        <v>-20.6262450680383</v>
      </c>
      <c r="I1488" s="5">
        <v>-20.6262450680383</v>
      </c>
      <c r="J1488" s="5">
        <v>-0.144118857245591</v>
      </c>
      <c r="K1488" s="5">
        <v>-0.144118857245591</v>
      </c>
      <c r="L1488" s="5">
        <v>-0.144118857245591</v>
      </c>
      <c r="M1488" s="5">
        <v>-20.4821262107927</v>
      </c>
      <c r="N1488" s="5">
        <v>-20.4821262107927</v>
      </c>
      <c r="O1488" s="5">
        <v>-20.4821262107927</v>
      </c>
      <c r="P1488" s="5">
        <v>0.0</v>
      </c>
      <c r="Q1488" s="5">
        <v>0.0</v>
      </c>
      <c r="R1488" s="5">
        <v>0.0</v>
      </c>
      <c r="S1488" s="5">
        <v>28.7307041197473</v>
      </c>
    </row>
    <row r="1489">
      <c r="A1489" s="6">
        <v>42515.0</v>
      </c>
      <c r="B1489" s="5">
        <v>49.3765121818388</v>
      </c>
      <c r="C1489" s="5">
        <v>-33.118224942789</v>
      </c>
      <c r="D1489" s="5">
        <v>94.9119074685927</v>
      </c>
      <c r="E1489" s="5">
        <v>49.3765121818388</v>
      </c>
      <c r="F1489" s="5">
        <v>49.3765121818388</v>
      </c>
      <c r="G1489" s="5">
        <v>-20.2643592364844</v>
      </c>
      <c r="H1489" s="5">
        <v>-20.2643592364844</v>
      </c>
      <c r="I1489" s="5">
        <v>-20.2643592364844</v>
      </c>
      <c r="J1489" s="5">
        <v>0.00703780528210447</v>
      </c>
      <c r="K1489" s="5">
        <v>0.00703780528210447</v>
      </c>
      <c r="L1489" s="5">
        <v>0.00703780528210447</v>
      </c>
      <c r="M1489" s="5">
        <v>-20.2713970417665</v>
      </c>
      <c r="N1489" s="5">
        <v>-20.2713970417665</v>
      </c>
      <c r="O1489" s="5">
        <v>-20.2713970417665</v>
      </c>
      <c r="P1489" s="5">
        <v>0.0</v>
      </c>
      <c r="Q1489" s="5">
        <v>0.0</v>
      </c>
      <c r="R1489" s="5">
        <v>0.0</v>
      </c>
      <c r="S1489" s="5">
        <v>29.1121529453543</v>
      </c>
    </row>
    <row r="1490">
      <c r="A1490" s="6">
        <v>42516.0</v>
      </c>
      <c r="B1490" s="5">
        <v>49.3960751758918</v>
      </c>
      <c r="C1490" s="5">
        <v>-31.2036084457874</v>
      </c>
      <c r="D1490" s="5">
        <v>92.4489449041077</v>
      </c>
      <c r="E1490" s="5">
        <v>49.3960751758918</v>
      </c>
      <c r="F1490" s="5">
        <v>49.3960751758918</v>
      </c>
      <c r="G1490" s="5">
        <v>-20.7902036785404</v>
      </c>
      <c r="H1490" s="5">
        <v>-20.7902036785404</v>
      </c>
      <c r="I1490" s="5">
        <v>-20.7902036785404</v>
      </c>
      <c r="J1490" s="5">
        <v>-0.776422525904002</v>
      </c>
      <c r="K1490" s="5">
        <v>-0.776422525904002</v>
      </c>
      <c r="L1490" s="5">
        <v>-0.776422525904002</v>
      </c>
      <c r="M1490" s="5">
        <v>-20.0137811526364</v>
      </c>
      <c r="N1490" s="5">
        <v>-20.0137811526364</v>
      </c>
      <c r="O1490" s="5">
        <v>-20.0137811526364</v>
      </c>
      <c r="P1490" s="5">
        <v>0.0</v>
      </c>
      <c r="Q1490" s="5">
        <v>0.0</v>
      </c>
      <c r="R1490" s="5">
        <v>0.0</v>
      </c>
      <c r="S1490" s="5">
        <v>28.6058714973513</v>
      </c>
    </row>
    <row r="1491">
      <c r="A1491" s="6">
        <v>42517.0</v>
      </c>
      <c r="B1491" s="5">
        <v>49.4156381699448</v>
      </c>
      <c r="C1491" s="5">
        <v>-36.3353571358002</v>
      </c>
      <c r="D1491" s="5">
        <v>93.8333821419863</v>
      </c>
      <c r="E1491" s="5">
        <v>49.4156381699448</v>
      </c>
      <c r="F1491" s="5">
        <v>49.4156381699448</v>
      </c>
      <c r="G1491" s="5">
        <v>-21.3122969496497</v>
      </c>
      <c r="H1491" s="5">
        <v>-21.3122969496497</v>
      </c>
      <c r="I1491" s="5">
        <v>-21.3122969496497</v>
      </c>
      <c r="J1491" s="5">
        <v>-1.59155056649315</v>
      </c>
      <c r="K1491" s="5">
        <v>-1.59155056649315</v>
      </c>
      <c r="L1491" s="5">
        <v>-1.59155056649315</v>
      </c>
      <c r="M1491" s="5">
        <v>-19.7207463831565</v>
      </c>
      <c r="N1491" s="5">
        <v>-19.7207463831565</v>
      </c>
      <c r="O1491" s="5">
        <v>-19.7207463831565</v>
      </c>
      <c r="P1491" s="5">
        <v>0.0</v>
      </c>
      <c r="Q1491" s="5">
        <v>0.0</v>
      </c>
      <c r="R1491" s="5">
        <v>0.0</v>
      </c>
      <c r="S1491" s="5">
        <v>28.103341220295</v>
      </c>
    </row>
    <row r="1492">
      <c r="A1492" s="6">
        <v>42521.0</v>
      </c>
      <c r="B1492" s="5">
        <v>49.4938901461569</v>
      </c>
      <c r="C1492" s="5">
        <v>-34.0286468523864</v>
      </c>
      <c r="D1492" s="5">
        <v>90.3097837820251</v>
      </c>
      <c r="E1492" s="5">
        <v>49.4938901461569</v>
      </c>
      <c r="F1492" s="5">
        <v>49.4938901461569</v>
      </c>
      <c r="G1492" s="5">
        <v>-18.5651671459934</v>
      </c>
      <c r="H1492" s="5">
        <v>-18.5651671459934</v>
      </c>
      <c r="I1492" s="5">
        <v>-18.5651671459934</v>
      </c>
      <c r="J1492" s="5">
        <v>-0.144118857244503</v>
      </c>
      <c r="K1492" s="5">
        <v>-0.144118857244503</v>
      </c>
      <c r="L1492" s="5">
        <v>-0.144118857244503</v>
      </c>
      <c r="M1492" s="5">
        <v>-18.4210482887489</v>
      </c>
      <c r="N1492" s="5">
        <v>-18.4210482887489</v>
      </c>
      <c r="O1492" s="5">
        <v>-18.4210482887489</v>
      </c>
      <c r="P1492" s="5">
        <v>0.0</v>
      </c>
      <c r="Q1492" s="5">
        <v>0.0</v>
      </c>
      <c r="R1492" s="5">
        <v>0.0</v>
      </c>
      <c r="S1492" s="5">
        <v>30.9287230001634</v>
      </c>
    </row>
    <row r="1493">
      <c r="A1493" s="6">
        <v>42522.0</v>
      </c>
      <c r="B1493" s="5">
        <v>49.5134531402099</v>
      </c>
      <c r="C1493" s="5">
        <v>-27.8902771344001</v>
      </c>
      <c r="D1493" s="5">
        <v>89.9800420878608</v>
      </c>
      <c r="E1493" s="5">
        <v>49.5134531402099</v>
      </c>
      <c r="F1493" s="5">
        <v>49.5134531402099</v>
      </c>
      <c r="G1493" s="5">
        <v>-18.108755470954</v>
      </c>
      <c r="H1493" s="5">
        <v>-18.108755470954</v>
      </c>
      <c r="I1493" s="5">
        <v>-18.108755470954</v>
      </c>
      <c r="J1493" s="5">
        <v>0.00703780528341554</v>
      </c>
      <c r="K1493" s="5">
        <v>0.00703780528341554</v>
      </c>
      <c r="L1493" s="5">
        <v>0.00703780528341554</v>
      </c>
      <c r="M1493" s="5">
        <v>-18.1157932762374</v>
      </c>
      <c r="N1493" s="5">
        <v>-18.1157932762374</v>
      </c>
      <c r="O1493" s="5">
        <v>-18.1157932762374</v>
      </c>
      <c r="P1493" s="5">
        <v>0.0</v>
      </c>
      <c r="Q1493" s="5">
        <v>0.0</v>
      </c>
      <c r="R1493" s="5">
        <v>0.0</v>
      </c>
      <c r="S1493" s="5">
        <v>31.4046976692558</v>
      </c>
    </row>
    <row r="1494">
      <c r="A1494" s="6">
        <v>42523.0</v>
      </c>
      <c r="B1494" s="5">
        <v>49.5330161342629</v>
      </c>
      <c r="C1494" s="5">
        <v>-27.34449487029</v>
      </c>
      <c r="D1494" s="5">
        <v>92.9190015030972</v>
      </c>
      <c r="E1494" s="5">
        <v>49.5330161342629</v>
      </c>
      <c r="F1494" s="5">
        <v>49.5330161342629</v>
      </c>
      <c r="G1494" s="5">
        <v>-18.6118316820495</v>
      </c>
      <c r="H1494" s="5">
        <v>-18.6118316820495</v>
      </c>
      <c r="I1494" s="5">
        <v>-18.6118316820495</v>
      </c>
      <c r="J1494" s="5">
        <v>-0.776422525906099</v>
      </c>
      <c r="K1494" s="5">
        <v>-0.776422525906099</v>
      </c>
      <c r="L1494" s="5">
        <v>-0.776422525906099</v>
      </c>
      <c r="M1494" s="5">
        <v>-17.8354091561434</v>
      </c>
      <c r="N1494" s="5">
        <v>-17.8354091561434</v>
      </c>
      <c r="O1494" s="5">
        <v>-17.8354091561434</v>
      </c>
      <c r="P1494" s="5">
        <v>0.0</v>
      </c>
      <c r="Q1494" s="5">
        <v>0.0</v>
      </c>
      <c r="R1494" s="5">
        <v>0.0</v>
      </c>
      <c r="S1494" s="5">
        <v>30.9211844522133</v>
      </c>
    </row>
    <row r="1495">
      <c r="A1495" s="6">
        <v>42524.0</v>
      </c>
      <c r="B1495" s="5">
        <v>49.5525791283159</v>
      </c>
      <c r="C1495" s="5">
        <v>-29.2973861143684</v>
      </c>
      <c r="D1495" s="5">
        <v>88.9635583966825</v>
      </c>
      <c r="E1495" s="5">
        <v>49.5525791283159</v>
      </c>
      <c r="F1495" s="5">
        <v>49.5525791283159</v>
      </c>
      <c r="G1495" s="5">
        <v>-19.1774885810732</v>
      </c>
      <c r="H1495" s="5">
        <v>-19.1774885810732</v>
      </c>
      <c r="I1495" s="5">
        <v>-19.1774885810732</v>
      </c>
      <c r="J1495" s="5">
        <v>-1.59155056649497</v>
      </c>
      <c r="K1495" s="5">
        <v>-1.59155056649497</v>
      </c>
      <c r="L1495" s="5">
        <v>-1.59155056649497</v>
      </c>
      <c r="M1495" s="5">
        <v>-17.5859380145782</v>
      </c>
      <c r="N1495" s="5">
        <v>-17.5859380145782</v>
      </c>
      <c r="O1495" s="5">
        <v>-17.5859380145782</v>
      </c>
      <c r="P1495" s="5">
        <v>0.0</v>
      </c>
      <c r="Q1495" s="5">
        <v>0.0</v>
      </c>
      <c r="R1495" s="5">
        <v>0.0</v>
      </c>
      <c r="S1495" s="5">
        <v>30.3750905472427</v>
      </c>
    </row>
    <row r="1496">
      <c r="A1496" s="6">
        <v>42527.0</v>
      </c>
      <c r="B1496" s="5">
        <v>49.611268110475</v>
      </c>
      <c r="C1496" s="5">
        <v>-35.9720365791306</v>
      </c>
      <c r="D1496" s="5">
        <v>96.5279962145894</v>
      </c>
      <c r="E1496" s="5">
        <v>49.611268110475</v>
      </c>
      <c r="F1496" s="5">
        <v>49.611268110475</v>
      </c>
      <c r="G1496" s="5">
        <v>-16.9672895741476</v>
      </c>
      <c r="H1496" s="5">
        <v>-16.9672895741476</v>
      </c>
      <c r="I1496" s="5">
        <v>-16.9672895741476</v>
      </c>
      <c r="J1496" s="5">
        <v>0.0905589421204984</v>
      </c>
      <c r="K1496" s="5">
        <v>0.0905589421204984</v>
      </c>
      <c r="L1496" s="5">
        <v>0.0905589421204984</v>
      </c>
      <c r="M1496" s="5">
        <v>-17.0578485162681</v>
      </c>
      <c r="N1496" s="5">
        <v>-17.0578485162681</v>
      </c>
      <c r="O1496" s="5">
        <v>-17.0578485162681</v>
      </c>
      <c r="P1496" s="5">
        <v>0.0</v>
      </c>
      <c r="Q1496" s="5">
        <v>0.0</v>
      </c>
      <c r="R1496" s="5">
        <v>0.0</v>
      </c>
      <c r="S1496" s="5">
        <v>32.6439785363273</v>
      </c>
    </row>
    <row r="1497">
      <c r="A1497" s="6">
        <v>42528.0</v>
      </c>
      <c r="B1497" s="5">
        <v>49.630831104528</v>
      </c>
      <c r="C1497" s="5">
        <v>-28.5898325332954</v>
      </c>
      <c r="D1497" s="5">
        <v>98.8262980035839</v>
      </c>
      <c r="E1497" s="5">
        <v>49.630831104528</v>
      </c>
      <c r="F1497" s="5">
        <v>49.630831104528</v>
      </c>
      <c r="G1497" s="5">
        <v>-17.1020890774824</v>
      </c>
      <c r="H1497" s="5">
        <v>-17.1020890774824</v>
      </c>
      <c r="I1497" s="5">
        <v>-17.1020890774824</v>
      </c>
      <c r="J1497" s="5">
        <v>-0.144118857245939</v>
      </c>
      <c r="K1497" s="5">
        <v>-0.144118857245939</v>
      </c>
      <c r="L1497" s="5">
        <v>-0.144118857245939</v>
      </c>
      <c r="M1497" s="5">
        <v>-16.9579702202365</v>
      </c>
      <c r="N1497" s="5">
        <v>-16.9579702202365</v>
      </c>
      <c r="O1497" s="5">
        <v>-16.9579702202365</v>
      </c>
      <c r="P1497" s="5">
        <v>0.0</v>
      </c>
      <c r="Q1497" s="5">
        <v>0.0</v>
      </c>
      <c r="R1497" s="5">
        <v>0.0</v>
      </c>
      <c r="S1497" s="5">
        <v>32.5287420270455</v>
      </c>
    </row>
    <row r="1498">
      <c r="A1498" s="6">
        <v>42529.0</v>
      </c>
      <c r="B1498" s="5">
        <v>49.650394098581</v>
      </c>
      <c r="C1498" s="5">
        <v>-27.9512532962193</v>
      </c>
      <c r="D1498" s="5">
        <v>94.6494587002722</v>
      </c>
      <c r="E1498" s="5">
        <v>49.650394098581</v>
      </c>
      <c r="F1498" s="5">
        <v>49.650394098581</v>
      </c>
      <c r="G1498" s="5">
        <v>-16.8860995747006</v>
      </c>
      <c r="H1498" s="5">
        <v>-16.8860995747006</v>
      </c>
      <c r="I1498" s="5">
        <v>-16.8860995747006</v>
      </c>
      <c r="J1498" s="5">
        <v>0.00703780528139077</v>
      </c>
      <c r="K1498" s="5">
        <v>0.00703780528139077</v>
      </c>
      <c r="L1498" s="5">
        <v>0.00703780528139077</v>
      </c>
      <c r="M1498" s="5">
        <v>-16.893137379982</v>
      </c>
      <c r="N1498" s="5">
        <v>-16.893137379982</v>
      </c>
      <c r="O1498" s="5">
        <v>-16.893137379982</v>
      </c>
      <c r="P1498" s="5">
        <v>0.0</v>
      </c>
      <c r="Q1498" s="5">
        <v>0.0</v>
      </c>
      <c r="R1498" s="5">
        <v>0.0</v>
      </c>
      <c r="S1498" s="5">
        <v>32.7642945238803</v>
      </c>
    </row>
    <row r="1499">
      <c r="A1499" s="6">
        <v>42530.0</v>
      </c>
      <c r="B1499" s="5">
        <v>49.669957092634</v>
      </c>
      <c r="C1499" s="5">
        <v>-31.980179209359</v>
      </c>
      <c r="D1499" s="5">
        <v>98.6245920836149</v>
      </c>
      <c r="E1499" s="5">
        <v>49.669957092634</v>
      </c>
      <c r="F1499" s="5">
        <v>49.669957092634</v>
      </c>
      <c r="G1499" s="5">
        <v>-17.6355145455985</v>
      </c>
      <c r="H1499" s="5">
        <v>-17.6355145455985</v>
      </c>
      <c r="I1499" s="5">
        <v>-17.6355145455985</v>
      </c>
      <c r="J1499" s="5">
        <v>-0.776422525902596</v>
      </c>
      <c r="K1499" s="5">
        <v>-0.776422525902596</v>
      </c>
      <c r="L1499" s="5">
        <v>-0.776422525902596</v>
      </c>
      <c r="M1499" s="5">
        <v>-16.8590920196959</v>
      </c>
      <c r="N1499" s="5">
        <v>-16.8590920196959</v>
      </c>
      <c r="O1499" s="5">
        <v>-16.8590920196959</v>
      </c>
      <c r="P1499" s="5">
        <v>0.0</v>
      </c>
      <c r="Q1499" s="5">
        <v>0.0</v>
      </c>
      <c r="R1499" s="5">
        <v>0.0</v>
      </c>
      <c r="S1499" s="5">
        <v>32.0344425470354</v>
      </c>
    </row>
    <row r="1500">
      <c r="A1500" s="6">
        <v>42531.0</v>
      </c>
      <c r="B1500" s="5">
        <v>49.689520086687</v>
      </c>
      <c r="C1500" s="5">
        <v>-32.5109348660198</v>
      </c>
      <c r="D1500" s="5">
        <v>95.7276122682276</v>
      </c>
      <c r="E1500" s="5">
        <v>49.689520086687</v>
      </c>
      <c r="F1500" s="5">
        <v>49.689520086687</v>
      </c>
      <c r="G1500" s="5">
        <v>-18.4417217099357</v>
      </c>
      <c r="H1500" s="5">
        <v>-18.4417217099357</v>
      </c>
      <c r="I1500" s="5">
        <v>-18.4417217099357</v>
      </c>
      <c r="J1500" s="5">
        <v>-1.59155056649405</v>
      </c>
      <c r="K1500" s="5">
        <v>-1.59155056649405</v>
      </c>
      <c r="L1500" s="5">
        <v>-1.59155056649405</v>
      </c>
      <c r="M1500" s="5">
        <v>-16.8501711434416</v>
      </c>
      <c r="N1500" s="5">
        <v>-16.8501711434416</v>
      </c>
      <c r="O1500" s="5">
        <v>-16.8501711434416</v>
      </c>
      <c r="P1500" s="5">
        <v>0.0</v>
      </c>
      <c r="Q1500" s="5">
        <v>0.0</v>
      </c>
      <c r="R1500" s="5">
        <v>0.0</v>
      </c>
      <c r="S1500" s="5">
        <v>31.2477983767513</v>
      </c>
    </row>
    <row r="1501">
      <c r="A1501" s="6">
        <v>42534.0</v>
      </c>
      <c r="B1501" s="5">
        <v>49.7482090688461</v>
      </c>
      <c r="C1501" s="5">
        <v>-35.0338856902087</v>
      </c>
      <c r="D1501" s="5">
        <v>90.4817537189399</v>
      </c>
      <c r="E1501" s="5">
        <v>49.7482090688461</v>
      </c>
      <c r="F1501" s="5">
        <v>49.7482090688461</v>
      </c>
      <c r="G1501" s="5">
        <v>-16.810693275343</v>
      </c>
      <c r="H1501" s="5">
        <v>-16.810693275343</v>
      </c>
      <c r="I1501" s="5">
        <v>-16.810693275343</v>
      </c>
      <c r="J1501" s="5">
        <v>0.0905589421239086</v>
      </c>
      <c r="K1501" s="5">
        <v>0.0905589421239086</v>
      </c>
      <c r="L1501" s="5">
        <v>0.0905589421239086</v>
      </c>
      <c r="M1501" s="5">
        <v>-16.9012522174669</v>
      </c>
      <c r="N1501" s="5">
        <v>-16.9012522174669</v>
      </c>
      <c r="O1501" s="5">
        <v>-16.9012522174669</v>
      </c>
      <c r="P1501" s="5">
        <v>0.0</v>
      </c>
      <c r="Q1501" s="5">
        <v>0.0</v>
      </c>
      <c r="R1501" s="5">
        <v>0.0</v>
      </c>
      <c r="S1501" s="5">
        <v>32.937515793503</v>
      </c>
    </row>
    <row r="1502">
      <c r="A1502" s="6">
        <v>42535.0</v>
      </c>
      <c r="B1502" s="5">
        <v>49.7677720628991</v>
      </c>
      <c r="C1502" s="5">
        <v>-32.9307839883027</v>
      </c>
      <c r="D1502" s="5">
        <v>97.0640323882236</v>
      </c>
      <c r="E1502" s="5">
        <v>49.7677720628991</v>
      </c>
      <c r="F1502" s="5">
        <v>49.7677720628991</v>
      </c>
      <c r="G1502" s="5">
        <v>-17.0605134759319</v>
      </c>
      <c r="H1502" s="5">
        <v>-17.0605134759319</v>
      </c>
      <c r="I1502" s="5">
        <v>-17.0605134759319</v>
      </c>
      <c r="J1502" s="5">
        <v>-0.144118857246265</v>
      </c>
      <c r="K1502" s="5">
        <v>-0.144118857246265</v>
      </c>
      <c r="L1502" s="5">
        <v>-0.144118857246265</v>
      </c>
      <c r="M1502" s="5">
        <v>-16.9163946186856</v>
      </c>
      <c r="N1502" s="5">
        <v>-16.9163946186856</v>
      </c>
      <c r="O1502" s="5">
        <v>-16.9163946186856</v>
      </c>
      <c r="P1502" s="5">
        <v>0.0</v>
      </c>
      <c r="Q1502" s="5">
        <v>0.0</v>
      </c>
      <c r="R1502" s="5">
        <v>0.0</v>
      </c>
      <c r="S1502" s="5">
        <v>32.7072585869672</v>
      </c>
    </row>
    <row r="1503">
      <c r="A1503" s="6">
        <v>42536.0</v>
      </c>
      <c r="B1503" s="5">
        <v>49.7873350569521</v>
      </c>
      <c r="C1503" s="5">
        <v>-32.2865480520703</v>
      </c>
      <c r="D1503" s="5">
        <v>100.399664219438</v>
      </c>
      <c r="E1503" s="5">
        <v>49.7873350569521</v>
      </c>
      <c r="F1503" s="5">
        <v>49.7873350569521</v>
      </c>
      <c r="G1503" s="5">
        <v>-16.908917143419</v>
      </c>
      <c r="H1503" s="5">
        <v>-16.908917143419</v>
      </c>
      <c r="I1503" s="5">
        <v>-16.908917143419</v>
      </c>
      <c r="J1503" s="5">
        <v>0.0070378052827017</v>
      </c>
      <c r="K1503" s="5">
        <v>0.0070378052827017</v>
      </c>
      <c r="L1503" s="5">
        <v>0.0070378052827017</v>
      </c>
      <c r="M1503" s="5">
        <v>-16.9159549487017</v>
      </c>
      <c r="N1503" s="5">
        <v>-16.9159549487017</v>
      </c>
      <c r="O1503" s="5">
        <v>-16.9159549487017</v>
      </c>
      <c r="P1503" s="5">
        <v>0.0</v>
      </c>
      <c r="Q1503" s="5">
        <v>0.0</v>
      </c>
      <c r="R1503" s="5">
        <v>0.0</v>
      </c>
      <c r="S1503" s="5">
        <v>32.878417913533</v>
      </c>
    </row>
    <row r="1504">
      <c r="A1504" s="6">
        <v>42537.0</v>
      </c>
      <c r="B1504" s="5">
        <v>49.8068980510051</v>
      </c>
      <c r="C1504" s="5">
        <v>-26.8784389221552</v>
      </c>
      <c r="D1504" s="5">
        <v>98.9062137275613</v>
      </c>
      <c r="E1504" s="5">
        <v>49.8068980510051</v>
      </c>
      <c r="F1504" s="5">
        <v>49.8068980510051</v>
      </c>
      <c r="G1504" s="5">
        <v>-17.6677876740365</v>
      </c>
      <c r="H1504" s="5">
        <v>-17.6677876740365</v>
      </c>
      <c r="I1504" s="5">
        <v>-17.6677876740365</v>
      </c>
      <c r="J1504" s="5">
        <v>-0.776422525900468</v>
      </c>
      <c r="K1504" s="5">
        <v>-0.776422525900468</v>
      </c>
      <c r="L1504" s="5">
        <v>-0.776422525900468</v>
      </c>
      <c r="M1504" s="5">
        <v>-16.891365148136</v>
      </c>
      <c r="N1504" s="5">
        <v>-16.891365148136</v>
      </c>
      <c r="O1504" s="5">
        <v>-16.891365148136</v>
      </c>
      <c r="P1504" s="5">
        <v>0.0</v>
      </c>
      <c r="Q1504" s="5">
        <v>0.0</v>
      </c>
      <c r="R1504" s="5">
        <v>0.0</v>
      </c>
      <c r="S1504" s="5">
        <v>32.1391103769686</v>
      </c>
    </row>
    <row r="1505">
      <c r="A1505" s="6">
        <v>42538.0</v>
      </c>
      <c r="B1505" s="5">
        <v>49.8264610450581</v>
      </c>
      <c r="C1505" s="5">
        <v>-32.2780924310072</v>
      </c>
      <c r="D1505" s="5">
        <v>89.2894021756982</v>
      </c>
      <c r="E1505" s="5">
        <v>49.8264610450581</v>
      </c>
      <c r="F1505" s="5">
        <v>49.8264610450581</v>
      </c>
      <c r="G1505" s="5">
        <v>-18.4261785168271</v>
      </c>
      <c r="H1505" s="5">
        <v>-18.4261785168271</v>
      </c>
      <c r="I1505" s="5">
        <v>-18.4261785168271</v>
      </c>
      <c r="J1505" s="5">
        <v>-1.59155056649312</v>
      </c>
      <c r="K1505" s="5">
        <v>-1.59155056649312</v>
      </c>
      <c r="L1505" s="5">
        <v>-1.59155056649312</v>
      </c>
      <c r="M1505" s="5">
        <v>-16.834627950334</v>
      </c>
      <c r="N1505" s="5">
        <v>-16.834627950334</v>
      </c>
      <c r="O1505" s="5">
        <v>-16.834627950334</v>
      </c>
      <c r="P1505" s="5">
        <v>0.0</v>
      </c>
      <c r="Q1505" s="5">
        <v>0.0</v>
      </c>
      <c r="R1505" s="5">
        <v>0.0</v>
      </c>
      <c r="S1505" s="5">
        <v>31.400282528231</v>
      </c>
    </row>
    <row r="1506">
      <c r="A1506" s="6">
        <v>42541.0</v>
      </c>
      <c r="B1506" s="5">
        <v>49.8851500272172</v>
      </c>
      <c r="C1506" s="5">
        <v>-29.6830333814322</v>
      </c>
      <c r="D1506" s="5">
        <v>100.855433324506</v>
      </c>
      <c r="E1506" s="5">
        <v>49.8851500272172</v>
      </c>
      <c r="F1506" s="5">
        <v>49.8851500272172</v>
      </c>
      <c r="G1506" s="5">
        <v>-16.3153394106498</v>
      </c>
      <c r="H1506" s="5">
        <v>-16.3153394106498</v>
      </c>
      <c r="I1506" s="5">
        <v>-16.3153394106498</v>
      </c>
      <c r="J1506" s="5">
        <v>0.0905589421200875</v>
      </c>
      <c r="K1506" s="5">
        <v>0.0905589421200875</v>
      </c>
      <c r="L1506" s="5">
        <v>0.0905589421200875</v>
      </c>
      <c r="M1506" s="5">
        <v>-16.4058983527699</v>
      </c>
      <c r="N1506" s="5">
        <v>-16.4058983527699</v>
      </c>
      <c r="O1506" s="5">
        <v>-16.4058983527699</v>
      </c>
      <c r="P1506" s="5">
        <v>0.0</v>
      </c>
      <c r="Q1506" s="5">
        <v>0.0</v>
      </c>
      <c r="R1506" s="5">
        <v>0.0</v>
      </c>
      <c r="S1506" s="5">
        <v>33.5698106165673</v>
      </c>
    </row>
    <row r="1507">
      <c r="A1507" s="6">
        <v>42542.0</v>
      </c>
      <c r="B1507" s="5">
        <v>49.9047130212702</v>
      </c>
      <c r="C1507" s="5">
        <v>-28.2621057702124</v>
      </c>
      <c r="D1507" s="5">
        <v>96.7057933479856</v>
      </c>
      <c r="E1507" s="5">
        <v>49.9047130212702</v>
      </c>
      <c r="F1507" s="5">
        <v>49.9047130212702</v>
      </c>
      <c r="G1507" s="5">
        <v>-16.3054716150339</v>
      </c>
      <c r="H1507" s="5">
        <v>-16.3054716150339</v>
      </c>
      <c r="I1507" s="5">
        <v>-16.3054716150339</v>
      </c>
      <c r="J1507" s="5">
        <v>-0.144118857245177</v>
      </c>
      <c r="K1507" s="5">
        <v>-0.144118857245177</v>
      </c>
      <c r="L1507" s="5">
        <v>-0.144118857245177</v>
      </c>
      <c r="M1507" s="5">
        <v>-16.1613527577887</v>
      </c>
      <c r="N1507" s="5">
        <v>-16.1613527577887</v>
      </c>
      <c r="O1507" s="5">
        <v>-16.1613527577887</v>
      </c>
      <c r="P1507" s="5">
        <v>0.0</v>
      </c>
      <c r="Q1507" s="5">
        <v>0.0</v>
      </c>
      <c r="R1507" s="5">
        <v>0.0</v>
      </c>
      <c r="S1507" s="5">
        <v>33.5992414062363</v>
      </c>
    </row>
    <row r="1508">
      <c r="A1508" s="6">
        <v>42543.0</v>
      </c>
      <c r="B1508" s="5">
        <v>49.9242760153232</v>
      </c>
      <c r="C1508" s="5">
        <v>-26.1930108200093</v>
      </c>
      <c r="D1508" s="5">
        <v>98.139995291685</v>
      </c>
      <c r="E1508" s="5">
        <v>49.9242760153232</v>
      </c>
      <c r="F1508" s="5">
        <v>49.9242760153232</v>
      </c>
      <c r="G1508" s="5">
        <v>-15.855057326742</v>
      </c>
      <c r="H1508" s="5">
        <v>-15.855057326742</v>
      </c>
      <c r="I1508" s="5">
        <v>-15.855057326742</v>
      </c>
      <c r="J1508" s="5">
        <v>0.00703780528184928</v>
      </c>
      <c r="K1508" s="5">
        <v>0.00703780528184928</v>
      </c>
      <c r="L1508" s="5">
        <v>0.00703780528184928</v>
      </c>
      <c r="M1508" s="5">
        <v>-15.8620951320239</v>
      </c>
      <c r="N1508" s="5">
        <v>-15.8620951320239</v>
      </c>
      <c r="O1508" s="5">
        <v>-15.8620951320239</v>
      </c>
      <c r="P1508" s="5">
        <v>0.0</v>
      </c>
      <c r="Q1508" s="5">
        <v>0.0</v>
      </c>
      <c r="R1508" s="5">
        <v>0.0</v>
      </c>
      <c r="S1508" s="5">
        <v>34.0692186885812</v>
      </c>
    </row>
    <row r="1509">
      <c r="A1509" s="6">
        <v>42544.0</v>
      </c>
      <c r="B1509" s="5">
        <v>49.9438390093762</v>
      </c>
      <c r="C1509" s="5">
        <v>-33.5983515028857</v>
      </c>
      <c r="D1509" s="5">
        <v>99.2973845005235</v>
      </c>
      <c r="E1509" s="5">
        <v>49.9438390093762</v>
      </c>
      <c r="F1509" s="5">
        <v>49.9438390093762</v>
      </c>
      <c r="G1509" s="5">
        <v>-16.2847594295504</v>
      </c>
      <c r="H1509" s="5">
        <v>-16.2847594295504</v>
      </c>
      <c r="I1509" s="5">
        <v>-16.2847594295504</v>
      </c>
      <c r="J1509" s="5">
        <v>-0.77642252590119</v>
      </c>
      <c r="K1509" s="5">
        <v>-0.77642252590119</v>
      </c>
      <c r="L1509" s="5">
        <v>-0.77642252590119</v>
      </c>
      <c r="M1509" s="5">
        <v>-15.5083369036492</v>
      </c>
      <c r="N1509" s="5">
        <v>-15.5083369036492</v>
      </c>
      <c r="O1509" s="5">
        <v>-15.5083369036492</v>
      </c>
      <c r="P1509" s="5">
        <v>0.0</v>
      </c>
      <c r="Q1509" s="5">
        <v>0.0</v>
      </c>
      <c r="R1509" s="5">
        <v>0.0</v>
      </c>
      <c r="S1509" s="5">
        <v>33.6590795798258</v>
      </c>
    </row>
    <row r="1510">
      <c r="A1510" s="6">
        <v>42545.0</v>
      </c>
      <c r="B1510" s="5">
        <v>49.9634020034293</v>
      </c>
      <c r="C1510" s="5">
        <v>-28.3213233136298</v>
      </c>
      <c r="D1510" s="5">
        <v>98.6982821525468</v>
      </c>
      <c r="E1510" s="5">
        <v>49.9634020034293</v>
      </c>
      <c r="F1510" s="5">
        <v>49.9634020034293</v>
      </c>
      <c r="G1510" s="5">
        <v>-16.6936050421187</v>
      </c>
      <c r="H1510" s="5">
        <v>-16.6936050421187</v>
      </c>
      <c r="I1510" s="5">
        <v>-16.6936050421187</v>
      </c>
      <c r="J1510" s="5">
        <v>-1.59155056649463</v>
      </c>
      <c r="K1510" s="5">
        <v>-1.59155056649463</v>
      </c>
      <c r="L1510" s="5">
        <v>-1.59155056649463</v>
      </c>
      <c r="M1510" s="5">
        <v>-15.1020544756241</v>
      </c>
      <c r="N1510" s="5">
        <v>-15.1020544756241</v>
      </c>
      <c r="O1510" s="5">
        <v>-15.1020544756241</v>
      </c>
      <c r="P1510" s="5">
        <v>0.0</v>
      </c>
      <c r="Q1510" s="5">
        <v>0.0</v>
      </c>
      <c r="R1510" s="5">
        <v>0.0</v>
      </c>
      <c r="S1510" s="5">
        <v>33.2697969613105</v>
      </c>
    </row>
    <row r="1511">
      <c r="A1511" s="6">
        <v>42548.0</v>
      </c>
      <c r="B1511" s="5">
        <v>50.0220909855883</v>
      </c>
      <c r="C1511" s="5">
        <v>-24.2082580715506</v>
      </c>
      <c r="D1511" s="5">
        <v>103.422101033464</v>
      </c>
      <c r="E1511" s="5">
        <v>50.0220909855883</v>
      </c>
      <c r="F1511" s="5">
        <v>50.0220909855883</v>
      </c>
      <c r="G1511" s="5">
        <v>-13.5228355667068</v>
      </c>
      <c r="H1511" s="5">
        <v>-13.5228355667068</v>
      </c>
      <c r="I1511" s="5">
        <v>-13.5228355667068</v>
      </c>
      <c r="J1511" s="5">
        <v>0.0905589421210339</v>
      </c>
      <c r="K1511" s="5">
        <v>0.0905589421210339</v>
      </c>
      <c r="L1511" s="5">
        <v>0.0905589421210339</v>
      </c>
      <c r="M1511" s="5">
        <v>-13.6133945088278</v>
      </c>
      <c r="N1511" s="5">
        <v>-13.6133945088278</v>
      </c>
      <c r="O1511" s="5">
        <v>-13.6133945088278</v>
      </c>
      <c r="P1511" s="5">
        <v>0.0</v>
      </c>
      <c r="Q1511" s="5">
        <v>0.0</v>
      </c>
      <c r="R1511" s="5">
        <v>0.0</v>
      </c>
      <c r="S1511" s="5">
        <v>36.4992554188815</v>
      </c>
    </row>
    <row r="1512">
      <c r="A1512" s="6">
        <v>42549.0</v>
      </c>
      <c r="B1512" s="5">
        <v>50.0416539796413</v>
      </c>
      <c r="C1512" s="5">
        <v>-30.1655226596916</v>
      </c>
      <c r="D1512" s="5">
        <v>103.882915773635</v>
      </c>
      <c r="E1512" s="5">
        <v>50.0416539796413</v>
      </c>
      <c r="F1512" s="5">
        <v>50.0416539796413</v>
      </c>
      <c r="G1512" s="5">
        <v>-13.1941956803413</v>
      </c>
      <c r="H1512" s="5">
        <v>-13.1941956803413</v>
      </c>
      <c r="I1512" s="5">
        <v>-13.1941956803413</v>
      </c>
      <c r="J1512" s="5">
        <v>-0.144118857244089</v>
      </c>
      <c r="K1512" s="5">
        <v>-0.144118857244089</v>
      </c>
      <c r="L1512" s="5">
        <v>-0.144118857244089</v>
      </c>
      <c r="M1512" s="5">
        <v>-13.0500768230972</v>
      </c>
      <c r="N1512" s="5">
        <v>-13.0500768230972</v>
      </c>
      <c r="O1512" s="5">
        <v>-13.0500768230972</v>
      </c>
      <c r="P1512" s="5">
        <v>0.0</v>
      </c>
      <c r="Q1512" s="5">
        <v>0.0</v>
      </c>
      <c r="R1512" s="5">
        <v>0.0</v>
      </c>
      <c r="S1512" s="5">
        <v>36.8474582993</v>
      </c>
    </row>
    <row r="1513">
      <c r="A1513" s="6">
        <v>42550.0</v>
      </c>
      <c r="B1513" s="5">
        <v>50.0612169736943</v>
      </c>
      <c r="C1513" s="5">
        <v>-24.6986359919072</v>
      </c>
      <c r="D1513" s="5">
        <v>99.9704810704778</v>
      </c>
      <c r="E1513" s="5">
        <v>50.0612169736943</v>
      </c>
      <c r="F1513" s="5">
        <v>50.0612169736943</v>
      </c>
      <c r="G1513" s="5">
        <v>-12.4608346631247</v>
      </c>
      <c r="H1513" s="5">
        <v>-12.4608346631247</v>
      </c>
      <c r="I1513" s="5">
        <v>-12.4608346631247</v>
      </c>
      <c r="J1513" s="5">
        <v>0.00703780528316035</v>
      </c>
      <c r="K1513" s="5">
        <v>0.00703780528316035</v>
      </c>
      <c r="L1513" s="5">
        <v>0.00703780528316035</v>
      </c>
      <c r="M1513" s="5">
        <v>-12.4678724684079</v>
      </c>
      <c r="N1513" s="5">
        <v>-12.4678724684079</v>
      </c>
      <c r="O1513" s="5">
        <v>-12.4678724684079</v>
      </c>
      <c r="P1513" s="5">
        <v>0.0</v>
      </c>
      <c r="Q1513" s="5">
        <v>0.0</v>
      </c>
      <c r="R1513" s="5">
        <v>0.0</v>
      </c>
      <c r="S1513" s="5">
        <v>37.6003823105696</v>
      </c>
    </row>
    <row r="1514">
      <c r="A1514" s="6">
        <v>42551.0</v>
      </c>
      <c r="B1514" s="5">
        <v>50.0807799677474</v>
      </c>
      <c r="C1514" s="5">
        <v>-22.9122175729105</v>
      </c>
      <c r="D1514" s="5">
        <v>98.3107741805723</v>
      </c>
      <c r="E1514" s="5">
        <v>50.0807799677474</v>
      </c>
      <c r="F1514" s="5">
        <v>50.0807799677474</v>
      </c>
      <c r="G1514" s="5">
        <v>-12.6534568624545</v>
      </c>
      <c r="H1514" s="5">
        <v>-12.6534568624545</v>
      </c>
      <c r="I1514" s="5">
        <v>-12.6534568624545</v>
      </c>
      <c r="J1514" s="5">
        <v>-0.776422525900437</v>
      </c>
      <c r="K1514" s="5">
        <v>-0.776422525900437</v>
      </c>
      <c r="L1514" s="5">
        <v>-0.776422525900437</v>
      </c>
      <c r="M1514" s="5">
        <v>-11.877034336554</v>
      </c>
      <c r="N1514" s="5">
        <v>-11.877034336554</v>
      </c>
      <c r="O1514" s="5">
        <v>-11.877034336554</v>
      </c>
      <c r="P1514" s="5">
        <v>0.0</v>
      </c>
      <c r="Q1514" s="5">
        <v>0.0</v>
      </c>
      <c r="R1514" s="5">
        <v>0.0</v>
      </c>
      <c r="S1514" s="5">
        <v>37.4273231052928</v>
      </c>
    </row>
    <row r="1515">
      <c r="A1515" s="6">
        <v>42552.0</v>
      </c>
      <c r="B1515" s="5">
        <v>50.1003554456455</v>
      </c>
      <c r="C1515" s="5">
        <v>-25.1463636050149</v>
      </c>
      <c r="D1515" s="5">
        <v>98.9078238406151</v>
      </c>
      <c r="E1515" s="5">
        <v>50.1003554456455</v>
      </c>
      <c r="F1515" s="5">
        <v>50.1003554456455</v>
      </c>
      <c r="G1515" s="5">
        <v>-12.8799484663748</v>
      </c>
      <c r="H1515" s="5">
        <v>-12.8799484663748</v>
      </c>
      <c r="I1515" s="5">
        <v>-12.8799484663748</v>
      </c>
      <c r="J1515" s="5">
        <v>-1.59155056649402</v>
      </c>
      <c r="K1515" s="5">
        <v>-1.59155056649402</v>
      </c>
      <c r="L1515" s="5">
        <v>-1.59155056649402</v>
      </c>
      <c r="M1515" s="5">
        <v>-11.2883978998808</v>
      </c>
      <c r="N1515" s="5">
        <v>-11.2883978998808</v>
      </c>
      <c r="O1515" s="5">
        <v>-11.2883978998808</v>
      </c>
      <c r="P1515" s="5">
        <v>0.0</v>
      </c>
      <c r="Q1515" s="5">
        <v>0.0</v>
      </c>
      <c r="R1515" s="5">
        <v>0.0</v>
      </c>
      <c r="S1515" s="5">
        <v>37.2204069792706</v>
      </c>
    </row>
    <row r="1516">
      <c r="A1516" s="6">
        <v>42556.0</v>
      </c>
      <c r="B1516" s="5">
        <v>50.178657357238</v>
      </c>
      <c r="C1516" s="5">
        <v>-20.5410207270736</v>
      </c>
      <c r="D1516" s="5">
        <v>103.795003361193</v>
      </c>
      <c r="E1516" s="5">
        <v>50.178657357238</v>
      </c>
      <c r="F1516" s="5">
        <v>50.178657357238</v>
      </c>
      <c r="G1516" s="5">
        <v>-9.31966456980395</v>
      </c>
      <c r="H1516" s="5">
        <v>-9.31966456980395</v>
      </c>
      <c r="I1516" s="5">
        <v>-9.31966456980395</v>
      </c>
      <c r="J1516" s="5">
        <v>-0.144118857246939</v>
      </c>
      <c r="K1516" s="5">
        <v>-0.144118857246939</v>
      </c>
      <c r="L1516" s="5">
        <v>-0.144118857246939</v>
      </c>
      <c r="M1516" s="5">
        <v>-9.17554571255701</v>
      </c>
      <c r="N1516" s="5">
        <v>-9.17554571255701</v>
      </c>
      <c r="O1516" s="5">
        <v>-9.17554571255701</v>
      </c>
      <c r="P1516" s="5">
        <v>0.0</v>
      </c>
      <c r="Q1516" s="5">
        <v>0.0</v>
      </c>
      <c r="R1516" s="5">
        <v>0.0</v>
      </c>
      <c r="S1516" s="5">
        <v>40.858992787434</v>
      </c>
    </row>
    <row r="1517">
      <c r="A1517" s="6">
        <v>42557.0</v>
      </c>
      <c r="B1517" s="5">
        <v>50.1982328351361</v>
      </c>
      <c r="C1517" s="5">
        <v>-28.0738367028859</v>
      </c>
      <c r="D1517" s="5">
        <v>101.769743190195</v>
      </c>
      <c r="E1517" s="5">
        <v>50.1982328351361</v>
      </c>
      <c r="F1517" s="5">
        <v>50.1982328351361</v>
      </c>
      <c r="G1517" s="5">
        <v>-8.75196279862197</v>
      </c>
      <c r="H1517" s="5">
        <v>-8.75196279862197</v>
      </c>
      <c r="I1517" s="5">
        <v>-8.75196279862197</v>
      </c>
      <c r="J1517" s="5">
        <v>0.00703780528329923</v>
      </c>
      <c r="K1517" s="5">
        <v>0.00703780528329923</v>
      </c>
      <c r="L1517" s="5">
        <v>0.00703780528329923</v>
      </c>
      <c r="M1517" s="5">
        <v>-8.75900060390527</v>
      </c>
      <c r="N1517" s="5">
        <v>-8.75900060390527</v>
      </c>
      <c r="O1517" s="5">
        <v>-8.75900060390527</v>
      </c>
      <c r="P1517" s="5">
        <v>0.0</v>
      </c>
      <c r="Q1517" s="5">
        <v>0.0</v>
      </c>
      <c r="R1517" s="5">
        <v>0.0</v>
      </c>
      <c r="S1517" s="5">
        <v>41.4462700365141</v>
      </c>
    </row>
    <row r="1518">
      <c r="A1518" s="6">
        <v>42558.0</v>
      </c>
      <c r="B1518" s="5">
        <v>50.2178083130343</v>
      </c>
      <c r="C1518" s="5">
        <v>-20.4260165378244</v>
      </c>
      <c r="D1518" s="5">
        <v>102.384971304054</v>
      </c>
      <c r="E1518" s="5">
        <v>50.2178083130343</v>
      </c>
      <c r="F1518" s="5">
        <v>50.2178083130343</v>
      </c>
      <c r="G1518" s="5">
        <v>-9.18089466431266</v>
      </c>
      <c r="H1518" s="5">
        <v>-9.18089466431266</v>
      </c>
      <c r="I1518" s="5">
        <v>-9.18089466431266</v>
      </c>
      <c r="J1518" s="5">
        <v>-0.776422525902534</v>
      </c>
      <c r="K1518" s="5">
        <v>-0.776422525902534</v>
      </c>
      <c r="L1518" s="5">
        <v>-0.776422525902534</v>
      </c>
      <c r="M1518" s="5">
        <v>-8.40447213841012</v>
      </c>
      <c r="N1518" s="5">
        <v>-8.40447213841012</v>
      </c>
      <c r="O1518" s="5">
        <v>-8.40447213841012</v>
      </c>
      <c r="P1518" s="5">
        <v>0.0</v>
      </c>
      <c r="Q1518" s="5">
        <v>0.0</v>
      </c>
      <c r="R1518" s="5">
        <v>0.0</v>
      </c>
      <c r="S1518" s="5">
        <v>41.0369136487216</v>
      </c>
    </row>
    <row r="1519">
      <c r="A1519" s="6">
        <v>42559.0</v>
      </c>
      <c r="B1519" s="5">
        <v>50.2373837909324</v>
      </c>
      <c r="C1519" s="5">
        <v>-25.0745345657411</v>
      </c>
      <c r="D1519" s="5">
        <v>97.8693337037639</v>
      </c>
      <c r="E1519" s="5">
        <v>50.2373837909324</v>
      </c>
      <c r="F1519" s="5">
        <v>50.2373837909324</v>
      </c>
      <c r="G1519" s="5">
        <v>-9.70986971601142</v>
      </c>
      <c r="H1519" s="5">
        <v>-9.70986971601142</v>
      </c>
      <c r="I1519" s="5">
        <v>-9.70986971601142</v>
      </c>
      <c r="J1519" s="5">
        <v>-1.59155056649278</v>
      </c>
      <c r="K1519" s="5">
        <v>-1.59155056649278</v>
      </c>
      <c r="L1519" s="5">
        <v>-1.59155056649278</v>
      </c>
      <c r="M1519" s="5">
        <v>-8.11831914951864</v>
      </c>
      <c r="N1519" s="5">
        <v>-8.11831914951864</v>
      </c>
      <c r="O1519" s="5">
        <v>-8.11831914951864</v>
      </c>
      <c r="P1519" s="5">
        <v>0.0</v>
      </c>
      <c r="Q1519" s="5">
        <v>0.0</v>
      </c>
      <c r="R1519" s="5">
        <v>0.0</v>
      </c>
      <c r="S1519" s="5">
        <v>40.5275140749209</v>
      </c>
    </row>
    <row r="1520">
      <c r="A1520" s="6">
        <v>42562.0</v>
      </c>
      <c r="B1520" s="5">
        <v>50.2961102246268</v>
      </c>
      <c r="C1520" s="5">
        <v>-17.6358690308527</v>
      </c>
      <c r="D1520" s="5">
        <v>105.369081987524</v>
      </c>
      <c r="E1520" s="5">
        <v>50.2961102246268</v>
      </c>
      <c r="F1520" s="5">
        <v>50.2961102246268</v>
      </c>
      <c r="G1520" s="5">
        <v>-7.61735151090168</v>
      </c>
      <c r="H1520" s="5">
        <v>-7.61735151090168</v>
      </c>
      <c r="I1520" s="5">
        <v>-7.61735151090168</v>
      </c>
      <c r="J1520" s="5">
        <v>0.0905589421230068</v>
      </c>
      <c r="K1520" s="5">
        <v>0.0905589421230068</v>
      </c>
      <c r="L1520" s="5">
        <v>0.0905589421230068</v>
      </c>
      <c r="M1520" s="5">
        <v>-7.70791045302468</v>
      </c>
      <c r="N1520" s="5">
        <v>-7.70791045302468</v>
      </c>
      <c r="O1520" s="5">
        <v>-7.70791045302468</v>
      </c>
      <c r="P1520" s="5">
        <v>0.0</v>
      </c>
      <c r="Q1520" s="5">
        <v>0.0</v>
      </c>
      <c r="R1520" s="5">
        <v>0.0</v>
      </c>
      <c r="S1520" s="5">
        <v>42.6787587137251</v>
      </c>
    </row>
    <row r="1521">
      <c r="A1521" s="6">
        <v>42563.0</v>
      </c>
      <c r="B1521" s="5">
        <v>50.3156857025249</v>
      </c>
      <c r="C1521" s="5">
        <v>-22.0680823454164</v>
      </c>
      <c r="D1521" s="5">
        <v>104.318020553578</v>
      </c>
      <c r="E1521" s="5">
        <v>50.3156857025249</v>
      </c>
      <c r="F1521" s="5">
        <v>50.3156857025249</v>
      </c>
      <c r="G1521" s="5">
        <v>-7.86779242148406</v>
      </c>
      <c r="H1521" s="5">
        <v>-7.86779242148406</v>
      </c>
      <c r="I1521" s="5">
        <v>-7.86779242148406</v>
      </c>
      <c r="J1521" s="5">
        <v>-0.144118857243327</v>
      </c>
      <c r="K1521" s="5">
        <v>-0.144118857243327</v>
      </c>
      <c r="L1521" s="5">
        <v>-0.144118857243327</v>
      </c>
      <c r="M1521" s="5">
        <v>-7.72367356424074</v>
      </c>
      <c r="N1521" s="5">
        <v>-7.72367356424074</v>
      </c>
      <c r="O1521" s="5">
        <v>-7.72367356424074</v>
      </c>
      <c r="P1521" s="5">
        <v>0.0</v>
      </c>
      <c r="Q1521" s="5">
        <v>0.0</v>
      </c>
      <c r="R1521" s="5">
        <v>0.0</v>
      </c>
      <c r="S1521" s="5">
        <v>42.4478932810408</v>
      </c>
    </row>
    <row r="1522">
      <c r="A1522" s="6">
        <v>42564.0</v>
      </c>
      <c r="B1522" s="5">
        <v>50.335261180423</v>
      </c>
      <c r="C1522" s="5">
        <v>-19.9256899363441</v>
      </c>
      <c r="D1522" s="5">
        <v>108.07300079403</v>
      </c>
      <c r="E1522" s="5">
        <v>50.335261180423</v>
      </c>
      <c r="F1522" s="5">
        <v>50.335261180423</v>
      </c>
      <c r="G1522" s="5">
        <v>-7.80545343259273</v>
      </c>
      <c r="H1522" s="5">
        <v>-7.80545343259273</v>
      </c>
      <c r="I1522" s="5">
        <v>-7.80545343259273</v>
      </c>
      <c r="J1522" s="5">
        <v>0.00703780528244664</v>
      </c>
      <c r="K1522" s="5">
        <v>0.00703780528244664</v>
      </c>
      <c r="L1522" s="5">
        <v>0.00703780528244664</v>
      </c>
      <c r="M1522" s="5">
        <v>-7.81249123787517</v>
      </c>
      <c r="N1522" s="5">
        <v>-7.81249123787517</v>
      </c>
      <c r="O1522" s="5">
        <v>-7.81249123787517</v>
      </c>
      <c r="P1522" s="5">
        <v>0.0</v>
      </c>
      <c r="Q1522" s="5">
        <v>0.0</v>
      </c>
      <c r="R1522" s="5">
        <v>0.0</v>
      </c>
      <c r="S1522" s="5">
        <v>42.5298077478303</v>
      </c>
    </row>
    <row r="1523">
      <c r="A1523" s="6">
        <v>42565.0</v>
      </c>
      <c r="B1523" s="5">
        <v>50.3548366583211</v>
      </c>
      <c r="C1523" s="5">
        <v>-25.0520594185615</v>
      </c>
      <c r="D1523" s="5">
        <v>102.459374711042</v>
      </c>
      <c r="E1523" s="5">
        <v>50.3548366583211</v>
      </c>
      <c r="F1523" s="5">
        <v>50.3548366583211</v>
      </c>
      <c r="G1523" s="5">
        <v>-8.74601378333738</v>
      </c>
      <c r="H1523" s="5">
        <v>-8.74601378333738</v>
      </c>
      <c r="I1523" s="5">
        <v>-8.74601378333738</v>
      </c>
      <c r="J1523" s="5">
        <v>-0.776422525901881</v>
      </c>
      <c r="K1523" s="5">
        <v>-0.776422525901881</v>
      </c>
      <c r="L1523" s="5">
        <v>-0.776422525901881</v>
      </c>
      <c r="M1523" s="5">
        <v>-7.9695912574355</v>
      </c>
      <c r="N1523" s="5">
        <v>-7.9695912574355</v>
      </c>
      <c r="O1523" s="5">
        <v>-7.9695912574355</v>
      </c>
      <c r="P1523" s="5">
        <v>0.0</v>
      </c>
      <c r="Q1523" s="5">
        <v>0.0</v>
      </c>
      <c r="R1523" s="5">
        <v>0.0</v>
      </c>
      <c r="S1523" s="5">
        <v>41.6088228749837</v>
      </c>
    </row>
    <row r="1524">
      <c r="A1524" s="6">
        <v>42566.0</v>
      </c>
      <c r="B1524" s="5">
        <v>50.3744121362193</v>
      </c>
      <c r="C1524" s="5">
        <v>-20.4846272929427</v>
      </c>
      <c r="D1524" s="5">
        <v>103.470683812682</v>
      </c>
      <c r="E1524" s="5">
        <v>50.3744121362193</v>
      </c>
      <c r="F1524" s="5">
        <v>50.3744121362193</v>
      </c>
      <c r="G1524" s="5">
        <v>-9.78000689884551</v>
      </c>
      <c r="H1524" s="5">
        <v>-9.78000689884551</v>
      </c>
      <c r="I1524" s="5">
        <v>-9.78000689884551</v>
      </c>
      <c r="J1524" s="5">
        <v>-1.59155056649185</v>
      </c>
      <c r="K1524" s="5">
        <v>-1.59155056649185</v>
      </c>
      <c r="L1524" s="5">
        <v>-1.59155056649185</v>
      </c>
      <c r="M1524" s="5">
        <v>-8.18845633235365</v>
      </c>
      <c r="N1524" s="5">
        <v>-8.18845633235365</v>
      </c>
      <c r="O1524" s="5">
        <v>-8.18845633235365</v>
      </c>
      <c r="P1524" s="5">
        <v>0.0</v>
      </c>
      <c r="Q1524" s="5">
        <v>0.0</v>
      </c>
      <c r="R1524" s="5">
        <v>0.0</v>
      </c>
      <c r="S1524" s="5">
        <v>40.5944052373737</v>
      </c>
    </row>
    <row r="1525">
      <c r="A1525" s="6">
        <v>42569.0</v>
      </c>
      <c r="B1525" s="5">
        <v>50.4331385699136</v>
      </c>
      <c r="C1525" s="5">
        <v>-20.4631201727843</v>
      </c>
      <c r="D1525" s="5">
        <v>103.877693225073</v>
      </c>
      <c r="E1525" s="5">
        <v>50.4331385699136</v>
      </c>
      <c r="F1525" s="5">
        <v>50.4331385699136</v>
      </c>
      <c r="G1525" s="5">
        <v>-9.03762354998734</v>
      </c>
      <c r="H1525" s="5">
        <v>-9.03762354998734</v>
      </c>
      <c r="I1525" s="5">
        <v>-9.03762354998734</v>
      </c>
      <c r="J1525" s="5">
        <v>0.0905589421239533</v>
      </c>
      <c r="K1525" s="5">
        <v>0.0905589421239533</v>
      </c>
      <c r="L1525" s="5">
        <v>0.0905589421239533</v>
      </c>
      <c r="M1525" s="5">
        <v>-9.12818249211129</v>
      </c>
      <c r="N1525" s="5">
        <v>-9.12818249211129</v>
      </c>
      <c r="O1525" s="5">
        <v>-9.12818249211129</v>
      </c>
      <c r="P1525" s="5">
        <v>0.0</v>
      </c>
      <c r="Q1525" s="5">
        <v>0.0</v>
      </c>
      <c r="R1525" s="5">
        <v>0.0</v>
      </c>
      <c r="S1525" s="5">
        <v>41.3955150199263</v>
      </c>
    </row>
    <row r="1526">
      <c r="A1526" s="6">
        <v>42570.0</v>
      </c>
      <c r="B1526" s="5">
        <v>50.4527140478118</v>
      </c>
      <c r="C1526" s="5">
        <v>-21.9051197460803</v>
      </c>
      <c r="D1526" s="5">
        <v>101.519325884642</v>
      </c>
      <c r="E1526" s="5">
        <v>50.4527140478118</v>
      </c>
      <c r="F1526" s="5">
        <v>50.4527140478118</v>
      </c>
      <c r="G1526" s="5">
        <v>-9.64501482711542</v>
      </c>
      <c r="H1526" s="5">
        <v>-9.64501482711542</v>
      </c>
      <c r="I1526" s="5">
        <v>-9.64501482711542</v>
      </c>
      <c r="J1526" s="5">
        <v>-0.144118857244762</v>
      </c>
      <c r="K1526" s="5">
        <v>-0.144118857244762</v>
      </c>
      <c r="L1526" s="5">
        <v>-0.144118857244762</v>
      </c>
      <c r="M1526" s="5">
        <v>-9.50089596987066</v>
      </c>
      <c r="N1526" s="5">
        <v>-9.50089596987066</v>
      </c>
      <c r="O1526" s="5">
        <v>-9.50089596987066</v>
      </c>
      <c r="P1526" s="5">
        <v>0.0</v>
      </c>
      <c r="Q1526" s="5">
        <v>0.0</v>
      </c>
      <c r="R1526" s="5">
        <v>0.0</v>
      </c>
      <c r="S1526" s="5">
        <v>40.8076992206963</v>
      </c>
    </row>
    <row r="1527">
      <c r="A1527" s="6">
        <v>42571.0</v>
      </c>
      <c r="B1527" s="5">
        <v>50.4722895257099</v>
      </c>
      <c r="C1527" s="5">
        <v>-20.3194939710817</v>
      </c>
      <c r="D1527" s="5">
        <v>105.636238532691</v>
      </c>
      <c r="E1527" s="5">
        <v>50.4722895257099</v>
      </c>
      <c r="F1527" s="5">
        <v>50.4722895257099</v>
      </c>
      <c r="G1527" s="5">
        <v>-9.8769640288817</v>
      </c>
      <c r="H1527" s="5">
        <v>-9.8769640288817</v>
      </c>
      <c r="I1527" s="5">
        <v>-9.8769640288817</v>
      </c>
      <c r="J1527" s="5">
        <v>0.00703780528042197</v>
      </c>
      <c r="K1527" s="5">
        <v>0.00703780528042197</v>
      </c>
      <c r="L1527" s="5">
        <v>0.00703780528042197</v>
      </c>
      <c r="M1527" s="5">
        <v>-9.88400183416213</v>
      </c>
      <c r="N1527" s="5">
        <v>-9.88400183416213</v>
      </c>
      <c r="O1527" s="5">
        <v>-9.88400183416213</v>
      </c>
      <c r="P1527" s="5">
        <v>0.0</v>
      </c>
      <c r="Q1527" s="5">
        <v>0.0</v>
      </c>
      <c r="R1527" s="5">
        <v>0.0</v>
      </c>
      <c r="S1527" s="5">
        <v>40.5953254968282</v>
      </c>
    </row>
    <row r="1528">
      <c r="A1528" s="6">
        <v>42572.0</v>
      </c>
      <c r="B1528" s="5">
        <v>50.491865003608</v>
      </c>
      <c r="C1528" s="5">
        <v>-26.0753237459519</v>
      </c>
      <c r="D1528" s="5">
        <v>100.673615216476</v>
      </c>
      <c r="E1528" s="5">
        <v>50.491865003608</v>
      </c>
      <c r="F1528" s="5">
        <v>50.491865003608</v>
      </c>
      <c r="G1528" s="5">
        <v>-11.0418325826295</v>
      </c>
      <c r="H1528" s="5">
        <v>-11.0418325826295</v>
      </c>
      <c r="I1528" s="5">
        <v>-11.0418325826295</v>
      </c>
      <c r="J1528" s="5">
        <v>-0.776422525901128</v>
      </c>
      <c r="K1528" s="5">
        <v>-0.776422525901128</v>
      </c>
      <c r="L1528" s="5">
        <v>-0.776422525901128</v>
      </c>
      <c r="M1528" s="5">
        <v>-10.2654100567283</v>
      </c>
      <c r="N1528" s="5">
        <v>-10.2654100567283</v>
      </c>
      <c r="O1528" s="5">
        <v>-10.2654100567283</v>
      </c>
      <c r="P1528" s="5">
        <v>0.0</v>
      </c>
      <c r="Q1528" s="5">
        <v>0.0</v>
      </c>
      <c r="R1528" s="5">
        <v>0.0</v>
      </c>
      <c r="S1528" s="5">
        <v>39.4500324209785</v>
      </c>
    </row>
    <row r="1529">
      <c r="A1529" s="6">
        <v>42573.0</v>
      </c>
      <c r="B1529" s="5">
        <v>50.5114404815061</v>
      </c>
      <c r="C1529" s="5">
        <v>-24.2574241092477</v>
      </c>
      <c r="D1529" s="5">
        <v>100.296810616005</v>
      </c>
      <c r="E1529" s="5">
        <v>50.5114404815061</v>
      </c>
      <c r="F1529" s="5">
        <v>50.5114404815061</v>
      </c>
      <c r="G1529" s="5">
        <v>-12.2247097445736</v>
      </c>
      <c r="H1529" s="5">
        <v>-12.2247097445736</v>
      </c>
      <c r="I1529" s="5">
        <v>-12.2247097445736</v>
      </c>
      <c r="J1529" s="5">
        <v>-1.59155056649336</v>
      </c>
      <c r="K1529" s="5">
        <v>-1.59155056649336</v>
      </c>
      <c r="L1529" s="5">
        <v>-1.59155056649336</v>
      </c>
      <c r="M1529" s="5">
        <v>-10.6331591780803</v>
      </c>
      <c r="N1529" s="5">
        <v>-10.6331591780803</v>
      </c>
      <c r="O1529" s="5">
        <v>-10.6331591780803</v>
      </c>
      <c r="P1529" s="5">
        <v>0.0</v>
      </c>
      <c r="Q1529" s="5">
        <v>0.0</v>
      </c>
      <c r="R1529" s="5">
        <v>0.0</v>
      </c>
      <c r="S1529" s="5">
        <v>38.2867307369325</v>
      </c>
    </row>
    <row r="1530">
      <c r="A1530" s="6">
        <v>42576.0</v>
      </c>
      <c r="B1530" s="5">
        <v>50.5701669152005</v>
      </c>
      <c r="C1530" s="5">
        <v>-23.0685814378372</v>
      </c>
      <c r="D1530" s="5">
        <v>103.291614300324</v>
      </c>
      <c r="E1530" s="5">
        <v>50.5701669152005</v>
      </c>
      <c r="F1530" s="5">
        <v>50.5701669152005</v>
      </c>
      <c r="G1530" s="5">
        <v>-11.4527964875253</v>
      </c>
      <c r="H1530" s="5">
        <v>-11.4527964875253</v>
      </c>
      <c r="I1530" s="5">
        <v>-11.4527964875253</v>
      </c>
      <c r="J1530" s="5">
        <v>0.090558942120132</v>
      </c>
      <c r="K1530" s="5">
        <v>0.090558942120132</v>
      </c>
      <c r="L1530" s="5">
        <v>0.090558942120132</v>
      </c>
      <c r="M1530" s="5">
        <v>-11.5433554296455</v>
      </c>
      <c r="N1530" s="5">
        <v>-11.5433554296455</v>
      </c>
      <c r="O1530" s="5">
        <v>-11.5433554296455</v>
      </c>
      <c r="P1530" s="5">
        <v>0.0</v>
      </c>
      <c r="Q1530" s="5">
        <v>0.0</v>
      </c>
      <c r="R1530" s="5">
        <v>0.0</v>
      </c>
      <c r="S1530" s="5">
        <v>39.1173704276751</v>
      </c>
    </row>
    <row r="1531">
      <c r="A1531" s="6">
        <v>42577.0</v>
      </c>
      <c r="B1531" s="5">
        <v>50.5897423930986</v>
      </c>
      <c r="C1531" s="5">
        <v>-22.8217678680667</v>
      </c>
      <c r="D1531" s="5">
        <v>102.181123077289</v>
      </c>
      <c r="E1531" s="5">
        <v>50.5897423930986</v>
      </c>
      <c r="F1531" s="5">
        <v>50.5897423930986</v>
      </c>
      <c r="G1531" s="5">
        <v>-11.8943461035481</v>
      </c>
      <c r="H1531" s="5">
        <v>-11.8943461035481</v>
      </c>
      <c r="I1531" s="5">
        <v>-11.8943461035481</v>
      </c>
      <c r="J1531" s="5">
        <v>-0.144118857243674</v>
      </c>
      <c r="K1531" s="5">
        <v>-0.144118857243674</v>
      </c>
      <c r="L1531" s="5">
        <v>-0.144118857243674</v>
      </c>
      <c r="M1531" s="5">
        <v>-11.7502272463044</v>
      </c>
      <c r="N1531" s="5">
        <v>-11.7502272463044</v>
      </c>
      <c r="O1531" s="5">
        <v>-11.7502272463044</v>
      </c>
      <c r="P1531" s="5">
        <v>0.0</v>
      </c>
      <c r="Q1531" s="5">
        <v>0.0</v>
      </c>
      <c r="R1531" s="5">
        <v>0.0</v>
      </c>
      <c r="S1531" s="5">
        <v>38.6953962895505</v>
      </c>
    </row>
    <row r="1532">
      <c r="A1532" s="6">
        <v>42578.0</v>
      </c>
      <c r="B1532" s="5">
        <v>50.6093178709968</v>
      </c>
      <c r="C1532" s="5">
        <v>-25.7221091779725</v>
      </c>
      <c r="D1532" s="5">
        <v>102.655183572019</v>
      </c>
      <c r="E1532" s="5">
        <v>50.6093178709968</v>
      </c>
      <c r="F1532" s="5">
        <v>50.6093178709968</v>
      </c>
      <c r="G1532" s="5">
        <v>-11.8890062243162</v>
      </c>
      <c r="H1532" s="5">
        <v>-11.8890062243162</v>
      </c>
      <c r="I1532" s="5">
        <v>-11.8890062243162</v>
      </c>
      <c r="J1532" s="5">
        <v>0.00703780528272434</v>
      </c>
      <c r="K1532" s="5">
        <v>0.00703780528272434</v>
      </c>
      <c r="L1532" s="5">
        <v>0.00703780528272434</v>
      </c>
      <c r="M1532" s="5">
        <v>-11.8960440295989</v>
      </c>
      <c r="N1532" s="5">
        <v>-11.8960440295989</v>
      </c>
      <c r="O1532" s="5">
        <v>-11.8960440295989</v>
      </c>
      <c r="P1532" s="5">
        <v>0.0</v>
      </c>
      <c r="Q1532" s="5">
        <v>0.0</v>
      </c>
      <c r="R1532" s="5">
        <v>0.0</v>
      </c>
      <c r="S1532" s="5">
        <v>38.7203116466805</v>
      </c>
    </row>
    <row r="1533">
      <c r="A1533" s="6">
        <v>42579.0</v>
      </c>
      <c r="B1533" s="5">
        <v>50.6288933488949</v>
      </c>
      <c r="C1533" s="5">
        <v>-24.7450788916921</v>
      </c>
      <c r="D1533" s="5">
        <v>101.753354212616</v>
      </c>
      <c r="E1533" s="5">
        <v>50.6288933488949</v>
      </c>
      <c r="F1533" s="5">
        <v>50.6288933488949</v>
      </c>
      <c r="G1533" s="5">
        <v>-12.7519439257329</v>
      </c>
      <c r="H1533" s="5">
        <v>-12.7519439257329</v>
      </c>
      <c r="I1533" s="5">
        <v>-12.7519439257329</v>
      </c>
      <c r="J1533" s="5">
        <v>-0.77642252590185</v>
      </c>
      <c r="K1533" s="5">
        <v>-0.77642252590185</v>
      </c>
      <c r="L1533" s="5">
        <v>-0.77642252590185</v>
      </c>
      <c r="M1533" s="5">
        <v>-11.9755213998311</v>
      </c>
      <c r="N1533" s="5">
        <v>-11.9755213998311</v>
      </c>
      <c r="O1533" s="5">
        <v>-11.9755213998311</v>
      </c>
      <c r="P1533" s="5">
        <v>0.0</v>
      </c>
      <c r="Q1533" s="5">
        <v>0.0</v>
      </c>
      <c r="R1533" s="5">
        <v>0.0</v>
      </c>
      <c r="S1533" s="5">
        <v>37.8769494231619</v>
      </c>
    </row>
    <row r="1534">
      <c r="A1534" s="6">
        <v>42580.0</v>
      </c>
      <c r="B1534" s="5">
        <v>50.648468826793</v>
      </c>
      <c r="C1534" s="5">
        <v>-31.3511915288384</v>
      </c>
      <c r="D1534" s="5">
        <v>97.903447146866</v>
      </c>
      <c r="E1534" s="5">
        <v>50.648468826793</v>
      </c>
      <c r="F1534" s="5">
        <v>50.648468826793</v>
      </c>
      <c r="G1534" s="5">
        <v>-13.5767083928423</v>
      </c>
      <c r="H1534" s="5">
        <v>-13.5767083928423</v>
      </c>
      <c r="I1534" s="5">
        <v>-13.5767083928423</v>
      </c>
      <c r="J1534" s="5">
        <v>-1.59155056649212</v>
      </c>
      <c r="K1534" s="5">
        <v>-1.59155056649212</v>
      </c>
      <c r="L1534" s="5">
        <v>-1.59155056649212</v>
      </c>
      <c r="M1534" s="5">
        <v>-11.9851578263502</v>
      </c>
      <c r="N1534" s="5">
        <v>-11.9851578263502</v>
      </c>
      <c r="O1534" s="5">
        <v>-11.9851578263502</v>
      </c>
      <c r="P1534" s="5">
        <v>0.0</v>
      </c>
      <c r="Q1534" s="5">
        <v>0.0</v>
      </c>
      <c r="R1534" s="5">
        <v>0.0</v>
      </c>
      <c r="S1534" s="5">
        <v>37.0717604339507</v>
      </c>
    </row>
    <row r="1535">
      <c r="A1535" s="6">
        <v>42583.0</v>
      </c>
      <c r="B1535" s="5">
        <v>50.7071952604874</v>
      </c>
      <c r="C1535" s="5">
        <v>-25.5063707275423</v>
      </c>
      <c r="D1535" s="5">
        <v>100.789343748657</v>
      </c>
      <c r="E1535" s="5">
        <v>50.7071952604874</v>
      </c>
      <c r="F1535" s="5">
        <v>50.7071952604874</v>
      </c>
      <c r="G1535" s="5">
        <v>-11.4972268321679</v>
      </c>
      <c r="H1535" s="5">
        <v>-11.4972268321679</v>
      </c>
      <c r="I1535" s="5">
        <v>-11.4972268321679</v>
      </c>
      <c r="J1535" s="5">
        <v>0.0905589421235424</v>
      </c>
      <c r="K1535" s="5">
        <v>0.0905589421235424</v>
      </c>
      <c r="L1535" s="5">
        <v>0.0905589421235424</v>
      </c>
      <c r="M1535" s="5">
        <v>-11.5877857742914</v>
      </c>
      <c r="N1535" s="5">
        <v>-11.5877857742914</v>
      </c>
      <c r="O1535" s="5">
        <v>-11.5877857742914</v>
      </c>
      <c r="P1535" s="5">
        <v>0.0</v>
      </c>
      <c r="Q1535" s="5">
        <v>0.0</v>
      </c>
      <c r="R1535" s="5">
        <v>0.0</v>
      </c>
      <c r="S1535" s="5">
        <v>39.2099684283195</v>
      </c>
    </row>
    <row r="1536">
      <c r="A1536" s="6">
        <v>42584.0</v>
      </c>
      <c r="B1536" s="5">
        <v>50.7267707383855</v>
      </c>
      <c r="C1536" s="5">
        <v>-19.3896564506567</v>
      </c>
      <c r="D1536" s="5">
        <v>102.076470413106</v>
      </c>
      <c r="E1536" s="5">
        <v>50.7267707383855</v>
      </c>
      <c r="F1536" s="5">
        <v>50.7267707383855</v>
      </c>
      <c r="G1536" s="5">
        <v>-11.4640502719337</v>
      </c>
      <c r="H1536" s="5">
        <v>-11.4640502719337</v>
      </c>
      <c r="I1536" s="5">
        <v>-11.4640502719337</v>
      </c>
      <c r="J1536" s="5">
        <v>-0.144118857246524</v>
      </c>
      <c r="K1536" s="5">
        <v>-0.144118857246524</v>
      </c>
      <c r="L1536" s="5">
        <v>-0.144118857246524</v>
      </c>
      <c r="M1536" s="5">
        <v>-11.3199314146872</v>
      </c>
      <c r="N1536" s="5">
        <v>-11.3199314146872</v>
      </c>
      <c r="O1536" s="5">
        <v>-11.3199314146872</v>
      </c>
      <c r="P1536" s="5">
        <v>0.0</v>
      </c>
      <c r="Q1536" s="5">
        <v>0.0</v>
      </c>
      <c r="R1536" s="5">
        <v>0.0</v>
      </c>
      <c r="S1536" s="5">
        <v>39.2627204664518</v>
      </c>
    </row>
    <row r="1537">
      <c r="A1537" s="6">
        <v>42585.0</v>
      </c>
      <c r="B1537" s="5">
        <v>50.7463462162837</v>
      </c>
      <c r="C1537" s="5">
        <v>-19.685046242631</v>
      </c>
      <c r="D1537" s="5">
        <v>100.292816566547</v>
      </c>
      <c r="E1537" s="5">
        <v>50.7463462162837</v>
      </c>
      <c r="F1537" s="5">
        <v>50.7463462162837</v>
      </c>
      <c r="G1537" s="5">
        <v>-10.9849268159414</v>
      </c>
      <c r="H1537" s="5">
        <v>-10.9849268159414</v>
      </c>
      <c r="I1537" s="5">
        <v>-10.9849268159414</v>
      </c>
      <c r="J1537" s="5">
        <v>0.00703780528187175</v>
      </c>
      <c r="K1537" s="5">
        <v>0.00703780528187175</v>
      </c>
      <c r="L1537" s="5">
        <v>0.00703780528187175</v>
      </c>
      <c r="M1537" s="5">
        <v>-10.9919646212232</v>
      </c>
      <c r="N1537" s="5">
        <v>-10.9919646212232</v>
      </c>
      <c r="O1537" s="5">
        <v>-10.9919646212232</v>
      </c>
      <c r="P1537" s="5">
        <v>0.0</v>
      </c>
      <c r="Q1537" s="5">
        <v>0.0</v>
      </c>
      <c r="R1537" s="5">
        <v>0.0</v>
      </c>
      <c r="S1537" s="5">
        <v>39.7614194003422</v>
      </c>
    </row>
    <row r="1538">
      <c r="A1538" s="6">
        <v>42586.0</v>
      </c>
      <c r="B1538" s="5">
        <v>50.7659216941818</v>
      </c>
      <c r="C1538" s="5">
        <v>-24.4005010173409</v>
      </c>
      <c r="D1538" s="5">
        <v>106.083496765679</v>
      </c>
      <c r="E1538" s="5">
        <v>50.7659216941818</v>
      </c>
      <c r="F1538" s="5">
        <v>50.7659216941818</v>
      </c>
      <c r="G1538" s="5">
        <v>-11.3870789078711</v>
      </c>
      <c r="H1538" s="5">
        <v>-11.3870789078711</v>
      </c>
      <c r="I1538" s="5">
        <v>-11.3870789078711</v>
      </c>
      <c r="J1538" s="5">
        <v>-0.776422525902572</v>
      </c>
      <c r="K1538" s="5">
        <v>-0.776422525902572</v>
      </c>
      <c r="L1538" s="5">
        <v>-0.776422525902572</v>
      </c>
      <c r="M1538" s="5">
        <v>-10.6106563819685</v>
      </c>
      <c r="N1538" s="5">
        <v>-10.6106563819685</v>
      </c>
      <c r="O1538" s="5">
        <v>-10.6106563819685</v>
      </c>
      <c r="P1538" s="5">
        <v>0.0</v>
      </c>
      <c r="Q1538" s="5">
        <v>0.0</v>
      </c>
      <c r="R1538" s="5">
        <v>0.0</v>
      </c>
      <c r="S1538" s="5">
        <v>39.3788427863106</v>
      </c>
    </row>
    <row r="1539">
      <c r="A1539" s="6">
        <v>42587.0</v>
      </c>
      <c r="B1539" s="5">
        <v>50.7854971720799</v>
      </c>
      <c r="C1539" s="5">
        <v>-27.5179227101358</v>
      </c>
      <c r="D1539" s="5">
        <v>104.062102497575</v>
      </c>
      <c r="E1539" s="5">
        <v>50.7854971720799</v>
      </c>
      <c r="F1539" s="5">
        <v>50.7854971720799</v>
      </c>
      <c r="G1539" s="5">
        <v>-11.7755152424977</v>
      </c>
      <c r="H1539" s="5">
        <v>-11.7755152424977</v>
      </c>
      <c r="I1539" s="5">
        <v>-11.7755152424977</v>
      </c>
      <c r="J1539" s="5">
        <v>-1.59155056649151</v>
      </c>
      <c r="K1539" s="5">
        <v>-1.59155056649151</v>
      </c>
      <c r="L1539" s="5">
        <v>-1.59155056649151</v>
      </c>
      <c r="M1539" s="5">
        <v>-10.1839646760062</v>
      </c>
      <c r="N1539" s="5">
        <v>-10.1839646760062</v>
      </c>
      <c r="O1539" s="5">
        <v>-10.1839646760062</v>
      </c>
      <c r="P1539" s="5">
        <v>0.0</v>
      </c>
      <c r="Q1539" s="5">
        <v>0.0</v>
      </c>
      <c r="R1539" s="5">
        <v>0.0</v>
      </c>
      <c r="S1539" s="5">
        <v>39.0099819295821</v>
      </c>
    </row>
    <row r="1540">
      <c r="A1540" s="6">
        <v>42590.0</v>
      </c>
      <c r="B1540" s="5">
        <v>50.8442236057743</v>
      </c>
      <c r="C1540" s="5">
        <v>-20.1532848590705</v>
      </c>
      <c r="D1540" s="5">
        <v>103.963379806378</v>
      </c>
      <c r="E1540" s="5">
        <v>50.8442236057743</v>
      </c>
      <c r="F1540" s="5">
        <v>50.8442236057743</v>
      </c>
      <c r="G1540" s="5">
        <v>-8.63294867242302</v>
      </c>
      <c r="H1540" s="5">
        <v>-8.63294867242302</v>
      </c>
      <c r="I1540" s="5">
        <v>-8.63294867242302</v>
      </c>
      <c r="J1540" s="5">
        <v>0.0905589421221048</v>
      </c>
      <c r="K1540" s="5">
        <v>0.0905589421221048</v>
      </c>
      <c r="L1540" s="5">
        <v>0.0905589421221048</v>
      </c>
      <c r="M1540" s="5">
        <v>-8.72350761454512</v>
      </c>
      <c r="N1540" s="5">
        <v>-8.72350761454512</v>
      </c>
      <c r="O1540" s="5">
        <v>-8.72350761454512</v>
      </c>
      <c r="P1540" s="5">
        <v>0.0</v>
      </c>
      <c r="Q1540" s="5">
        <v>0.0</v>
      </c>
      <c r="R1540" s="5">
        <v>0.0</v>
      </c>
      <c r="S1540" s="5">
        <v>42.2112749333513</v>
      </c>
    </row>
    <row r="1541">
      <c r="A1541" s="6">
        <v>42591.0</v>
      </c>
      <c r="B1541" s="5">
        <v>50.8637990836724</v>
      </c>
      <c r="C1541" s="5">
        <v>-20.3743926621768</v>
      </c>
      <c r="D1541" s="5">
        <v>105.261838183805</v>
      </c>
      <c r="E1541" s="5">
        <v>50.8637990836724</v>
      </c>
      <c r="F1541" s="5">
        <v>50.8637990836724</v>
      </c>
      <c r="G1541" s="5">
        <v>-8.35344104229168</v>
      </c>
      <c r="H1541" s="5">
        <v>-8.35344104229168</v>
      </c>
      <c r="I1541" s="5">
        <v>-8.35344104229168</v>
      </c>
      <c r="J1541" s="5">
        <v>-0.14411885724796</v>
      </c>
      <c r="K1541" s="5">
        <v>-0.14411885724796</v>
      </c>
      <c r="L1541" s="5">
        <v>-0.14411885724796</v>
      </c>
      <c r="M1541" s="5">
        <v>-8.20932218504372</v>
      </c>
      <c r="N1541" s="5">
        <v>-8.20932218504372</v>
      </c>
      <c r="O1541" s="5">
        <v>-8.20932218504372</v>
      </c>
      <c r="P1541" s="5">
        <v>0.0</v>
      </c>
      <c r="Q1541" s="5">
        <v>0.0</v>
      </c>
      <c r="R1541" s="5">
        <v>0.0</v>
      </c>
      <c r="S1541" s="5">
        <v>42.5103580413807</v>
      </c>
    </row>
    <row r="1542">
      <c r="A1542" s="6">
        <v>42592.0</v>
      </c>
      <c r="B1542" s="5">
        <v>50.8833745615705</v>
      </c>
      <c r="C1542" s="5">
        <v>-21.3487824875519</v>
      </c>
      <c r="D1542" s="5">
        <v>100.001476669354</v>
      </c>
      <c r="E1542" s="5">
        <v>50.8833745615705</v>
      </c>
      <c r="F1542" s="5">
        <v>50.8833745615705</v>
      </c>
      <c r="G1542" s="5">
        <v>-7.69082888134897</v>
      </c>
      <c r="H1542" s="5">
        <v>-7.69082888134897</v>
      </c>
      <c r="I1542" s="5">
        <v>-7.69082888134897</v>
      </c>
      <c r="J1542" s="5">
        <v>0.00703780528318295</v>
      </c>
      <c r="K1542" s="5">
        <v>0.00703780528318295</v>
      </c>
      <c r="L1542" s="5">
        <v>0.00703780528318295</v>
      </c>
      <c r="M1542" s="5">
        <v>-7.69786668663216</v>
      </c>
      <c r="N1542" s="5">
        <v>-7.69786668663216</v>
      </c>
      <c r="O1542" s="5">
        <v>-7.69786668663216</v>
      </c>
      <c r="P1542" s="5">
        <v>0.0</v>
      </c>
      <c r="Q1542" s="5">
        <v>0.0</v>
      </c>
      <c r="R1542" s="5">
        <v>0.0</v>
      </c>
      <c r="S1542" s="5">
        <v>43.1925456802216</v>
      </c>
    </row>
    <row r="1543">
      <c r="A1543" s="6">
        <v>42593.0</v>
      </c>
      <c r="B1543" s="5">
        <v>50.9029500394687</v>
      </c>
      <c r="C1543" s="5">
        <v>-22.9966743899425</v>
      </c>
      <c r="D1543" s="5">
        <v>108.108913142446</v>
      </c>
      <c r="E1543" s="5">
        <v>50.9029500394687</v>
      </c>
      <c r="F1543" s="5">
        <v>50.9029500394687</v>
      </c>
      <c r="G1543" s="5">
        <v>-7.97482743388504</v>
      </c>
      <c r="H1543" s="5">
        <v>-7.97482743388504</v>
      </c>
      <c r="I1543" s="5">
        <v>-7.97482743388504</v>
      </c>
      <c r="J1543" s="5">
        <v>-0.776422525903294</v>
      </c>
      <c r="K1543" s="5">
        <v>-0.776422525903294</v>
      </c>
      <c r="L1543" s="5">
        <v>-0.776422525903294</v>
      </c>
      <c r="M1543" s="5">
        <v>-7.19840490798174</v>
      </c>
      <c r="N1543" s="5">
        <v>-7.19840490798174</v>
      </c>
      <c r="O1543" s="5">
        <v>-7.19840490798174</v>
      </c>
      <c r="P1543" s="5">
        <v>0.0</v>
      </c>
      <c r="Q1543" s="5">
        <v>0.0</v>
      </c>
      <c r="R1543" s="5">
        <v>0.0</v>
      </c>
      <c r="S1543" s="5">
        <v>42.9281226055836</v>
      </c>
    </row>
    <row r="1544">
      <c r="A1544" s="6">
        <v>42594.0</v>
      </c>
      <c r="B1544" s="5">
        <v>50.9225255173668</v>
      </c>
      <c r="C1544" s="5">
        <v>-20.6928362076754</v>
      </c>
      <c r="D1544" s="5">
        <v>105.070214102832</v>
      </c>
      <c r="E1544" s="5">
        <v>50.9225255173668</v>
      </c>
      <c r="F1544" s="5">
        <v>50.9225255173668</v>
      </c>
      <c r="G1544" s="5">
        <v>-8.31098903400585</v>
      </c>
      <c r="H1544" s="5">
        <v>-8.31098903400585</v>
      </c>
      <c r="I1544" s="5">
        <v>-8.31098903400585</v>
      </c>
      <c r="J1544" s="5">
        <v>-1.59155056649301</v>
      </c>
      <c r="K1544" s="5">
        <v>-1.59155056649301</v>
      </c>
      <c r="L1544" s="5">
        <v>-1.59155056649301</v>
      </c>
      <c r="M1544" s="5">
        <v>-6.71943846751284</v>
      </c>
      <c r="N1544" s="5">
        <v>-6.71943846751284</v>
      </c>
      <c r="O1544" s="5">
        <v>-6.71943846751284</v>
      </c>
      <c r="P1544" s="5">
        <v>0.0</v>
      </c>
      <c r="Q1544" s="5">
        <v>0.0</v>
      </c>
      <c r="R1544" s="5">
        <v>0.0</v>
      </c>
      <c r="S1544" s="5">
        <v>42.6115364833609</v>
      </c>
    </row>
    <row r="1545">
      <c r="A1545" s="6">
        <v>42597.0</v>
      </c>
      <c r="B1545" s="5">
        <v>50.9812519510612</v>
      </c>
      <c r="C1545" s="5">
        <v>-18.9887992212194</v>
      </c>
      <c r="D1545" s="5">
        <v>108.266797318977</v>
      </c>
      <c r="E1545" s="5">
        <v>50.9812519510612</v>
      </c>
      <c r="F1545" s="5">
        <v>50.9812519510612</v>
      </c>
      <c r="G1545" s="5">
        <v>-5.38393446891994</v>
      </c>
      <c r="H1545" s="5">
        <v>-5.38393446891994</v>
      </c>
      <c r="I1545" s="5">
        <v>-5.38393446891994</v>
      </c>
      <c r="J1545" s="5">
        <v>0.0905589421206674</v>
      </c>
      <c r="K1545" s="5">
        <v>0.0905589421206674</v>
      </c>
      <c r="L1545" s="5">
        <v>0.0905589421206674</v>
      </c>
      <c r="M1545" s="5">
        <v>-5.47449341104061</v>
      </c>
      <c r="N1545" s="5">
        <v>-5.47449341104061</v>
      </c>
      <c r="O1545" s="5">
        <v>-5.47449341104061</v>
      </c>
      <c r="P1545" s="5">
        <v>0.0</v>
      </c>
      <c r="Q1545" s="5">
        <v>0.0</v>
      </c>
      <c r="R1545" s="5">
        <v>0.0</v>
      </c>
      <c r="S1545" s="5">
        <v>45.5973174821412</v>
      </c>
    </row>
    <row r="1546">
      <c r="A1546" s="6">
        <v>42598.0</v>
      </c>
      <c r="B1546" s="5">
        <v>51.0008274289593</v>
      </c>
      <c r="C1546" s="5">
        <v>-17.8990936745354</v>
      </c>
      <c r="D1546" s="5">
        <v>108.714831201948</v>
      </c>
      <c r="E1546" s="5">
        <v>51.0008274289593</v>
      </c>
      <c r="F1546" s="5">
        <v>51.0008274289593</v>
      </c>
      <c r="G1546" s="5">
        <v>-5.28409047240843</v>
      </c>
      <c r="H1546" s="5">
        <v>-5.28409047240843</v>
      </c>
      <c r="I1546" s="5">
        <v>-5.28409047240843</v>
      </c>
      <c r="J1546" s="5">
        <v>-0.144118857243239</v>
      </c>
      <c r="K1546" s="5">
        <v>-0.144118857243239</v>
      </c>
      <c r="L1546" s="5">
        <v>-0.144118857243239</v>
      </c>
      <c r="M1546" s="5">
        <v>-5.13997161516519</v>
      </c>
      <c r="N1546" s="5">
        <v>-5.13997161516519</v>
      </c>
      <c r="O1546" s="5">
        <v>-5.13997161516519</v>
      </c>
      <c r="P1546" s="5">
        <v>0.0</v>
      </c>
      <c r="Q1546" s="5">
        <v>0.0</v>
      </c>
      <c r="R1546" s="5">
        <v>0.0</v>
      </c>
      <c r="S1546" s="5">
        <v>45.7167369565509</v>
      </c>
    </row>
    <row r="1547">
      <c r="A1547" s="6">
        <v>42599.0</v>
      </c>
      <c r="B1547" s="5">
        <v>51.0204029068574</v>
      </c>
      <c r="C1547" s="5">
        <v>-16.3170214051997</v>
      </c>
      <c r="D1547" s="5">
        <v>103.263647131213</v>
      </c>
      <c r="E1547" s="5">
        <v>51.0204029068574</v>
      </c>
      <c r="F1547" s="5">
        <v>51.0204029068574</v>
      </c>
      <c r="G1547" s="5">
        <v>-4.84324088091896</v>
      </c>
      <c r="H1547" s="5">
        <v>-4.84324088091896</v>
      </c>
      <c r="I1547" s="5">
        <v>-4.84324088091896</v>
      </c>
      <c r="J1547" s="5">
        <v>0.00703780528115804</v>
      </c>
      <c r="K1547" s="5">
        <v>0.00703780528115804</v>
      </c>
      <c r="L1547" s="5">
        <v>0.00703780528115804</v>
      </c>
      <c r="M1547" s="5">
        <v>-4.85027868620012</v>
      </c>
      <c r="N1547" s="5">
        <v>-4.85027868620012</v>
      </c>
      <c r="O1547" s="5">
        <v>-4.85027868620012</v>
      </c>
      <c r="P1547" s="5">
        <v>0.0</v>
      </c>
      <c r="Q1547" s="5">
        <v>0.0</v>
      </c>
      <c r="R1547" s="5">
        <v>0.0</v>
      </c>
      <c r="S1547" s="5">
        <v>46.1771620259384</v>
      </c>
    </row>
    <row r="1548">
      <c r="A1548" s="6">
        <v>42600.0</v>
      </c>
      <c r="B1548" s="5">
        <v>51.0399783847555</v>
      </c>
      <c r="C1548" s="5">
        <v>-15.9394694542898</v>
      </c>
      <c r="D1548" s="5">
        <v>108.080839313147</v>
      </c>
      <c r="E1548" s="5">
        <v>51.0399783847555</v>
      </c>
      <c r="F1548" s="5">
        <v>51.0399783847555</v>
      </c>
      <c r="G1548" s="5">
        <v>-5.38232116208726</v>
      </c>
      <c r="H1548" s="5">
        <v>-5.38232116208726</v>
      </c>
      <c r="I1548" s="5">
        <v>-5.38232116208726</v>
      </c>
      <c r="J1548" s="5">
        <v>-0.776422525902541</v>
      </c>
      <c r="K1548" s="5">
        <v>-0.776422525902541</v>
      </c>
      <c r="L1548" s="5">
        <v>-0.776422525902541</v>
      </c>
      <c r="M1548" s="5">
        <v>-4.60589863618472</v>
      </c>
      <c r="N1548" s="5">
        <v>-4.60589863618472</v>
      </c>
      <c r="O1548" s="5">
        <v>-4.60589863618472</v>
      </c>
      <c r="P1548" s="5">
        <v>0.0</v>
      </c>
      <c r="Q1548" s="5">
        <v>0.0</v>
      </c>
      <c r="R1548" s="5">
        <v>0.0</v>
      </c>
      <c r="S1548" s="5">
        <v>45.6576572226683</v>
      </c>
    </row>
    <row r="1549">
      <c r="A1549" s="6">
        <v>42601.0</v>
      </c>
      <c r="B1549" s="5">
        <v>51.0595538626537</v>
      </c>
      <c r="C1549" s="5">
        <v>-17.5572031426003</v>
      </c>
      <c r="D1549" s="5">
        <v>110.052800799223</v>
      </c>
      <c r="E1549" s="5">
        <v>51.0595538626537</v>
      </c>
      <c r="F1549" s="5">
        <v>51.0595538626537</v>
      </c>
      <c r="G1549" s="5">
        <v>-5.99738042470243</v>
      </c>
      <c r="H1549" s="5">
        <v>-5.99738042470243</v>
      </c>
      <c r="I1549" s="5">
        <v>-5.99738042470243</v>
      </c>
      <c r="J1549" s="5">
        <v>-1.59155056649209</v>
      </c>
      <c r="K1549" s="5">
        <v>-1.59155056649209</v>
      </c>
      <c r="L1549" s="5">
        <v>-1.59155056649209</v>
      </c>
      <c r="M1549" s="5">
        <v>-4.40582985821034</v>
      </c>
      <c r="N1549" s="5">
        <v>-4.40582985821034</v>
      </c>
      <c r="O1549" s="5">
        <v>-4.40582985821034</v>
      </c>
      <c r="P1549" s="5">
        <v>0.0</v>
      </c>
      <c r="Q1549" s="5">
        <v>0.0</v>
      </c>
      <c r="R1549" s="5">
        <v>0.0</v>
      </c>
      <c r="S1549" s="5">
        <v>45.0621734379512</v>
      </c>
    </row>
    <row r="1550">
      <c r="A1550" s="6">
        <v>42604.0</v>
      </c>
      <c r="B1550" s="5">
        <v>51.118280296348</v>
      </c>
      <c r="C1550" s="5">
        <v>-11.6400332915122</v>
      </c>
      <c r="D1550" s="5">
        <v>115.383472264669</v>
      </c>
      <c r="E1550" s="5">
        <v>51.118280296348</v>
      </c>
      <c r="F1550" s="5">
        <v>51.118280296348</v>
      </c>
      <c r="G1550" s="5">
        <v>-3.95076796406849</v>
      </c>
      <c r="H1550" s="5">
        <v>-3.95076796406849</v>
      </c>
      <c r="I1550" s="5">
        <v>-3.95076796406849</v>
      </c>
      <c r="J1550" s="5">
        <v>0.0905589421192301</v>
      </c>
      <c r="K1550" s="5">
        <v>0.0905589421192301</v>
      </c>
      <c r="L1550" s="5">
        <v>0.0905589421192301</v>
      </c>
      <c r="M1550" s="5">
        <v>-4.04132690618772</v>
      </c>
      <c r="N1550" s="5">
        <v>-4.04132690618772</v>
      </c>
      <c r="O1550" s="5">
        <v>-4.04132690618772</v>
      </c>
      <c r="P1550" s="5">
        <v>0.0</v>
      </c>
      <c r="Q1550" s="5">
        <v>0.0</v>
      </c>
      <c r="R1550" s="5">
        <v>0.0</v>
      </c>
      <c r="S1550" s="5">
        <v>47.1675123322795</v>
      </c>
    </row>
    <row r="1551">
      <c r="A1551" s="6">
        <v>42605.0</v>
      </c>
      <c r="B1551" s="5">
        <v>51.1378557742462</v>
      </c>
      <c r="C1551" s="5">
        <v>-17.3289452746513</v>
      </c>
      <c r="D1551" s="5">
        <v>107.104808608639</v>
      </c>
      <c r="E1551" s="5">
        <v>51.1378557742462</v>
      </c>
      <c r="F1551" s="5">
        <v>51.1378557742462</v>
      </c>
      <c r="G1551" s="5">
        <v>-4.12684654494191</v>
      </c>
      <c r="H1551" s="5">
        <v>-4.12684654494191</v>
      </c>
      <c r="I1551" s="5">
        <v>-4.12684654494191</v>
      </c>
      <c r="J1551" s="5">
        <v>-0.144118857243565</v>
      </c>
      <c r="K1551" s="5">
        <v>-0.144118857243565</v>
      </c>
      <c r="L1551" s="5">
        <v>-0.144118857243565</v>
      </c>
      <c r="M1551" s="5">
        <v>-3.98272768769835</v>
      </c>
      <c r="N1551" s="5">
        <v>-3.98272768769835</v>
      </c>
      <c r="O1551" s="5">
        <v>-3.98272768769835</v>
      </c>
      <c r="P1551" s="5">
        <v>0.0</v>
      </c>
      <c r="Q1551" s="5">
        <v>0.0</v>
      </c>
      <c r="R1551" s="5">
        <v>0.0</v>
      </c>
      <c r="S1551" s="5">
        <v>47.0110092293043</v>
      </c>
    </row>
    <row r="1552">
      <c r="A1552" s="6">
        <v>42606.0</v>
      </c>
      <c r="B1552" s="5">
        <v>51.1574312521443</v>
      </c>
      <c r="C1552" s="5">
        <v>-16.4110352448057</v>
      </c>
      <c r="D1552" s="5">
        <v>112.474006818401</v>
      </c>
      <c r="E1552" s="5">
        <v>51.1574312521443</v>
      </c>
      <c r="F1552" s="5">
        <v>51.1574312521443</v>
      </c>
      <c r="G1552" s="5">
        <v>-3.93861849259887</v>
      </c>
      <c r="H1552" s="5">
        <v>-3.93861849259887</v>
      </c>
      <c r="I1552" s="5">
        <v>-3.93861849259887</v>
      </c>
      <c r="J1552" s="5">
        <v>0.00703780528246911</v>
      </c>
      <c r="K1552" s="5">
        <v>0.00703780528246911</v>
      </c>
      <c r="L1552" s="5">
        <v>0.00703780528246911</v>
      </c>
      <c r="M1552" s="5">
        <v>-3.94565629788134</v>
      </c>
      <c r="N1552" s="5">
        <v>-3.94565629788134</v>
      </c>
      <c r="O1552" s="5">
        <v>-3.94565629788134</v>
      </c>
      <c r="P1552" s="5">
        <v>0.0</v>
      </c>
      <c r="Q1552" s="5">
        <v>0.0</v>
      </c>
      <c r="R1552" s="5">
        <v>0.0</v>
      </c>
      <c r="S1552" s="5">
        <v>47.2188127595454</v>
      </c>
    </row>
    <row r="1553">
      <c r="A1553" s="6">
        <v>42607.0</v>
      </c>
      <c r="B1553" s="5">
        <v>51.1770067300424</v>
      </c>
      <c r="C1553" s="5">
        <v>-17.0990466341486</v>
      </c>
      <c r="D1553" s="5">
        <v>107.416035737775</v>
      </c>
      <c r="E1553" s="5">
        <v>51.1770067300424</v>
      </c>
      <c r="F1553" s="5">
        <v>51.1770067300424</v>
      </c>
      <c r="G1553" s="5">
        <v>-4.69982988241454</v>
      </c>
      <c r="H1553" s="5">
        <v>-4.69982988241454</v>
      </c>
      <c r="I1553" s="5">
        <v>-4.69982988241454</v>
      </c>
      <c r="J1553" s="5">
        <v>-0.776422525903263</v>
      </c>
      <c r="K1553" s="5">
        <v>-0.776422525903263</v>
      </c>
      <c r="L1553" s="5">
        <v>-0.776422525903263</v>
      </c>
      <c r="M1553" s="5">
        <v>-3.92340735651127</v>
      </c>
      <c r="N1553" s="5">
        <v>-3.92340735651127</v>
      </c>
      <c r="O1553" s="5">
        <v>-3.92340735651127</v>
      </c>
      <c r="P1553" s="5">
        <v>0.0</v>
      </c>
      <c r="Q1553" s="5">
        <v>0.0</v>
      </c>
      <c r="R1553" s="5">
        <v>0.0</v>
      </c>
      <c r="S1553" s="5">
        <v>46.4771768476279</v>
      </c>
    </row>
    <row r="1554">
      <c r="A1554" s="6">
        <v>42608.0</v>
      </c>
      <c r="B1554" s="5">
        <v>51.1965822079405</v>
      </c>
      <c r="C1554" s="5">
        <v>-18.9687412755831</v>
      </c>
      <c r="D1554" s="5">
        <v>105.614728246717</v>
      </c>
      <c r="E1554" s="5">
        <v>51.1965822079405</v>
      </c>
      <c r="F1554" s="5">
        <v>51.1965822079405</v>
      </c>
      <c r="G1554" s="5">
        <v>-5.50068972307383</v>
      </c>
      <c r="H1554" s="5">
        <v>-5.50068972307383</v>
      </c>
      <c r="I1554" s="5">
        <v>-5.50068972307383</v>
      </c>
      <c r="J1554" s="5">
        <v>-1.59155056649116</v>
      </c>
      <c r="K1554" s="5">
        <v>-1.59155056649116</v>
      </c>
      <c r="L1554" s="5">
        <v>-1.59155056649116</v>
      </c>
      <c r="M1554" s="5">
        <v>-3.90913915658267</v>
      </c>
      <c r="N1554" s="5">
        <v>-3.90913915658267</v>
      </c>
      <c r="O1554" s="5">
        <v>-3.90913915658267</v>
      </c>
      <c r="P1554" s="5">
        <v>0.0</v>
      </c>
      <c r="Q1554" s="5">
        <v>0.0</v>
      </c>
      <c r="R1554" s="5">
        <v>0.0</v>
      </c>
      <c r="S1554" s="5">
        <v>45.6958924848667</v>
      </c>
    </row>
    <row r="1555">
      <c r="A1555" s="6">
        <v>42611.0</v>
      </c>
      <c r="B1555" s="5">
        <v>51.2553086416349</v>
      </c>
      <c r="C1555" s="5">
        <v>-14.8850640597355</v>
      </c>
      <c r="D1555" s="5">
        <v>110.60752506329</v>
      </c>
      <c r="E1555" s="5">
        <v>51.2553086416349</v>
      </c>
      <c r="F1555" s="5">
        <v>51.2553086416349</v>
      </c>
      <c r="G1555" s="5">
        <v>-3.75875137303073</v>
      </c>
      <c r="H1555" s="5">
        <v>-3.75875137303073</v>
      </c>
      <c r="I1555" s="5">
        <v>-3.75875137303073</v>
      </c>
      <c r="J1555" s="5">
        <v>0.0905589421226405</v>
      </c>
      <c r="K1555" s="5">
        <v>0.0905589421226405</v>
      </c>
      <c r="L1555" s="5">
        <v>0.0905589421226405</v>
      </c>
      <c r="M1555" s="5">
        <v>-3.84931031515337</v>
      </c>
      <c r="N1555" s="5">
        <v>-3.84931031515337</v>
      </c>
      <c r="O1555" s="5">
        <v>-3.84931031515337</v>
      </c>
      <c r="P1555" s="5">
        <v>0.0</v>
      </c>
      <c r="Q1555" s="5">
        <v>0.0</v>
      </c>
      <c r="R1555" s="5">
        <v>0.0</v>
      </c>
      <c r="S1555" s="5">
        <v>47.4965572686042</v>
      </c>
    </row>
    <row r="1556">
      <c r="A1556" s="6">
        <v>42612.0</v>
      </c>
      <c r="B1556" s="5">
        <v>51.2748841195331</v>
      </c>
      <c r="C1556" s="5">
        <v>-16.8465071735709</v>
      </c>
      <c r="D1556" s="5">
        <v>107.370631227138</v>
      </c>
      <c r="E1556" s="5">
        <v>51.2748841195331</v>
      </c>
      <c r="F1556" s="5">
        <v>51.2748841195331</v>
      </c>
      <c r="G1556" s="5">
        <v>-3.94908956332604</v>
      </c>
      <c r="H1556" s="5">
        <v>-3.94908956332604</v>
      </c>
      <c r="I1556" s="5">
        <v>-3.94908956332604</v>
      </c>
      <c r="J1556" s="5">
        <v>-0.144118857245</v>
      </c>
      <c r="K1556" s="5">
        <v>-0.144118857245</v>
      </c>
      <c r="L1556" s="5">
        <v>-0.144118857245</v>
      </c>
      <c r="M1556" s="5">
        <v>-3.80497070608104</v>
      </c>
      <c r="N1556" s="5">
        <v>-3.80497070608104</v>
      </c>
      <c r="O1556" s="5">
        <v>-3.80497070608104</v>
      </c>
      <c r="P1556" s="5">
        <v>0.0</v>
      </c>
      <c r="Q1556" s="5">
        <v>0.0</v>
      </c>
      <c r="R1556" s="5">
        <v>0.0</v>
      </c>
      <c r="S1556" s="5">
        <v>47.325794556207</v>
      </c>
    </row>
    <row r="1557">
      <c r="A1557" s="6">
        <v>42613.0</v>
      </c>
      <c r="B1557" s="5">
        <v>51.2944595974312</v>
      </c>
      <c r="C1557" s="5">
        <v>-10.6559273663378</v>
      </c>
      <c r="D1557" s="5">
        <v>111.423344075852</v>
      </c>
      <c r="E1557" s="5">
        <v>51.2944595974312</v>
      </c>
      <c r="F1557" s="5">
        <v>51.2944595974312</v>
      </c>
      <c r="G1557" s="5">
        <v>-3.73426082598869</v>
      </c>
      <c r="H1557" s="5">
        <v>-3.73426082598869</v>
      </c>
      <c r="I1557" s="5">
        <v>-3.73426082598869</v>
      </c>
      <c r="J1557" s="5">
        <v>0.00703780528161652</v>
      </c>
      <c r="K1557" s="5">
        <v>0.00703780528161652</v>
      </c>
      <c r="L1557" s="5">
        <v>0.00703780528161652</v>
      </c>
      <c r="M1557" s="5">
        <v>-3.7412986312703</v>
      </c>
      <c r="N1557" s="5">
        <v>-3.7412986312703</v>
      </c>
      <c r="O1557" s="5">
        <v>-3.7412986312703</v>
      </c>
      <c r="P1557" s="5">
        <v>0.0</v>
      </c>
      <c r="Q1557" s="5">
        <v>0.0</v>
      </c>
      <c r="R1557" s="5">
        <v>0.0</v>
      </c>
      <c r="S1557" s="5">
        <v>47.5601987714425</v>
      </c>
    </row>
    <row r="1558">
      <c r="A1558" s="6">
        <v>42614.0</v>
      </c>
      <c r="B1558" s="5">
        <v>51.3140350753293</v>
      </c>
      <c r="C1558" s="5">
        <v>-14.3084972359153</v>
      </c>
      <c r="D1558" s="5">
        <v>109.505074231268</v>
      </c>
      <c r="E1558" s="5">
        <v>51.3140350753293</v>
      </c>
      <c r="F1558" s="5">
        <v>51.3140350753293</v>
      </c>
      <c r="G1558" s="5">
        <v>-4.43214570421563</v>
      </c>
      <c r="H1558" s="5">
        <v>-4.43214570421563</v>
      </c>
      <c r="I1558" s="5">
        <v>-4.43214570421563</v>
      </c>
      <c r="J1558" s="5">
        <v>-0.77642252590536</v>
      </c>
      <c r="K1558" s="5">
        <v>-0.77642252590536</v>
      </c>
      <c r="L1558" s="5">
        <v>-0.77642252590536</v>
      </c>
      <c r="M1558" s="5">
        <v>-3.65572317831027</v>
      </c>
      <c r="N1558" s="5">
        <v>-3.65572317831027</v>
      </c>
      <c r="O1558" s="5">
        <v>-3.65572317831027</v>
      </c>
      <c r="P1558" s="5">
        <v>0.0</v>
      </c>
      <c r="Q1558" s="5">
        <v>0.0</v>
      </c>
      <c r="R1558" s="5">
        <v>0.0</v>
      </c>
      <c r="S1558" s="5">
        <v>46.8818893711137</v>
      </c>
    </row>
    <row r="1559">
      <c r="A1559" s="6">
        <v>42615.0</v>
      </c>
      <c r="B1559" s="5">
        <v>51.3336105532274</v>
      </c>
      <c r="C1559" s="5">
        <v>-18.073561273188</v>
      </c>
      <c r="D1559" s="5">
        <v>107.573560545275</v>
      </c>
      <c r="E1559" s="5">
        <v>51.3336105532274</v>
      </c>
      <c r="F1559" s="5">
        <v>51.3336105532274</v>
      </c>
      <c r="G1559" s="5">
        <v>-5.13853897596028</v>
      </c>
      <c r="H1559" s="5">
        <v>-5.13853897596028</v>
      </c>
      <c r="I1559" s="5">
        <v>-5.13853897596028</v>
      </c>
      <c r="J1559" s="5">
        <v>-1.59155056649573</v>
      </c>
      <c r="K1559" s="5">
        <v>-1.59155056649573</v>
      </c>
      <c r="L1559" s="5">
        <v>-1.59155056649573</v>
      </c>
      <c r="M1559" s="5">
        <v>-3.54698840946455</v>
      </c>
      <c r="N1559" s="5">
        <v>-3.54698840946455</v>
      </c>
      <c r="O1559" s="5">
        <v>-3.54698840946455</v>
      </c>
      <c r="P1559" s="5">
        <v>0.0</v>
      </c>
      <c r="Q1559" s="5">
        <v>0.0</v>
      </c>
      <c r="R1559" s="5">
        <v>0.0</v>
      </c>
      <c r="S1559" s="5">
        <v>46.1950715772671</v>
      </c>
    </row>
    <row r="1560">
      <c r="A1560" s="6">
        <v>42619.0</v>
      </c>
      <c r="B1560" s="5">
        <v>51.4119124648199</v>
      </c>
      <c r="C1560" s="5">
        <v>-13.5970749364421</v>
      </c>
      <c r="D1560" s="5">
        <v>113.776005776481</v>
      </c>
      <c r="E1560" s="5">
        <v>51.4119124648199</v>
      </c>
      <c r="F1560" s="5">
        <v>51.4119124648199</v>
      </c>
      <c r="G1560" s="5">
        <v>-3.04771189797508</v>
      </c>
      <c r="H1560" s="5">
        <v>-3.04771189797508</v>
      </c>
      <c r="I1560" s="5">
        <v>-3.04771189797508</v>
      </c>
      <c r="J1560" s="5">
        <v>-0.144118857246436</v>
      </c>
      <c r="K1560" s="5">
        <v>-0.144118857246436</v>
      </c>
      <c r="L1560" s="5">
        <v>-0.144118857246436</v>
      </c>
      <c r="M1560" s="5">
        <v>-2.90359304072864</v>
      </c>
      <c r="N1560" s="5">
        <v>-2.90359304072864</v>
      </c>
      <c r="O1560" s="5">
        <v>-2.90359304072864</v>
      </c>
      <c r="P1560" s="5">
        <v>0.0</v>
      </c>
      <c r="Q1560" s="5">
        <v>0.0</v>
      </c>
      <c r="R1560" s="5">
        <v>0.0</v>
      </c>
      <c r="S1560" s="5">
        <v>48.3642005668448</v>
      </c>
    </row>
    <row r="1561">
      <c r="A1561" s="6">
        <v>42620.0</v>
      </c>
      <c r="B1561" s="5">
        <v>51.4314879427181</v>
      </c>
      <c r="C1561" s="5">
        <v>-11.6678593733192</v>
      </c>
      <c r="D1561" s="5">
        <v>106.689894625716</v>
      </c>
      <c r="E1561" s="5">
        <v>51.4314879427181</v>
      </c>
      <c r="F1561" s="5">
        <v>51.4314879427181</v>
      </c>
      <c r="G1561" s="5">
        <v>-2.70095879175058</v>
      </c>
      <c r="H1561" s="5">
        <v>-2.70095879175058</v>
      </c>
      <c r="I1561" s="5">
        <v>-2.70095879175058</v>
      </c>
      <c r="J1561" s="5">
        <v>0.0070378052807641</v>
      </c>
      <c r="K1561" s="5">
        <v>0.0070378052807641</v>
      </c>
      <c r="L1561" s="5">
        <v>0.0070378052807641</v>
      </c>
      <c r="M1561" s="5">
        <v>-2.70799659703134</v>
      </c>
      <c r="N1561" s="5">
        <v>-2.70799659703134</v>
      </c>
      <c r="O1561" s="5">
        <v>-2.70799659703134</v>
      </c>
      <c r="P1561" s="5">
        <v>0.0</v>
      </c>
      <c r="Q1561" s="5">
        <v>0.0</v>
      </c>
      <c r="R1561" s="5">
        <v>0.0</v>
      </c>
      <c r="S1561" s="5">
        <v>48.7305291509675</v>
      </c>
    </row>
    <row r="1562">
      <c r="A1562" s="6">
        <v>42621.0</v>
      </c>
      <c r="B1562" s="5">
        <v>51.4510634206162</v>
      </c>
      <c r="C1562" s="5">
        <v>-11.1385205647433</v>
      </c>
      <c r="D1562" s="5">
        <v>108.374086560303</v>
      </c>
      <c r="E1562" s="5">
        <v>51.4510634206162</v>
      </c>
      <c r="F1562" s="5">
        <v>51.4510634206162</v>
      </c>
      <c r="G1562" s="5">
        <v>-3.28590457524706</v>
      </c>
      <c r="H1562" s="5">
        <v>-3.28590457524706</v>
      </c>
      <c r="I1562" s="5">
        <v>-3.28590457524706</v>
      </c>
      <c r="J1562" s="5">
        <v>-0.776422525901857</v>
      </c>
      <c r="K1562" s="5">
        <v>-0.776422525901857</v>
      </c>
      <c r="L1562" s="5">
        <v>-0.776422525901857</v>
      </c>
      <c r="M1562" s="5">
        <v>-2.5094820493452</v>
      </c>
      <c r="N1562" s="5">
        <v>-2.5094820493452</v>
      </c>
      <c r="O1562" s="5">
        <v>-2.5094820493452</v>
      </c>
      <c r="P1562" s="5">
        <v>0.0</v>
      </c>
      <c r="Q1562" s="5">
        <v>0.0</v>
      </c>
      <c r="R1562" s="5">
        <v>0.0</v>
      </c>
      <c r="S1562" s="5">
        <v>48.1651588453691</v>
      </c>
    </row>
    <row r="1563">
      <c r="A1563" s="6">
        <v>42622.0</v>
      </c>
      <c r="B1563" s="5">
        <v>51.4706388985143</v>
      </c>
      <c r="C1563" s="5">
        <v>-18.0405845884607</v>
      </c>
      <c r="D1563" s="5">
        <v>110.802143743064</v>
      </c>
      <c r="E1563" s="5">
        <v>51.4706388985143</v>
      </c>
      <c r="F1563" s="5">
        <v>51.4706388985143</v>
      </c>
      <c r="G1563" s="5">
        <v>-3.90662314622633</v>
      </c>
      <c r="H1563" s="5">
        <v>-3.90662314622633</v>
      </c>
      <c r="I1563" s="5">
        <v>-3.90662314622633</v>
      </c>
      <c r="J1563" s="5">
        <v>-1.5915505664948</v>
      </c>
      <c r="K1563" s="5">
        <v>-1.5915505664948</v>
      </c>
      <c r="L1563" s="5">
        <v>-1.5915505664948</v>
      </c>
      <c r="M1563" s="5">
        <v>-2.31507257973153</v>
      </c>
      <c r="N1563" s="5">
        <v>-2.31507257973153</v>
      </c>
      <c r="O1563" s="5">
        <v>-2.31507257973153</v>
      </c>
      <c r="P1563" s="5">
        <v>0.0</v>
      </c>
      <c r="Q1563" s="5">
        <v>0.0</v>
      </c>
      <c r="R1563" s="5">
        <v>0.0</v>
      </c>
      <c r="S1563" s="5">
        <v>47.564015752288</v>
      </c>
    </row>
    <row r="1564">
      <c r="A1564" s="6">
        <v>42625.0</v>
      </c>
      <c r="B1564" s="5">
        <v>51.5293653322087</v>
      </c>
      <c r="C1564" s="5">
        <v>-11.4269473641079</v>
      </c>
      <c r="D1564" s="5">
        <v>114.215692469252</v>
      </c>
      <c r="E1564" s="5">
        <v>51.5293653322087</v>
      </c>
      <c r="F1564" s="5">
        <v>51.5293653322087</v>
      </c>
      <c r="G1564" s="5">
        <v>-1.74216463682242</v>
      </c>
      <c r="H1564" s="5">
        <v>-1.74216463682242</v>
      </c>
      <c r="I1564" s="5">
        <v>-1.74216463682242</v>
      </c>
      <c r="J1564" s="5">
        <v>0.0905589421222295</v>
      </c>
      <c r="K1564" s="5">
        <v>0.0905589421222295</v>
      </c>
      <c r="L1564" s="5">
        <v>0.0905589421222295</v>
      </c>
      <c r="M1564" s="5">
        <v>-1.83272357894465</v>
      </c>
      <c r="N1564" s="5">
        <v>-1.83272357894465</v>
      </c>
      <c r="O1564" s="5">
        <v>-1.83272357894465</v>
      </c>
      <c r="P1564" s="5">
        <v>0.0</v>
      </c>
      <c r="Q1564" s="5">
        <v>0.0</v>
      </c>
      <c r="R1564" s="5">
        <v>0.0</v>
      </c>
      <c r="S1564" s="5">
        <v>49.7872006953863</v>
      </c>
    </row>
    <row r="1565">
      <c r="A1565" s="6">
        <v>42626.0</v>
      </c>
      <c r="B1565" s="5">
        <v>51.5489408101068</v>
      </c>
      <c r="C1565" s="5">
        <v>-8.55499726969022</v>
      </c>
      <c r="D1565" s="5">
        <v>109.306895621628</v>
      </c>
      <c r="E1565" s="5">
        <v>51.5489408101068</v>
      </c>
      <c r="F1565" s="5">
        <v>51.5489408101068</v>
      </c>
      <c r="G1565" s="5">
        <v>-1.87515348635271</v>
      </c>
      <c r="H1565" s="5">
        <v>-1.87515348635271</v>
      </c>
      <c r="I1565" s="5">
        <v>-1.87515348635271</v>
      </c>
      <c r="J1565" s="5">
        <v>-0.144118857246762</v>
      </c>
      <c r="K1565" s="5">
        <v>-0.144118857246762</v>
      </c>
      <c r="L1565" s="5">
        <v>-0.144118857246762</v>
      </c>
      <c r="M1565" s="5">
        <v>-1.73103462910594</v>
      </c>
      <c r="N1565" s="5">
        <v>-1.73103462910594</v>
      </c>
      <c r="O1565" s="5">
        <v>-1.73103462910594</v>
      </c>
      <c r="P1565" s="5">
        <v>0.0</v>
      </c>
      <c r="Q1565" s="5">
        <v>0.0</v>
      </c>
      <c r="R1565" s="5">
        <v>0.0</v>
      </c>
      <c r="S1565" s="5">
        <v>49.6737873237541</v>
      </c>
    </row>
    <row r="1566">
      <c r="A1566" s="6">
        <v>42627.0</v>
      </c>
      <c r="B1566" s="5">
        <v>51.5685162880049</v>
      </c>
      <c r="C1566" s="5">
        <v>-12.8311104925421</v>
      </c>
      <c r="D1566" s="5">
        <v>116.119343755809</v>
      </c>
      <c r="E1566" s="5">
        <v>51.5685162880049</v>
      </c>
      <c r="F1566" s="5">
        <v>51.5685162880049</v>
      </c>
      <c r="G1566" s="5">
        <v>-1.66359864557908</v>
      </c>
      <c r="H1566" s="5">
        <v>-1.66359864557908</v>
      </c>
      <c r="I1566" s="5">
        <v>-1.66359864557908</v>
      </c>
      <c r="J1566" s="5">
        <v>0.00703780528090288</v>
      </c>
      <c r="K1566" s="5">
        <v>0.00703780528090288</v>
      </c>
      <c r="L1566" s="5">
        <v>0.00703780528090288</v>
      </c>
      <c r="M1566" s="5">
        <v>-1.67063645085999</v>
      </c>
      <c r="N1566" s="5">
        <v>-1.67063645085999</v>
      </c>
      <c r="O1566" s="5">
        <v>-1.67063645085999</v>
      </c>
      <c r="P1566" s="5">
        <v>0.0</v>
      </c>
      <c r="Q1566" s="5">
        <v>0.0</v>
      </c>
      <c r="R1566" s="5">
        <v>0.0</v>
      </c>
      <c r="S1566" s="5">
        <v>49.9049176424258</v>
      </c>
    </row>
    <row r="1567">
      <c r="A1567" s="6">
        <v>42628.0</v>
      </c>
      <c r="B1567" s="5">
        <v>51.5880917659031</v>
      </c>
      <c r="C1567" s="5">
        <v>-15.857147379608</v>
      </c>
      <c r="D1567" s="5">
        <v>112.68769635809</v>
      </c>
      <c r="E1567" s="5">
        <v>51.5880917659031</v>
      </c>
      <c r="F1567" s="5">
        <v>51.5880917659031</v>
      </c>
      <c r="G1567" s="5">
        <v>-2.43380455181026</v>
      </c>
      <c r="H1567" s="5">
        <v>-2.43380455181026</v>
      </c>
      <c r="I1567" s="5">
        <v>-2.43380455181026</v>
      </c>
      <c r="J1567" s="5">
        <v>-0.776422525903954</v>
      </c>
      <c r="K1567" s="5">
        <v>-0.776422525903954</v>
      </c>
      <c r="L1567" s="5">
        <v>-0.776422525903954</v>
      </c>
      <c r="M1567" s="5">
        <v>-1.65738202590631</v>
      </c>
      <c r="N1567" s="5">
        <v>-1.65738202590631</v>
      </c>
      <c r="O1567" s="5">
        <v>-1.65738202590631</v>
      </c>
      <c r="P1567" s="5">
        <v>0.0</v>
      </c>
      <c r="Q1567" s="5">
        <v>0.0</v>
      </c>
      <c r="R1567" s="5">
        <v>0.0</v>
      </c>
      <c r="S1567" s="5">
        <v>49.1542872140928</v>
      </c>
    </row>
    <row r="1568">
      <c r="A1568" s="6">
        <v>42629.0</v>
      </c>
      <c r="B1568" s="5">
        <v>51.6076672438012</v>
      </c>
      <c r="C1568" s="5">
        <v>-21.2471758329307</v>
      </c>
      <c r="D1568" s="5">
        <v>111.222283168504</v>
      </c>
      <c r="E1568" s="5">
        <v>51.6076672438012</v>
      </c>
      <c r="F1568" s="5">
        <v>51.6076672438012</v>
      </c>
      <c r="G1568" s="5">
        <v>-3.28750887579998</v>
      </c>
      <c r="H1568" s="5">
        <v>-3.28750887579998</v>
      </c>
      <c r="I1568" s="5">
        <v>-3.28750887579998</v>
      </c>
      <c r="J1568" s="5">
        <v>-1.59155056649387</v>
      </c>
      <c r="K1568" s="5">
        <v>-1.59155056649387</v>
      </c>
      <c r="L1568" s="5">
        <v>-1.59155056649387</v>
      </c>
      <c r="M1568" s="5">
        <v>-1.6959583093061</v>
      </c>
      <c r="N1568" s="5">
        <v>-1.6959583093061</v>
      </c>
      <c r="O1568" s="5">
        <v>-1.6959583093061</v>
      </c>
      <c r="P1568" s="5">
        <v>0.0</v>
      </c>
      <c r="Q1568" s="5">
        <v>0.0</v>
      </c>
      <c r="R1568" s="5">
        <v>0.0</v>
      </c>
      <c r="S1568" s="5">
        <v>48.3201583680012</v>
      </c>
    </row>
    <row r="1569">
      <c r="A1569" s="6">
        <v>42632.0</v>
      </c>
      <c r="B1569" s="5">
        <v>51.6663936774956</v>
      </c>
      <c r="C1569" s="5">
        <v>-9.83604495429731</v>
      </c>
      <c r="D1569" s="5">
        <v>112.41531895246</v>
      </c>
      <c r="E1569" s="5">
        <v>51.6663936774956</v>
      </c>
      <c r="F1569" s="5">
        <v>51.6663936774956</v>
      </c>
      <c r="G1569" s="5">
        <v>-2.05695318888056</v>
      </c>
      <c r="H1569" s="5">
        <v>-2.05695318888056</v>
      </c>
      <c r="I1569" s="5">
        <v>-2.05695318888056</v>
      </c>
      <c r="J1569" s="5">
        <v>0.0905589421208721</v>
      </c>
      <c r="K1569" s="5">
        <v>0.0905589421208721</v>
      </c>
      <c r="L1569" s="5">
        <v>0.0905589421208721</v>
      </c>
      <c r="M1569" s="5">
        <v>-2.14751213100143</v>
      </c>
      <c r="N1569" s="5">
        <v>-2.14751213100143</v>
      </c>
      <c r="O1569" s="5">
        <v>-2.14751213100143</v>
      </c>
      <c r="P1569" s="5">
        <v>0.0</v>
      </c>
      <c r="Q1569" s="5">
        <v>0.0</v>
      </c>
      <c r="R1569" s="5">
        <v>0.0</v>
      </c>
      <c r="S1569" s="5">
        <v>49.609440488615</v>
      </c>
    </row>
    <row r="1570">
      <c r="A1570" s="6">
        <v>42633.0</v>
      </c>
      <c r="B1570" s="5">
        <v>51.6859691553937</v>
      </c>
      <c r="C1570" s="5">
        <v>-15.3303660618356</v>
      </c>
      <c r="D1570" s="5">
        <v>109.155395327731</v>
      </c>
      <c r="E1570" s="5">
        <v>51.6859691553937</v>
      </c>
      <c r="F1570" s="5">
        <v>51.6859691553937</v>
      </c>
      <c r="G1570" s="5">
        <v>-2.55389656252012</v>
      </c>
      <c r="H1570" s="5">
        <v>-2.55389656252012</v>
      </c>
      <c r="I1570" s="5">
        <v>-2.55389656252012</v>
      </c>
      <c r="J1570" s="5">
        <v>-0.144118857245674</v>
      </c>
      <c r="K1570" s="5">
        <v>-0.144118857245674</v>
      </c>
      <c r="L1570" s="5">
        <v>-0.144118857245674</v>
      </c>
      <c r="M1570" s="5">
        <v>-2.40977770527445</v>
      </c>
      <c r="N1570" s="5">
        <v>-2.40977770527445</v>
      </c>
      <c r="O1570" s="5">
        <v>-2.40977770527445</v>
      </c>
      <c r="P1570" s="5">
        <v>0.0</v>
      </c>
      <c r="Q1570" s="5">
        <v>0.0</v>
      </c>
      <c r="R1570" s="5">
        <v>0.0</v>
      </c>
      <c r="S1570" s="5">
        <v>49.1320725928736</v>
      </c>
    </row>
    <row r="1571">
      <c r="A1571" s="6">
        <v>42634.0</v>
      </c>
      <c r="B1571" s="5">
        <v>51.7055446332918</v>
      </c>
      <c r="C1571" s="5">
        <v>-17.0243076808852</v>
      </c>
      <c r="D1571" s="5">
        <v>112.738441208905</v>
      </c>
      <c r="E1571" s="5">
        <v>51.7055446332918</v>
      </c>
      <c r="F1571" s="5">
        <v>51.7055446332918</v>
      </c>
      <c r="G1571" s="5">
        <v>-2.71620495070326</v>
      </c>
      <c r="H1571" s="5">
        <v>-2.71620495070326</v>
      </c>
      <c r="I1571" s="5">
        <v>-2.71620495070326</v>
      </c>
      <c r="J1571" s="5">
        <v>0.00703780528221405</v>
      </c>
      <c r="K1571" s="5">
        <v>0.00703780528221405</v>
      </c>
      <c r="L1571" s="5">
        <v>0.00703780528221405</v>
      </c>
      <c r="M1571" s="5">
        <v>-2.72324275598547</v>
      </c>
      <c r="N1571" s="5">
        <v>-2.72324275598547</v>
      </c>
      <c r="O1571" s="5">
        <v>-2.72324275598547</v>
      </c>
      <c r="P1571" s="5">
        <v>0.0</v>
      </c>
      <c r="Q1571" s="5">
        <v>0.0</v>
      </c>
      <c r="R1571" s="5">
        <v>0.0</v>
      </c>
      <c r="S1571" s="5">
        <v>48.9893396825886</v>
      </c>
    </row>
    <row r="1572">
      <c r="A1572" s="6">
        <v>42635.0</v>
      </c>
      <c r="B1572" s="5">
        <v>51.7251201111899</v>
      </c>
      <c r="C1572" s="5">
        <v>-11.6873151287812</v>
      </c>
      <c r="D1572" s="5">
        <v>110.82190771442</v>
      </c>
      <c r="E1572" s="5">
        <v>51.7251201111899</v>
      </c>
      <c r="F1572" s="5">
        <v>51.7251201111899</v>
      </c>
      <c r="G1572" s="5">
        <v>-3.85872447223063</v>
      </c>
      <c r="H1572" s="5">
        <v>-3.85872447223063</v>
      </c>
      <c r="I1572" s="5">
        <v>-3.85872447223063</v>
      </c>
      <c r="J1572" s="5">
        <v>-0.776422525904676</v>
      </c>
      <c r="K1572" s="5">
        <v>-0.776422525904676</v>
      </c>
      <c r="L1572" s="5">
        <v>-0.776422525904676</v>
      </c>
      <c r="M1572" s="5">
        <v>-3.08230194632595</v>
      </c>
      <c r="N1572" s="5">
        <v>-3.08230194632595</v>
      </c>
      <c r="O1572" s="5">
        <v>-3.08230194632595</v>
      </c>
      <c r="P1572" s="5">
        <v>0.0</v>
      </c>
      <c r="Q1572" s="5">
        <v>0.0</v>
      </c>
      <c r="R1572" s="5">
        <v>0.0</v>
      </c>
      <c r="S1572" s="5">
        <v>47.8663956389593</v>
      </c>
    </row>
    <row r="1573">
      <c r="A1573" s="6">
        <v>42636.0</v>
      </c>
      <c r="B1573" s="5">
        <v>51.7446955890881</v>
      </c>
      <c r="C1573" s="5">
        <v>-11.7675668305002</v>
      </c>
      <c r="D1573" s="5">
        <v>111.504895051314</v>
      </c>
      <c r="E1573" s="5">
        <v>51.7446955890881</v>
      </c>
      <c r="F1573" s="5">
        <v>51.7446955890881</v>
      </c>
      <c r="G1573" s="5">
        <v>-5.0711019338328</v>
      </c>
      <c r="H1573" s="5">
        <v>-5.0711019338328</v>
      </c>
      <c r="I1573" s="5">
        <v>-5.0711019338328</v>
      </c>
      <c r="J1573" s="5">
        <v>-1.59155056649263</v>
      </c>
      <c r="K1573" s="5">
        <v>-1.59155056649263</v>
      </c>
      <c r="L1573" s="5">
        <v>-1.59155056649263</v>
      </c>
      <c r="M1573" s="5">
        <v>-3.47955136734016</v>
      </c>
      <c r="N1573" s="5">
        <v>-3.47955136734016</v>
      </c>
      <c r="O1573" s="5">
        <v>-3.47955136734016</v>
      </c>
      <c r="P1573" s="5">
        <v>0.0</v>
      </c>
      <c r="Q1573" s="5">
        <v>0.0</v>
      </c>
      <c r="R1573" s="5">
        <v>0.0</v>
      </c>
      <c r="S1573" s="5">
        <v>46.6735936552553</v>
      </c>
    </row>
    <row r="1574">
      <c r="A1574" s="6">
        <v>42639.0</v>
      </c>
      <c r="B1574" s="5">
        <v>51.8034220227824</v>
      </c>
      <c r="C1574" s="5">
        <v>-14.6293026380306</v>
      </c>
      <c r="D1574" s="5">
        <v>112.470014809045</v>
      </c>
      <c r="E1574" s="5">
        <v>51.8034220227824</v>
      </c>
      <c r="F1574" s="5">
        <v>51.8034220227824</v>
      </c>
      <c r="G1574" s="5">
        <v>-4.71183355343559</v>
      </c>
      <c r="H1574" s="5">
        <v>-4.71183355343559</v>
      </c>
      <c r="I1574" s="5">
        <v>-4.71183355343559</v>
      </c>
      <c r="J1574" s="5">
        <v>0.0905589421218185</v>
      </c>
      <c r="K1574" s="5">
        <v>0.0905589421218185</v>
      </c>
      <c r="L1574" s="5">
        <v>0.0905589421218185</v>
      </c>
      <c r="M1574" s="5">
        <v>-4.80239249555741</v>
      </c>
      <c r="N1574" s="5">
        <v>-4.80239249555741</v>
      </c>
      <c r="O1574" s="5">
        <v>-4.80239249555741</v>
      </c>
      <c r="P1574" s="5">
        <v>0.0</v>
      </c>
      <c r="Q1574" s="5">
        <v>0.0</v>
      </c>
      <c r="R1574" s="5">
        <v>0.0</v>
      </c>
      <c r="S1574" s="5">
        <v>47.0915884693468</v>
      </c>
    </row>
    <row r="1575">
      <c r="A1575" s="6">
        <v>42640.0</v>
      </c>
      <c r="B1575" s="5">
        <v>51.8229975006806</v>
      </c>
      <c r="C1575" s="5">
        <v>-11.3330389350331</v>
      </c>
      <c r="D1575" s="5">
        <v>113.220417665859</v>
      </c>
      <c r="E1575" s="5">
        <v>51.8229975006806</v>
      </c>
      <c r="F1575" s="5">
        <v>51.8229975006806</v>
      </c>
      <c r="G1575" s="5">
        <v>-5.39193373661244</v>
      </c>
      <c r="H1575" s="5">
        <v>-5.39193373661244</v>
      </c>
      <c r="I1575" s="5">
        <v>-5.39193373661244</v>
      </c>
      <c r="J1575" s="5">
        <v>-0.144118857244586</v>
      </c>
      <c r="K1575" s="5">
        <v>-0.144118857244586</v>
      </c>
      <c r="L1575" s="5">
        <v>-0.144118857244586</v>
      </c>
      <c r="M1575" s="5">
        <v>-5.24781487936785</v>
      </c>
      <c r="N1575" s="5">
        <v>-5.24781487936785</v>
      </c>
      <c r="O1575" s="5">
        <v>-5.24781487936785</v>
      </c>
      <c r="P1575" s="5">
        <v>0.0</v>
      </c>
      <c r="Q1575" s="5">
        <v>0.0</v>
      </c>
      <c r="R1575" s="5">
        <v>0.0</v>
      </c>
      <c r="S1575" s="5">
        <v>46.4310637640681</v>
      </c>
    </row>
    <row r="1576">
      <c r="A1576" s="6">
        <v>42641.0</v>
      </c>
      <c r="B1576" s="5">
        <v>51.8425729785787</v>
      </c>
      <c r="C1576" s="5">
        <v>-14.1434120704296</v>
      </c>
      <c r="D1576" s="5">
        <v>110.981457116687</v>
      </c>
      <c r="E1576" s="5">
        <v>51.8425729785787</v>
      </c>
      <c r="F1576" s="5">
        <v>51.8425729785787</v>
      </c>
      <c r="G1576" s="5">
        <v>-5.66649315900088</v>
      </c>
      <c r="H1576" s="5">
        <v>-5.66649315900088</v>
      </c>
      <c r="I1576" s="5">
        <v>-5.66649315900088</v>
      </c>
      <c r="J1576" s="5">
        <v>0.00703780528352509</v>
      </c>
      <c r="K1576" s="5">
        <v>0.00703780528352509</v>
      </c>
      <c r="L1576" s="5">
        <v>0.00703780528352509</v>
      </c>
      <c r="M1576" s="5">
        <v>-5.67353096428441</v>
      </c>
      <c r="N1576" s="5">
        <v>-5.67353096428441</v>
      </c>
      <c r="O1576" s="5">
        <v>-5.67353096428441</v>
      </c>
      <c r="P1576" s="5">
        <v>0.0</v>
      </c>
      <c r="Q1576" s="5">
        <v>0.0</v>
      </c>
      <c r="R1576" s="5">
        <v>0.0</v>
      </c>
      <c r="S1576" s="5">
        <v>46.1760798195778</v>
      </c>
    </row>
    <row r="1577">
      <c r="A1577" s="6">
        <v>42642.0</v>
      </c>
      <c r="B1577" s="5">
        <v>51.8621484564768</v>
      </c>
      <c r="C1577" s="5">
        <v>-16.7943991770484</v>
      </c>
      <c r="D1577" s="5">
        <v>109.281891347341</v>
      </c>
      <c r="E1577" s="5">
        <v>51.8621484564768</v>
      </c>
      <c r="F1577" s="5">
        <v>51.8621484564768</v>
      </c>
      <c r="G1577" s="5">
        <v>-6.84205698986728</v>
      </c>
      <c r="H1577" s="5">
        <v>-6.84205698986728</v>
      </c>
      <c r="I1577" s="5">
        <v>-6.84205698986728</v>
      </c>
      <c r="J1577" s="5">
        <v>-0.776422525899698</v>
      </c>
      <c r="K1577" s="5">
        <v>-0.776422525899698</v>
      </c>
      <c r="L1577" s="5">
        <v>-0.776422525899698</v>
      </c>
      <c r="M1577" s="5">
        <v>-6.06563446396758</v>
      </c>
      <c r="N1577" s="5">
        <v>-6.06563446396758</v>
      </c>
      <c r="O1577" s="5">
        <v>-6.06563446396758</v>
      </c>
      <c r="P1577" s="5">
        <v>0.0</v>
      </c>
      <c r="Q1577" s="5">
        <v>0.0</v>
      </c>
      <c r="R1577" s="5">
        <v>0.0</v>
      </c>
      <c r="S1577" s="5">
        <v>45.0200914666095</v>
      </c>
    </row>
    <row r="1578">
      <c r="A1578" s="6">
        <v>42643.0</v>
      </c>
      <c r="B1578" s="5">
        <v>51.8817239343749</v>
      </c>
      <c r="C1578" s="5">
        <v>-17.6813370193118</v>
      </c>
      <c r="D1578" s="5">
        <v>102.818146460332</v>
      </c>
      <c r="E1578" s="5">
        <v>51.8817239343749</v>
      </c>
      <c r="F1578" s="5">
        <v>51.8817239343749</v>
      </c>
      <c r="G1578" s="5">
        <v>-8.00176103853919</v>
      </c>
      <c r="H1578" s="5">
        <v>-8.00176103853919</v>
      </c>
      <c r="I1578" s="5">
        <v>-8.00176103853919</v>
      </c>
      <c r="J1578" s="5">
        <v>-1.59155056649477</v>
      </c>
      <c r="K1578" s="5">
        <v>-1.59155056649477</v>
      </c>
      <c r="L1578" s="5">
        <v>-1.59155056649477</v>
      </c>
      <c r="M1578" s="5">
        <v>-6.41021047204441</v>
      </c>
      <c r="N1578" s="5">
        <v>-6.41021047204441</v>
      </c>
      <c r="O1578" s="5">
        <v>-6.41021047204441</v>
      </c>
      <c r="P1578" s="5">
        <v>0.0</v>
      </c>
      <c r="Q1578" s="5">
        <v>0.0</v>
      </c>
      <c r="R1578" s="5">
        <v>0.0</v>
      </c>
      <c r="S1578" s="5">
        <v>43.8799628958358</v>
      </c>
    </row>
    <row r="1579">
      <c r="A1579" s="6">
        <v>42646.0</v>
      </c>
      <c r="B1579" s="5">
        <v>51.9404503680693</v>
      </c>
      <c r="C1579" s="5">
        <v>-19.3514171635979</v>
      </c>
      <c r="D1579" s="5">
        <v>104.733745646055</v>
      </c>
      <c r="E1579" s="5">
        <v>51.9404503680693</v>
      </c>
      <c r="F1579" s="5">
        <v>51.9404503680693</v>
      </c>
      <c r="G1579" s="5">
        <v>-6.93651571920083</v>
      </c>
      <c r="H1579" s="5">
        <v>-6.93651571920083</v>
      </c>
      <c r="I1579" s="5">
        <v>-6.93651571920083</v>
      </c>
      <c r="J1579" s="5">
        <v>0.0905589421203811</v>
      </c>
      <c r="K1579" s="5">
        <v>0.0905589421203811</v>
      </c>
      <c r="L1579" s="5">
        <v>0.0905589421203811</v>
      </c>
      <c r="M1579" s="5">
        <v>-7.02707466132122</v>
      </c>
      <c r="N1579" s="5">
        <v>-7.02707466132122</v>
      </c>
      <c r="O1579" s="5">
        <v>-7.02707466132122</v>
      </c>
      <c r="P1579" s="5">
        <v>0.0</v>
      </c>
      <c r="Q1579" s="5">
        <v>0.0</v>
      </c>
      <c r="R1579" s="5">
        <v>0.0</v>
      </c>
      <c r="S1579" s="5">
        <v>45.0039346488685</v>
      </c>
    </row>
    <row r="1580">
      <c r="A1580" s="6">
        <v>42647.0</v>
      </c>
      <c r="B1580" s="5">
        <v>51.9600258459675</v>
      </c>
      <c r="C1580" s="5">
        <v>-18.3657349747777</v>
      </c>
      <c r="D1580" s="5">
        <v>105.529215797847</v>
      </c>
      <c r="E1580" s="5">
        <v>51.9600258459675</v>
      </c>
      <c r="F1580" s="5">
        <v>51.9600258459675</v>
      </c>
      <c r="G1580" s="5">
        <v>-7.19890351565678</v>
      </c>
      <c r="H1580" s="5">
        <v>-7.19890351565678</v>
      </c>
      <c r="I1580" s="5">
        <v>-7.19890351565678</v>
      </c>
      <c r="J1580" s="5">
        <v>-0.144118857246022</v>
      </c>
      <c r="K1580" s="5">
        <v>-0.144118857246022</v>
      </c>
      <c r="L1580" s="5">
        <v>-0.144118857246022</v>
      </c>
      <c r="M1580" s="5">
        <v>-7.05478465841076</v>
      </c>
      <c r="N1580" s="5">
        <v>-7.05478465841076</v>
      </c>
      <c r="O1580" s="5">
        <v>-7.05478465841076</v>
      </c>
      <c r="P1580" s="5">
        <v>0.0</v>
      </c>
      <c r="Q1580" s="5">
        <v>0.0</v>
      </c>
      <c r="R1580" s="5">
        <v>0.0</v>
      </c>
      <c r="S1580" s="5">
        <v>44.7611223303107</v>
      </c>
    </row>
    <row r="1581">
      <c r="A1581" s="6">
        <v>42648.0</v>
      </c>
      <c r="B1581" s="5">
        <v>51.9796013238656</v>
      </c>
      <c r="C1581" s="5">
        <v>-18.6324196404122</v>
      </c>
      <c r="D1581" s="5">
        <v>106.718297057765</v>
      </c>
      <c r="E1581" s="5">
        <v>51.9796013238656</v>
      </c>
      <c r="F1581" s="5">
        <v>51.9796013238656</v>
      </c>
      <c r="G1581" s="5">
        <v>-6.97062964511821</v>
      </c>
      <c r="H1581" s="5">
        <v>-6.97062964511821</v>
      </c>
      <c r="I1581" s="5">
        <v>-6.97062964511821</v>
      </c>
      <c r="J1581" s="5">
        <v>0.00703780528366397</v>
      </c>
      <c r="K1581" s="5">
        <v>0.00703780528366397</v>
      </c>
      <c r="L1581" s="5">
        <v>0.00703780528366397</v>
      </c>
      <c r="M1581" s="5">
        <v>-6.97766745040187</v>
      </c>
      <c r="N1581" s="5">
        <v>-6.97766745040187</v>
      </c>
      <c r="O1581" s="5">
        <v>-6.97766745040187</v>
      </c>
      <c r="P1581" s="5">
        <v>0.0</v>
      </c>
      <c r="Q1581" s="5">
        <v>0.0</v>
      </c>
      <c r="R1581" s="5">
        <v>0.0</v>
      </c>
      <c r="S1581" s="5">
        <v>45.0089716787474</v>
      </c>
    </row>
    <row r="1582">
      <c r="A1582" s="6">
        <v>42649.0</v>
      </c>
      <c r="B1582" s="5">
        <v>51.9991768017637</v>
      </c>
      <c r="C1582" s="5">
        <v>-17.650486670876</v>
      </c>
      <c r="D1582" s="5">
        <v>105.964416162585</v>
      </c>
      <c r="E1582" s="5">
        <v>51.9991768017637</v>
      </c>
      <c r="F1582" s="5">
        <v>51.9991768017637</v>
      </c>
      <c r="G1582" s="5">
        <v>-7.56537727151861</v>
      </c>
      <c r="H1582" s="5">
        <v>-7.56537727151861</v>
      </c>
      <c r="I1582" s="5">
        <v>-7.56537727151861</v>
      </c>
      <c r="J1582" s="5">
        <v>-0.77642252590042</v>
      </c>
      <c r="K1582" s="5">
        <v>-0.77642252590042</v>
      </c>
      <c r="L1582" s="5">
        <v>-0.77642252590042</v>
      </c>
      <c r="M1582" s="5">
        <v>-6.78895474561819</v>
      </c>
      <c r="N1582" s="5">
        <v>-6.78895474561819</v>
      </c>
      <c r="O1582" s="5">
        <v>-6.78895474561819</v>
      </c>
      <c r="P1582" s="5">
        <v>0.0</v>
      </c>
      <c r="Q1582" s="5">
        <v>0.0</v>
      </c>
      <c r="R1582" s="5">
        <v>0.0</v>
      </c>
      <c r="S1582" s="5">
        <v>44.4337995302451</v>
      </c>
    </row>
    <row r="1583">
      <c r="A1583" s="6">
        <v>42650.0</v>
      </c>
      <c r="B1583" s="5">
        <v>52.0187522796618</v>
      </c>
      <c r="C1583" s="5">
        <v>-20.0521346557847</v>
      </c>
      <c r="D1583" s="5">
        <v>107.819175333067</v>
      </c>
      <c r="E1583" s="5">
        <v>52.0187522796618</v>
      </c>
      <c r="F1583" s="5">
        <v>52.0187522796618</v>
      </c>
      <c r="G1583" s="5">
        <v>-8.07557801622303</v>
      </c>
      <c r="H1583" s="5">
        <v>-8.07557801622303</v>
      </c>
      <c r="I1583" s="5">
        <v>-8.07557801622303</v>
      </c>
      <c r="J1583" s="5">
        <v>-1.59155056649353</v>
      </c>
      <c r="K1583" s="5">
        <v>-1.59155056649353</v>
      </c>
      <c r="L1583" s="5">
        <v>-1.59155056649353</v>
      </c>
      <c r="M1583" s="5">
        <v>-6.48402744972949</v>
      </c>
      <c r="N1583" s="5">
        <v>-6.48402744972949</v>
      </c>
      <c r="O1583" s="5">
        <v>-6.48402744972949</v>
      </c>
      <c r="P1583" s="5">
        <v>0.0</v>
      </c>
      <c r="Q1583" s="5">
        <v>0.0</v>
      </c>
      <c r="R1583" s="5">
        <v>0.0</v>
      </c>
      <c r="S1583" s="5">
        <v>43.9431742634388</v>
      </c>
    </row>
    <row r="1584">
      <c r="A1584" s="6">
        <v>42653.0</v>
      </c>
      <c r="B1584" s="5">
        <v>52.0774787133562</v>
      </c>
      <c r="C1584" s="5">
        <v>-16.8847794792945</v>
      </c>
      <c r="D1584" s="5">
        <v>112.99649969829</v>
      </c>
      <c r="E1584" s="5">
        <v>52.0774787133562</v>
      </c>
      <c r="F1584" s="5">
        <v>52.0774787133562</v>
      </c>
      <c r="G1584" s="5">
        <v>-4.77025470045451</v>
      </c>
      <c r="H1584" s="5">
        <v>-4.77025470045451</v>
      </c>
      <c r="I1584" s="5">
        <v>-4.77025470045451</v>
      </c>
      <c r="J1584" s="5">
        <v>0.0905589421237916</v>
      </c>
      <c r="K1584" s="5">
        <v>0.0905589421237916</v>
      </c>
      <c r="L1584" s="5">
        <v>0.0905589421237916</v>
      </c>
      <c r="M1584" s="5">
        <v>-4.8608136425783</v>
      </c>
      <c r="N1584" s="5">
        <v>-4.8608136425783</v>
      </c>
      <c r="O1584" s="5">
        <v>-4.8608136425783</v>
      </c>
      <c r="P1584" s="5">
        <v>0.0</v>
      </c>
      <c r="Q1584" s="5">
        <v>0.0</v>
      </c>
      <c r="R1584" s="5">
        <v>0.0</v>
      </c>
      <c r="S1584" s="5">
        <v>47.3072240129017</v>
      </c>
    </row>
    <row r="1585">
      <c r="A1585" s="6">
        <v>42654.0</v>
      </c>
      <c r="B1585" s="5">
        <v>52.0970541912543</v>
      </c>
      <c r="C1585" s="5">
        <v>-13.2145344528888</v>
      </c>
      <c r="D1585" s="5">
        <v>110.273794579351</v>
      </c>
      <c r="E1585" s="5">
        <v>52.0970541912543</v>
      </c>
      <c r="F1585" s="5">
        <v>52.0970541912543</v>
      </c>
      <c r="G1585" s="5">
        <v>-4.23605357483658</v>
      </c>
      <c r="H1585" s="5">
        <v>-4.23605357483658</v>
      </c>
      <c r="I1585" s="5">
        <v>-4.23605357483658</v>
      </c>
      <c r="J1585" s="5">
        <v>-0.144118857243824</v>
      </c>
      <c r="K1585" s="5">
        <v>-0.144118857243824</v>
      </c>
      <c r="L1585" s="5">
        <v>-0.144118857243824</v>
      </c>
      <c r="M1585" s="5">
        <v>-4.09193471759276</v>
      </c>
      <c r="N1585" s="5">
        <v>-4.09193471759276</v>
      </c>
      <c r="O1585" s="5">
        <v>-4.09193471759276</v>
      </c>
      <c r="P1585" s="5">
        <v>0.0</v>
      </c>
      <c r="Q1585" s="5">
        <v>0.0</v>
      </c>
      <c r="R1585" s="5">
        <v>0.0</v>
      </c>
      <c r="S1585" s="5">
        <v>47.8610006164177</v>
      </c>
    </row>
    <row r="1586">
      <c r="A1586" s="6">
        <v>42655.0</v>
      </c>
      <c r="B1586" s="5">
        <v>52.1166296691525</v>
      </c>
      <c r="C1586" s="5">
        <v>-13.1006859295411</v>
      </c>
      <c r="D1586" s="5">
        <v>113.225545967733</v>
      </c>
      <c r="E1586" s="5">
        <v>52.1166296691525</v>
      </c>
      <c r="F1586" s="5">
        <v>52.1166296691525</v>
      </c>
      <c r="G1586" s="5">
        <v>-3.21219733730729</v>
      </c>
      <c r="H1586" s="5">
        <v>-3.21219733730729</v>
      </c>
      <c r="I1586" s="5">
        <v>-3.21219733730729</v>
      </c>
      <c r="J1586" s="5">
        <v>0.00703780528281138</v>
      </c>
      <c r="K1586" s="5">
        <v>0.00703780528281138</v>
      </c>
      <c r="L1586" s="5">
        <v>0.00703780528281138</v>
      </c>
      <c r="M1586" s="5">
        <v>-3.2192351425901</v>
      </c>
      <c r="N1586" s="5">
        <v>-3.2192351425901</v>
      </c>
      <c r="O1586" s="5">
        <v>-3.2192351425901</v>
      </c>
      <c r="P1586" s="5">
        <v>0.0</v>
      </c>
      <c r="Q1586" s="5">
        <v>0.0</v>
      </c>
      <c r="R1586" s="5">
        <v>0.0</v>
      </c>
      <c r="S1586" s="5">
        <v>48.9044323318452</v>
      </c>
    </row>
    <row r="1587">
      <c r="A1587" s="6">
        <v>42656.0</v>
      </c>
      <c r="B1587" s="5">
        <v>52.1362051470506</v>
      </c>
      <c r="C1587" s="5">
        <v>-13.9263995419436</v>
      </c>
      <c r="D1587" s="5">
        <v>115.17916018649</v>
      </c>
      <c r="E1587" s="5">
        <v>52.1362051470506</v>
      </c>
      <c r="F1587" s="5">
        <v>52.1362051470506</v>
      </c>
      <c r="G1587" s="5">
        <v>-3.02849435765484</v>
      </c>
      <c r="H1587" s="5">
        <v>-3.02849435765484</v>
      </c>
      <c r="I1587" s="5">
        <v>-3.02849435765484</v>
      </c>
      <c r="J1587" s="5">
        <v>-0.776422525901141</v>
      </c>
      <c r="K1587" s="5">
        <v>-0.776422525901141</v>
      </c>
      <c r="L1587" s="5">
        <v>-0.776422525901141</v>
      </c>
      <c r="M1587" s="5">
        <v>-2.2520718317537</v>
      </c>
      <c r="N1587" s="5">
        <v>-2.2520718317537</v>
      </c>
      <c r="O1587" s="5">
        <v>-2.2520718317537</v>
      </c>
      <c r="P1587" s="5">
        <v>0.0</v>
      </c>
      <c r="Q1587" s="5">
        <v>0.0</v>
      </c>
      <c r="R1587" s="5">
        <v>0.0</v>
      </c>
      <c r="S1587" s="5">
        <v>49.1077107893957</v>
      </c>
    </row>
    <row r="1588">
      <c r="A1588" s="6">
        <v>42657.0</v>
      </c>
      <c r="B1588" s="5">
        <v>52.1557806249487</v>
      </c>
      <c r="C1588" s="5">
        <v>-10.9348256484275</v>
      </c>
      <c r="D1588" s="5">
        <v>117.34090777267</v>
      </c>
      <c r="E1588" s="5">
        <v>52.1557806249487</v>
      </c>
      <c r="F1588" s="5">
        <v>52.1557806249487</v>
      </c>
      <c r="G1588" s="5">
        <v>-2.79328477447819</v>
      </c>
      <c r="H1588" s="5">
        <v>-2.79328477447819</v>
      </c>
      <c r="I1588" s="5">
        <v>-2.79328477447819</v>
      </c>
      <c r="J1588" s="5">
        <v>-1.5915505664926</v>
      </c>
      <c r="K1588" s="5">
        <v>-1.5915505664926</v>
      </c>
      <c r="L1588" s="5">
        <v>-1.5915505664926</v>
      </c>
      <c r="M1588" s="5">
        <v>-1.20173420798558</v>
      </c>
      <c r="N1588" s="5">
        <v>-1.20173420798558</v>
      </c>
      <c r="O1588" s="5">
        <v>-1.20173420798558</v>
      </c>
      <c r="P1588" s="5">
        <v>0.0</v>
      </c>
      <c r="Q1588" s="5">
        <v>0.0</v>
      </c>
      <c r="R1588" s="5">
        <v>0.0</v>
      </c>
      <c r="S1588" s="5">
        <v>49.3624958504705</v>
      </c>
    </row>
    <row r="1589">
      <c r="A1589" s="6">
        <v>42660.0</v>
      </c>
      <c r="B1589" s="5">
        <v>52.2145070586431</v>
      </c>
      <c r="C1589" s="5">
        <v>-9.92309734114015</v>
      </c>
      <c r="D1589" s="5">
        <v>114.238671621086</v>
      </c>
      <c r="E1589" s="5">
        <v>52.2145070586431</v>
      </c>
      <c r="F1589" s="5">
        <v>52.2145070586431</v>
      </c>
      <c r="G1589" s="5">
        <v>2.40287743678031</v>
      </c>
      <c r="H1589" s="5">
        <v>2.40287743678031</v>
      </c>
      <c r="I1589" s="5">
        <v>2.40287743678031</v>
      </c>
      <c r="J1589" s="5">
        <v>0.090558942122354</v>
      </c>
      <c r="K1589" s="5">
        <v>0.090558942122354</v>
      </c>
      <c r="L1589" s="5">
        <v>0.090558942122354</v>
      </c>
      <c r="M1589" s="5">
        <v>2.31231849465795</v>
      </c>
      <c r="N1589" s="5">
        <v>2.31231849465795</v>
      </c>
      <c r="O1589" s="5">
        <v>2.31231849465795</v>
      </c>
      <c r="P1589" s="5">
        <v>0.0</v>
      </c>
      <c r="Q1589" s="5">
        <v>0.0</v>
      </c>
      <c r="R1589" s="5">
        <v>0.0</v>
      </c>
      <c r="S1589" s="5">
        <v>54.6173844954234</v>
      </c>
    </row>
    <row r="1590">
      <c r="A1590" s="6">
        <v>42661.0</v>
      </c>
      <c r="B1590" s="5">
        <v>52.2340825365412</v>
      </c>
      <c r="C1590" s="5">
        <v>-6.93259769328363</v>
      </c>
      <c r="D1590" s="5">
        <v>119.874399818144</v>
      </c>
      <c r="E1590" s="5">
        <v>52.2340825365412</v>
      </c>
      <c r="F1590" s="5">
        <v>52.2340825365412</v>
      </c>
      <c r="G1590" s="5">
        <v>3.4098525859918</v>
      </c>
      <c r="H1590" s="5">
        <v>3.4098525859918</v>
      </c>
      <c r="I1590" s="5">
        <v>3.4098525859918</v>
      </c>
      <c r="J1590" s="5">
        <v>-0.14411885724526</v>
      </c>
      <c r="K1590" s="5">
        <v>-0.14411885724526</v>
      </c>
      <c r="L1590" s="5">
        <v>-0.14411885724526</v>
      </c>
      <c r="M1590" s="5">
        <v>3.55397144323705</v>
      </c>
      <c r="N1590" s="5">
        <v>3.55397144323705</v>
      </c>
      <c r="O1590" s="5">
        <v>3.55397144323705</v>
      </c>
      <c r="P1590" s="5">
        <v>0.0</v>
      </c>
      <c r="Q1590" s="5">
        <v>0.0</v>
      </c>
      <c r="R1590" s="5">
        <v>0.0</v>
      </c>
      <c r="S1590" s="5">
        <v>55.643935122533</v>
      </c>
    </row>
    <row r="1591">
      <c r="A1591" s="6">
        <v>42662.0</v>
      </c>
      <c r="B1591" s="5">
        <v>52.2536580144393</v>
      </c>
      <c r="C1591" s="5">
        <v>-3.11313931588229</v>
      </c>
      <c r="D1591" s="5">
        <v>121.353514990645</v>
      </c>
      <c r="E1591" s="5">
        <v>52.2536580144393</v>
      </c>
      <c r="F1591" s="5">
        <v>52.2536580144393</v>
      </c>
      <c r="G1591" s="5">
        <v>4.81106314854062</v>
      </c>
      <c r="H1591" s="5">
        <v>4.81106314854062</v>
      </c>
      <c r="I1591" s="5">
        <v>4.81106314854062</v>
      </c>
      <c r="J1591" s="5">
        <v>0.00703780528195879</v>
      </c>
      <c r="K1591" s="5">
        <v>0.00703780528195879</v>
      </c>
      <c r="L1591" s="5">
        <v>0.00703780528195879</v>
      </c>
      <c r="M1591" s="5">
        <v>4.80402534325866</v>
      </c>
      <c r="N1591" s="5">
        <v>4.80402534325866</v>
      </c>
      <c r="O1591" s="5">
        <v>4.80402534325866</v>
      </c>
      <c r="P1591" s="5">
        <v>0.0</v>
      </c>
      <c r="Q1591" s="5">
        <v>0.0</v>
      </c>
      <c r="R1591" s="5">
        <v>0.0</v>
      </c>
      <c r="S1591" s="5">
        <v>57.06472116298</v>
      </c>
    </row>
    <row r="1592">
      <c r="A1592" s="6">
        <v>42663.0</v>
      </c>
      <c r="B1592" s="5">
        <v>52.2732334923375</v>
      </c>
      <c r="C1592" s="5">
        <v>-5.27662606045359</v>
      </c>
      <c r="D1592" s="5">
        <v>118.704720796709</v>
      </c>
      <c r="E1592" s="5">
        <v>52.2732334923375</v>
      </c>
      <c r="F1592" s="5">
        <v>52.2732334923375</v>
      </c>
      <c r="G1592" s="5">
        <v>5.26998783490465</v>
      </c>
      <c r="H1592" s="5">
        <v>5.26998783490465</v>
      </c>
      <c r="I1592" s="5">
        <v>5.26998783490465</v>
      </c>
      <c r="J1592" s="5">
        <v>-0.776422525901863</v>
      </c>
      <c r="K1592" s="5">
        <v>-0.776422525901863</v>
      </c>
      <c r="L1592" s="5">
        <v>-0.776422525901863</v>
      </c>
      <c r="M1592" s="5">
        <v>6.04641036080651</v>
      </c>
      <c r="N1592" s="5">
        <v>6.04641036080651</v>
      </c>
      <c r="O1592" s="5">
        <v>6.04641036080651</v>
      </c>
      <c r="P1592" s="5">
        <v>0.0</v>
      </c>
      <c r="Q1592" s="5">
        <v>0.0</v>
      </c>
      <c r="R1592" s="5">
        <v>0.0</v>
      </c>
      <c r="S1592" s="5">
        <v>57.5432213272421</v>
      </c>
    </row>
    <row r="1593">
      <c r="A1593" s="6">
        <v>42664.0</v>
      </c>
      <c r="B1593" s="5">
        <v>52.2928089702356</v>
      </c>
      <c r="C1593" s="5">
        <v>-3.50687607657925</v>
      </c>
      <c r="D1593" s="5">
        <v>120.708918684591</v>
      </c>
      <c r="E1593" s="5">
        <v>52.2928089702356</v>
      </c>
      <c r="F1593" s="5">
        <v>52.2928089702356</v>
      </c>
      <c r="G1593" s="5">
        <v>5.67403870848129</v>
      </c>
      <c r="H1593" s="5">
        <v>5.67403870848129</v>
      </c>
      <c r="I1593" s="5">
        <v>5.67403870848129</v>
      </c>
      <c r="J1593" s="5">
        <v>-1.59155056649411</v>
      </c>
      <c r="K1593" s="5">
        <v>-1.59155056649411</v>
      </c>
      <c r="L1593" s="5">
        <v>-1.59155056649411</v>
      </c>
      <c r="M1593" s="5">
        <v>7.26558927497541</v>
      </c>
      <c r="N1593" s="5">
        <v>7.26558927497541</v>
      </c>
      <c r="O1593" s="5">
        <v>7.26558927497541</v>
      </c>
      <c r="P1593" s="5">
        <v>0.0</v>
      </c>
      <c r="Q1593" s="5">
        <v>0.0</v>
      </c>
      <c r="R1593" s="5">
        <v>0.0</v>
      </c>
      <c r="S1593" s="5">
        <v>57.9668476787169</v>
      </c>
    </row>
    <row r="1594">
      <c r="A1594" s="6">
        <v>42667.0</v>
      </c>
      <c r="B1594" s="5">
        <v>52.35153540393</v>
      </c>
      <c r="C1594" s="5">
        <v>3.35186671694961</v>
      </c>
      <c r="D1594" s="5">
        <v>127.922791253617</v>
      </c>
      <c r="E1594" s="5">
        <v>52.35153540393</v>
      </c>
      <c r="F1594" s="5">
        <v>52.35153540393</v>
      </c>
      <c r="G1594" s="5">
        <v>10.7346789760502</v>
      </c>
      <c r="H1594" s="5">
        <v>10.7346789760502</v>
      </c>
      <c r="I1594" s="5">
        <v>10.7346789760502</v>
      </c>
      <c r="J1594" s="5">
        <v>0.0905589421209166</v>
      </c>
      <c r="K1594" s="5">
        <v>0.0905589421209166</v>
      </c>
      <c r="L1594" s="5">
        <v>0.0905589421209166</v>
      </c>
      <c r="M1594" s="5">
        <v>10.6441200339293</v>
      </c>
      <c r="N1594" s="5">
        <v>10.6441200339293</v>
      </c>
      <c r="O1594" s="5">
        <v>10.6441200339293</v>
      </c>
      <c r="P1594" s="5">
        <v>0.0</v>
      </c>
      <c r="Q1594" s="5">
        <v>0.0</v>
      </c>
      <c r="R1594" s="5">
        <v>0.0</v>
      </c>
      <c r="S1594" s="5">
        <v>63.0862143799802</v>
      </c>
    </row>
    <row r="1595">
      <c r="A1595" s="6">
        <v>42668.0</v>
      </c>
      <c r="B1595" s="5">
        <v>52.3711108818281</v>
      </c>
      <c r="C1595" s="5">
        <v>-0.963360830704872</v>
      </c>
      <c r="D1595" s="5">
        <v>126.753528235229</v>
      </c>
      <c r="E1595" s="5">
        <v>52.3711108818281</v>
      </c>
      <c r="F1595" s="5">
        <v>52.3711108818281</v>
      </c>
      <c r="G1595" s="5">
        <v>11.4940230025481</v>
      </c>
      <c r="H1595" s="5">
        <v>11.4940230025481</v>
      </c>
      <c r="I1595" s="5">
        <v>11.4940230025481</v>
      </c>
      <c r="J1595" s="5">
        <v>-0.144118857244172</v>
      </c>
      <c r="K1595" s="5">
        <v>-0.144118857244172</v>
      </c>
      <c r="L1595" s="5">
        <v>-0.144118857244172</v>
      </c>
      <c r="M1595" s="5">
        <v>11.6381418597922</v>
      </c>
      <c r="N1595" s="5">
        <v>11.6381418597922</v>
      </c>
      <c r="O1595" s="5">
        <v>11.6381418597922</v>
      </c>
      <c r="P1595" s="5">
        <v>0.0</v>
      </c>
      <c r="Q1595" s="5">
        <v>0.0</v>
      </c>
      <c r="R1595" s="5">
        <v>0.0</v>
      </c>
      <c r="S1595" s="5">
        <v>63.8651338843762</v>
      </c>
    </row>
    <row r="1596">
      <c r="A1596" s="6">
        <v>42669.0</v>
      </c>
      <c r="B1596" s="5">
        <v>52.3906863597262</v>
      </c>
      <c r="C1596" s="5">
        <v>4.90915672158276</v>
      </c>
      <c r="D1596" s="5">
        <v>132.67665287678</v>
      </c>
      <c r="E1596" s="5">
        <v>52.3906863597262</v>
      </c>
      <c r="F1596" s="5">
        <v>52.3906863597262</v>
      </c>
      <c r="G1596" s="5">
        <v>12.558179382528</v>
      </c>
      <c r="H1596" s="5">
        <v>12.558179382528</v>
      </c>
      <c r="I1596" s="5">
        <v>12.558179382528</v>
      </c>
      <c r="J1596" s="5">
        <v>0.00703780528308894</v>
      </c>
      <c r="K1596" s="5">
        <v>0.00703780528308894</v>
      </c>
      <c r="L1596" s="5">
        <v>0.00703780528308894</v>
      </c>
      <c r="M1596" s="5">
        <v>12.5511415772449</v>
      </c>
      <c r="N1596" s="5">
        <v>12.5511415772449</v>
      </c>
      <c r="O1596" s="5">
        <v>12.5511415772449</v>
      </c>
      <c r="P1596" s="5">
        <v>0.0</v>
      </c>
      <c r="Q1596" s="5">
        <v>0.0</v>
      </c>
      <c r="R1596" s="5">
        <v>0.0</v>
      </c>
      <c r="S1596" s="5">
        <v>64.9488657422543</v>
      </c>
    </row>
    <row r="1597">
      <c r="A1597" s="6">
        <v>42670.0</v>
      </c>
      <c r="B1597" s="5">
        <v>52.4102618376244</v>
      </c>
      <c r="C1597" s="5">
        <v>4.74671260419796</v>
      </c>
      <c r="D1597" s="5">
        <v>129.417185189491</v>
      </c>
      <c r="E1597" s="5">
        <v>52.4102618376244</v>
      </c>
      <c r="F1597" s="5">
        <v>52.4102618376244</v>
      </c>
      <c r="G1597" s="5">
        <v>12.6009085494441</v>
      </c>
      <c r="H1597" s="5">
        <v>12.6009085494441</v>
      </c>
      <c r="I1597" s="5">
        <v>12.6009085494441</v>
      </c>
      <c r="J1597" s="5">
        <v>-0.776422525901111</v>
      </c>
      <c r="K1597" s="5">
        <v>-0.776422525901111</v>
      </c>
      <c r="L1597" s="5">
        <v>-0.776422525901111</v>
      </c>
      <c r="M1597" s="5">
        <v>13.3773310753452</v>
      </c>
      <c r="N1597" s="5">
        <v>13.3773310753452</v>
      </c>
      <c r="O1597" s="5">
        <v>13.3773310753452</v>
      </c>
      <c r="P1597" s="5">
        <v>0.0</v>
      </c>
      <c r="Q1597" s="5">
        <v>0.0</v>
      </c>
      <c r="R1597" s="5">
        <v>0.0</v>
      </c>
      <c r="S1597" s="5">
        <v>65.0111703870685</v>
      </c>
    </row>
    <row r="1598">
      <c r="A1598" s="6">
        <v>42671.0</v>
      </c>
      <c r="B1598" s="5">
        <v>52.4298373155225</v>
      </c>
      <c r="C1598" s="5">
        <v>3.46635003477309</v>
      </c>
      <c r="D1598" s="5">
        <v>124.579222477998</v>
      </c>
      <c r="E1598" s="5">
        <v>52.4298373155225</v>
      </c>
      <c r="F1598" s="5">
        <v>52.4298373155225</v>
      </c>
      <c r="G1598" s="5">
        <v>12.5216449825749</v>
      </c>
      <c r="H1598" s="5">
        <v>12.5216449825749</v>
      </c>
      <c r="I1598" s="5">
        <v>12.5216449825749</v>
      </c>
      <c r="J1598" s="5">
        <v>-1.59155056649318</v>
      </c>
      <c r="K1598" s="5">
        <v>-1.59155056649318</v>
      </c>
      <c r="L1598" s="5">
        <v>-1.59155056649318</v>
      </c>
      <c r="M1598" s="5">
        <v>14.1131955490681</v>
      </c>
      <c r="N1598" s="5">
        <v>14.1131955490681</v>
      </c>
      <c r="O1598" s="5">
        <v>14.1131955490681</v>
      </c>
      <c r="P1598" s="5">
        <v>0.0</v>
      </c>
      <c r="Q1598" s="5">
        <v>0.0</v>
      </c>
      <c r="R1598" s="5">
        <v>0.0</v>
      </c>
      <c r="S1598" s="5">
        <v>64.9514822980975</v>
      </c>
    </row>
    <row r="1599">
      <c r="A1599" s="6">
        <v>42674.0</v>
      </c>
      <c r="B1599" s="5">
        <v>52.4885637492169</v>
      </c>
      <c r="C1599" s="5">
        <v>8.49337880211661</v>
      </c>
      <c r="D1599" s="5">
        <v>132.29088521385</v>
      </c>
      <c r="E1599" s="5">
        <v>52.4885637492169</v>
      </c>
      <c r="F1599" s="5">
        <v>52.4885637492169</v>
      </c>
      <c r="G1599" s="5">
        <v>15.868410200301</v>
      </c>
      <c r="H1599" s="5">
        <v>15.868410200301</v>
      </c>
      <c r="I1599" s="5">
        <v>15.868410200301</v>
      </c>
      <c r="J1599" s="5">
        <v>0.0905589421194793</v>
      </c>
      <c r="K1599" s="5">
        <v>0.0905589421194793</v>
      </c>
      <c r="L1599" s="5">
        <v>0.0905589421194793</v>
      </c>
      <c r="M1599" s="5">
        <v>15.7778512581815</v>
      </c>
      <c r="N1599" s="5">
        <v>15.7778512581815</v>
      </c>
      <c r="O1599" s="5">
        <v>15.7778512581815</v>
      </c>
      <c r="P1599" s="5">
        <v>0.0</v>
      </c>
      <c r="Q1599" s="5">
        <v>0.0</v>
      </c>
      <c r="R1599" s="5">
        <v>0.0</v>
      </c>
      <c r="S1599" s="5">
        <v>68.3569739495179</v>
      </c>
    </row>
    <row r="1600">
      <c r="A1600" s="6">
        <v>42675.0</v>
      </c>
      <c r="B1600" s="5">
        <v>52.508139227115</v>
      </c>
      <c r="C1600" s="5">
        <v>0.545349281419081</v>
      </c>
      <c r="D1600" s="5">
        <v>134.727258177088</v>
      </c>
      <c r="E1600" s="5">
        <v>52.508139227115</v>
      </c>
      <c r="F1600" s="5">
        <v>52.508139227115</v>
      </c>
      <c r="G1600" s="5">
        <v>16.0181165203664</v>
      </c>
      <c r="H1600" s="5">
        <v>16.0181165203664</v>
      </c>
      <c r="I1600" s="5">
        <v>16.0181165203664</v>
      </c>
      <c r="J1600" s="5">
        <v>-0.144118857247021</v>
      </c>
      <c r="K1600" s="5">
        <v>-0.144118857247021</v>
      </c>
      <c r="L1600" s="5">
        <v>-0.144118857247021</v>
      </c>
      <c r="M1600" s="5">
        <v>16.1622353776134</v>
      </c>
      <c r="N1600" s="5">
        <v>16.1622353776134</v>
      </c>
      <c r="O1600" s="5">
        <v>16.1622353776134</v>
      </c>
      <c r="P1600" s="5">
        <v>0.0</v>
      </c>
      <c r="Q1600" s="5">
        <v>0.0</v>
      </c>
      <c r="R1600" s="5">
        <v>0.0</v>
      </c>
      <c r="S1600" s="5">
        <v>68.5262557474814</v>
      </c>
    </row>
    <row r="1601">
      <c r="A1601" s="6">
        <v>42676.0</v>
      </c>
      <c r="B1601" s="5">
        <v>52.5277147050131</v>
      </c>
      <c r="C1601" s="5">
        <v>8.34070542561854</v>
      </c>
      <c r="D1601" s="5">
        <v>133.325884227643</v>
      </c>
      <c r="E1601" s="5">
        <v>52.5277147050131</v>
      </c>
      <c r="F1601" s="5">
        <v>52.5277147050131</v>
      </c>
      <c r="G1601" s="5">
        <v>16.4784770484566</v>
      </c>
      <c r="H1601" s="5">
        <v>16.4784770484566</v>
      </c>
      <c r="I1601" s="5">
        <v>16.4784770484566</v>
      </c>
      <c r="J1601" s="5">
        <v>0.00703780528223652</v>
      </c>
      <c r="K1601" s="5">
        <v>0.00703780528223652</v>
      </c>
      <c r="L1601" s="5">
        <v>0.00703780528223652</v>
      </c>
      <c r="M1601" s="5">
        <v>16.4714392431744</v>
      </c>
      <c r="N1601" s="5">
        <v>16.4714392431744</v>
      </c>
      <c r="O1601" s="5">
        <v>16.4714392431744</v>
      </c>
      <c r="P1601" s="5">
        <v>0.0</v>
      </c>
      <c r="Q1601" s="5">
        <v>0.0</v>
      </c>
      <c r="R1601" s="5">
        <v>0.0</v>
      </c>
      <c r="S1601" s="5">
        <v>69.0061917534698</v>
      </c>
    </row>
    <row r="1602">
      <c r="A1602" s="6">
        <v>42677.0</v>
      </c>
      <c r="B1602" s="5">
        <v>52.5472901829112</v>
      </c>
      <c r="C1602" s="5">
        <v>6.24977788428548</v>
      </c>
      <c r="D1602" s="5">
        <v>131.51034201757</v>
      </c>
      <c r="E1602" s="5">
        <v>52.5472901829112</v>
      </c>
      <c r="F1602" s="5">
        <v>52.5472901829112</v>
      </c>
      <c r="G1602" s="5">
        <v>15.9374865746885</v>
      </c>
      <c r="H1602" s="5">
        <v>15.9374865746885</v>
      </c>
      <c r="I1602" s="5">
        <v>15.9374865746885</v>
      </c>
      <c r="J1602" s="5">
        <v>-0.776422525900457</v>
      </c>
      <c r="K1602" s="5">
        <v>-0.776422525900457</v>
      </c>
      <c r="L1602" s="5">
        <v>-0.776422525900457</v>
      </c>
      <c r="M1602" s="5">
        <v>16.713909100589</v>
      </c>
      <c r="N1602" s="5">
        <v>16.713909100589</v>
      </c>
      <c r="O1602" s="5">
        <v>16.713909100589</v>
      </c>
      <c r="P1602" s="5">
        <v>0.0</v>
      </c>
      <c r="Q1602" s="5">
        <v>0.0</v>
      </c>
      <c r="R1602" s="5">
        <v>0.0</v>
      </c>
      <c r="S1602" s="5">
        <v>68.4847767575998</v>
      </c>
    </row>
    <row r="1603">
      <c r="A1603" s="6">
        <v>42678.0</v>
      </c>
      <c r="B1603" s="5">
        <v>52.5668656608094</v>
      </c>
      <c r="C1603" s="5">
        <v>0.597311436328146</v>
      </c>
      <c r="D1603" s="5">
        <v>127.748994623297</v>
      </c>
      <c r="E1603" s="5">
        <v>52.5668656608094</v>
      </c>
      <c r="F1603" s="5">
        <v>52.5668656608094</v>
      </c>
      <c r="G1603" s="5">
        <v>15.3077297580546</v>
      </c>
      <c r="H1603" s="5">
        <v>15.3077297580546</v>
      </c>
      <c r="I1603" s="5">
        <v>15.3077297580546</v>
      </c>
      <c r="J1603" s="5">
        <v>-1.59155056649226</v>
      </c>
      <c r="K1603" s="5">
        <v>-1.59155056649226</v>
      </c>
      <c r="L1603" s="5">
        <v>-1.59155056649226</v>
      </c>
      <c r="M1603" s="5">
        <v>16.8992803245469</v>
      </c>
      <c r="N1603" s="5">
        <v>16.8992803245469</v>
      </c>
      <c r="O1603" s="5">
        <v>16.8992803245469</v>
      </c>
      <c r="P1603" s="5">
        <v>0.0</v>
      </c>
      <c r="Q1603" s="5">
        <v>0.0</v>
      </c>
      <c r="R1603" s="5">
        <v>0.0</v>
      </c>
      <c r="S1603" s="5">
        <v>67.874595418864</v>
      </c>
    </row>
    <row r="1604">
      <c r="A1604" s="6">
        <v>42681.0</v>
      </c>
      <c r="B1604" s="5">
        <v>52.6255920945037</v>
      </c>
      <c r="C1604" s="5">
        <v>10.8828654036213</v>
      </c>
      <c r="D1604" s="5">
        <v>135.678322629637</v>
      </c>
      <c r="E1604" s="5">
        <v>52.6255920945037</v>
      </c>
      <c r="F1604" s="5">
        <v>52.6255920945037</v>
      </c>
      <c r="G1604" s="5">
        <v>17.3102742837562</v>
      </c>
      <c r="H1604" s="5">
        <v>17.3102742837562</v>
      </c>
      <c r="I1604" s="5">
        <v>17.3102742837562</v>
      </c>
      <c r="J1604" s="5">
        <v>0.0905589421228897</v>
      </c>
      <c r="K1604" s="5">
        <v>0.0905589421228897</v>
      </c>
      <c r="L1604" s="5">
        <v>0.0905589421228897</v>
      </c>
      <c r="M1604" s="5">
        <v>17.2197153416333</v>
      </c>
      <c r="N1604" s="5">
        <v>17.2197153416333</v>
      </c>
      <c r="O1604" s="5">
        <v>17.2197153416333</v>
      </c>
      <c r="P1604" s="5">
        <v>0.0</v>
      </c>
      <c r="Q1604" s="5">
        <v>0.0</v>
      </c>
      <c r="R1604" s="5">
        <v>0.0</v>
      </c>
      <c r="S1604" s="5">
        <v>69.93586637826</v>
      </c>
    </row>
    <row r="1605">
      <c r="A1605" s="6">
        <v>42682.0</v>
      </c>
      <c r="B1605" s="5">
        <v>52.6451675724019</v>
      </c>
      <c r="C1605" s="5">
        <v>7.53456710050357</v>
      </c>
      <c r="D1605" s="5">
        <v>131.955496588513</v>
      </c>
      <c r="E1605" s="5">
        <v>52.6451675724019</v>
      </c>
      <c r="F1605" s="5">
        <v>52.6451675724019</v>
      </c>
      <c r="G1605" s="5">
        <v>17.1404465975993</v>
      </c>
      <c r="H1605" s="5">
        <v>17.1404465975993</v>
      </c>
      <c r="I1605" s="5">
        <v>17.1404465975993</v>
      </c>
      <c r="J1605" s="5">
        <v>-0.144118857245933</v>
      </c>
      <c r="K1605" s="5">
        <v>-0.144118857245933</v>
      </c>
      <c r="L1605" s="5">
        <v>-0.144118857245933</v>
      </c>
      <c r="M1605" s="5">
        <v>17.2845654548452</v>
      </c>
      <c r="N1605" s="5">
        <v>17.2845654548452</v>
      </c>
      <c r="O1605" s="5">
        <v>17.2845654548452</v>
      </c>
      <c r="P1605" s="5">
        <v>0.0</v>
      </c>
      <c r="Q1605" s="5">
        <v>0.0</v>
      </c>
      <c r="R1605" s="5">
        <v>0.0</v>
      </c>
      <c r="S1605" s="5">
        <v>69.7856141700012</v>
      </c>
    </row>
    <row r="1606">
      <c r="A1606" s="6">
        <v>42683.0</v>
      </c>
      <c r="B1606" s="5">
        <v>52.6647430503</v>
      </c>
      <c r="C1606" s="5">
        <v>5.85379998545945</v>
      </c>
      <c r="D1606" s="5">
        <v>132.415960991343</v>
      </c>
      <c r="E1606" s="5">
        <v>52.6647430503</v>
      </c>
      <c r="F1606" s="5">
        <v>52.6647430503</v>
      </c>
      <c r="G1606" s="5">
        <v>17.3529718537403</v>
      </c>
      <c r="H1606" s="5">
        <v>17.3529718537403</v>
      </c>
      <c r="I1606" s="5">
        <v>17.3529718537403</v>
      </c>
      <c r="J1606" s="5">
        <v>0.00703780528354759</v>
      </c>
      <c r="K1606" s="5">
        <v>0.00703780528354759</v>
      </c>
      <c r="L1606" s="5">
        <v>0.00703780528354759</v>
      </c>
      <c r="M1606" s="5">
        <v>17.3459340484568</v>
      </c>
      <c r="N1606" s="5">
        <v>17.3459340484568</v>
      </c>
      <c r="O1606" s="5">
        <v>17.3459340484568</v>
      </c>
      <c r="P1606" s="5">
        <v>0.0</v>
      </c>
      <c r="Q1606" s="5">
        <v>0.0</v>
      </c>
      <c r="R1606" s="5">
        <v>0.0</v>
      </c>
      <c r="S1606" s="5">
        <v>70.0177149040404</v>
      </c>
    </row>
    <row r="1607">
      <c r="A1607" s="6">
        <v>42684.0</v>
      </c>
      <c r="B1607" s="5">
        <v>52.6843185281981</v>
      </c>
      <c r="C1607" s="5">
        <v>9.60033681475</v>
      </c>
      <c r="D1607" s="5">
        <v>135.417733555115</v>
      </c>
      <c r="E1607" s="5">
        <v>52.6843185281981</v>
      </c>
      <c r="F1607" s="5">
        <v>52.6843185281981</v>
      </c>
      <c r="G1607" s="5">
        <v>16.6366903641609</v>
      </c>
      <c r="H1607" s="5">
        <v>16.6366903641609</v>
      </c>
      <c r="I1607" s="5">
        <v>16.6366903641609</v>
      </c>
      <c r="J1607" s="5">
        <v>-0.776422525902554</v>
      </c>
      <c r="K1607" s="5">
        <v>-0.776422525902554</v>
      </c>
      <c r="L1607" s="5">
        <v>-0.776422525902554</v>
      </c>
      <c r="M1607" s="5">
        <v>17.4131128900634</v>
      </c>
      <c r="N1607" s="5">
        <v>17.4131128900634</v>
      </c>
      <c r="O1607" s="5">
        <v>17.4131128900634</v>
      </c>
      <c r="P1607" s="5">
        <v>0.0</v>
      </c>
      <c r="Q1607" s="5">
        <v>0.0</v>
      </c>
      <c r="R1607" s="5">
        <v>0.0</v>
      </c>
      <c r="S1607" s="5">
        <v>69.321008892359</v>
      </c>
    </row>
    <row r="1608">
      <c r="A1608" s="6">
        <v>42685.0</v>
      </c>
      <c r="B1608" s="5">
        <v>52.7038940060962</v>
      </c>
      <c r="C1608" s="5">
        <v>8.3145238052396</v>
      </c>
      <c r="D1608" s="5">
        <v>124.331225420615</v>
      </c>
      <c r="E1608" s="5">
        <v>52.7038940060962</v>
      </c>
      <c r="F1608" s="5">
        <v>52.7038940060962</v>
      </c>
      <c r="G1608" s="5">
        <v>15.9026048356693</v>
      </c>
      <c r="H1608" s="5">
        <v>15.9026048356693</v>
      </c>
      <c r="I1608" s="5">
        <v>15.9026048356693</v>
      </c>
      <c r="J1608" s="5">
        <v>-1.59155056649133</v>
      </c>
      <c r="K1608" s="5">
        <v>-1.59155056649133</v>
      </c>
      <c r="L1608" s="5">
        <v>-1.59155056649133</v>
      </c>
      <c r="M1608" s="5">
        <v>17.4941554021606</v>
      </c>
      <c r="N1608" s="5">
        <v>17.4941554021606</v>
      </c>
      <c r="O1608" s="5">
        <v>17.4941554021606</v>
      </c>
      <c r="P1608" s="5">
        <v>0.0</v>
      </c>
      <c r="Q1608" s="5">
        <v>0.0</v>
      </c>
      <c r="R1608" s="5">
        <v>0.0</v>
      </c>
      <c r="S1608" s="5">
        <v>68.6064988417656</v>
      </c>
    </row>
    <row r="1609">
      <c r="A1609" s="6">
        <v>42688.0</v>
      </c>
      <c r="B1609" s="5">
        <v>52.7626204397906</v>
      </c>
      <c r="C1609" s="5">
        <v>4.78294086601206</v>
      </c>
      <c r="D1609" s="5">
        <v>136.489829718163</v>
      </c>
      <c r="E1609" s="5">
        <v>52.7626204397906</v>
      </c>
      <c r="F1609" s="5">
        <v>52.7626204397906</v>
      </c>
      <c r="G1609" s="5">
        <v>17.9679770426136</v>
      </c>
      <c r="H1609" s="5">
        <v>17.9679770426136</v>
      </c>
      <c r="I1609" s="5">
        <v>17.9679770426136</v>
      </c>
      <c r="J1609" s="5">
        <v>0.0905589421190681</v>
      </c>
      <c r="K1609" s="5">
        <v>0.0905589421190681</v>
      </c>
      <c r="L1609" s="5">
        <v>0.0905589421190681</v>
      </c>
      <c r="M1609" s="5">
        <v>17.8774181004945</v>
      </c>
      <c r="N1609" s="5">
        <v>17.8774181004945</v>
      </c>
      <c r="O1609" s="5">
        <v>17.8774181004945</v>
      </c>
      <c r="P1609" s="5">
        <v>0.0</v>
      </c>
      <c r="Q1609" s="5">
        <v>0.0</v>
      </c>
      <c r="R1609" s="5">
        <v>0.0</v>
      </c>
      <c r="S1609" s="5">
        <v>70.7305974824042</v>
      </c>
    </row>
    <row r="1610">
      <c r="A1610" s="6">
        <v>42689.0</v>
      </c>
      <c r="B1610" s="5">
        <v>52.7928664633332</v>
      </c>
      <c r="C1610" s="5">
        <v>7.06420170215963</v>
      </c>
      <c r="D1610" s="5">
        <v>134.789303794106</v>
      </c>
      <c r="E1610" s="5">
        <v>52.7928664633332</v>
      </c>
      <c r="F1610" s="5">
        <v>52.7928664633332</v>
      </c>
      <c r="G1610" s="5">
        <v>17.9177275623108</v>
      </c>
      <c r="H1610" s="5">
        <v>17.9177275623108</v>
      </c>
      <c r="I1610" s="5">
        <v>17.9177275623108</v>
      </c>
      <c r="J1610" s="5">
        <v>-0.144118857244845</v>
      </c>
      <c r="K1610" s="5">
        <v>-0.144118857244845</v>
      </c>
      <c r="L1610" s="5">
        <v>-0.144118857244845</v>
      </c>
      <c r="M1610" s="5">
        <v>18.0618464195556</v>
      </c>
      <c r="N1610" s="5">
        <v>18.0618464195556</v>
      </c>
      <c r="O1610" s="5">
        <v>18.0618464195556</v>
      </c>
      <c r="P1610" s="5">
        <v>0.0</v>
      </c>
      <c r="Q1610" s="5">
        <v>0.0</v>
      </c>
      <c r="R1610" s="5">
        <v>0.0</v>
      </c>
      <c r="S1610" s="5">
        <v>70.7105940256441</v>
      </c>
    </row>
    <row r="1611">
      <c r="A1611" s="6">
        <v>42690.0</v>
      </c>
      <c r="B1611" s="5">
        <v>52.8231124868758</v>
      </c>
      <c r="C1611" s="5">
        <v>9.60763633524386</v>
      </c>
      <c r="D1611" s="5">
        <v>131.205508563063</v>
      </c>
      <c r="E1611" s="5">
        <v>52.8231124868758</v>
      </c>
      <c r="F1611" s="5">
        <v>52.8231124868758</v>
      </c>
      <c r="G1611" s="5">
        <v>18.281822824017</v>
      </c>
      <c r="H1611" s="5">
        <v>18.281822824017</v>
      </c>
      <c r="I1611" s="5">
        <v>18.281822824017</v>
      </c>
      <c r="J1611" s="5">
        <v>0.00703780528053138</v>
      </c>
      <c r="K1611" s="5">
        <v>0.00703780528053138</v>
      </c>
      <c r="L1611" s="5">
        <v>0.00703780528053138</v>
      </c>
      <c r="M1611" s="5">
        <v>18.2747850187365</v>
      </c>
      <c r="N1611" s="5">
        <v>18.2747850187365</v>
      </c>
      <c r="O1611" s="5">
        <v>18.2747850187365</v>
      </c>
      <c r="P1611" s="5">
        <v>0.0</v>
      </c>
      <c r="Q1611" s="5">
        <v>0.0</v>
      </c>
      <c r="R1611" s="5">
        <v>0.0</v>
      </c>
      <c r="S1611" s="5">
        <v>71.1049353108929</v>
      </c>
    </row>
    <row r="1612">
      <c r="A1612" s="6">
        <v>42691.0</v>
      </c>
      <c r="B1612" s="5">
        <v>52.8533585104185</v>
      </c>
      <c r="C1612" s="5">
        <v>11.0036796763834</v>
      </c>
      <c r="D1612" s="5">
        <v>130.246330617618</v>
      </c>
      <c r="E1612" s="5">
        <v>52.8533585104185</v>
      </c>
      <c r="F1612" s="5">
        <v>52.8533585104185</v>
      </c>
      <c r="G1612" s="5">
        <v>17.737032720045</v>
      </c>
      <c r="H1612" s="5">
        <v>17.737032720045</v>
      </c>
      <c r="I1612" s="5">
        <v>17.737032720045</v>
      </c>
      <c r="J1612" s="5">
        <v>-0.776422525901802</v>
      </c>
      <c r="K1612" s="5">
        <v>-0.776422525901802</v>
      </c>
      <c r="L1612" s="5">
        <v>-0.776422525901802</v>
      </c>
      <c r="M1612" s="5">
        <v>18.5134552459468</v>
      </c>
      <c r="N1612" s="5">
        <v>18.5134552459468</v>
      </c>
      <c r="O1612" s="5">
        <v>18.5134552459468</v>
      </c>
      <c r="P1612" s="5">
        <v>0.0</v>
      </c>
      <c r="Q1612" s="5">
        <v>0.0</v>
      </c>
      <c r="R1612" s="5">
        <v>0.0</v>
      </c>
      <c r="S1612" s="5">
        <v>70.5903912304635</v>
      </c>
    </row>
    <row r="1613">
      <c r="A1613" s="6">
        <v>42692.0</v>
      </c>
      <c r="B1613" s="5">
        <v>52.8836045339611</v>
      </c>
      <c r="C1613" s="5">
        <v>7.11333624531998</v>
      </c>
      <c r="D1613" s="5">
        <v>133.070449978858</v>
      </c>
      <c r="E1613" s="5">
        <v>52.8836045339611</v>
      </c>
      <c r="F1613" s="5">
        <v>52.8836045339611</v>
      </c>
      <c r="G1613" s="5">
        <v>17.1817286689248</v>
      </c>
      <c r="H1613" s="5">
        <v>17.1817286689248</v>
      </c>
      <c r="I1613" s="5">
        <v>17.1817286689248</v>
      </c>
      <c r="J1613" s="5">
        <v>-1.59155056649284</v>
      </c>
      <c r="K1613" s="5">
        <v>-1.59155056649284</v>
      </c>
      <c r="L1613" s="5">
        <v>-1.59155056649284</v>
      </c>
      <c r="M1613" s="5">
        <v>18.7732792354176</v>
      </c>
      <c r="N1613" s="5">
        <v>18.7732792354176</v>
      </c>
      <c r="O1613" s="5">
        <v>18.7732792354176</v>
      </c>
      <c r="P1613" s="5">
        <v>0.0</v>
      </c>
      <c r="Q1613" s="5">
        <v>0.0</v>
      </c>
      <c r="R1613" s="5">
        <v>0.0</v>
      </c>
      <c r="S1613" s="5">
        <v>70.0653332028859</v>
      </c>
    </row>
    <row r="1614">
      <c r="A1614" s="6">
        <v>42695.0</v>
      </c>
      <c r="B1614" s="5">
        <v>52.9743426045889</v>
      </c>
      <c r="C1614" s="5">
        <v>7.98452775320007</v>
      </c>
      <c r="D1614" s="5">
        <v>137.379832055105</v>
      </c>
      <c r="E1614" s="5">
        <v>52.9743426045889</v>
      </c>
      <c r="F1614" s="5">
        <v>52.9743426045889</v>
      </c>
      <c r="G1614" s="5">
        <v>19.7014312267571</v>
      </c>
      <c r="H1614" s="5">
        <v>19.7014312267571</v>
      </c>
      <c r="I1614" s="5">
        <v>19.7014312267571</v>
      </c>
      <c r="J1614" s="5">
        <v>0.0905589421200147</v>
      </c>
      <c r="K1614" s="5">
        <v>0.0905589421200147</v>
      </c>
      <c r="L1614" s="5">
        <v>0.0905589421200147</v>
      </c>
      <c r="M1614" s="5">
        <v>19.6108722846371</v>
      </c>
      <c r="N1614" s="5">
        <v>19.6108722846371</v>
      </c>
      <c r="O1614" s="5">
        <v>19.6108722846371</v>
      </c>
      <c r="P1614" s="5">
        <v>0.0</v>
      </c>
      <c r="Q1614" s="5">
        <v>0.0</v>
      </c>
      <c r="R1614" s="5">
        <v>0.0</v>
      </c>
      <c r="S1614" s="5">
        <v>72.6757738313461</v>
      </c>
    </row>
    <row r="1615">
      <c r="A1615" s="6">
        <v>42696.0</v>
      </c>
      <c r="B1615" s="5">
        <v>53.0045886281315</v>
      </c>
      <c r="C1615" s="5">
        <v>14.007894106032</v>
      </c>
      <c r="D1615" s="5">
        <v>131.935226120777</v>
      </c>
      <c r="E1615" s="5">
        <v>53.0045886281315</v>
      </c>
      <c r="F1615" s="5">
        <v>53.0045886281315</v>
      </c>
      <c r="G1615" s="5">
        <v>19.7365269542364</v>
      </c>
      <c r="H1615" s="5">
        <v>19.7365269542364</v>
      </c>
      <c r="I1615" s="5">
        <v>19.7365269542364</v>
      </c>
      <c r="J1615" s="5">
        <v>-0.144118857243757</v>
      </c>
      <c r="K1615" s="5">
        <v>-0.144118857243757</v>
      </c>
      <c r="L1615" s="5">
        <v>-0.144118857243757</v>
      </c>
      <c r="M1615" s="5">
        <v>19.8806458114802</v>
      </c>
      <c r="N1615" s="5">
        <v>19.8806458114802</v>
      </c>
      <c r="O1615" s="5">
        <v>19.8806458114802</v>
      </c>
      <c r="P1615" s="5">
        <v>0.0</v>
      </c>
      <c r="Q1615" s="5">
        <v>0.0</v>
      </c>
      <c r="R1615" s="5">
        <v>0.0</v>
      </c>
      <c r="S1615" s="5">
        <v>72.741115582368</v>
      </c>
    </row>
    <row r="1616">
      <c r="A1616" s="6">
        <v>42697.0</v>
      </c>
      <c r="B1616" s="5">
        <v>53.0348346516742</v>
      </c>
      <c r="C1616" s="5">
        <v>9.98419599150356</v>
      </c>
      <c r="D1616" s="5">
        <v>134.216997433957</v>
      </c>
      <c r="E1616" s="5">
        <v>53.0348346516742</v>
      </c>
      <c r="F1616" s="5">
        <v>53.0348346516742</v>
      </c>
      <c r="G1616" s="5">
        <v>20.1365163745544</v>
      </c>
      <c r="H1616" s="5">
        <v>20.1365163745544</v>
      </c>
      <c r="I1616" s="5">
        <v>20.1365163745544</v>
      </c>
      <c r="J1616" s="5">
        <v>0.00703780528283388</v>
      </c>
      <c r="K1616" s="5">
        <v>0.00703780528283388</v>
      </c>
      <c r="L1616" s="5">
        <v>0.00703780528283388</v>
      </c>
      <c r="M1616" s="5">
        <v>20.1294785692716</v>
      </c>
      <c r="N1616" s="5">
        <v>20.1294785692716</v>
      </c>
      <c r="O1616" s="5">
        <v>20.1294785692716</v>
      </c>
      <c r="P1616" s="5">
        <v>0.0</v>
      </c>
      <c r="Q1616" s="5">
        <v>0.0</v>
      </c>
      <c r="R1616" s="5">
        <v>0.0</v>
      </c>
      <c r="S1616" s="5">
        <v>73.1713510262286</v>
      </c>
    </row>
    <row r="1617">
      <c r="A1617" s="6">
        <v>42699.0</v>
      </c>
      <c r="B1617" s="5">
        <v>53.0953266987594</v>
      </c>
      <c r="C1617" s="5">
        <v>6.53070991021386</v>
      </c>
      <c r="D1617" s="5">
        <v>136.130066931398</v>
      </c>
      <c r="E1617" s="5">
        <v>53.0953266987594</v>
      </c>
      <c r="F1617" s="5">
        <v>53.0953266987594</v>
      </c>
      <c r="G1617" s="5">
        <v>18.9327041984058</v>
      </c>
      <c r="H1617" s="5">
        <v>18.9327041984058</v>
      </c>
      <c r="I1617" s="5">
        <v>18.9327041984058</v>
      </c>
      <c r="J1617" s="5">
        <v>-1.59155056649223</v>
      </c>
      <c r="K1617" s="5">
        <v>-1.59155056649223</v>
      </c>
      <c r="L1617" s="5">
        <v>-1.59155056649223</v>
      </c>
      <c r="M1617" s="5">
        <v>20.524254764898</v>
      </c>
      <c r="N1617" s="5">
        <v>20.524254764898</v>
      </c>
      <c r="O1617" s="5">
        <v>20.524254764898</v>
      </c>
      <c r="P1617" s="5">
        <v>0.0</v>
      </c>
      <c r="Q1617" s="5">
        <v>0.0</v>
      </c>
      <c r="R1617" s="5">
        <v>0.0</v>
      </c>
      <c r="S1617" s="5">
        <v>72.0280308971652</v>
      </c>
    </row>
    <row r="1618">
      <c r="A1618" s="6">
        <v>42702.0</v>
      </c>
      <c r="B1618" s="5">
        <v>53.1860647693872</v>
      </c>
      <c r="C1618" s="5">
        <v>13.0066145486695</v>
      </c>
      <c r="D1618" s="5">
        <v>133.945132291721</v>
      </c>
      <c r="E1618" s="5">
        <v>53.1860647693872</v>
      </c>
      <c r="F1618" s="5">
        <v>53.1860647693872</v>
      </c>
      <c r="G1618" s="5">
        <v>20.8150003299889</v>
      </c>
      <c r="H1618" s="5">
        <v>20.8150003299889</v>
      </c>
      <c r="I1618" s="5">
        <v>20.8150003299889</v>
      </c>
      <c r="J1618" s="5">
        <v>0.090558942123425</v>
      </c>
      <c r="K1618" s="5">
        <v>0.090558942123425</v>
      </c>
      <c r="L1618" s="5">
        <v>0.090558942123425</v>
      </c>
      <c r="M1618" s="5">
        <v>20.7244413878655</v>
      </c>
      <c r="N1618" s="5">
        <v>20.7244413878655</v>
      </c>
      <c r="O1618" s="5">
        <v>20.7244413878655</v>
      </c>
      <c r="P1618" s="5">
        <v>0.0</v>
      </c>
      <c r="Q1618" s="5">
        <v>0.0</v>
      </c>
      <c r="R1618" s="5">
        <v>0.0</v>
      </c>
      <c r="S1618" s="5">
        <v>74.0010650993762</v>
      </c>
    </row>
    <row r="1619">
      <c r="A1619" s="6">
        <v>42703.0</v>
      </c>
      <c r="B1619" s="5">
        <v>53.2163107929299</v>
      </c>
      <c r="C1619" s="5">
        <v>7.98785420726321</v>
      </c>
      <c r="D1619" s="5">
        <v>136.615595318115</v>
      </c>
      <c r="E1619" s="5">
        <v>53.2163107929299</v>
      </c>
      <c r="F1619" s="5">
        <v>53.2163107929299</v>
      </c>
      <c r="G1619" s="5">
        <v>20.5147087527334</v>
      </c>
      <c r="H1619" s="5">
        <v>20.5147087527334</v>
      </c>
      <c r="I1619" s="5">
        <v>20.5147087527334</v>
      </c>
      <c r="J1619" s="5">
        <v>-0.144118857245498</v>
      </c>
      <c r="K1619" s="5">
        <v>-0.144118857245498</v>
      </c>
      <c r="L1619" s="5">
        <v>-0.144118857245498</v>
      </c>
      <c r="M1619" s="5">
        <v>20.6588276099789</v>
      </c>
      <c r="N1619" s="5">
        <v>20.6588276099789</v>
      </c>
      <c r="O1619" s="5">
        <v>20.6588276099789</v>
      </c>
      <c r="P1619" s="5">
        <v>0.0</v>
      </c>
      <c r="Q1619" s="5">
        <v>0.0</v>
      </c>
      <c r="R1619" s="5">
        <v>0.0</v>
      </c>
      <c r="S1619" s="5">
        <v>73.7310195456633</v>
      </c>
    </row>
    <row r="1620">
      <c r="A1620" s="6">
        <v>42704.0</v>
      </c>
      <c r="B1620" s="5">
        <v>53.2465568164725</v>
      </c>
      <c r="C1620" s="5">
        <v>9.45199754317621</v>
      </c>
      <c r="D1620" s="5">
        <v>139.746316678988</v>
      </c>
      <c r="E1620" s="5">
        <v>53.2465568164725</v>
      </c>
      <c r="F1620" s="5">
        <v>53.2465568164725</v>
      </c>
      <c r="G1620" s="5">
        <v>20.5273258645853</v>
      </c>
      <c r="H1620" s="5">
        <v>20.5273258645853</v>
      </c>
      <c r="I1620" s="5">
        <v>20.5273258645853</v>
      </c>
      <c r="J1620" s="5">
        <v>0.00703780528198133</v>
      </c>
      <c r="K1620" s="5">
        <v>0.00703780528198133</v>
      </c>
      <c r="L1620" s="5">
        <v>0.00703780528198133</v>
      </c>
      <c r="M1620" s="5">
        <v>20.5202880593033</v>
      </c>
      <c r="N1620" s="5">
        <v>20.5202880593033</v>
      </c>
      <c r="O1620" s="5">
        <v>20.5202880593033</v>
      </c>
      <c r="P1620" s="5">
        <v>0.0</v>
      </c>
      <c r="Q1620" s="5">
        <v>0.0</v>
      </c>
      <c r="R1620" s="5">
        <v>0.0</v>
      </c>
      <c r="S1620" s="5">
        <v>73.7738826810578</v>
      </c>
    </row>
    <row r="1621">
      <c r="A1621" s="6">
        <v>42705.0</v>
      </c>
      <c r="B1621" s="5">
        <v>53.2768028400151</v>
      </c>
      <c r="C1621" s="5">
        <v>9.65783989904181</v>
      </c>
      <c r="D1621" s="5">
        <v>138.185729950821</v>
      </c>
      <c r="E1621" s="5">
        <v>53.2768028400151</v>
      </c>
      <c r="F1621" s="5">
        <v>53.2768028400151</v>
      </c>
      <c r="G1621" s="5">
        <v>19.5314213009851</v>
      </c>
      <c r="H1621" s="5">
        <v>19.5314213009851</v>
      </c>
      <c r="I1621" s="5">
        <v>19.5314213009851</v>
      </c>
      <c r="J1621" s="5">
        <v>-0.77642252590462</v>
      </c>
      <c r="K1621" s="5">
        <v>-0.77642252590462</v>
      </c>
      <c r="L1621" s="5">
        <v>-0.77642252590462</v>
      </c>
      <c r="M1621" s="5">
        <v>20.3078438268897</v>
      </c>
      <c r="N1621" s="5">
        <v>20.3078438268897</v>
      </c>
      <c r="O1621" s="5">
        <v>20.3078438268897</v>
      </c>
      <c r="P1621" s="5">
        <v>0.0</v>
      </c>
      <c r="Q1621" s="5">
        <v>0.0</v>
      </c>
      <c r="R1621" s="5">
        <v>0.0</v>
      </c>
      <c r="S1621" s="5">
        <v>72.8082241410002</v>
      </c>
    </row>
    <row r="1622">
      <c r="A1622" s="6">
        <v>42706.0</v>
      </c>
      <c r="B1622" s="5">
        <v>53.3070488635577</v>
      </c>
      <c r="C1622" s="5">
        <v>10.0470437011139</v>
      </c>
      <c r="D1622" s="5">
        <v>137.46479497101</v>
      </c>
      <c r="E1622" s="5">
        <v>53.3070488635577</v>
      </c>
      <c r="F1622" s="5">
        <v>53.3070488635577</v>
      </c>
      <c r="G1622" s="5">
        <v>18.4312382112926</v>
      </c>
      <c r="H1622" s="5">
        <v>18.4312382112926</v>
      </c>
      <c r="I1622" s="5">
        <v>18.4312382112926</v>
      </c>
      <c r="J1622" s="5">
        <v>-1.59155056649099</v>
      </c>
      <c r="K1622" s="5">
        <v>-1.59155056649099</v>
      </c>
      <c r="L1622" s="5">
        <v>-1.59155056649099</v>
      </c>
      <c r="M1622" s="5">
        <v>20.0227887777836</v>
      </c>
      <c r="N1622" s="5">
        <v>20.0227887777836</v>
      </c>
      <c r="O1622" s="5">
        <v>20.0227887777836</v>
      </c>
      <c r="P1622" s="5">
        <v>0.0</v>
      </c>
      <c r="Q1622" s="5">
        <v>0.0</v>
      </c>
      <c r="R1622" s="5">
        <v>0.0</v>
      </c>
      <c r="S1622" s="5">
        <v>71.7382870748503</v>
      </c>
    </row>
    <row r="1623">
      <c r="A1623" s="6">
        <v>42709.0</v>
      </c>
      <c r="B1623" s="5">
        <v>53.3977869341855</v>
      </c>
      <c r="C1623" s="5">
        <v>14.4428098953658</v>
      </c>
      <c r="D1623" s="5">
        <v>134.215436858345</v>
      </c>
      <c r="E1623" s="5">
        <v>53.3977869341855</v>
      </c>
      <c r="F1623" s="5">
        <v>53.3977869341855</v>
      </c>
      <c r="G1623" s="5">
        <v>18.8705641877435</v>
      </c>
      <c r="H1623" s="5">
        <v>18.8705641877435</v>
      </c>
      <c r="I1623" s="5">
        <v>18.8705641877435</v>
      </c>
      <c r="J1623" s="5">
        <v>0.0905589421219876</v>
      </c>
      <c r="K1623" s="5">
        <v>0.0905589421219876</v>
      </c>
      <c r="L1623" s="5">
        <v>0.0905589421219876</v>
      </c>
      <c r="M1623" s="5">
        <v>18.7800052456215</v>
      </c>
      <c r="N1623" s="5">
        <v>18.7800052456215</v>
      </c>
      <c r="O1623" s="5">
        <v>18.7800052456215</v>
      </c>
      <c r="P1623" s="5">
        <v>0.0</v>
      </c>
      <c r="Q1623" s="5">
        <v>0.0</v>
      </c>
      <c r="R1623" s="5">
        <v>0.0</v>
      </c>
      <c r="S1623" s="5">
        <v>72.2683511219291</v>
      </c>
    </row>
    <row r="1624">
      <c r="A1624" s="6">
        <v>42710.0</v>
      </c>
      <c r="B1624" s="5">
        <v>53.4280329577282</v>
      </c>
      <c r="C1624" s="5">
        <v>2.98504890418644</v>
      </c>
      <c r="D1624" s="5">
        <v>133.483046731631</v>
      </c>
      <c r="E1624" s="5">
        <v>53.4280329577282</v>
      </c>
      <c r="F1624" s="5">
        <v>53.4280329577282</v>
      </c>
      <c r="G1624" s="5">
        <v>18.1198104306659</v>
      </c>
      <c r="H1624" s="5">
        <v>18.1198104306659</v>
      </c>
      <c r="I1624" s="5">
        <v>18.1198104306659</v>
      </c>
      <c r="J1624" s="5">
        <v>-0.14411885724441</v>
      </c>
      <c r="K1624" s="5">
        <v>-0.14411885724441</v>
      </c>
      <c r="L1624" s="5">
        <v>-0.14411885724441</v>
      </c>
      <c r="M1624" s="5">
        <v>18.2639292879103</v>
      </c>
      <c r="N1624" s="5">
        <v>18.2639292879103</v>
      </c>
      <c r="O1624" s="5">
        <v>18.2639292879103</v>
      </c>
      <c r="P1624" s="5">
        <v>0.0</v>
      </c>
      <c r="Q1624" s="5">
        <v>0.0</v>
      </c>
      <c r="R1624" s="5">
        <v>0.0</v>
      </c>
      <c r="S1624" s="5">
        <v>71.5478433883941</v>
      </c>
    </row>
    <row r="1625">
      <c r="A1625" s="6">
        <v>42711.0</v>
      </c>
      <c r="B1625" s="5">
        <v>53.4582789812708</v>
      </c>
      <c r="C1625" s="5">
        <v>7.60679895960619</v>
      </c>
      <c r="D1625" s="5">
        <v>135.326028338</v>
      </c>
      <c r="E1625" s="5">
        <v>53.4582789812708</v>
      </c>
      <c r="F1625" s="5">
        <v>53.4582789812708</v>
      </c>
      <c r="G1625" s="5">
        <v>17.7228725415787</v>
      </c>
      <c r="H1625" s="5">
        <v>17.7228725415787</v>
      </c>
      <c r="I1625" s="5">
        <v>17.7228725415787</v>
      </c>
      <c r="J1625" s="5">
        <v>0.00703780528112891</v>
      </c>
      <c r="K1625" s="5">
        <v>0.00703780528112891</v>
      </c>
      <c r="L1625" s="5">
        <v>0.00703780528112891</v>
      </c>
      <c r="M1625" s="5">
        <v>17.7158347362975</v>
      </c>
      <c r="N1625" s="5">
        <v>17.7158347362975</v>
      </c>
      <c r="O1625" s="5">
        <v>17.7158347362975</v>
      </c>
      <c r="P1625" s="5">
        <v>0.0</v>
      </c>
      <c r="Q1625" s="5">
        <v>0.0</v>
      </c>
      <c r="R1625" s="5">
        <v>0.0</v>
      </c>
      <c r="S1625" s="5">
        <v>71.1811515228495</v>
      </c>
    </row>
    <row r="1626">
      <c r="A1626" s="6">
        <v>42712.0</v>
      </c>
      <c r="B1626" s="5">
        <v>53.4885250048134</v>
      </c>
      <c r="C1626" s="5">
        <v>9.36007367451079</v>
      </c>
      <c r="D1626" s="5">
        <v>133.38543503463</v>
      </c>
      <c r="E1626" s="5">
        <v>53.4885250048134</v>
      </c>
      <c r="F1626" s="5">
        <v>53.4885250048134</v>
      </c>
      <c r="G1626" s="5">
        <v>16.3732627426677</v>
      </c>
      <c r="H1626" s="5">
        <v>16.3732627426677</v>
      </c>
      <c r="I1626" s="5">
        <v>16.3732627426677</v>
      </c>
      <c r="J1626" s="5">
        <v>-0.776422525903967</v>
      </c>
      <c r="K1626" s="5">
        <v>-0.776422525903967</v>
      </c>
      <c r="L1626" s="5">
        <v>-0.776422525903967</v>
      </c>
      <c r="M1626" s="5">
        <v>17.1496852685716</v>
      </c>
      <c r="N1626" s="5">
        <v>17.1496852685716</v>
      </c>
      <c r="O1626" s="5">
        <v>17.1496852685716</v>
      </c>
      <c r="P1626" s="5">
        <v>0.0</v>
      </c>
      <c r="Q1626" s="5">
        <v>0.0</v>
      </c>
      <c r="R1626" s="5">
        <v>0.0</v>
      </c>
      <c r="S1626" s="5">
        <v>69.8617877474811</v>
      </c>
    </row>
    <row r="1627">
      <c r="A1627" s="6">
        <v>42713.0</v>
      </c>
      <c r="B1627" s="5">
        <v>53.518771028356</v>
      </c>
      <c r="C1627" s="5">
        <v>3.56309629909892</v>
      </c>
      <c r="D1627" s="5">
        <v>130.284148244668</v>
      </c>
      <c r="E1627" s="5">
        <v>53.518771028356</v>
      </c>
      <c r="F1627" s="5">
        <v>53.518771028356</v>
      </c>
      <c r="G1627" s="5">
        <v>14.9892111139853</v>
      </c>
      <c r="H1627" s="5">
        <v>14.9892111139853</v>
      </c>
      <c r="I1627" s="5">
        <v>14.9892111139853</v>
      </c>
      <c r="J1627" s="5">
        <v>-1.59155056649587</v>
      </c>
      <c r="K1627" s="5">
        <v>-1.59155056649587</v>
      </c>
      <c r="L1627" s="5">
        <v>-1.59155056649587</v>
      </c>
      <c r="M1627" s="5">
        <v>16.5807616804812</v>
      </c>
      <c r="N1627" s="5">
        <v>16.5807616804812</v>
      </c>
      <c r="O1627" s="5">
        <v>16.5807616804812</v>
      </c>
      <c r="P1627" s="5">
        <v>0.0</v>
      </c>
      <c r="Q1627" s="5">
        <v>0.0</v>
      </c>
      <c r="R1627" s="5">
        <v>0.0</v>
      </c>
      <c r="S1627" s="5">
        <v>68.5079821423414</v>
      </c>
    </row>
    <row r="1628">
      <c r="A1628" s="6">
        <v>42716.0</v>
      </c>
      <c r="B1628" s="5">
        <v>53.6095090989839</v>
      </c>
      <c r="C1628" s="5">
        <v>1.85023045230804</v>
      </c>
      <c r="D1628" s="5">
        <v>135.700909177505</v>
      </c>
      <c r="E1628" s="5">
        <v>53.6095090989839</v>
      </c>
      <c r="F1628" s="5">
        <v>53.6095090989839</v>
      </c>
      <c r="G1628" s="5">
        <v>15.1122519458299</v>
      </c>
      <c r="H1628" s="5">
        <v>15.1122519458299</v>
      </c>
      <c r="I1628" s="5">
        <v>15.1122519458299</v>
      </c>
      <c r="J1628" s="5">
        <v>0.0905589421229339</v>
      </c>
      <c r="K1628" s="5">
        <v>0.0905589421229339</v>
      </c>
      <c r="L1628" s="5">
        <v>0.0905589421229339</v>
      </c>
      <c r="M1628" s="5">
        <v>15.021693003707</v>
      </c>
      <c r="N1628" s="5">
        <v>15.021693003707</v>
      </c>
      <c r="O1628" s="5">
        <v>15.021693003707</v>
      </c>
      <c r="P1628" s="5">
        <v>0.0</v>
      </c>
      <c r="Q1628" s="5">
        <v>0.0</v>
      </c>
      <c r="R1628" s="5">
        <v>0.0</v>
      </c>
      <c r="S1628" s="5">
        <v>68.7217610448138</v>
      </c>
    </row>
    <row r="1629">
      <c r="A1629" s="6">
        <v>42717.0</v>
      </c>
      <c r="B1629" s="5">
        <v>53.6397551225265</v>
      </c>
      <c r="C1629" s="5">
        <v>3.99715358930157</v>
      </c>
      <c r="D1629" s="5">
        <v>133.293185294331</v>
      </c>
      <c r="E1629" s="5">
        <v>53.6397551225265</v>
      </c>
      <c r="F1629" s="5">
        <v>53.6397551225265</v>
      </c>
      <c r="G1629" s="5">
        <v>14.4627138623595</v>
      </c>
      <c r="H1629" s="5">
        <v>14.4627138623595</v>
      </c>
      <c r="I1629" s="5">
        <v>14.4627138623595</v>
      </c>
      <c r="J1629" s="5">
        <v>-0.144118857245845</v>
      </c>
      <c r="K1629" s="5">
        <v>-0.144118857245845</v>
      </c>
      <c r="L1629" s="5">
        <v>-0.144118857245845</v>
      </c>
      <c r="M1629" s="5">
        <v>14.6068327196054</v>
      </c>
      <c r="N1629" s="5">
        <v>14.6068327196054</v>
      </c>
      <c r="O1629" s="5">
        <v>14.6068327196054</v>
      </c>
      <c r="P1629" s="5">
        <v>0.0</v>
      </c>
      <c r="Q1629" s="5">
        <v>0.0</v>
      </c>
      <c r="R1629" s="5">
        <v>0.0</v>
      </c>
      <c r="S1629" s="5">
        <v>68.1024689848861</v>
      </c>
    </row>
    <row r="1630">
      <c r="A1630" s="6">
        <v>42718.0</v>
      </c>
      <c r="B1630" s="5">
        <v>53.6700011460691</v>
      </c>
      <c r="C1630" s="5">
        <v>7.68751174550028</v>
      </c>
      <c r="D1630" s="5">
        <v>131.695241418741</v>
      </c>
      <c r="E1630" s="5">
        <v>53.6700011460691</v>
      </c>
      <c r="F1630" s="5">
        <v>53.6700011460691</v>
      </c>
      <c r="G1630" s="5">
        <v>14.2780370917107</v>
      </c>
      <c r="H1630" s="5">
        <v>14.2780370917107</v>
      </c>
      <c r="I1630" s="5">
        <v>14.2780370917107</v>
      </c>
      <c r="J1630" s="5">
        <v>0.00703780528126749</v>
      </c>
      <c r="K1630" s="5">
        <v>0.00703780528126749</v>
      </c>
      <c r="L1630" s="5">
        <v>0.00703780528126749</v>
      </c>
      <c r="M1630" s="5">
        <v>14.2709992864294</v>
      </c>
      <c r="N1630" s="5">
        <v>14.2709992864294</v>
      </c>
      <c r="O1630" s="5">
        <v>14.2709992864294</v>
      </c>
      <c r="P1630" s="5">
        <v>0.0</v>
      </c>
      <c r="Q1630" s="5">
        <v>0.0</v>
      </c>
      <c r="R1630" s="5">
        <v>0.0</v>
      </c>
      <c r="S1630" s="5">
        <v>67.9480382377798</v>
      </c>
    </row>
    <row r="1631">
      <c r="A1631" s="6">
        <v>42719.0</v>
      </c>
      <c r="B1631" s="5">
        <v>53.7002471696117</v>
      </c>
      <c r="C1631" s="5">
        <v>5.42049088435165</v>
      </c>
      <c r="D1631" s="5">
        <v>128.044116044381</v>
      </c>
      <c r="E1631" s="5">
        <v>53.7002471696117</v>
      </c>
      <c r="F1631" s="5">
        <v>53.7002471696117</v>
      </c>
      <c r="G1631" s="5">
        <v>13.25207177366</v>
      </c>
      <c r="H1631" s="5">
        <v>13.25207177366</v>
      </c>
      <c r="I1631" s="5">
        <v>13.25207177366</v>
      </c>
      <c r="J1631" s="5">
        <v>-0.776422525903214</v>
      </c>
      <c r="K1631" s="5">
        <v>-0.776422525903214</v>
      </c>
      <c r="L1631" s="5">
        <v>-0.776422525903214</v>
      </c>
      <c r="M1631" s="5">
        <v>14.0284942995632</v>
      </c>
      <c r="N1631" s="5">
        <v>14.0284942995632</v>
      </c>
      <c r="O1631" s="5">
        <v>14.0284942995632</v>
      </c>
      <c r="P1631" s="5">
        <v>0.0</v>
      </c>
      <c r="Q1631" s="5">
        <v>0.0</v>
      </c>
      <c r="R1631" s="5">
        <v>0.0</v>
      </c>
      <c r="S1631" s="5">
        <v>66.9523189432718</v>
      </c>
    </row>
    <row r="1632">
      <c r="A1632" s="6">
        <v>42720.0</v>
      </c>
      <c r="B1632" s="5">
        <v>53.7304931931543</v>
      </c>
      <c r="C1632" s="5">
        <v>3.08692904548698</v>
      </c>
      <c r="D1632" s="5">
        <v>128.403114351964</v>
      </c>
      <c r="E1632" s="5">
        <v>53.7304931931543</v>
      </c>
      <c r="F1632" s="5">
        <v>53.7304931931543</v>
      </c>
      <c r="G1632" s="5">
        <v>12.3003534473132</v>
      </c>
      <c r="H1632" s="5">
        <v>12.3003534473132</v>
      </c>
      <c r="I1632" s="5">
        <v>12.3003534473132</v>
      </c>
      <c r="J1632" s="5">
        <v>-1.59155056649463</v>
      </c>
      <c r="K1632" s="5">
        <v>-1.59155056649463</v>
      </c>
      <c r="L1632" s="5">
        <v>-1.59155056649463</v>
      </c>
      <c r="M1632" s="5">
        <v>13.8919040138078</v>
      </c>
      <c r="N1632" s="5">
        <v>13.8919040138078</v>
      </c>
      <c r="O1632" s="5">
        <v>13.8919040138078</v>
      </c>
      <c r="P1632" s="5">
        <v>0.0</v>
      </c>
      <c r="Q1632" s="5">
        <v>0.0</v>
      </c>
      <c r="R1632" s="5">
        <v>0.0</v>
      </c>
      <c r="S1632" s="5">
        <v>66.0308466404676</v>
      </c>
    </row>
    <row r="1633">
      <c r="A1633" s="6">
        <v>42723.0</v>
      </c>
      <c r="B1633" s="5">
        <v>53.8212312637822</v>
      </c>
      <c r="C1633" s="5">
        <v>4.16449147583132</v>
      </c>
      <c r="D1633" s="5">
        <v>133.701709166065</v>
      </c>
      <c r="E1633" s="5">
        <v>53.8212312637822</v>
      </c>
      <c r="F1633" s="5">
        <v>53.8212312637822</v>
      </c>
      <c r="G1633" s="5">
        <v>14.3005114378589</v>
      </c>
      <c r="H1633" s="5">
        <v>14.3005114378589</v>
      </c>
      <c r="I1633" s="5">
        <v>14.3005114378589</v>
      </c>
      <c r="J1633" s="5">
        <v>0.0905589421191127</v>
      </c>
      <c r="K1633" s="5">
        <v>0.0905589421191127</v>
      </c>
      <c r="L1633" s="5">
        <v>0.0905589421191127</v>
      </c>
      <c r="M1633" s="5">
        <v>14.2099524957398</v>
      </c>
      <c r="N1633" s="5">
        <v>14.2099524957398</v>
      </c>
      <c r="O1633" s="5">
        <v>14.2099524957398</v>
      </c>
      <c r="P1633" s="5">
        <v>0.0</v>
      </c>
      <c r="Q1633" s="5">
        <v>0.0</v>
      </c>
      <c r="R1633" s="5">
        <v>0.0</v>
      </c>
      <c r="S1633" s="5">
        <v>68.1217427016411</v>
      </c>
    </row>
    <row r="1634">
      <c r="A1634" s="6">
        <v>42724.0</v>
      </c>
      <c r="B1634" s="5">
        <v>53.8514772873248</v>
      </c>
      <c r="C1634" s="5">
        <v>3.64440787657156</v>
      </c>
      <c r="D1634" s="5">
        <v>129.274800570077</v>
      </c>
      <c r="E1634" s="5">
        <v>53.8514772873248</v>
      </c>
      <c r="F1634" s="5">
        <v>53.8514772873248</v>
      </c>
      <c r="G1634" s="5">
        <v>14.4319571684431</v>
      </c>
      <c r="H1634" s="5">
        <v>14.4319571684431</v>
      </c>
      <c r="I1634" s="5">
        <v>14.4319571684431</v>
      </c>
      <c r="J1634" s="5">
        <v>-0.144118857243648</v>
      </c>
      <c r="K1634" s="5">
        <v>-0.144118857243648</v>
      </c>
      <c r="L1634" s="5">
        <v>-0.144118857243648</v>
      </c>
      <c r="M1634" s="5">
        <v>14.5760760256867</v>
      </c>
      <c r="N1634" s="5">
        <v>14.5760760256867</v>
      </c>
      <c r="O1634" s="5">
        <v>14.5760760256867</v>
      </c>
      <c r="P1634" s="5">
        <v>0.0</v>
      </c>
      <c r="Q1634" s="5">
        <v>0.0</v>
      </c>
      <c r="R1634" s="5">
        <v>0.0</v>
      </c>
      <c r="S1634" s="5">
        <v>68.2834344557679</v>
      </c>
    </row>
    <row r="1635">
      <c r="A1635" s="6">
        <v>42725.0</v>
      </c>
      <c r="B1635" s="5">
        <v>53.8817233108674</v>
      </c>
      <c r="C1635" s="5">
        <v>0.640945736753098</v>
      </c>
      <c r="D1635" s="5">
        <v>135.473839468997</v>
      </c>
      <c r="E1635" s="5">
        <v>53.8817233108674</v>
      </c>
      <c r="F1635" s="5">
        <v>53.8817233108674</v>
      </c>
      <c r="G1635" s="5">
        <v>15.0806589993632</v>
      </c>
      <c r="H1635" s="5">
        <v>15.0806589993632</v>
      </c>
      <c r="I1635" s="5">
        <v>15.0806589993632</v>
      </c>
      <c r="J1635" s="5">
        <v>0.00703780528257866</v>
      </c>
      <c r="K1635" s="5">
        <v>0.00703780528257866</v>
      </c>
      <c r="L1635" s="5">
        <v>0.00703780528257866</v>
      </c>
      <c r="M1635" s="5">
        <v>15.0736211940806</v>
      </c>
      <c r="N1635" s="5">
        <v>15.0736211940806</v>
      </c>
      <c r="O1635" s="5">
        <v>15.0736211940806</v>
      </c>
      <c r="P1635" s="5">
        <v>0.0</v>
      </c>
      <c r="Q1635" s="5">
        <v>0.0</v>
      </c>
      <c r="R1635" s="5">
        <v>0.0</v>
      </c>
      <c r="S1635" s="5">
        <v>68.9623823102306</v>
      </c>
    </row>
    <row r="1636">
      <c r="A1636" s="6">
        <v>42726.0</v>
      </c>
      <c r="B1636" s="5">
        <v>53.91196933441</v>
      </c>
      <c r="C1636" s="5">
        <v>1.61499576337234</v>
      </c>
      <c r="D1636" s="5">
        <v>128.481336824314</v>
      </c>
      <c r="E1636" s="5">
        <v>53.91196933441</v>
      </c>
      <c r="F1636" s="5">
        <v>53.91196933441</v>
      </c>
      <c r="G1636" s="5">
        <v>14.9223178477327</v>
      </c>
      <c r="H1636" s="5">
        <v>14.9223178477327</v>
      </c>
      <c r="I1636" s="5">
        <v>14.9223178477327</v>
      </c>
      <c r="J1636" s="5">
        <v>-0.776422525903936</v>
      </c>
      <c r="K1636" s="5">
        <v>-0.776422525903936</v>
      </c>
      <c r="L1636" s="5">
        <v>-0.776422525903936</v>
      </c>
      <c r="M1636" s="5">
        <v>15.6987403736366</v>
      </c>
      <c r="N1636" s="5">
        <v>15.6987403736366</v>
      </c>
      <c r="O1636" s="5">
        <v>15.6987403736366</v>
      </c>
      <c r="P1636" s="5">
        <v>0.0</v>
      </c>
      <c r="Q1636" s="5">
        <v>0.0</v>
      </c>
      <c r="R1636" s="5">
        <v>0.0</v>
      </c>
      <c r="S1636" s="5">
        <v>68.8342871821427</v>
      </c>
    </row>
    <row r="1637">
      <c r="A1637" s="6">
        <v>42727.0</v>
      </c>
      <c r="B1637" s="5">
        <v>53.9422153579526</v>
      </c>
      <c r="C1637" s="5">
        <v>6.48969835666822</v>
      </c>
      <c r="D1637" s="5">
        <v>132.934858113068</v>
      </c>
      <c r="E1637" s="5">
        <v>53.9422153579526</v>
      </c>
      <c r="F1637" s="5">
        <v>53.9422153579526</v>
      </c>
      <c r="G1637" s="5">
        <v>14.8529128566405</v>
      </c>
      <c r="H1637" s="5">
        <v>14.8529128566405</v>
      </c>
      <c r="I1637" s="5">
        <v>14.8529128566405</v>
      </c>
      <c r="J1637" s="5">
        <v>-1.59155056649339</v>
      </c>
      <c r="K1637" s="5">
        <v>-1.59155056649339</v>
      </c>
      <c r="L1637" s="5">
        <v>-1.59155056649339</v>
      </c>
      <c r="M1637" s="5">
        <v>16.4444634231339</v>
      </c>
      <c r="N1637" s="5">
        <v>16.4444634231339</v>
      </c>
      <c r="O1637" s="5">
        <v>16.4444634231339</v>
      </c>
      <c r="P1637" s="5">
        <v>0.0</v>
      </c>
      <c r="Q1637" s="5">
        <v>0.0</v>
      </c>
      <c r="R1637" s="5">
        <v>0.0</v>
      </c>
      <c r="S1637" s="5">
        <v>68.7951282145932</v>
      </c>
    </row>
    <row r="1638">
      <c r="A1638" s="6">
        <v>42731.0</v>
      </c>
      <c r="B1638" s="5">
        <v>54.0631994521231</v>
      </c>
      <c r="C1638" s="5">
        <v>15.0712145651562</v>
      </c>
      <c r="D1638" s="5">
        <v>141.730501937488</v>
      </c>
      <c r="E1638" s="5">
        <v>54.0631994521231</v>
      </c>
      <c r="F1638" s="5">
        <v>54.0631994521231</v>
      </c>
      <c r="G1638" s="5">
        <v>20.2485134380098</v>
      </c>
      <c r="H1638" s="5">
        <v>20.2485134380098</v>
      </c>
      <c r="I1638" s="5">
        <v>20.2485134380098</v>
      </c>
      <c r="J1638" s="5">
        <v>-0.144118857245083</v>
      </c>
      <c r="K1638" s="5">
        <v>-0.144118857245083</v>
      </c>
      <c r="L1638" s="5">
        <v>-0.144118857245083</v>
      </c>
      <c r="M1638" s="5">
        <v>20.3926322952549</v>
      </c>
      <c r="N1638" s="5">
        <v>20.3926322952549</v>
      </c>
      <c r="O1638" s="5">
        <v>20.3926322952549</v>
      </c>
      <c r="P1638" s="5">
        <v>0.0</v>
      </c>
      <c r="Q1638" s="5">
        <v>0.0</v>
      </c>
      <c r="R1638" s="5">
        <v>0.0</v>
      </c>
      <c r="S1638" s="5">
        <v>74.311712890133</v>
      </c>
    </row>
    <row r="1639">
      <c r="A1639" s="6">
        <v>42732.0</v>
      </c>
      <c r="B1639" s="5">
        <v>54.0934454756657</v>
      </c>
      <c r="C1639" s="5">
        <v>12.7135078478718</v>
      </c>
      <c r="D1639" s="5">
        <v>138.921276592035</v>
      </c>
      <c r="E1639" s="5">
        <v>54.0934454756657</v>
      </c>
      <c r="F1639" s="5">
        <v>54.0934454756657</v>
      </c>
      <c r="G1639" s="5">
        <v>21.5460870333403</v>
      </c>
      <c r="H1639" s="5">
        <v>21.5460870333403</v>
      </c>
      <c r="I1639" s="5">
        <v>21.5460870333403</v>
      </c>
      <c r="J1639" s="5">
        <v>0.0070378052817261</v>
      </c>
      <c r="K1639" s="5">
        <v>0.0070378052817261</v>
      </c>
      <c r="L1639" s="5">
        <v>0.0070378052817261</v>
      </c>
      <c r="M1639" s="5">
        <v>21.5390492280586</v>
      </c>
      <c r="N1639" s="5">
        <v>21.5390492280586</v>
      </c>
      <c r="O1639" s="5">
        <v>21.5390492280586</v>
      </c>
      <c r="P1639" s="5">
        <v>0.0</v>
      </c>
      <c r="Q1639" s="5">
        <v>0.0</v>
      </c>
      <c r="R1639" s="5">
        <v>0.0</v>
      </c>
      <c r="S1639" s="5">
        <v>75.6395325090061</v>
      </c>
    </row>
    <row r="1640">
      <c r="A1640" s="6">
        <v>42733.0</v>
      </c>
      <c r="B1640" s="5">
        <v>54.1236914992083</v>
      </c>
      <c r="C1640" s="5">
        <v>13.0498164843951</v>
      </c>
      <c r="D1640" s="5">
        <v>138.82720131676</v>
      </c>
      <c r="E1640" s="5">
        <v>54.1236914992083</v>
      </c>
      <c r="F1640" s="5">
        <v>54.1236914992083</v>
      </c>
      <c r="G1640" s="5">
        <v>21.9333141461696</v>
      </c>
      <c r="H1640" s="5">
        <v>21.9333141461696</v>
      </c>
      <c r="I1640" s="5">
        <v>21.9333141461696</v>
      </c>
      <c r="J1640" s="5">
        <v>-0.776422525904658</v>
      </c>
      <c r="K1640" s="5">
        <v>-0.776422525904658</v>
      </c>
      <c r="L1640" s="5">
        <v>-0.776422525904658</v>
      </c>
      <c r="M1640" s="5">
        <v>22.7097366720743</v>
      </c>
      <c r="N1640" s="5">
        <v>22.7097366720743</v>
      </c>
      <c r="O1640" s="5">
        <v>22.7097366720743</v>
      </c>
      <c r="P1640" s="5">
        <v>0.0</v>
      </c>
      <c r="Q1640" s="5">
        <v>0.0</v>
      </c>
      <c r="R1640" s="5">
        <v>0.0</v>
      </c>
      <c r="S1640" s="5">
        <v>76.057005645378</v>
      </c>
    </row>
    <row r="1641">
      <c r="A1641" s="6">
        <v>42734.0</v>
      </c>
      <c r="B1641" s="5">
        <v>54.1539375227509</v>
      </c>
      <c r="C1641" s="5">
        <v>11.8156293547626</v>
      </c>
      <c r="D1641" s="5">
        <v>135.970016566332</v>
      </c>
      <c r="E1641" s="5">
        <v>54.1539375227509</v>
      </c>
      <c r="F1641" s="5">
        <v>54.1539375227509</v>
      </c>
      <c r="G1641" s="5">
        <v>22.2912827732741</v>
      </c>
      <c r="H1641" s="5">
        <v>22.2912827732741</v>
      </c>
      <c r="I1641" s="5">
        <v>22.2912827732741</v>
      </c>
      <c r="J1641" s="5">
        <v>-1.59155056649552</v>
      </c>
      <c r="K1641" s="5">
        <v>-1.59155056649552</v>
      </c>
      <c r="L1641" s="5">
        <v>-1.59155056649552</v>
      </c>
      <c r="M1641" s="5">
        <v>23.8828333397696</v>
      </c>
      <c r="N1641" s="5">
        <v>23.8828333397696</v>
      </c>
      <c r="O1641" s="5">
        <v>23.8828333397696</v>
      </c>
      <c r="P1641" s="5">
        <v>0.0</v>
      </c>
      <c r="Q1641" s="5">
        <v>0.0</v>
      </c>
      <c r="R1641" s="5">
        <v>0.0</v>
      </c>
      <c r="S1641" s="5">
        <v>76.4452202960251</v>
      </c>
    </row>
    <row r="1642">
      <c r="A1642" s="6">
        <v>42738.0</v>
      </c>
      <c r="B1642" s="5">
        <v>54.2749216169214</v>
      </c>
      <c r="C1642" s="5">
        <v>20.0706180509783</v>
      </c>
      <c r="D1642" s="5">
        <v>147.642689725586</v>
      </c>
      <c r="E1642" s="5">
        <v>54.2749216169214</v>
      </c>
      <c r="F1642" s="5">
        <v>54.2749216169214</v>
      </c>
      <c r="G1642" s="5">
        <v>28.0144431408638</v>
      </c>
      <c r="H1642" s="5">
        <v>28.0144431408638</v>
      </c>
      <c r="I1642" s="5">
        <v>28.0144431408638</v>
      </c>
      <c r="J1642" s="5">
        <v>-0.144118857246519</v>
      </c>
      <c r="K1642" s="5">
        <v>-0.144118857246519</v>
      </c>
      <c r="L1642" s="5">
        <v>-0.144118857246519</v>
      </c>
      <c r="M1642" s="5">
        <v>28.1585619981103</v>
      </c>
      <c r="N1642" s="5">
        <v>28.1585619981103</v>
      </c>
      <c r="O1642" s="5">
        <v>28.1585619981103</v>
      </c>
      <c r="P1642" s="5">
        <v>0.0</v>
      </c>
      <c r="Q1642" s="5">
        <v>0.0</v>
      </c>
      <c r="R1642" s="5">
        <v>0.0</v>
      </c>
      <c r="S1642" s="5">
        <v>82.2893647577853</v>
      </c>
    </row>
    <row r="1643">
      <c r="A1643" s="6">
        <v>42739.0</v>
      </c>
      <c r="B1643" s="5">
        <v>54.305167640464</v>
      </c>
      <c r="C1643" s="5">
        <v>20.4914809749521</v>
      </c>
      <c r="D1643" s="5">
        <v>141.911762499121</v>
      </c>
      <c r="E1643" s="5">
        <v>54.305167640464</v>
      </c>
      <c r="F1643" s="5">
        <v>54.305167640464</v>
      </c>
      <c r="G1643" s="5">
        <v>29.0266140061962</v>
      </c>
      <c r="H1643" s="5">
        <v>29.0266140061962</v>
      </c>
      <c r="I1643" s="5">
        <v>29.0266140061962</v>
      </c>
      <c r="J1643" s="5">
        <v>0.00703780528303727</v>
      </c>
      <c r="K1643" s="5">
        <v>0.00703780528303727</v>
      </c>
      <c r="L1643" s="5">
        <v>0.00703780528303727</v>
      </c>
      <c r="M1643" s="5">
        <v>29.0195762009132</v>
      </c>
      <c r="N1643" s="5">
        <v>29.0195762009132</v>
      </c>
      <c r="O1643" s="5">
        <v>29.0195762009132</v>
      </c>
      <c r="P1643" s="5">
        <v>0.0</v>
      </c>
      <c r="Q1643" s="5">
        <v>0.0</v>
      </c>
      <c r="R1643" s="5">
        <v>0.0</v>
      </c>
      <c r="S1643" s="5">
        <v>83.3317816466603</v>
      </c>
    </row>
    <row r="1644">
      <c r="A1644" s="6">
        <v>42740.0</v>
      </c>
      <c r="B1644" s="5">
        <v>54.3354136640066</v>
      </c>
      <c r="C1644" s="5">
        <v>18.0444624042351</v>
      </c>
      <c r="D1644" s="5">
        <v>146.323593393626</v>
      </c>
      <c r="E1644" s="5">
        <v>54.3354136640066</v>
      </c>
      <c r="F1644" s="5">
        <v>54.3354136640066</v>
      </c>
      <c r="G1644" s="5">
        <v>28.9848556432453</v>
      </c>
      <c r="H1644" s="5">
        <v>28.9848556432453</v>
      </c>
      <c r="I1644" s="5">
        <v>28.9848556432453</v>
      </c>
      <c r="J1644" s="5">
        <v>-0.77642252590253</v>
      </c>
      <c r="K1644" s="5">
        <v>-0.77642252590253</v>
      </c>
      <c r="L1644" s="5">
        <v>-0.77642252590253</v>
      </c>
      <c r="M1644" s="5">
        <v>29.7612781691478</v>
      </c>
      <c r="N1644" s="5">
        <v>29.7612781691478</v>
      </c>
      <c r="O1644" s="5">
        <v>29.7612781691478</v>
      </c>
      <c r="P1644" s="5">
        <v>0.0</v>
      </c>
      <c r="Q1644" s="5">
        <v>0.0</v>
      </c>
      <c r="R1644" s="5">
        <v>0.0</v>
      </c>
      <c r="S1644" s="5">
        <v>83.320269307252</v>
      </c>
    </row>
    <row r="1645">
      <c r="A1645" s="6">
        <v>42741.0</v>
      </c>
      <c r="B1645" s="5">
        <v>54.3656596875493</v>
      </c>
      <c r="C1645" s="5">
        <v>19.9446942553179</v>
      </c>
      <c r="D1645" s="5">
        <v>144.072032955237</v>
      </c>
      <c r="E1645" s="5">
        <v>54.3656596875493</v>
      </c>
      <c r="F1645" s="5">
        <v>54.3656596875493</v>
      </c>
      <c r="G1645" s="5">
        <v>28.7779626100575</v>
      </c>
      <c r="H1645" s="5">
        <v>28.7779626100575</v>
      </c>
      <c r="I1645" s="5">
        <v>28.7779626100575</v>
      </c>
      <c r="J1645" s="5">
        <v>-1.59155056649428</v>
      </c>
      <c r="K1645" s="5">
        <v>-1.59155056649428</v>
      </c>
      <c r="L1645" s="5">
        <v>-1.59155056649428</v>
      </c>
      <c r="M1645" s="5">
        <v>30.3695131765518</v>
      </c>
      <c r="N1645" s="5">
        <v>30.3695131765518</v>
      </c>
      <c r="O1645" s="5">
        <v>30.3695131765518</v>
      </c>
      <c r="P1645" s="5">
        <v>0.0</v>
      </c>
      <c r="Q1645" s="5">
        <v>0.0</v>
      </c>
      <c r="R1645" s="5">
        <v>0.0</v>
      </c>
      <c r="S1645" s="5">
        <v>83.1436222976068</v>
      </c>
    </row>
    <row r="1646">
      <c r="A1646" s="6">
        <v>42744.0</v>
      </c>
      <c r="B1646" s="5">
        <v>54.4563977581771</v>
      </c>
      <c r="C1646" s="5">
        <v>23.1396586492066</v>
      </c>
      <c r="D1646" s="5">
        <v>149.894533303879</v>
      </c>
      <c r="E1646" s="5">
        <v>54.4563977581771</v>
      </c>
      <c r="F1646" s="5">
        <v>54.4563977581771</v>
      </c>
      <c r="G1646" s="5">
        <v>31.3861971626393</v>
      </c>
      <c r="H1646" s="5">
        <v>31.3861971626393</v>
      </c>
      <c r="I1646" s="5">
        <v>31.3861971626393</v>
      </c>
      <c r="J1646" s="5">
        <v>0.0905589421221121</v>
      </c>
      <c r="K1646" s="5">
        <v>0.0905589421221121</v>
      </c>
      <c r="L1646" s="5">
        <v>0.0905589421221121</v>
      </c>
      <c r="M1646" s="5">
        <v>31.2956382205172</v>
      </c>
      <c r="N1646" s="5">
        <v>31.2956382205172</v>
      </c>
      <c r="O1646" s="5">
        <v>31.2956382205172</v>
      </c>
      <c r="P1646" s="5">
        <v>0.0</v>
      </c>
      <c r="Q1646" s="5">
        <v>0.0</v>
      </c>
      <c r="R1646" s="5">
        <v>0.0</v>
      </c>
      <c r="S1646" s="5">
        <v>85.8425949208165</v>
      </c>
    </row>
    <row r="1647">
      <c r="A1647" s="6">
        <v>42745.0</v>
      </c>
      <c r="B1647" s="5">
        <v>54.4866437817197</v>
      </c>
      <c r="C1647" s="5">
        <v>23.4213924240004</v>
      </c>
      <c r="D1647" s="5">
        <v>148.020173791232</v>
      </c>
      <c r="E1647" s="5">
        <v>54.4866437817197</v>
      </c>
      <c r="F1647" s="5">
        <v>54.4866437817197</v>
      </c>
      <c r="G1647" s="5">
        <v>31.1441481305546</v>
      </c>
      <c r="H1647" s="5">
        <v>31.1441481305546</v>
      </c>
      <c r="I1647" s="5">
        <v>31.1441481305546</v>
      </c>
      <c r="J1647" s="5">
        <v>-0.144118857244321</v>
      </c>
      <c r="K1647" s="5">
        <v>-0.144118857244321</v>
      </c>
      <c r="L1647" s="5">
        <v>-0.144118857244321</v>
      </c>
      <c r="M1647" s="5">
        <v>31.2882669877989</v>
      </c>
      <c r="N1647" s="5">
        <v>31.2882669877989</v>
      </c>
      <c r="O1647" s="5">
        <v>31.2882669877989</v>
      </c>
      <c r="P1647" s="5">
        <v>0.0</v>
      </c>
      <c r="Q1647" s="5">
        <v>0.0</v>
      </c>
      <c r="R1647" s="5">
        <v>0.0</v>
      </c>
      <c r="S1647" s="5">
        <v>85.6307919122744</v>
      </c>
    </row>
    <row r="1648">
      <c r="A1648" s="6">
        <v>42746.0</v>
      </c>
      <c r="B1648" s="5">
        <v>54.5168898052623</v>
      </c>
      <c r="C1648" s="5">
        <v>26.4166398566693</v>
      </c>
      <c r="D1648" s="5">
        <v>150.941473136055</v>
      </c>
      <c r="E1648" s="5">
        <v>54.5168898052623</v>
      </c>
      <c r="F1648" s="5">
        <v>54.5168898052623</v>
      </c>
      <c r="G1648" s="5">
        <v>31.1299752703468</v>
      </c>
      <c r="H1648" s="5">
        <v>31.1299752703468</v>
      </c>
      <c r="I1648" s="5">
        <v>31.1299752703468</v>
      </c>
      <c r="J1648" s="5">
        <v>0.00703780528101236</v>
      </c>
      <c r="K1648" s="5">
        <v>0.00703780528101236</v>
      </c>
      <c r="L1648" s="5">
        <v>0.00703780528101236</v>
      </c>
      <c r="M1648" s="5">
        <v>31.1229374650658</v>
      </c>
      <c r="N1648" s="5">
        <v>31.1229374650658</v>
      </c>
      <c r="O1648" s="5">
        <v>31.1229374650658</v>
      </c>
      <c r="P1648" s="5">
        <v>0.0</v>
      </c>
      <c r="Q1648" s="5">
        <v>0.0</v>
      </c>
      <c r="R1648" s="5">
        <v>0.0</v>
      </c>
      <c r="S1648" s="5">
        <v>85.6468650756092</v>
      </c>
    </row>
    <row r="1649">
      <c r="A1649" s="6">
        <v>42747.0</v>
      </c>
      <c r="B1649" s="5">
        <v>54.5471358288049</v>
      </c>
      <c r="C1649" s="5">
        <v>20.1514285758588</v>
      </c>
      <c r="D1649" s="5">
        <v>145.78077616132</v>
      </c>
      <c r="E1649" s="5">
        <v>54.5471358288049</v>
      </c>
      <c r="F1649" s="5">
        <v>54.5471358288049</v>
      </c>
      <c r="G1649" s="5">
        <v>30.0282517855648</v>
      </c>
      <c r="H1649" s="5">
        <v>30.0282517855648</v>
      </c>
      <c r="I1649" s="5">
        <v>30.0282517855648</v>
      </c>
      <c r="J1649" s="5">
        <v>-0.776422525900402</v>
      </c>
      <c r="K1649" s="5">
        <v>-0.776422525900402</v>
      </c>
      <c r="L1649" s="5">
        <v>-0.776422525900402</v>
      </c>
      <c r="M1649" s="5">
        <v>30.8046743114652</v>
      </c>
      <c r="N1649" s="5">
        <v>30.8046743114652</v>
      </c>
      <c r="O1649" s="5">
        <v>30.8046743114652</v>
      </c>
      <c r="P1649" s="5">
        <v>0.0</v>
      </c>
      <c r="Q1649" s="5">
        <v>0.0</v>
      </c>
      <c r="R1649" s="5">
        <v>0.0</v>
      </c>
      <c r="S1649" s="5">
        <v>84.5753876143698</v>
      </c>
    </row>
    <row r="1650">
      <c r="A1650" s="6">
        <v>42748.0</v>
      </c>
      <c r="B1650" s="5">
        <v>54.5773818523476</v>
      </c>
      <c r="C1650" s="5">
        <v>24.5838370425374</v>
      </c>
      <c r="D1650" s="5">
        <v>148.283729009825</v>
      </c>
      <c r="E1650" s="5">
        <v>54.5773818523476</v>
      </c>
      <c r="F1650" s="5">
        <v>54.5773818523476</v>
      </c>
      <c r="G1650" s="5">
        <v>28.7500821486024</v>
      </c>
      <c r="H1650" s="5">
        <v>28.7500821486024</v>
      </c>
      <c r="I1650" s="5">
        <v>28.7500821486024</v>
      </c>
      <c r="J1650" s="5">
        <v>-1.59155056649336</v>
      </c>
      <c r="K1650" s="5">
        <v>-1.59155056649336</v>
      </c>
      <c r="L1650" s="5">
        <v>-1.59155056649336</v>
      </c>
      <c r="M1650" s="5">
        <v>30.3416327150958</v>
      </c>
      <c r="N1650" s="5">
        <v>30.3416327150958</v>
      </c>
      <c r="O1650" s="5">
        <v>30.3416327150958</v>
      </c>
      <c r="P1650" s="5">
        <v>0.0</v>
      </c>
      <c r="Q1650" s="5">
        <v>0.0</v>
      </c>
      <c r="R1650" s="5">
        <v>0.0</v>
      </c>
      <c r="S1650" s="5">
        <v>83.32746400095</v>
      </c>
    </row>
    <row r="1651">
      <c r="A1651" s="6">
        <v>42752.0</v>
      </c>
      <c r="B1651" s="5">
        <v>54.698365946518</v>
      </c>
      <c r="C1651" s="5">
        <v>21.3299163825876</v>
      </c>
      <c r="D1651" s="5">
        <v>151.344895700159</v>
      </c>
      <c r="E1651" s="5">
        <v>54.698365946518</v>
      </c>
      <c r="F1651" s="5">
        <v>54.698365946518</v>
      </c>
      <c r="G1651" s="5">
        <v>27.1546406932594</v>
      </c>
      <c r="H1651" s="5">
        <v>27.1546406932594</v>
      </c>
      <c r="I1651" s="5">
        <v>27.1546406932594</v>
      </c>
      <c r="J1651" s="5">
        <v>-0.144118857245757</v>
      </c>
      <c r="K1651" s="5">
        <v>-0.144118857245757</v>
      </c>
      <c r="L1651" s="5">
        <v>-0.144118857245757</v>
      </c>
      <c r="M1651" s="5">
        <v>27.2987595505052</v>
      </c>
      <c r="N1651" s="5">
        <v>27.2987595505052</v>
      </c>
      <c r="O1651" s="5">
        <v>27.2987595505052</v>
      </c>
      <c r="P1651" s="5">
        <v>0.0</v>
      </c>
      <c r="Q1651" s="5">
        <v>0.0</v>
      </c>
      <c r="R1651" s="5">
        <v>0.0</v>
      </c>
      <c r="S1651" s="5">
        <v>81.8530066397775</v>
      </c>
    </row>
    <row r="1652">
      <c r="A1652" s="6">
        <v>42753.0</v>
      </c>
      <c r="B1652" s="5">
        <v>54.7286119700606</v>
      </c>
      <c r="C1652" s="5">
        <v>17.7446741368411</v>
      </c>
      <c r="D1652" s="5">
        <v>141.267606487594</v>
      </c>
      <c r="E1652" s="5">
        <v>54.7286119700606</v>
      </c>
      <c r="F1652" s="5">
        <v>54.7286119700606</v>
      </c>
      <c r="G1652" s="5">
        <v>26.3298732000796</v>
      </c>
      <c r="H1652" s="5">
        <v>26.3298732000796</v>
      </c>
      <c r="I1652" s="5">
        <v>26.3298732000796</v>
      </c>
      <c r="J1652" s="5">
        <v>0.0070378052823236</v>
      </c>
      <c r="K1652" s="5">
        <v>0.0070378052823236</v>
      </c>
      <c r="L1652" s="5">
        <v>0.0070378052823236</v>
      </c>
      <c r="M1652" s="5">
        <v>26.3228353947973</v>
      </c>
      <c r="N1652" s="5">
        <v>26.3228353947973</v>
      </c>
      <c r="O1652" s="5">
        <v>26.3228353947973</v>
      </c>
      <c r="P1652" s="5">
        <v>0.0</v>
      </c>
      <c r="Q1652" s="5">
        <v>0.0</v>
      </c>
      <c r="R1652" s="5">
        <v>0.0</v>
      </c>
      <c r="S1652" s="5">
        <v>81.0584851701403</v>
      </c>
    </row>
    <row r="1653">
      <c r="A1653" s="6">
        <v>42754.0</v>
      </c>
      <c r="B1653" s="5">
        <v>54.7588579936033</v>
      </c>
      <c r="C1653" s="5">
        <v>17.3442643894443</v>
      </c>
      <c r="D1653" s="5">
        <v>143.292854713268</v>
      </c>
      <c r="E1653" s="5">
        <v>54.7588579936033</v>
      </c>
      <c r="F1653" s="5">
        <v>54.7588579936033</v>
      </c>
      <c r="G1653" s="5">
        <v>24.5221263411964</v>
      </c>
      <c r="H1653" s="5">
        <v>24.5221263411964</v>
      </c>
      <c r="I1653" s="5">
        <v>24.5221263411964</v>
      </c>
      <c r="J1653" s="5">
        <v>-0.776422525901124</v>
      </c>
      <c r="K1653" s="5">
        <v>-0.776422525901124</v>
      </c>
      <c r="L1653" s="5">
        <v>-0.776422525901124</v>
      </c>
      <c r="M1653" s="5">
        <v>25.2985488670976</v>
      </c>
      <c r="N1653" s="5">
        <v>25.2985488670976</v>
      </c>
      <c r="O1653" s="5">
        <v>25.2985488670976</v>
      </c>
      <c r="P1653" s="5">
        <v>0.0</v>
      </c>
      <c r="Q1653" s="5">
        <v>0.0</v>
      </c>
      <c r="R1653" s="5">
        <v>0.0</v>
      </c>
      <c r="S1653" s="5">
        <v>79.2809843347997</v>
      </c>
    </row>
    <row r="1654">
      <c r="A1654" s="6">
        <v>42755.0</v>
      </c>
      <c r="B1654" s="5">
        <v>54.7891040171459</v>
      </c>
      <c r="C1654" s="5">
        <v>13.1296929383598</v>
      </c>
      <c r="D1654" s="5">
        <v>139.014116092372</v>
      </c>
      <c r="E1654" s="5">
        <v>54.7891040171459</v>
      </c>
      <c r="F1654" s="5">
        <v>54.7891040171459</v>
      </c>
      <c r="G1654" s="5">
        <v>22.6541587388706</v>
      </c>
      <c r="H1654" s="5">
        <v>22.6541587388706</v>
      </c>
      <c r="I1654" s="5">
        <v>22.6541587388706</v>
      </c>
      <c r="J1654" s="5">
        <v>-1.59155056649212</v>
      </c>
      <c r="K1654" s="5">
        <v>-1.59155056649212</v>
      </c>
      <c r="L1654" s="5">
        <v>-1.59155056649212</v>
      </c>
      <c r="M1654" s="5">
        <v>24.2457093053628</v>
      </c>
      <c r="N1654" s="5">
        <v>24.2457093053628</v>
      </c>
      <c r="O1654" s="5">
        <v>24.2457093053628</v>
      </c>
      <c r="P1654" s="5">
        <v>0.0</v>
      </c>
      <c r="Q1654" s="5">
        <v>0.0</v>
      </c>
      <c r="R1654" s="5">
        <v>0.0</v>
      </c>
      <c r="S1654" s="5">
        <v>77.4432627560166</v>
      </c>
    </row>
    <row r="1655">
      <c r="A1655" s="6">
        <v>42758.0</v>
      </c>
      <c r="B1655" s="5">
        <v>54.8798420877737</v>
      </c>
      <c r="C1655" s="5">
        <v>8.50016623785391</v>
      </c>
      <c r="D1655" s="5">
        <v>140.291037303823</v>
      </c>
      <c r="E1655" s="5">
        <v>54.8798420877737</v>
      </c>
      <c r="F1655" s="5">
        <v>54.8798420877737</v>
      </c>
      <c r="G1655" s="5">
        <v>21.1969194090095</v>
      </c>
      <c r="H1655" s="5">
        <v>21.1969194090095</v>
      </c>
      <c r="I1655" s="5">
        <v>21.1969194090095</v>
      </c>
      <c r="J1655" s="5">
        <v>0.0905589421217012</v>
      </c>
      <c r="K1655" s="5">
        <v>0.0905589421217012</v>
      </c>
      <c r="L1655" s="5">
        <v>0.0905589421217012</v>
      </c>
      <c r="M1655" s="5">
        <v>21.1063604668878</v>
      </c>
      <c r="N1655" s="5">
        <v>21.1063604668878</v>
      </c>
      <c r="O1655" s="5">
        <v>21.1063604668878</v>
      </c>
      <c r="P1655" s="5">
        <v>0.0</v>
      </c>
      <c r="Q1655" s="5">
        <v>0.0</v>
      </c>
      <c r="R1655" s="5">
        <v>0.0</v>
      </c>
      <c r="S1655" s="5">
        <v>76.0767614967833</v>
      </c>
    </row>
    <row r="1656">
      <c r="A1656" s="6">
        <v>42759.0</v>
      </c>
      <c r="B1656" s="5">
        <v>54.9100881113163</v>
      </c>
      <c r="C1656" s="5">
        <v>14.1286806544263</v>
      </c>
      <c r="D1656" s="5">
        <v>141.842193953634</v>
      </c>
      <c r="E1656" s="5">
        <v>54.9100881113163</v>
      </c>
      <c r="F1656" s="5">
        <v>54.9100881113163</v>
      </c>
      <c r="G1656" s="5">
        <v>19.9796485477247</v>
      </c>
      <c r="H1656" s="5">
        <v>19.9796485477247</v>
      </c>
      <c r="I1656" s="5">
        <v>19.9796485477247</v>
      </c>
      <c r="J1656" s="5">
        <v>-0.144118857244669</v>
      </c>
      <c r="K1656" s="5">
        <v>-0.144118857244669</v>
      </c>
      <c r="L1656" s="5">
        <v>-0.144118857244669</v>
      </c>
      <c r="M1656" s="5">
        <v>20.1237674049694</v>
      </c>
      <c r="N1656" s="5">
        <v>20.1237674049694</v>
      </c>
      <c r="O1656" s="5">
        <v>20.1237674049694</v>
      </c>
      <c r="P1656" s="5">
        <v>0.0</v>
      </c>
      <c r="Q1656" s="5">
        <v>0.0</v>
      </c>
      <c r="R1656" s="5">
        <v>0.0</v>
      </c>
      <c r="S1656" s="5">
        <v>74.8897366590411</v>
      </c>
    </row>
    <row r="1657">
      <c r="A1657" s="6">
        <v>42760.0</v>
      </c>
      <c r="B1657" s="5">
        <v>54.9403341348589</v>
      </c>
      <c r="C1657" s="5">
        <v>11.1455096135237</v>
      </c>
      <c r="D1657" s="5">
        <v>133.90078402732</v>
      </c>
      <c r="E1657" s="5">
        <v>54.9403341348589</v>
      </c>
      <c r="F1657" s="5">
        <v>54.9403341348589</v>
      </c>
      <c r="G1657" s="5">
        <v>19.2042855757379</v>
      </c>
      <c r="H1657" s="5">
        <v>19.2042855757379</v>
      </c>
      <c r="I1657" s="5">
        <v>19.2042855757379</v>
      </c>
      <c r="J1657" s="5">
        <v>0.00703780528363453</v>
      </c>
      <c r="K1657" s="5">
        <v>0.00703780528363453</v>
      </c>
      <c r="L1657" s="5">
        <v>0.00703780528363453</v>
      </c>
      <c r="M1657" s="5">
        <v>19.1972477704542</v>
      </c>
      <c r="N1657" s="5">
        <v>19.1972477704542</v>
      </c>
      <c r="O1657" s="5">
        <v>19.1972477704542</v>
      </c>
      <c r="P1657" s="5">
        <v>0.0</v>
      </c>
      <c r="Q1657" s="5">
        <v>0.0</v>
      </c>
      <c r="R1657" s="5">
        <v>0.0</v>
      </c>
      <c r="S1657" s="5">
        <v>74.1446197105969</v>
      </c>
    </row>
    <row r="1658">
      <c r="A1658" s="6">
        <v>42761.0</v>
      </c>
      <c r="B1658" s="5">
        <v>54.9705801584016</v>
      </c>
      <c r="C1658" s="5">
        <v>8.39846164069912</v>
      </c>
      <c r="D1658" s="5">
        <v>140.035985385753</v>
      </c>
      <c r="E1658" s="5">
        <v>54.9705801584016</v>
      </c>
      <c r="F1658" s="5">
        <v>54.9705801584016</v>
      </c>
      <c r="G1658" s="5">
        <v>17.5613168481633</v>
      </c>
      <c r="H1658" s="5">
        <v>17.5613168481633</v>
      </c>
      <c r="I1658" s="5">
        <v>17.5613168481633</v>
      </c>
      <c r="J1658" s="5">
        <v>-0.776422525900371</v>
      </c>
      <c r="K1658" s="5">
        <v>-0.776422525900371</v>
      </c>
      <c r="L1658" s="5">
        <v>-0.776422525900371</v>
      </c>
      <c r="M1658" s="5">
        <v>18.3377393740637</v>
      </c>
      <c r="N1658" s="5">
        <v>18.3377393740637</v>
      </c>
      <c r="O1658" s="5">
        <v>18.3377393740637</v>
      </c>
      <c r="P1658" s="5">
        <v>0.0</v>
      </c>
      <c r="Q1658" s="5">
        <v>0.0</v>
      </c>
      <c r="R1658" s="5">
        <v>0.0</v>
      </c>
      <c r="S1658" s="5">
        <v>72.5318970065649</v>
      </c>
    </row>
    <row r="1659">
      <c r="A1659" s="6">
        <v>42762.0</v>
      </c>
      <c r="B1659" s="5">
        <v>55.0008261819442</v>
      </c>
      <c r="C1659" s="5">
        <v>7.51143762316194</v>
      </c>
      <c r="D1659" s="5">
        <v>127.698269125552</v>
      </c>
      <c r="E1659" s="5">
        <v>55.0008261819442</v>
      </c>
      <c r="F1659" s="5">
        <v>55.0008261819442</v>
      </c>
      <c r="G1659" s="5">
        <v>15.961855389746</v>
      </c>
      <c r="H1659" s="5">
        <v>15.961855389746</v>
      </c>
      <c r="I1659" s="5">
        <v>15.961855389746</v>
      </c>
      <c r="J1659" s="5">
        <v>-1.59155056649394</v>
      </c>
      <c r="K1659" s="5">
        <v>-1.59155056649394</v>
      </c>
      <c r="L1659" s="5">
        <v>-1.59155056649394</v>
      </c>
      <c r="M1659" s="5">
        <v>17.5534059562399</v>
      </c>
      <c r="N1659" s="5">
        <v>17.5534059562399</v>
      </c>
      <c r="O1659" s="5">
        <v>17.5534059562399</v>
      </c>
      <c r="P1659" s="5">
        <v>0.0</v>
      </c>
      <c r="Q1659" s="5">
        <v>0.0</v>
      </c>
      <c r="R1659" s="5">
        <v>0.0</v>
      </c>
      <c r="S1659" s="5">
        <v>70.9626815716902</v>
      </c>
    </row>
    <row r="1660">
      <c r="A1660" s="6">
        <v>42765.0</v>
      </c>
      <c r="B1660" s="5">
        <v>55.091564252572</v>
      </c>
      <c r="C1660" s="5">
        <v>7.1958275249446</v>
      </c>
      <c r="D1660" s="5">
        <v>137.317921972854</v>
      </c>
      <c r="E1660" s="5">
        <v>55.091564252572</v>
      </c>
      <c r="F1660" s="5">
        <v>55.091564252572</v>
      </c>
      <c r="G1660" s="5">
        <v>15.7786407800386</v>
      </c>
      <c r="H1660" s="5">
        <v>15.7786407800386</v>
      </c>
      <c r="I1660" s="5">
        <v>15.7786407800386</v>
      </c>
      <c r="J1660" s="5">
        <v>0.0905589421202639</v>
      </c>
      <c r="K1660" s="5">
        <v>0.0905589421202639</v>
      </c>
      <c r="L1660" s="5">
        <v>0.0905589421202639</v>
      </c>
      <c r="M1660" s="5">
        <v>15.6880818379183</v>
      </c>
      <c r="N1660" s="5">
        <v>15.6880818379183</v>
      </c>
      <c r="O1660" s="5">
        <v>15.6880818379183</v>
      </c>
      <c r="P1660" s="5">
        <v>0.0</v>
      </c>
      <c r="Q1660" s="5">
        <v>0.0</v>
      </c>
      <c r="R1660" s="5">
        <v>0.0</v>
      </c>
      <c r="S1660" s="5">
        <v>70.8702050326107</v>
      </c>
    </row>
    <row r="1661">
      <c r="A1661" s="6">
        <v>42766.0</v>
      </c>
      <c r="B1661" s="5">
        <v>55.1218102761146</v>
      </c>
      <c r="C1661" s="5">
        <v>6.63657222635461</v>
      </c>
      <c r="D1661" s="5">
        <v>135.788977991791</v>
      </c>
      <c r="E1661" s="5">
        <v>55.1218102761146</v>
      </c>
      <c r="F1661" s="5">
        <v>55.1218102761146</v>
      </c>
      <c r="G1661" s="5">
        <v>15.0816061478685</v>
      </c>
      <c r="H1661" s="5">
        <v>15.0816061478685</v>
      </c>
      <c r="I1661" s="5">
        <v>15.0816061478685</v>
      </c>
      <c r="J1661" s="5">
        <v>-0.144118857246105</v>
      </c>
      <c r="K1661" s="5">
        <v>-0.144118857246105</v>
      </c>
      <c r="L1661" s="5">
        <v>-0.144118857246105</v>
      </c>
      <c r="M1661" s="5">
        <v>15.2257250051146</v>
      </c>
      <c r="N1661" s="5">
        <v>15.2257250051146</v>
      </c>
      <c r="O1661" s="5">
        <v>15.2257250051146</v>
      </c>
      <c r="P1661" s="5">
        <v>0.0</v>
      </c>
      <c r="Q1661" s="5">
        <v>0.0</v>
      </c>
      <c r="R1661" s="5">
        <v>0.0</v>
      </c>
      <c r="S1661" s="5">
        <v>70.2034164239832</v>
      </c>
    </row>
    <row r="1662">
      <c r="A1662" s="6">
        <v>42767.0</v>
      </c>
      <c r="B1662" s="5">
        <v>55.1520562996573</v>
      </c>
      <c r="C1662" s="5">
        <v>8.15274304601179</v>
      </c>
      <c r="D1662" s="5">
        <v>133.603991877885</v>
      </c>
      <c r="E1662" s="5">
        <v>55.1520562996573</v>
      </c>
      <c r="F1662" s="5">
        <v>55.1520562996573</v>
      </c>
      <c r="G1662" s="5">
        <v>14.8410954103961</v>
      </c>
      <c r="H1662" s="5">
        <v>14.8410954103961</v>
      </c>
      <c r="I1662" s="5">
        <v>14.8410954103961</v>
      </c>
      <c r="J1662" s="5">
        <v>0.00703780528160978</v>
      </c>
      <c r="K1662" s="5">
        <v>0.00703780528160978</v>
      </c>
      <c r="L1662" s="5">
        <v>0.00703780528160978</v>
      </c>
      <c r="M1662" s="5">
        <v>14.8340576051145</v>
      </c>
      <c r="N1662" s="5">
        <v>14.8340576051145</v>
      </c>
      <c r="O1662" s="5">
        <v>14.8340576051145</v>
      </c>
      <c r="P1662" s="5">
        <v>0.0</v>
      </c>
      <c r="Q1662" s="5">
        <v>0.0</v>
      </c>
      <c r="R1662" s="5">
        <v>0.0</v>
      </c>
      <c r="S1662" s="5">
        <v>69.9931517100535</v>
      </c>
    </row>
    <row r="1663">
      <c r="A1663" s="6">
        <v>42768.0</v>
      </c>
      <c r="B1663" s="5">
        <v>55.1823023231999</v>
      </c>
      <c r="C1663" s="5">
        <v>7.43498396341353</v>
      </c>
      <c r="D1663" s="5">
        <v>131.476999737839</v>
      </c>
      <c r="E1663" s="5">
        <v>55.1823023231999</v>
      </c>
      <c r="F1663" s="5">
        <v>55.1823023231999</v>
      </c>
      <c r="G1663" s="5">
        <v>13.727142999988</v>
      </c>
      <c r="H1663" s="5">
        <v>13.727142999988</v>
      </c>
      <c r="I1663" s="5">
        <v>13.727142999988</v>
      </c>
      <c r="J1663" s="5">
        <v>-0.776422525899718</v>
      </c>
      <c r="K1663" s="5">
        <v>-0.776422525899718</v>
      </c>
      <c r="L1663" s="5">
        <v>-0.776422525899718</v>
      </c>
      <c r="M1663" s="5">
        <v>14.5035655258877</v>
      </c>
      <c r="N1663" s="5">
        <v>14.5035655258877</v>
      </c>
      <c r="O1663" s="5">
        <v>14.5035655258877</v>
      </c>
      <c r="P1663" s="5">
        <v>0.0</v>
      </c>
      <c r="Q1663" s="5">
        <v>0.0</v>
      </c>
      <c r="R1663" s="5">
        <v>0.0</v>
      </c>
      <c r="S1663" s="5">
        <v>68.9094453231879</v>
      </c>
    </row>
    <row r="1664">
      <c r="A1664" s="6">
        <v>42769.0</v>
      </c>
      <c r="B1664" s="5">
        <v>55.2125483467425</v>
      </c>
      <c r="C1664" s="5">
        <v>1.93696805637003</v>
      </c>
      <c r="D1664" s="5">
        <v>131.779870537376</v>
      </c>
      <c r="E1664" s="5">
        <v>55.2125483467425</v>
      </c>
      <c r="F1664" s="5">
        <v>55.2125483467425</v>
      </c>
      <c r="G1664" s="5">
        <v>12.6308364256955</v>
      </c>
      <c r="H1664" s="5">
        <v>12.6308364256955</v>
      </c>
      <c r="I1664" s="5">
        <v>12.6308364256955</v>
      </c>
      <c r="J1664" s="5">
        <v>-1.59155056649301</v>
      </c>
      <c r="K1664" s="5">
        <v>-1.59155056649301</v>
      </c>
      <c r="L1664" s="5">
        <v>-1.59155056649301</v>
      </c>
      <c r="M1664" s="5">
        <v>14.2223869921885</v>
      </c>
      <c r="N1664" s="5">
        <v>14.2223869921885</v>
      </c>
      <c r="O1664" s="5">
        <v>14.2223869921885</v>
      </c>
      <c r="P1664" s="5">
        <v>0.0</v>
      </c>
      <c r="Q1664" s="5">
        <v>0.0</v>
      </c>
      <c r="R1664" s="5">
        <v>0.0</v>
      </c>
      <c r="S1664" s="5">
        <v>67.843384772438</v>
      </c>
    </row>
    <row r="1665">
      <c r="A1665" s="6">
        <v>42772.0</v>
      </c>
      <c r="B1665" s="5">
        <v>55.3032864173703</v>
      </c>
      <c r="C1665" s="5">
        <v>10.7514913417287</v>
      </c>
      <c r="D1665" s="5">
        <v>131.051113661867</v>
      </c>
      <c r="E1665" s="5">
        <v>55.3032864173703</v>
      </c>
      <c r="F1665" s="5">
        <v>55.3032864173703</v>
      </c>
      <c r="G1665" s="5">
        <v>13.6195022388319</v>
      </c>
      <c r="H1665" s="5">
        <v>13.6195022388319</v>
      </c>
      <c r="I1665" s="5">
        <v>13.6195022388319</v>
      </c>
      <c r="J1665" s="5">
        <v>0.0905589421236743</v>
      </c>
      <c r="K1665" s="5">
        <v>0.0905589421236743</v>
      </c>
      <c r="L1665" s="5">
        <v>0.0905589421236743</v>
      </c>
      <c r="M1665" s="5">
        <v>13.5289432967082</v>
      </c>
      <c r="N1665" s="5">
        <v>13.5289432967082</v>
      </c>
      <c r="O1665" s="5">
        <v>13.5289432967082</v>
      </c>
      <c r="P1665" s="5">
        <v>0.0</v>
      </c>
      <c r="Q1665" s="5">
        <v>0.0</v>
      </c>
      <c r="R1665" s="5">
        <v>0.0</v>
      </c>
      <c r="S1665" s="5">
        <v>68.9227886562023</v>
      </c>
    </row>
    <row r="1666">
      <c r="A1666" s="6">
        <v>42773.0</v>
      </c>
      <c r="B1666" s="5">
        <v>55.333532440913</v>
      </c>
      <c r="C1666" s="5">
        <v>2.88455836183262</v>
      </c>
      <c r="D1666" s="5">
        <v>136.124159495128</v>
      </c>
      <c r="E1666" s="5">
        <v>55.333532440913</v>
      </c>
      <c r="F1666" s="5">
        <v>55.333532440913</v>
      </c>
      <c r="G1666" s="5">
        <v>13.1491757255056</v>
      </c>
      <c r="H1666" s="5">
        <v>13.1491757255056</v>
      </c>
      <c r="I1666" s="5">
        <v>13.1491757255056</v>
      </c>
      <c r="J1666" s="5">
        <v>-0.144118857246431</v>
      </c>
      <c r="K1666" s="5">
        <v>-0.144118857246431</v>
      </c>
      <c r="L1666" s="5">
        <v>-0.144118857246431</v>
      </c>
      <c r="M1666" s="5">
        <v>13.293294582752</v>
      </c>
      <c r="N1666" s="5">
        <v>13.293294582752</v>
      </c>
      <c r="O1666" s="5">
        <v>13.293294582752</v>
      </c>
      <c r="P1666" s="5">
        <v>0.0</v>
      </c>
      <c r="Q1666" s="5">
        <v>0.0</v>
      </c>
      <c r="R1666" s="5">
        <v>0.0</v>
      </c>
      <c r="S1666" s="5">
        <v>68.4827081664186</v>
      </c>
    </row>
    <row r="1667">
      <c r="A1667" s="6">
        <v>42774.0</v>
      </c>
      <c r="B1667" s="5">
        <v>55.3637784644556</v>
      </c>
      <c r="C1667" s="5">
        <v>7.28117931361818</v>
      </c>
      <c r="D1667" s="5">
        <v>131.74449301103</v>
      </c>
      <c r="E1667" s="5">
        <v>55.3637784644556</v>
      </c>
      <c r="F1667" s="5">
        <v>55.3637784644556</v>
      </c>
      <c r="G1667" s="5">
        <v>13.0339068898915</v>
      </c>
      <c r="H1667" s="5">
        <v>13.0339068898915</v>
      </c>
      <c r="I1667" s="5">
        <v>13.0339068898915</v>
      </c>
      <c r="J1667" s="5">
        <v>0.00703780528391229</v>
      </c>
      <c r="K1667" s="5">
        <v>0.00703780528391229</v>
      </c>
      <c r="L1667" s="5">
        <v>0.00703780528391229</v>
      </c>
      <c r="M1667" s="5">
        <v>13.0268690846076</v>
      </c>
      <c r="N1667" s="5">
        <v>13.0268690846076</v>
      </c>
      <c r="O1667" s="5">
        <v>13.0268690846076</v>
      </c>
      <c r="P1667" s="5">
        <v>0.0</v>
      </c>
      <c r="Q1667" s="5">
        <v>0.0</v>
      </c>
      <c r="R1667" s="5">
        <v>0.0</v>
      </c>
      <c r="S1667" s="5">
        <v>68.3976853543472</v>
      </c>
    </row>
    <row r="1668">
      <c r="A1668" s="6">
        <v>42775.0</v>
      </c>
      <c r="B1668" s="5">
        <v>55.3940244879982</v>
      </c>
      <c r="C1668" s="5">
        <v>3.55287051108708</v>
      </c>
      <c r="D1668" s="5">
        <v>137.573858859836</v>
      </c>
      <c r="E1668" s="5">
        <v>55.3940244879982</v>
      </c>
      <c r="F1668" s="5">
        <v>55.3940244879982</v>
      </c>
      <c r="G1668" s="5">
        <v>11.9364351985189</v>
      </c>
      <c r="H1668" s="5">
        <v>11.9364351985189</v>
      </c>
      <c r="I1668" s="5">
        <v>11.9364351985189</v>
      </c>
      <c r="J1668" s="5">
        <v>-0.776422525901815</v>
      </c>
      <c r="K1668" s="5">
        <v>-0.776422525901815</v>
      </c>
      <c r="L1668" s="5">
        <v>-0.776422525901815</v>
      </c>
      <c r="M1668" s="5">
        <v>12.7128577244208</v>
      </c>
      <c r="N1668" s="5">
        <v>12.7128577244208</v>
      </c>
      <c r="O1668" s="5">
        <v>12.7128577244208</v>
      </c>
      <c r="P1668" s="5">
        <v>0.0</v>
      </c>
      <c r="Q1668" s="5">
        <v>0.0</v>
      </c>
      <c r="R1668" s="5">
        <v>0.0</v>
      </c>
      <c r="S1668" s="5">
        <v>67.3304596865172</v>
      </c>
    </row>
    <row r="1669">
      <c r="A1669" s="6">
        <v>42776.0</v>
      </c>
      <c r="B1669" s="5">
        <v>55.4242705115408</v>
      </c>
      <c r="C1669" s="5">
        <v>2.63674710419428</v>
      </c>
      <c r="D1669" s="5">
        <v>125.500764182549</v>
      </c>
      <c r="E1669" s="5">
        <v>55.4242705115408</v>
      </c>
      <c r="F1669" s="5">
        <v>55.4242705115408</v>
      </c>
      <c r="G1669" s="5">
        <v>10.743806881318</v>
      </c>
      <c r="H1669" s="5">
        <v>10.743806881318</v>
      </c>
      <c r="I1669" s="5">
        <v>10.743806881318</v>
      </c>
      <c r="J1669" s="5">
        <v>-1.59155056649209</v>
      </c>
      <c r="K1669" s="5">
        <v>-1.59155056649209</v>
      </c>
      <c r="L1669" s="5">
        <v>-1.59155056649209</v>
      </c>
      <c r="M1669" s="5">
        <v>12.3353574478101</v>
      </c>
      <c r="N1669" s="5">
        <v>12.3353574478101</v>
      </c>
      <c r="O1669" s="5">
        <v>12.3353574478101</v>
      </c>
      <c r="P1669" s="5">
        <v>0.0</v>
      </c>
      <c r="Q1669" s="5">
        <v>0.0</v>
      </c>
      <c r="R1669" s="5">
        <v>0.0</v>
      </c>
      <c r="S1669" s="5">
        <v>66.1680773928589</v>
      </c>
    </row>
    <row r="1670">
      <c r="A1670" s="6">
        <v>42779.0</v>
      </c>
      <c r="B1670" s="5">
        <v>55.5150085821686</v>
      </c>
      <c r="C1670" s="5">
        <v>0.290624229159586</v>
      </c>
      <c r="D1670" s="5">
        <v>127.255988016443</v>
      </c>
      <c r="E1670" s="5">
        <v>55.5150085821686</v>
      </c>
      <c r="F1670" s="5">
        <v>55.5150085821686</v>
      </c>
      <c r="G1670" s="5">
        <v>10.7766856417921</v>
      </c>
      <c r="H1670" s="5">
        <v>10.7766856417921</v>
      </c>
      <c r="I1670" s="5">
        <v>10.7766856417921</v>
      </c>
      <c r="J1670" s="5">
        <v>0.090558942119853</v>
      </c>
      <c r="K1670" s="5">
        <v>0.090558942119853</v>
      </c>
      <c r="L1670" s="5">
        <v>0.090558942119853</v>
      </c>
      <c r="M1670" s="5">
        <v>10.6861266996722</v>
      </c>
      <c r="N1670" s="5">
        <v>10.6861266996722</v>
      </c>
      <c r="O1670" s="5">
        <v>10.6861266996722</v>
      </c>
      <c r="P1670" s="5">
        <v>0.0</v>
      </c>
      <c r="Q1670" s="5">
        <v>0.0</v>
      </c>
      <c r="R1670" s="5">
        <v>0.0</v>
      </c>
      <c r="S1670" s="5">
        <v>66.2916942239608</v>
      </c>
    </row>
    <row r="1671">
      <c r="A1671" s="6">
        <v>42780.0</v>
      </c>
      <c r="B1671" s="5">
        <v>55.5452546057113</v>
      </c>
      <c r="C1671" s="5">
        <v>2.74250781409658</v>
      </c>
      <c r="D1671" s="5">
        <v>129.801849339535</v>
      </c>
      <c r="E1671" s="5">
        <v>55.5452546057113</v>
      </c>
      <c r="F1671" s="5">
        <v>55.5452546057113</v>
      </c>
      <c r="G1671" s="5">
        <v>9.7852988141857</v>
      </c>
      <c r="H1671" s="5">
        <v>9.7852988141857</v>
      </c>
      <c r="I1671" s="5">
        <v>9.7852988141857</v>
      </c>
      <c r="J1671" s="5">
        <v>-0.144118857245343</v>
      </c>
      <c r="K1671" s="5">
        <v>-0.144118857245343</v>
      </c>
      <c r="L1671" s="5">
        <v>-0.144118857245343</v>
      </c>
      <c r="M1671" s="5">
        <v>9.92941767143104</v>
      </c>
      <c r="N1671" s="5">
        <v>9.92941767143104</v>
      </c>
      <c r="O1671" s="5">
        <v>9.92941767143104</v>
      </c>
      <c r="P1671" s="5">
        <v>0.0</v>
      </c>
      <c r="Q1671" s="5">
        <v>0.0</v>
      </c>
      <c r="R1671" s="5">
        <v>0.0</v>
      </c>
      <c r="S1671" s="5">
        <v>65.330553419897</v>
      </c>
    </row>
    <row r="1672">
      <c r="A1672" s="6">
        <v>42781.0</v>
      </c>
      <c r="B1672" s="5">
        <v>55.5755006292539</v>
      </c>
      <c r="C1672" s="5">
        <v>-2.21680612047461</v>
      </c>
      <c r="D1672" s="5">
        <v>127.353305931863</v>
      </c>
      <c r="E1672" s="5">
        <v>55.5755006292539</v>
      </c>
      <c r="F1672" s="5">
        <v>55.5755006292539</v>
      </c>
      <c r="G1672" s="5">
        <v>9.06530261106833</v>
      </c>
      <c r="H1672" s="5">
        <v>9.06530261106833</v>
      </c>
      <c r="I1672" s="5">
        <v>9.06530261106833</v>
      </c>
      <c r="J1672" s="5">
        <v>0.00703780528089605</v>
      </c>
      <c r="K1672" s="5">
        <v>0.00703780528089605</v>
      </c>
      <c r="L1672" s="5">
        <v>0.00703780528089605</v>
      </c>
      <c r="M1672" s="5">
        <v>9.05826480578743</v>
      </c>
      <c r="N1672" s="5">
        <v>9.05826480578743</v>
      </c>
      <c r="O1672" s="5">
        <v>9.05826480578743</v>
      </c>
      <c r="P1672" s="5">
        <v>0.0</v>
      </c>
      <c r="Q1672" s="5">
        <v>0.0</v>
      </c>
      <c r="R1672" s="5">
        <v>0.0</v>
      </c>
      <c r="S1672" s="5">
        <v>64.6408032403222</v>
      </c>
    </row>
    <row r="1673">
      <c r="A1673" s="6">
        <v>42782.0</v>
      </c>
      <c r="B1673" s="5">
        <v>55.6057466527965</v>
      </c>
      <c r="C1673" s="5">
        <v>-1.25002160189951</v>
      </c>
      <c r="D1673" s="5">
        <v>124.989049002485</v>
      </c>
      <c r="E1673" s="5">
        <v>55.6057466527965</v>
      </c>
      <c r="F1673" s="5">
        <v>55.6057466527965</v>
      </c>
      <c r="G1673" s="5">
        <v>7.29399289104107</v>
      </c>
      <c r="H1673" s="5">
        <v>7.29399289104107</v>
      </c>
      <c r="I1673" s="5">
        <v>7.29399289104107</v>
      </c>
      <c r="J1673" s="5">
        <v>-0.776422525902537</v>
      </c>
      <c r="K1673" s="5">
        <v>-0.776422525902537</v>
      </c>
      <c r="L1673" s="5">
        <v>-0.776422525902537</v>
      </c>
      <c r="M1673" s="5">
        <v>8.0704154169436</v>
      </c>
      <c r="N1673" s="5">
        <v>8.0704154169436</v>
      </c>
      <c r="O1673" s="5">
        <v>8.0704154169436</v>
      </c>
      <c r="P1673" s="5">
        <v>0.0</v>
      </c>
      <c r="Q1673" s="5">
        <v>0.0</v>
      </c>
      <c r="R1673" s="5">
        <v>0.0</v>
      </c>
      <c r="S1673" s="5">
        <v>62.8997395438376</v>
      </c>
    </row>
    <row r="1674">
      <c r="A1674" s="6">
        <v>42783.0</v>
      </c>
      <c r="B1674" s="5">
        <v>55.6359926763391</v>
      </c>
      <c r="C1674" s="5">
        <v>-2.6998791108282</v>
      </c>
      <c r="D1674" s="5">
        <v>122.529085534304</v>
      </c>
      <c r="E1674" s="5">
        <v>55.6359926763391</v>
      </c>
      <c r="F1674" s="5">
        <v>55.6359926763391</v>
      </c>
      <c r="G1674" s="5">
        <v>5.37512850427761</v>
      </c>
      <c r="H1674" s="5">
        <v>5.37512850427761</v>
      </c>
      <c r="I1674" s="5">
        <v>5.37512850427761</v>
      </c>
      <c r="J1674" s="5">
        <v>-1.59155056649359</v>
      </c>
      <c r="K1674" s="5">
        <v>-1.59155056649359</v>
      </c>
      <c r="L1674" s="5">
        <v>-1.59155056649359</v>
      </c>
      <c r="M1674" s="5">
        <v>6.96667907077121</v>
      </c>
      <c r="N1674" s="5">
        <v>6.96667907077121</v>
      </c>
      <c r="O1674" s="5">
        <v>6.96667907077121</v>
      </c>
      <c r="P1674" s="5">
        <v>0.0</v>
      </c>
      <c r="Q1674" s="5">
        <v>0.0</v>
      </c>
      <c r="R1674" s="5">
        <v>0.0</v>
      </c>
      <c r="S1674" s="5">
        <v>61.0111211806167</v>
      </c>
    </row>
    <row r="1675">
      <c r="A1675" s="6">
        <v>42787.0</v>
      </c>
      <c r="B1675" s="5">
        <v>55.7569767705096</v>
      </c>
      <c r="C1675" s="5">
        <v>-8.28202442037286</v>
      </c>
      <c r="D1675" s="5">
        <v>120.826798960833</v>
      </c>
      <c r="E1675" s="5">
        <v>55.7569767705096</v>
      </c>
      <c r="F1675" s="5">
        <v>55.7569767705096</v>
      </c>
      <c r="G1675" s="5">
        <v>1.37098507715836</v>
      </c>
      <c r="H1675" s="5">
        <v>1.37098507715836</v>
      </c>
      <c r="I1675" s="5">
        <v>1.37098507715836</v>
      </c>
      <c r="J1675" s="5">
        <v>-0.144118857244255</v>
      </c>
      <c r="K1675" s="5">
        <v>-0.144118857244255</v>
      </c>
      <c r="L1675" s="5">
        <v>-0.144118857244255</v>
      </c>
      <c r="M1675" s="5">
        <v>1.51510393440262</v>
      </c>
      <c r="N1675" s="5">
        <v>1.51510393440262</v>
      </c>
      <c r="O1675" s="5">
        <v>1.51510393440262</v>
      </c>
      <c r="P1675" s="5">
        <v>0.0</v>
      </c>
      <c r="Q1675" s="5">
        <v>0.0</v>
      </c>
      <c r="R1675" s="5">
        <v>0.0</v>
      </c>
      <c r="S1675" s="5">
        <v>57.1279618476679</v>
      </c>
    </row>
    <row r="1676">
      <c r="A1676" s="6">
        <v>42788.0</v>
      </c>
      <c r="B1676" s="5">
        <v>55.7872227940522</v>
      </c>
      <c r="C1676" s="5">
        <v>-10.1039686152757</v>
      </c>
      <c r="D1676" s="5">
        <v>112.667939124501</v>
      </c>
      <c r="E1676" s="5">
        <v>55.7872227940522</v>
      </c>
      <c r="F1676" s="5">
        <v>55.7872227940522</v>
      </c>
      <c r="G1676" s="5">
        <v>-0.0447819397304526</v>
      </c>
      <c r="H1676" s="5">
        <v>-0.0447819397304526</v>
      </c>
      <c r="I1676" s="5">
        <v>-0.0447819397304526</v>
      </c>
      <c r="J1676" s="5">
        <v>0.00703780528319845</v>
      </c>
      <c r="K1676" s="5">
        <v>0.00703780528319845</v>
      </c>
      <c r="L1676" s="5">
        <v>0.00703780528319845</v>
      </c>
      <c r="M1676" s="5">
        <v>-0.051819745013651</v>
      </c>
      <c r="N1676" s="5">
        <v>-0.051819745013651</v>
      </c>
      <c r="O1676" s="5">
        <v>-0.051819745013651</v>
      </c>
      <c r="P1676" s="5">
        <v>0.0</v>
      </c>
      <c r="Q1676" s="5">
        <v>0.0</v>
      </c>
      <c r="R1676" s="5">
        <v>0.0</v>
      </c>
      <c r="S1676" s="5">
        <v>55.7424408543217</v>
      </c>
    </row>
    <row r="1677">
      <c r="A1677" s="6">
        <v>42789.0</v>
      </c>
      <c r="B1677" s="5">
        <v>55.8174688175948</v>
      </c>
      <c r="C1677" s="5">
        <v>-7.21668064377034</v>
      </c>
      <c r="D1677" s="5">
        <v>120.866909020023</v>
      </c>
      <c r="E1677" s="5">
        <v>55.8174688175948</v>
      </c>
      <c r="F1677" s="5">
        <v>55.8174688175948</v>
      </c>
      <c r="G1677" s="5">
        <v>-2.44628778989507</v>
      </c>
      <c r="H1677" s="5">
        <v>-2.44628778989507</v>
      </c>
      <c r="I1677" s="5">
        <v>-2.44628778989507</v>
      </c>
      <c r="J1677" s="5">
        <v>-0.776422525901784</v>
      </c>
      <c r="K1677" s="5">
        <v>-0.776422525901784</v>
      </c>
      <c r="L1677" s="5">
        <v>-0.776422525901784</v>
      </c>
      <c r="M1677" s="5">
        <v>-1.66986526399329</v>
      </c>
      <c r="N1677" s="5">
        <v>-1.66986526399329</v>
      </c>
      <c r="O1677" s="5">
        <v>-1.66986526399329</v>
      </c>
      <c r="P1677" s="5">
        <v>0.0</v>
      </c>
      <c r="Q1677" s="5">
        <v>0.0</v>
      </c>
      <c r="R1677" s="5">
        <v>0.0</v>
      </c>
      <c r="S1677" s="5">
        <v>53.3711810276997</v>
      </c>
    </row>
    <row r="1678">
      <c r="A1678" s="6">
        <v>42790.0</v>
      </c>
      <c r="B1678" s="5">
        <v>55.8477148411374</v>
      </c>
      <c r="C1678" s="5">
        <v>-11.3317694654026</v>
      </c>
      <c r="D1678" s="5">
        <v>113.455071991938</v>
      </c>
      <c r="E1678" s="5">
        <v>55.8477148411374</v>
      </c>
      <c r="F1678" s="5">
        <v>55.8477148411374</v>
      </c>
      <c r="G1678" s="5">
        <v>-4.91207435088321</v>
      </c>
      <c r="H1678" s="5">
        <v>-4.91207435088321</v>
      </c>
      <c r="I1678" s="5">
        <v>-4.91207435088321</v>
      </c>
      <c r="J1678" s="5">
        <v>-1.59155056649298</v>
      </c>
      <c r="K1678" s="5">
        <v>-1.59155056649298</v>
      </c>
      <c r="L1678" s="5">
        <v>-1.59155056649298</v>
      </c>
      <c r="M1678" s="5">
        <v>-3.32052378439023</v>
      </c>
      <c r="N1678" s="5">
        <v>-3.32052378439023</v>
      </c>
      <c r="O1678" s="5">
        <v>-3.32052378439023</v>
      </c>
      <c r="P1678" s="5">
        <v>0.0</v>
      </c>
      <c r="Q1678" s="5">
        <v>0.0</v>
      </c>
      <c r="R1678" s="5">
        <v>0.0</v>
      </c>
      <c r="S1678" s="5">
        <v>50.9356404902542</v>
      </c>
    </row>
    <row r="1679">
      <c r="A1679" s="6">
        <v>42793.0</v>
      </c>
      <c r="B1679" s="5">
        <v>55.9384529117653</v>
      </c>
      <c r="C1679" s="5">
        <v>-15.1322223759732</v>
      </c>
      <c r="D1679" s="5">
        <v>110.109666828876</v>
      </c>
      <c r="E1679" s="5">
        <v>55.9384529117653</v>
      </c>
      <c r="F1679" s="5">
        <v>55.9384529117653</v>
      </c>
      <c r="G1679" s="5">
        <v>-8.17730208472882</v>
      </c>
      <c r="H1679" s="5">
        <v>-8.17730208472882</v>
      </c>
      <c r="I1679" s="5">
        <v>-8.17730208472882</v>
      </c>
      <c r="J1679" s="5">
        <v>0.0905589421193618</v>
      </c>
      <c r="K1679" s="5">
        <v>0.0905589421193618</v>
      </c>
      <c r="L1679" s="5">
        <v>0.0905589421193618</v>
      </c>
      <c r="M1679" s="5">
        <v>-8.26786102684819</v>
      </c>
      <c r="N1679" s="5">
        <v>-8.26786102684819</v>
      </c>
      <c r="O1679" s="5">
        <v>-8.26786102684819</v>
      </c>
      <c r="P1679" s="5">
        <v>0.0</v>
      </c>
      <c r="Q1679" s="5">
        <v>0.0</v>
      </c>
      <c r="R1679" s="5">
        <v>0.0</v>
      </c>
      <c r="S1679" s="5">
        <v>47.7611508270364</v>
      </c>
    </row>
    <row r="1680">
      <c r="A1680" s="6">
        <v>42794.0</v>
      </c>
      <c r="B1680" s="5">
        <v>55.9686989353079</v>
      </c>
      <c r="C1680" s="5">
        <v>-17.9105196253668</v>
      </c>
      <c r="D1680" s="5">
        <v>108.216007417182</v>
      </c>
      <c r="E1680" s="5">
        <v>55.9686989353079</v>
      </c>
      <c r="F1680" s="5">
        <v>55.9686989353079</v>
      </c>
      <c r="G1680" s="5">
        <v>-9.99100198945691</v>
      </c>
      <c r="H1680" s="5">
        <v>-9.99100198945691</v>
      </c>
      <c r="I1680" s="5">
        <v>-9.99100198945691</v>
      </c>
      <c r="J1680" s="5">
        <v>-0.144118857247104</v>
      </c>
      <c r="K1680" s="5">
        <v>-0.144118857247104</v>
      </c>
      <c r="L1680" s="5">
        <v>-0.144118857247104</v>
      </c>
      <c r="M1680" s="5">
        <v>-9.84688313220981</v>
      </c>
      <c r="N1680" s="5">
        <v>-9.84688313220981</v>
      </c>
      <c r="O1680" s="5">
        <v>-9.84688313220981</v>
      </c>
      <c r="P1680" s="5">
        <v>0.0</v>
      </c>
      <c r="Q1680" s="5">
        <v>0.0</v>
      </c>
      <c r="R1680" s="5">
        <v>0.0</v>
      </c>
      <c r="S1680" s="5">
        <v>45.977696945851</v>
      </c>
    </row>
    <row r="1681">
      <c r="A1681" s="6">
        <v>42795.0</v>
      </c>
      <c r="B1681" s="5">
        <v>55.9989449588505</v>
      </c>
      <c r="C1681" s="5">
        <v>-19.963977108519</v>
      </c>
      <c r="D1681" s="5">
        <v>107.62473519452</v>
      </c>
      <c r="E1681" s="5">
        <v>55.9989449588505</v>
      </c>
      <c r="F1681" s="5">
        <v>55.9989449588505</v>
      </c>
      <c r="G1681" s="5">
        <v>-11.3503350335252</v>
      </c>
      <c r="H1681" s="5">
        <v>-11.3503350335252</v>
      </c>
      <c r="I1681" s="5">
        <v>-11.3503350335252</v>
      </c>
      <c r="J1681" s="5">
        <v>0.00703780528234593</v>
      </c>
      <c r="K1681" s="5">
        <v>0.00703780528234593</v>
      </c>
      <c r="L1681" s="5">
        <v>0.00703780528234593</v>
      </c>
      <c r="M1681" s="5">
        <v>-11.3573728388075</v>
      </c>
      <c r="N1681" s="5">
        <v>-11.3573728388075</v>
      </c>
      <c r="O1681" s="5">
        <v>-11.3573728388075</v>
      </c>
      <c r="P1681" s="5">
        <v>0.0</v>
      </c>
      <c r="Q1681" s="5">
        <v>0.0</v>
      </c>
      <c r="R1681" s="5">
        <v>0.0</v>
      </c>
      <c r="S1681" s="5">
        <v>44.6486099253253</v>
      </c>
    </row>
    <row r="1682">
      <c r="A1682" s="6">
        <v>42796.0</v>
      </c>
      <c r="B1682" s="5">
        <v>56.0291909823931</v>
      </c>
      <c r="C1682" s="5">
        <v>-22.4973601486377</v>
      </c>
      <c r="D1682" s="5">
        <v>101.940798254525</v>
      </c>
      <c r="E1682" s="5">
        <v>56.0291909823931</v>
      </c>
      <c r="F1682" s="5">
        <v>56.0291909823931</v>
      </c>
      <c r="G1682" s="5">
        <v>-13.5570993999206</v>
      </c>
      <c r="H1682" s="5">
        <v>-13.5570993999206</v>
      </c>
      <c r="I1682" s="5">
        <v>-13.5570993999206</v>
      </c>
      <c r="J1682" s="5">
        <v>-0.776422525903881</v>
      </c>
      <c r="K1682" s="5">
        <v>-0.776422525903881</v>
      </c>
      <c r="L1682" s="5">
        <v>-0.776422525903881</v>
      </c>
      <c r="M1682" s="5">
        <v>-12.7806768740168</v>
      </c>
      <c r="N1682" s="5">
        <v>-12.7806768740168</v>
      </c>
      <c r="O1682" s="5">
        <v>-12.7806768740168</v>
      </c>
      <c r="P1682" s="5">
        <v>0.0</v>
      </c>
      <c r="Q1682" s="5">
        <v>0.0</v>
      </c>
      <c r="R1682" s="5">
        <v>0.0</v>
      </c>
      <c r="S1682" s="5">
        <v>42.4720915824724</v>
      </c>
    </row>
    <row r="1683">
      <c r="A1683" s="6">
        <v>42797.0</v>
      </c>
      <c r="B1683" s="5">
        <v>56.0594370059357</v>
      </c>
      <c r="C1683" s="5">
        <v>-19.3051546350103</v>
      </c>
      <c r="D1683" s="5">
        <v>106.547349705255</v>
      </c>
      <c r="E1683" s="5">
        <v>56.0594370059357</v>
      </c>
      <c r="F1683" s="5">
        <v>56.0594370059357</v>
      </c>
      <c r="G1683" s="5">
        <v>-15.6912453942495</v>
      </c>
      <c r="H1683" s="5">
        <v>-15.6912453942495</v>
      </c>
      <c r="I1683" s="5">
        <v>-15.6912453942495</v>
      </c>
      <c r="J1683" s="5">
        <v>-1.59155056649174</v>
      </c>
      <c r="K1683" s="5">
        <v>-1.59155056649174</v>
      </c>
      <c r="L1683" s="5">
        <v>-1.59155056649174</v>
      </c>
      <c r="M1683" s="5">
        <v>-14.0996948277577</v>
      </c>
      <c r="N1683" s="5">
        <v>-14.0996948277577</v>
      </c>
      <c r="O1683" s="5">
        <v>-14.0996948277577</v>
      </c>
      <c r="P1683" s="5">
        <v>0.0</v>
      </c>
      <c r="Q1683" s="5">
        <v>0.0</v>
      </c>
      <c r="R1683" s="5">
        <v>0.0</v>
      </c>
      <c r="S1683" s="5">
        <v>40.3681916116862</v>
      </c>
    </row>
    <row r="1684">
      <c r="A1684" s="6">
        <v>42800.0</v>
      </c>
      <c r="B1684" s="5">
        <v>56.1501750765636</v>
      </c>
      <c r="C1684" s="5">
        <v>-23.0845748181242</v>
      </c>
      <c r="D1684" s="5">
        <v>102.850741475238</v>
      </c>
      <c r="E1684" s="5">
        <v>56.1501750765636</v>
      </c>
      <c r="F1684" s="5">
        <v>56.1501750765636</v>
      </c>
      <c r="G1684" s="5">
        <v>-17.2001039442127</v>
      </c>
      <c r="H1684" s="5">
        <v>-17.2001039442127</v>
      </c>
      <c r="I1684" s="5">
        <v>-17.2001039442127</v>
      </c>
      <c r="J1684" s="5">
        <v>0.0905589421227722</v>
      </c>
      <c r="K1684" s="5">
        <v>0.0905589421227722</v>
      </c>
      <c r="L1684" s="5">
        <v>0.0905589421227722</v>
      </c>
      <c r="M1684" s="5">
        <v>-17.2906628863355</v>
      </c>
      <c r="N1684" s="5">
        <v>-17.2906628863355</v>
      </c>
      <c r="O1684" s="5">
        <v>-17.2906628863355</v>
      </c>
      <c r="P1684" s="5">
        <v>0.0</v>
      </c>
      <c r="Q1684" s="5">
        <v>0.0</v>
      </c>
      <c r="R1684" s="5">
        <v>0.0</v>
      </c>
      <c r="S1684" s="5">
        <v>38.9500711323508</v>
      </c>
    </row>
    <row r="1685">
      <c r="A1685" s="6">
        <v>42801.0</v>
      </c>
      <c r="B1685" s="5">
        <v>56.1804211001062</v>
      </c>
      <c r="C1685" s="5">
        <v>-23.6639425968546</v>
      </c>
      <c r="D1685" s="5">
        <v>99.9730197247465</v>
      </c>
      <c r="E1685" s="5">
        <v>56.1804211001062</v>
      </c>
      <c r="F1685" s="5">
        <v>56.1804211001062</v>
      </c>
      <c r="G1685" s="5">
        <v>-18.2084027307708</v>
      </c>
      <c r="H1685" s="5">
        <v>-18.2084027307708</v>
      </c>
      <c r="I1685" s="5">
        <v>-18.2084027307708</v>
      </c>
      <c r="J1685" s="5">
        <v>-0.144118857244907</v>
      </c>
      <c r="K1685" s="5">
        <v>-0.144118857244907</v>
      </c>
      <c r="L1685" s="5">
        <v>-0.144118857244907</v>
      </c>
      <c r="M1685" s="5">
        <v>-18.0642838735259</v>
      </c>
      <c r="N1685" s="5">
        <v>-18.0642838735259</v>
      </c>
      <c r="O1685" s="5">
        <v>-18.0642838735259</v>
      </c>
      <c r="P1685" s="5">
        <v>0.0</v>
      </c>
      <c r="Q1685" s="5">
        <v>0.0</v>
      </c>
      <c r="R1685" s="5">
        <v>0.0</v>
      </c>
      <c r="S1685" s="5">
        <v>37.9720183693353</v>
      </c>
    </row>
    <row r="1686">
      <c r="A1686" s="6">
        <v>42802.0</v>
      </c>
      <c r="B1686" s="5">
        <v>56.2106671236488</v>
      </c>
      <c r="C1686" s="5">
        <v>-19.4992230261817</v>
      </c>
      <c r="D1686" s="5">
        <v>98.5720396516236</v>
      </c>
      <c r="E1686" s="5">
        <v>56.2106671236488</v>
      </c>
      <c r="F1686" s="5">
        <v>56.2106671236488</v>
      </c>
      <c r="G1686" s="5">
        <v>-18.6752164460387</v>
      </c>
      <c r="H1686" s="5">
        <v>-18.6752164460387</v>
      </c>
      <c r="I1686" s="5">
        <v>-18.6752164460387</v>
      </c>
      <c r="J1686" s="5">
        <v>0.00703780528149368</v>
      </c>
      <c r="K1686" s="5">
        <v>0.00703780528149368</v>
      </c>
      <c r="L1686" s="5">
        <v>0.00703780528149368</v>
      </c>
      <c r="M1686" s="5">
        <v>-18.6822542513202</v>
      </c>
      <c r="N1686" s="5">
        <v>-18.6822542513202</v>
      </c>
      <c r="O1686" s="5">
        <v>-18.6822542513202</v>
      </c>
      <c r="P1686" s="5">
        <v>0.0</v>
      </c>
      <c r="Q1686" s="5">
        <v>0.0</v>
      </c>
      <c r="R1686" s="5">
        <v>0.0</v>
      </c>
      <c r="S1686" s="5">
        <v>37.5354506776101</v>
      </c>
    </row>
    <row r="1687">
      <c r="A1687" s="6">
        <v>42803.0</v>
      </c>
      <c r="B1687" s="5">
        <v>56.2409131471914</v>
      </c>
      <c r="C1687" s="5">
        <v>-22.581155355431</v>
      </c>
      <c r="D1687" s="5">
        <v>101.439501754943</v>
      </c>
      <c r="E1687" s="5">
        <v>56.2409131471914</v>
      </c>
      <c r="F1687" s="5">
        <v>56.2409131471914</v>
      </c>
      <c r="G1687" s="5">
        <v>-19.9188282373709</v>
      </c>
      <c r="H1687" s="5">
        <v>-19.9188282373709</v>
      </c>
      <c r="I1687" s="5">
        <v>-19.9188282373709</v>
      </c>
      <c r="J1687" s="5">
        <v>-0.776422525903228</v>
      </c>
      <c r="K1687" s="5">
        <v>-0.776422525903228</v>
      </c>
      <c r="L1687" s="5">
        <v>-0.776422525903228</v>
      </c>
      <c r="M1687" s="5">
        <v>-19.1424057114677</v>
      </c>
      <c r="N1687" s="5">
        <v>-19.1424057114677</v>
      </c>
      <c r="O1687" s="5">
        <v>-19.1424057114677</v>
      </c>
      <c r="P1687" s="5">
        <v>0.0</v>
      </c>
      <c r="Q1687" s="5">
        <v>0.0</v>
      </c>
      <c r="R1687" s="5">
        <v>0.0</v>
      </c>
      <c r="S1687" s="5">
        <v>36.3220849098204</v>
      </c>
    </row>
    <row r="1688">
      <c r="A1688" s="6">
        <v>42804.0</v>
      </c>
      <c r="B1688" s="5">
        <v>56.271159170734</v>
      </c>
      <c r="C1688" s="5">
        <v>-24.6334453920733</v>
      </c>
      <c r="D1688" s="5">
        <v>94.8527688981336</v>
      </c>
      <c r="E1688" s="5">
        <v>56.271159170734</v>
      </c>
      <c r="F1688" s="5">
        <v>56.271159170734</v>
      </c>
      <c r="G1688" s="5">
        <v>-21.0369200761089</v>
      </c>
      <c r="H1688" s="5">
        <v>-21.0369200761089</v>
      </c>
      <c r="I1688" s="5">
        <v>-21.0369200761089</v>
      </c>
      <c r="J1688" s="5">
        <v>-1.59155056649082</v>
      </c>
      <c r="K1688" s="5">
        <v>-1.59155056649082</v>
      </c>
      <c r="L1688" s="5">
        <v>-1.59155056649082</v>
      </c>
      <c r="M1688" s="5">
        <v>-19.4453695096181</v>
      </c>
      <c r="N1688" s="5">
        <v>-19.4453695096181</v>
      </c>
      <c r="O1688" s="5">
        <v>-19.4453695096181</v>
      </c>
      <c r="P1688" s="5">
        <v>0.0</v>
      </c>
      <c r="Q1688" s="5">
        <v>0.0</v>
      </c>
      <c r="R1688" s="5">
        <v>0.0</v>
      </c>
      <c r="S1688" s="5">
        <v>35.234239094625</v>
      </c>
    </row>
    <row r="1689">
      <c r="A1689" s="6">
        <v>42807.0</v>
      </c>
      <c r="B1689" s="5">
        <v>56.3618972413619</v>
      </c>
      <c r="C1689" s="5">
        <v>-25.3821927890812</v>
      </c>
      <c r="D1689" s="5">
        <v>101.898951488725</v>
      </c>
      <c r="E1689" s="5">
        <v>56.3618972413619</v>
      </c>
      <c r="F1689" s="5">
        <v>56.3618972413619</v>
      </c>
      <c r="G1689" s="5">
        <v>-19.3663423627881</v>
      </c>
      <c r="H1689" s="5">
        <v>-19.3663423627881</v>
      </c>
      <c r="I1689" s="5">
        <v>-19.3663423627881</v>
      </c>
      <c r="J1689" s="5">
        <v>0.0905589421237187</v>
      </c>
      <c r="K1689" s="5">
        <v>0.0905589421237187</v>
      </c>
      <c r="L1689" s="5">
        <v>0.0905589421237187</v>
      </c>
      <c r="M1689" s="5">
        <v>-19.4569013049118</v>
      </c>
      <c r="N1689" s="5">
        <v>-19.4569013049118</v>
      </c>
      <c r="O1689" s="5">
        <v>-19.4569013049118</v>
      </c>
      <c r="P1689" s="5">
        <v>0.0</v>
      </c>
      <c r="Q1689" s="5">
        <v>0.0</v>
      </c>
      <c r="R1689" s="5">
        <v>0.0</v>
      </c>
      <c r="S1689" s="5">
        <v>36.9955548785738</v>
      </c>
    </row>
    <row r="1690">
      <c r="A1690" s="6">
        <v>42808.0</v>
      </c>
      <c r="B1690" s="5">
        <v>56.3921432649045</v>
      </c>
      <c r="C1690" s="5">
        <v>-25.7409920058838</v>
      </c>
      <c r="D1690" s="5">
        <v>106.513253014516</v>
      </c>
      <c r="E1690" s="5">
        <v>56.3921432649045</v>
      </c>
      <c r="F1690" s="5">
        <v>56.3921432649045</v>
      </c>
      <c r="G1690" s="5">
        <v>-19.3327287313891</v>
      </c>
      <c r="H1690" s="5">
        <v>-19.3327287313891</v>
      </c>
      <c r="I1690" s="5">
        <v>-19.3327287313891</v>
      </c>
      <c r="J1690" s="5">
        <v>-0.144118857246343</v>
      </c>
      <c r="K1690" s="5">
        <v>-0.144118857246343</v>
      </c>
      <c r="L1690" s="5">
        <v>-0.144118857246343</v>
      </c>
      <c r="M1690" s="5">
        <v>-19.1886098741428</v>
      </c>
      <c r="N1690" s="5">
        <v>-19.1886098741428</v>
      </c>
      <c r="O1690" s="5">
        <v>-19.1886098741428</v>
      </c>
      <c r="P1690" s="5">
        <v>0.0</v>
      </c>
      <c r="Q1690" s="5">
        <v>0.0</v>
      </c>
      <c r="R1690" s="5">
        <v>0.0</v>
      </c>
      <c r="S1690" s="5">
        <v>37.0594145335153</v>
      </c>
    </row>
    <row r="1691">
      <c r="A1691" s="6">
        <v>42809.0</v>
      </c>
      <c r="B1691" s="5">
        <v>56.4223892884471</v>
      </c>
      <c r="C1691" s="5">
        <v>-26.8175045313803</v>
      </c>
      <c r="D1691" s="5">
        <v>98.5979252658112</v>
      </c>
      <c r="E1691" s="5">
        <v>56.4223892884471</v>
      </c>
      <c r="F1691" s="5">
        <v>56.4223892884471</v>
      </c>
      <c r="G1691" s="5">
        <v>-18.7956139082117</v>
      </c>
      <c r="H1691" s="5">
        <v>-18.7956139082117</v>
      </c>
      <c r="I1691" s="5">
        <v>-18.7956139082117</v>
      </c>
      <c r="J1691" s="5">
        <v>0.00703780528064096</v>
      </c>
      <c r="K1691" s="5">
        <v>0.00703780528064096</v>
      </c>
      <c r="L1691" s="5">
        <v>0.00703780528064096</v>
      </c>
      <c r="M1691" s="5">
        <v>-18.8026517134923</v>
      </c>
      <c r="N1691" s="5">
        <v>-18.8026517134923</v>
      </c>
      <c r="O1691" s="5">
        <v>-18.8026517134923</v>
      </c>
      <c r="P1691" s="5">
        <v>0.0</v>
      </c>
      <c r="Q1691" s="5">
        <v>0.0</v>
      </c>
      <c r="R1691" s="5">
        <v>0.0</v>
      </c>
      <c r="S1691" s="5">
        <v>37.6267753802354</v>
      </c>
    </row>
    <row r="1692">
      <c r="A1692" s="6">
        <v>42810.0</v>
      </c>
      <c r="B1692" s="5">
        <v>56.4526353119897</v>
      </c>
      <c r="C1692" s="5">
        <v>-22.0554925433669</v>
      </c>
      <c r="D1692" s="5">
        <v>100.016705136045</v>
      </c>
      <c r="E1692" s="5">
        <v>56.4526353119897</v>
      </c>
      <c r="F1692" s="5">
        <v>56.4526353119897</v>
      </c>
      <c r="G1692" s="5">
        <v>-19.0887466864036</v>
      </c>
      <c r="H1692" s="5">
        <v>-19.0887466864036</v>
      </c>
      <c r="I1692" s="5">
        <v>-19.0887466864036</v>
      </c>
      <c r="J1692" s="5">
        <v>-0.776422525902475</v>
      </c>
      <c r="K1692" s="5">
        <v>-0.776422525902475</v>
      </c>
      <c r="L1692" s="5">
        <v>-0.776422525902475</v>
      </c>
      <c r="M1692" s="5">
        <v>-18.3123241605011</v>
      </c>
      <c r="N1692" s="5">
        <v>-18.3123241605011</v>
      </c>
      <c r="O1692" s="5">
        <v>-18.3123241605011</v>
      </c>
      <c r="P1692" s="5">
        <v>0.0</v>
      </c>
      <c r="Q1692" s="5">
        <v>0.0</v>
      </c>
      <c r="R1692" s="5">
        <v>0.0</v>
      </c>
      <c r="S1692" s="5">
        <v>37.3638886255861</v>
      </c>
    </row>
    <row r="1693">
      <c r="A1693" s="6">
        <v>42811.0</v>
      </c>
      <c r="B1693" s="5">
        <v>56.4828813355324</v>
      </c>
      <c r="C1693" s="5">
        <v>-25.5823843116173</v>
      </c>
      <c r="D1693" s="5">
        <v>99.5963406549216</v>
      </c>
      <c r="E1693" s="5">
        <v>56.4828813355324</v>
      </c>
      <c r="F1693" s="5">
        <v>56.4828813355324</v>
      </c>
      <c r="G1693" s="5">
        <v>-19.3234682510451</v>
      </c>
      <c r="H1693" s="5">
        <v>-19.3234682510451</v>
      </c>
      <c r="I1693" s="5">
        <v>-19.3234682510451</v>
      </c>
      <c r="J1693" s="5">
        <v>-1.59155056649232</v>
      </c>
      <c r="K1693" s="5">
        <v>-1.59155056649232</v>
      </c>
      <c r="L1693" s="5">
        <v>-1.59155056649232</v>
      </c>
      <c r="M1693" s="5">
        <v>-17.7319176845528</v>
      </c>
      <c r="N1693" s="5">
        <v>-17.7319176845528</v>
      </c>
      <c r="O1693" s="5">
        <v>-17.7319176845528</v>
      </c>
      <c r="P1693" s="5">
        <v>0.0</v>
      </c>
      <c r="Q1693" s="5">
        <v>0.0</v>
      </c>
      <c r="R1693" s="5">
        <v>0.0</v>
      </c>
      <c r="S1693" s="5">
        <v>37.1594130844872</v>
      </c>
    </row>
    <row r="1694">
      <c r="A1694" s="6">
        <v>42814.0</v>
      </c>
      <c r="B1694" s="5">
        <v>56.5736194061602</v>
      </c>
      <c r="C1694" s="5">
        <v>-22.1689551753722</v>
      </c>
      <c r="D1694" s="5">
        <v>99.9155497364446</v>
      </c>
      <c r="E1694" s="5">
        <v>56.5736194061602</v>
      </c>
      <c r="F1694" s="5">
        <v>56.5736194061602</v>
      </c>
      <c r="G1694" s="5">
        <v>-15.5094145064704</v>
      </c>
      <c r="H1694" s="5">
        <v>-15.5094145064704</v>
      </c>
      <c r="I1694" s="5">
        <v>-15.5094145064704</v>
      </c>
      <c r="J1694" s="5">
        <v>0.0905589421198973</v>
      </c>
      <c r="K1694" s="5">
        <v>0.0905589421198973</v>
      </c>
      <c r="L1694" s="5">
        <v>0.0905589421198973</v>
      </c>
      <c r="M1694" s="5">
        <v>-15.5999734485903</v>
      </c>
      <c r="N1694" s="5">
        <v>-15.5999734485903</v>
      </c>
      <c r="O1694" s="5">
        <v>-15.5999734485903</v>
      </c>
      <c r="P1694" s="5">
        <v>0.0</v>
      </c>
      <c r="Q1694" s="5">
        <v>0.0</v>
      </c>
      <c r="R1694" s="5">
        <v>0.0</v>
      </c>
      <c r="S1694" s="5">
        <v>41.0642048996897</v>
      </c>
    </row>
    <row r="1695">
      <c r="A1695" s="6">
        <v>42815.0</v>
      </c>
      <c r="B1695" s="5">
        <v>56.6038654297028</v>
      </c>
      <c r="C1695" s="5">
        <v>-26.2992758210629</v>
      </c>
      <c r="D1695" s="5">
        <v>106.291850147269</v>
      </c>
      <c r="E1695" s="5">
        <v>56.6038654297028</v>
      </c>
      <c r="F1695" s="5">
        <v>56.6038654297028</v>
      </c>
      <c r="G1695" s="5">
        <v>-14.9527758129215</v>
      </c>
      <c r="H1695" s="5">
        <v>-14.9527758129215</v>
      </c>
      <c r="I1695" s="5">
        <v>-14.9527758129215</v>
      </c>
      <c r="J1695" s="5">
        <v>-0.144118857244145</v>
      </c>
      <c r="K1695" s="5">
        <v>-0.144118857244145</v>
      </c>
      <c r="L1695" s="5">
        <v>-0.144118857244145</v>
      </c>
      <c r="M1695" s="5">
        <v>-14.8086569556774</v>
      </c>
      <c r="N1695" s="5">
        <v>-14.8086569556774</v>
      </c>
      <c r="O1695" s="5">
        <v>-14.8086569556774</v>
      </c>
      <c r="P1695" s="5">
        <v>0.0</v>
      </c>
      <c r="Q1695" s="5">
        <v>0.0</v>
      </c>
      <c r="R1695" s="5">
        <v>0.0</v>
      </c>
      <c r="S1695" s="5">
        <v>41.6510896167813</v>
      </c>
    </row>
    <row r="1696">
      <c r="A1696" s="6">
        <v>42816.0</v>
      </c>
      <c r="B1696" s="5">
        <v>56.6341114532454</v>
      </c>
      <c r="C1696" s="5">
        <v>-20.31848571114</v>
      </c>
      <c r="D1696" s="5">
        <v>99.3281013619727</v>
      </c>
      <c r="E1696" s="5">
        <v>56.6341114532454</v>
      </c>
      <c r="F1696" s="5">
        <v>56.6341114532454</v>
      </c>
      <c r="G1696" s="5">
        <v>-13.9933639999621</v>
      </c>
      <c r="H1696" s="5">
        <v>-13.9933639999621</v>
      </c>
      <c r="I1696" s="5">
        <v>-13.9933639999621</v>
      </c>
      <c r="J1696" s="5">
        <v>0.00703780528294343</v>
      </c>
      <c r="K1696" s="5">
        <v>0.00703780528294343</v>
      </c>
      <c r="L1696" s="5">
        <v>0.00703780528294343</v>
      </c>
      <c r="M1696" s="5">
        <v>-14.000401805245</v>
      </c>
      <c r="N1696" s="5">
        <v>-14.000401805245</v>
      </c>
      <c r="O1696" s="5">
        <v>-14.000401805245</v>
      </c>
      <c r="P1696" s="5">
        <v>0.0</v>
      </c>
      <c r="Q1696" s="5">
        <v>0.0</v>
      </c>
      <c r="R1696" s="5">
        <v>0.0</v>
      </c>
      <c r="S1696" s="5">
        <v>42.6407474532833</v>
      </c>
    </row>
    <row r="1697">
      <c r="A1697" s="6">
        <v>42817.0</v>
      </c>
      <c r="B1697" s="5">
        <v>56.664357476788</v>
      </c>
      <c r="C1697" s="5">
        <v>-24.9928784567805</v>
      </c>
      <c r="D1697" s="5">
        <v>107.399466121444</v>
      </c>
      <c r="E1697" s="5">
        <v>56.664357476788</v>
      </c>
      <c r="F1697" s="5">
        <v>56.664357476788</v>
      </c>
      <c r="G1697" s="5">
        <v>-13.9641910555114</v>
      </c>
      <c r="H1697" s="5">
        <v>-13.9641910555114</v>
      </c>
      <c r="I1697" s="5">
        <v>-13.9641910555114</v>
      </c>
      <c r="J1697" s="5">
        <v>-0.776422525903197</v>
      </c>
      <c r="K1697" s="5">
        <v>-0.776422525903197</v>
      </c>
      <c r="L1697" s="5">
        <v>-0.776422525903197</v>
      </c>
      <c r="M1697" s="5">
        <v>-13.1877685296082</v>
      </c>
      <c r="N1697" s="5">
        <v>-13.1877685296082</v>
      </c>
      <c r="O1697" s="5">
        <v>-13.1877685296082</v>
      </c>
      <c r="P1697" s="5">
        <v>0.0</v>
      </c>
      <c r="Q1697" s="5">
        <v>0.0</v>
      </c>
      <c r="R1697" s="5">
        <v>0.0</v>
      </c>
      <c r="S1697" s="5">
        <v>42.7001664212765</v>
      </c>
    </row>
    <row r="1698">
      <c r="A1698" s="6">
        <v>42818.0</v>
      </c>
      <c r="B1698" s="5">
        <v>56.6946035003307</v>
      </c>
      <c r="C1698" s="5">
        <v>-16.7773673861239</v>
      </c>
      <c r="D1698" s="5">
        <v>99.4584914361425</v>
      </c>
      <c r="E1698" s="5">
        <v>56.6946035003307</v>
      </c>
      <c r="F1698" s="5">
        <v>56.6946035003307</v>
      </c>
      <c r="G1698" s="5">
        <v>-13.9735344541642</v>
      </c>
      <c r="H1698" s="5">
        <v>-13.9735344541642</v>
      </c>
      <c r="I1698" s="5">
        <v>-13.9735344541642</v>
      </c>
      <c r="J1698" s="5">
        <v>-1.59155056649446</v>
      </c>
      <c r="K1698" s="5">
        <v>-1.59155056649446</v>
      </c>
      <c r="L1698" s="5">
        <v>-1.59155056649446</v>
      </c>
      <c r="M1698" s="5">
        <v>-12.3819838876698</v>
      </c>
      <c r="N1698" s="5">
        <v>-12.3819838876698</v>
      </c>
      <c r="O1698" s="5">
        <v>-12.3819838876698</v>
      </c>
      <c r="P1698" s="5">
        <v>0.0</v>
      </c>
      <c r="Q1698" s="5">
        <v>0.0</v>
      </c>
      <c r="R1698" s="5">
        <v>0.0</v>
      </c>
      <c r="S1698" s="5">
        <v>42.7210690461664</v>
      </c>
    </row>
    <row r="1699">
      <c r="A1699" s="6">
        <v>42821.0</v>
      </c>
      <c r="B1699" s="5">
        <v>56.7853415709585</v>
      </c>
      <c r="C1699" s="5">
        <v>-11.2174322828789</v>
      </c>
      <c r="D1699" s="5">
        <v>113.043331155551</v>
      </c>
      <c r="E1699" s="5">
        <v>56.7853415709585</v>
      </c>
      <c r="F1699" s="5">
        <v>56.7853415709585</v>
      </c>
      <c r="G1699" s="5">
        <v>-10.0039837381869</v>
      </c>
      <c r="H1699" s="5">
        <v>-10.0039837381869</v>
      </c>
      <c r="I1699" s="5">
        <v>-10.0039837381869</v>
      </c>
      <c r="J1699" s="5">
        <v>0.0905589421233078</v>
      </c>
      <c r="K1699" s="5">
        <v>0.0905589421233078</v>
      </c>
      <c r="L1699" s="5">
        <v>0.0905589421233078</v>
      </c>
      <c r="M1699" s="5">
        <v>-10.0945426803102</v>
      </c>
      <c r="N1699" s="5">
        <v>-10.0945426803102</v>
      </c>
      <c r="O1699" s="5">
        <v>-10.0945426803102</v>
      </c>
      <c r="P1699" s="5">
        <v>0.0</v>
      </c>
      <c r="Q1699" s="5">
        <v>0.0</v>
      </c>
      <c r="R1699" s="5">
        <v>0.0</v>
      </c>
      <c r="S1699" s="5">
        <v>46.7813578327716</v>
      </c>
    </row>
    <row r="1700">
      <c r="A1700" s="6">
        <v>42822.0</v>
      </c>
      <c r="B1700" s="5">
        <v>56.8155875945011</v>
      </c>
      <c r="C1700" s="5">
        <v>-14.7480288677217</v>
      </c>
      <c r="D1700" s="5">
        <v>107.267149605247</v>
      </c>
      <c r="E1700" s="5">
        <v>56.8155875945011</v>
      </c>
      <c r="F1700" s="5">
        <v>56.8155875945011</v>
      </c>
      <c r="G1700" s="5">
        <v>-9.5406583486207</v>
      </c>
      <c r="H1700" s="5">
        <v>-9.5406583486207</v>
      </c>
      <c r="I1700" s="5">
        <v>-9.5406583486207</v>
      </c>
      <c r="J1700" s="5">
        <v>-0.144118857245581</v>
      </c>
      <c r="K1700" s="5">
        <v>-0.144118857245581</v>
      </c>
      <c r="L1700" s="5">
        <v>-0.144118857245581</v>
      </c>
      <c r="M1700" s="5">
        <v>-9.39653949137512</v>
      </c>
      <c r="N1700" s="5">
        <v>-9.39653949137512</v>
      </c>
      <c r="O1700" s="5">
        <v>-9.39653949137512</v>
      </c>
      <c r="P1700" s="5">
        <v>0.0</v>
      </c>
      <c r="Q1700" s="5">
        <v>0.0</v>
      </c>
      <c r="R1700" s="5">
        <v>0.0</v>
      </c>
      <c r="S1700" s="5">
        <v>47.2749292458804</v>
      </c>
    </row>
    <row r="1701">
      <c r="A1701" s="6">
        <v>42823.0</v>
      </c>
      <c r="B1701" s="5">
        <v>56.8458336180437</v>
      </c>
      <c r="C1701" s="5">
        <v>-12.0539583673434</v>
      </c>
      <c r="D1701" s="5">
        <v>118.350572033089</v>
      </c>
      <c r="E1701" s="5">
        <v>56.8458336180437</v>
      </c>
      <c r="F1701" s="5">
        <v>56.8458336180437</v>
      </c>
      <c r="G1701" s="5">
        <v>-8.73006543475578</v>
      </c>
      <c r="H1701" s="5">
        <v>-8.73006543475578</v>
      </c>
      <c r="I1701" s="5">
        <v>-8.73006543475578</v>
      </c>
      <c r="J1701" s="5">
        <v>0.00703780528209084</v>
      </c>
      <c r="K1701" s="5">
        <v>0.00703780528209084</v>
      </c>
      <c r="L1701" s="5">
        <v>0.00703780528209084</v>
      </c>
      <c r="M1701" s="5">
        <v>-8.73710324003787</v>
      </c>
      <c r="N1701" s="5">
        <v>-8.73710324003787</v>
      </c>
      <c r="O1701" s="5">
        <v>-8.73710324003787</v>
      </c>
      <c r="P1701" s="5">
        <v>0.0</v>
      </c>
      <c r="Q1701" s="5">
        <v>0.0</v>
      </c>
      <c r="R1701" s="5">
        <v>0.0</v>
      </c>
      <c r="S1701" s="5">
        <v>48.115768183288</v>
      </c>
    </row>
    <row r="1702">
      <c r="A1702" s="6">
        <v>42824.0</v>
      </c>
      <c r="B1702" s="5">
        <v>56.8760796415864</v>
      </c>
      <c r="C1702" s="5">
        <v>-15.2571541513785</v>
      </c>
      <c r="D1702" s="5">
        <v>106.124896445224</v>
      </c>
      <c r="E1702" s="5">
        <v>56.8760796415864</v>
      </c>
      <c r="F1702" s="5">
        <v>56.8760796415864</v>
      </c>
      <c r="G1702" s="5">
        <v>-8.89402908408978</v>
      </c>
      <c r="H1702" s="5">
        <v>-8.89402908408978</v>
      </c>
      <c r="I1702" s="5">
        <v>-8.89402908408978</v>
      </c>
      <c r="J1702" s="5">
        <v>-0.776422525903918</v>
      </c>
      <c r="K1702" s="5">
        <v>-0.776422525903918</v>
      </c>
      <c r="L1702" s="5">
        <v>-0.776422525903918</v>
      </c>
      <c r="M1702" s="5">
        <v>-8.11760655818586</v>
      </c>
      <c r="N1702" s="5">
        <v>-8.11760655818586</v>
      </c>
      <c r="O1702" s="5">
        <v>-8.11760655818586</v>
      </c>
      <c r="P1702" s="5">
        <v>0.0</v>
      </c>
      <c r="Q1702" s="5">
        <v>0.0</v>
      </c>
      <c r="R1702" s="5">
        <v>0.0</v>
      </c>
      <c r="S1702" s="5">
        <v>47.9820505574966</v>
      </c>
    </row>
    <row r="1703">
      <c r="A1703" s="6">
        <v>42825.0</v>
      </c>
      <c r="B1703" s="5">
        <v>56.906325665129</v>
      </c>
      <c r="C1703" s="5">
        <v>-16.6013141745665</v>
      </c>
      <c r="D1703" s="5">
        <v>110.679413809458</v>
      </c>
      <c r="E1703" s="5">
        <v>56.906325665129</v>
      </c>
      <c r="F1703" s="5">
        <v>56.906325665129</v>
      </c>
      <c r="G1703" s="5">
        <v>-9.12953810794072</v>
      </c>
      <c r="H1703" s="5">
        <v>-9.12953810794072</v>
      </c>
      <c r="I1703" s="5">
        <v>-9.12953810794072</v>
      </c>
      <c r="J1703" s="5">
        <v>-1.59155056649353</v>
      </c>
      <c r="K1703" s="5">
        <v>-1.59155056649353</v>
      </c>
      <c r="L1703" s="5">
        <v>-1.59155056649353</v>
      </c>
      <c r="M1703" s="5">
        <v>-7.53798754144719</v>
      </c>
      <c r="N1703" s="5">
        <v>-7.53798754144719</v>
      </c>
      <c r="O1703" s="5">
        <v>-7.53798754144719</v>
      </c>
      <c r="P1703" s="5">
        <v>0.0</v>
      </c>
      <c r="Q1703" s="5">
        <v>0.0</v>
      </c>
      <c r="R1703" s="5">
        <v>0.0</v>
      </c>
      <c r="S1703" s="5">
        <v>47.7767875571882</v>
      </c>
    </row>
    <row r="1704">
      <c r="A1704" s="6">
        <v>42828.0</v>
      </c>
      <c r="B1704" s="5">
        <v>56.9970637003487</v>
      </c>
      <c r="C1704" s="5">
        <v>-9.95321488403496</v>
      </c>
      <c r="D1704" s="5">
        <v>114.736257374318</v>
      </c>
      <c r="E1704" s="5">
        <v>56.9970637003487</v>
      </c>
      <c r="F1704" s="5">
        <v>56.9970637003487</v>
      </c>
      <c r="G1704" s="5">
        <v>-5.92987833695715</v>
      </c>
      <c r="H1704" s="5">
        <v>-5.92987833695715</v>
      </c>
      <c r="I1704" s="5">
        <v>-5.92987833695715</v>
      </c>
      <c r="J1704" s="5">
        <v>0.0905589421218704</v>
      </c>
      <c r="K1704" s="5">
        <v>0.0905589421218704</v>
      </c>
      <c r="L1704" s="5">
        <v>0.0905589421218704</v>
      </c>
      <c r="M1704" s="5">
        <v>-6.02043727907902</v>
      </c>
      <c r="N1704" s="5">
        <v>-6.02043727907902</v>
      </c>
      <c r="O1704" s="5">
        <v>-6.02043727907902</v>
      </c>
      <c r="P1704" s="5">
        <v>0.0</v>
      </c>
      <c r="Q1704" s="5">
        <v>0.0</v>
      </c>
      <c r="R1704" s="5">
        <v>0.0</v>
      </c>
      <c r="S1704" s="5">
        <v>51.0671853633915</v>
      </c>
    </row>
    <row r="1705">
      <c r="A1705" s="6">
        <v>42829.0</v>
      </c>
      <c r="B1705" s="5">
        <v>57.0273097120886</v>
      </c>
      <c r="C1705" s="5">
        <v>-10.8470787126538</v>
      </c>
      <c r="D1705" s="5">
        <v>114.193031625344</v>
      </c>
      <c r="E1705" s="5">
        <v>57.0273097120886</v>
      </c>
      <c r="F1705" s="5">
        <v>57.0273097120886</v>
      </c>
      <c r="G1705" s="5">
        <v>-5.72237622065116</v>
      </c>
      <c r="H1705" s="5">
        <v>-5.72237622065116</v>
      </c>
      <c r="I1705" s="5">
        <v>-5.72237622065116</v>
      </c>
      <c r="J1705" s="5">
        <v>-0.144118857244493</v>
      </c>
      <c r="K1705" s="5">
        <v>-0.144118857244493</v>
      </c>
      <c r="L1705" s="5">
        <v>-0.144118857244493</v>
      </c>
      <c r="M1705" s="5">
        <v>-5.57825736340667</v>
      </c>
      <c r="N1705" s="5">
        <v>-5.57825736340667</v>
      </c>
      <c r="O1705" s="5">
        <v>-5.57825736340667</v>
      </c>
      <c r="P1705" s="5">
        <v>0.0</v>
      </c>
      <c r="Q1705" s="5">
        <v>0.0</v>
      </c>
      <c r="R1705" s="5">
        <v>0.0</v>
      </c>
      <c r="S1705" s="5">
        <v>51.3049334914374</v>
      </c>
    </row>
    <row r="1706">
      <c r="A1706" s="6">
        <v>42830.0</v>
      </c>
      <c r="B1706" s="5">
        <v>57.0575557238285</v>
      </c>
      <c r="C1706" s="5">
        <v>-13.0345822801075</v>
      </c>
      <c r="D1706" s="5">
        <v>113.729388089298</v>
      </c>
      <c r="E1706" s="5">
        <v>57.0575557238285</v>
      </c>
      <c r="F1706" s="5">
        <v>57.0575557238285</v>
      </c>
      <c r="G1706" s="5">
        <v>-5.15468725287331</v>
      </c>
      <c r="H1706" s="5">
        <v>-5.15468725287331</v>
      </c>
      <c r="I1706" s="5">
        <v>-5.15468725287331</v>
      </c>
      <c r="J1706" s="5">
        <v>0.00703780528340191</v>
      </c>
      <c r="K1706" s="5">
        <v>0.00703780528340191</v>
      </c>
      <c r="L1706" s="5">
        <v>0.00703780528340191</v>
      </c>
      <c r="M1706" s="5">
        <v>-5.16172505815671</v>
      </c>
      <c r="N1706" s="5">
        <v>-5.16172505815671</v>
      </c>
      <c r="O1706" s="5">
        <v>-5.16172505815671</v>
      </c>
      <c r="P1706" s="5">
        <v>0.0</v>
      </c>
      <c r="Q1706" s="5">
        <v>0.0</v>
      </c>
      <c r="R1706" s="5">
        <v>0.0</v>
      </c>
      <c r="S1706" s="5">
        <v>51.9028684709551</v>
      </c>
    </row>
    <row r="1707">
      <c r="A1707" s="6">
        <v>42831.0</v>
      </c>
      <c r="B1707" s="5">
        <v>57.0878017355684</v>
      </c>
      <c r="C1707" s="5">
        <v>-6.0764519880328</v>
      </c>
      <c r="D1707" s="5">
        <v>115.282973677856</v>
      </c>
      <c r="E1707" s="5">
        <v>57.0878017355684</v>
      </c>
      <c r="F1707" s="5">
        <v>57.0878017355684</v>
      </c>
      <c r="G1707" s="5">
        <v>-5.54343508677864</v>
      </c>
      <c r="H1707" s="5">
        <v>-5.54343508677864</v>
      </c>
      <c r="I1707" s="5">
        <v>-5.54343508677864</v>
      </c>
      <c r="J1707" s="5">
        <v>-0.77642252590464</v>
      </c>
      <c r="K1707" s="5">
        <v>-0.77642252590464</v>
      </c>
      <c r="L1707" s="5">
        <v>-0.77642252590464</v>
      </c>
      <c r="M1707" s="5">
        <v>-4.767012560874</v>
      </c>
      <c r="N1707" s="5">
        <v>-4.767012560874</v>
      </c>
      <c r="O1707" s="5">
        <v>-4.767012560874</v>
      </c>
      <c r="P1707" s="5">
        <v>0.0</v>
      </c>
      <c r="Q1707" s="5">
        <v>0.0</v>
      </c>
      <c r="R1707" s="5">
        <v>0.0</v>
      </c>
      <c r="S1707" s="5">
        <v>51.5443666487897</v>
      </c>
    </row>
    <row r="1708">
      <c r="A1708" s="6">
        <v>42832.0</v>
      </c>
      <c r="B1708" s="5">
        <v>57.1180477473083</v>
      </c>
      <c r="C1708" s="5">
        <v>-16.3832978911113</v>
      </c>
      <c r="D1708" s="5">
        <v>118.083635699077</v>
      </c>
      <c r="E1708" s="5">
        <v>57.1180477473083</v>
      </c>
      <c r="F1708" s="5">
        <v>57.1180477473083</v>
      </c>
      <c r="G1708" s="5">
        <v>-5.98213252709328</v>
      </c>
      <c r="H1708" s="5">
        <v>-5.98213252709328</v>
      </c>
      <c r="I1708" s="5">
        <v>-5.98213252709328</v>
      </c>
      <c r="J1708" s="5">
        <v>-1.59155056649535</v>
      </c>
      <c r="K1708" s="5">
        <v>-1.59155056649535</v>
      </c>
      <c r="L1708" s="5">
        <v>-1.59155056649535</v>
      </c>
      <c r="M1708" s="5">
        <v>-4.39058196059792</v>
      </c>
      <c r="N1708" s="5">
        <v>-4.39058196059792</v>
      </c>
      <c r="O1708" s="5">
        <v>-4.39058196059792</v>
      </c>
      <c r="P1708" s="5">
        <v>0.0</v>
      </c>
      <c r="Q1708" s="5">
        <v>0.0</v>
      </c>
      <c r="R1708" s="5">
        <v>0.0</v>
      </c>
      <c r="S1708" s="5">
        <v>51.135915220215</v>
      </c>
    </row>
    <row r="1709">
      <c r="A1709" s="6">
        <v>42835.0</v>
      </c>
      <c r="B1709" s="5">
        <v>57.208785782528</v>
      </c>
      <c r="C1709" s="5">
        <v>-12.6851819304092</v>
      </c>
      <c r="D1709" s="5">
        <v>111.417026407109</v>
      </c>
      <c r="E1709" s="5">
        <v>57.208785782528</v>
      </c>
      <c r="F1709" s="5">
        <v>57.208785782528</v>
      </c>
      <c r="G1709" s="5">
        <v>-3.25418625224627</v>
      </c>
      <c r="H1709" s="5">
        <v>-3.25418625224627</v>
      </c>
      <c r="I1709" s="5">
        <v>-3.25418625224627</v>
      </c>
      <c r="J1709" s="5">
        <v>0.0905589421228967</v>
      </c>
      <c r="K1709" s="5">
        <v>0.0905589421228967</v>
      </c>
      <c r="L1709" s="5">
        <v>0.0905589421228967</v>
      </c>
      <c r="M1709" s="5">
        <v>-3.34474519436916</v>
      </c>
      <c r="N1709" s="5">
        <v>-3.34474519436916</v>
      </c>
      <c r="O1709" s="5">
        <v>-3.34474519436916</v>
      </c>
      <c r="P1709" s="5">
        <v>0.0</v>
      </c>
      <c r="Q1709" s="5">
        <v>0.0</v>
      </c>
      <c r="R1709" s="5">
        <v>0.0</v>
      </c>
      <c r="S1709" s="5">
        <v>53.9545995302817</v>
      </c>
    </row>
    <row r="1710">
      <c r="A1710" s="6">
        <v>42836.0</v>
      </c>
      <c r="B1710" s="5">
        <v>57.2390317942679</v>
      </c>
      <c r="C1710" s="5">
        <v>-10.9330946200926</v>
      </c>
      <c r="D1710" s="5">
        <v>119.289481944239</v>
      </c>
      <c r="E1710" s="5">
        <v>57.2390317942679</v>
      </c>
      <c r="F1710" s="5">
        <v>57.2390317942679</v>
      </c>
      <c r="G1710" s="5">
        <v>-3.1636681231232</v>
      </c>
      <c r="H1710" s="5">
        <v>-3.1636681231232</v>
      </c>
      <c r="I1710" s="5">
        <v>-3.1636681231232</v>
      </c>
      <c r="J1710" s="5">
        <v>-0.144118857243405</v>
      </c>
      <c r="K1710" s="5">
        <v>-0.144118857243405</v>
      </c>
      <c r="L1710" s="5">
        <v>-0.144118857243405</v>
      </c>
      <c r="M1710" s="5">
        <v>-3.01954926587979</v>
      </c>
      <c r="N1710" s="5">
        <v>-3.01954926587979</v>
      </c>
      <c r="O1710" s="5">
        <v>-3.01954926587979</v>
      </c>
      <c r="P1710" s="5">
        <v>0.0</v>
      </c>
      <c r="Q1710" s="5">
        <v>0.0</v>
      </c>
      <c r="R1710" s="5">
        <v>0.0</v>
      </c>
      <c r="S1710" s="5">
        <v>54.0753636711447</v>
      </c>
    </row>
    <row r="1711">
      <c r="A1711" s="6">
        <v>42837.0</v>
      </c>
      <c r="B1711" s="5">
        <v>57.2692778060078</v>
      </c>
      <c r="C1711" s="5">
        <v>-7.54653048564563</v>
      </c>
      <c r="D1711" s="5">
        <v>123.227204243828</v>
      </c>
      <c r="E1711" s="5">
        <v>57.2692778060078</v>
      </c>
      <c r="F1711" s="5">
        <v>57.2692778060078</v>
      </c>
      <c r="G1711" s="5">
        <v>-2.69945466553198</v>
      </c>
      <c r="H1711" s="5">
        <v>-2.69945466553198</v>
      </c>
      <c r="I1711" s="5">
        <v>-2.69945466553198</v>
      </c>
      <c r="J1711" s="5">
        <v>0.0070378052813772</v>
      </c>
      <c r="K1711" s="5">
        <v>0.0070378052813772</v>
      </c>
      <c r="L1711" s="5">
        <v>0.0070378052813772</v>
      </c>
      <c r="M1711" s="5">
        <v>-2.70649247081335</v>
      </c>
      <c r="N1711" s="5">
        <v>-2.70649247081335</v>
      </c>
      <c r="O1711" s="5">
        <v>-2.70649247081335</v>
      </c>
      <c r="P1711" s="5">
        <v>0.0</v>
      </c>
      <c r="Q1711" s="5">
        <v>0.0</v>
      </c>
      <c r="R1711" s="5">
        <v>0.0</v>
      </c>
      <c r="S1711" s="5">
        <v>54.5698231404758</v>
      </c>
    </row>
    <row r="1712">
      <c r="A1712" s="6">
        <v>42838.0</v>
      </c>
      <c r="B1712" s="5">
        <v>57.2995238177476</v>
      </c>
      <c r="C1712" s="5">
        <v>-6.0912473059053</v>
      </c>
      <c r="D1712" s="5">
        <v>118.034845796946</v>
      </c>
      <c r="E1712" s="5">
        <v>57.2995238177476</v>
      </c>
      <c r="F1712" s="5">
        <v>57.2995238177476</v>
      </c>
      <c r="G1712" s="5">
        <v>-3.18398298007746</v>
      </c>
      <c r="H1712" s="5">
        <v>-3.18398298007746</v>
      </c>
      <c r="I1712" s="5">
        <v>-3.18398298007746</v>
      </c>
      <c r="J1712" s="5">
        <v>-0.776422525903888</v>
      </c>
      <c r="K1712" s="5">
        <v>-0.776422525903888</v>
      </c>
      <c r="L1712" s="5">
        <v>-0.776422525903888</v>
      </c>
      <c r="M1712" s="5">
        <v>-2.40756045417357</v>
      </c>
      <c r="N1712" s="5">
        <v>-2.40756045417357</v>
      </c>
      <c r="O1712" s="5">
        <v>-2.40756045417357</v>
      </c>
      <c r="P1712" s="5">
        <v>0.0</v>
      </c>
      <c r="Q1712" s="5">
        <v>0.0</v>
      </c>
      <c r="R1712" s="5">
        <v>0.0</v>
      </c>
      <c r="S1712" s="5">
        <v>54.1155408376702</v>
      </c>
    </row>
    <row r="1713">
      <c r="A1713" s="6">
        <v>42842.0</v>
      </c>
      <c r="B1713" s="5">
        <v>57.4205078647073</v>
      </c>
      <c r="C1713" s="5">
        <v>-12.6552697732009</v>
      </c>
      <c r="D1713" s="5">
        <v>119.71005968979</v>
      </c>
      <c r="E1713" s="5">
        <v>57.4205078647073</v>
      </c>
      <c r="F1713" s="5">
        <v>57.4205078647073</v>
      </c>
      <c r="G1713" s="5">
        <v>-1.34118032321995</v>
      </c>
      <c r="H1713" s="5">
        <v>-1.34118032321995</v>
      </c>
      <c r="I1713" s="5">
        <v>-1.34118032321995</v>
      </c>
      <c r="J1713" s="5">
        <v>0.0905589421239235</v>
      </c>
      <c r="K1713" s="5">
        <v>0.0905589421239235</v>
      </c>
      <c r="L1713" s="5">
        <v>0.0905589421239235</v>
      </c>
      <c r="M1713" s="5">
        <v>-1.43173926534388</v>
      </c>
      <c r="N1713" s="5">
        <v>-1.43173926534388</v>
      </c>
      <c r="O1713" s="5">
        <v>-1.43173926534388</v>
      </c>
      <c r="P1713" s="5">
        <v>0.0</v>
      </c>
      <c r="Q1713" s="5">
        <v>0.0</v>
      </c>
      <c r="R1713" s="5">
        <v>0.0</v>
      </c>
      <c r="S1713" s="5">
        <v>56.0793275414873</v>
      </c>
    </row>
    <row r="1714">
      <c r="A1714" s="6">
        <v>42843.0</v>
      </c>
      <c r="B1714" s="5">
        <v>57.4507538764471</v>
      </c>
      <c r="C1714" s="5">
        <v>-4.8437374979235</v>
      </c>
      <c r="D1714" s="5">
        <v>117.831566859199</v>
      </c>
      <c r="E1714" s="5">
        <v>57.4507538764471</v>
      </c>
      <c r="F1714" s="5">
        <v>57.4507538764471</v>
      </c>
      <c r="G1714" s="5">
        <v>-1.41478974524314</v>
      </c>
      <c r="H1714" s="5">
        <v>-1.41478974524314</v>
      </c>
      <c r="I1714" s="5">
        <v>-1.41478974524314</v>
      </c>
      <c r="J1714" s="5">
        <v>-0.144118857243731</v>
      </c>
      <c r="K1714" s="5">
        <v>-0.144118857243731</v>
      </c>
      <c r="L1714" s="5">
        <v>-0.144118857243731</v>
      </c>
      <c r="M1714" s="5">
        <v>-1.2706708879994</v>
      </c>
      <c r="N1714" s="5">
        <v>-1.2706708879994</v>
      </c>
      <c r="O1714" s="5">
        <v>-1.2706708879994</v>
      </c>
      <c r="P1714" s="5">
        <v>0.0</v>
      </c>
      <c r="Q1714" s="5">
        <v>0.0</v>
      </c>
      <c r="R1714" s="5">
        <v>0.0</v>
      </c>
      <c r="S1714" s="5">
        <v>56.035964131204</v>
      </c>
    </row>
    <row r="1715">
      <c r="A1715" s="6">
        <v>42844.0</v>
      </c>
      <c r="B1715" s="5">
        <v>57.480999888187</v>
      </c>
      <c r="C1715" s="5">
        <v>-4.48225148917231</v>
      </c>
      <c r="D1715" s="5">
        <v>119.265012981944</v>
      </c>
      <c r="E1715" s="5">
        <v>57.480999888187</v>
      </c>
      <c r="F1715" s="5">
        <v>57.480999888187</v>
      </c>
      <c r="G1715" s="5">
        <v>-1.14923396713184</v>
      </c>
      <c r="H1715" s="5">
        <v>-1.14923396713184</v>
      </c>
      <c r="I1715" s="5">
        <v>-1.14923396713184</v>
      </c>
      <c r="J1715" s="5">
        <v>0.00703780528268827</v>
      </c>
      <c r="K1715" s="5">
        <v>0.00703780528268827</v>
      </c>
      <c r="L1715" s="5">
        <v>0.00703780528268827</v>
      </c>
      <c r="M1715" s="5">
        <v>-1.15627177241453</v>
      </c>
      <c r="N1715" s="5">
        <v>-1.15627177241453</v>
      </c>
      <c r="O1715" s="5">
        <v>-1.15627177241453</v>
      </c>
      <c r="P1715" s="5">
        <v>0.0</v>
      </c>
      <c r="Q1715" s="5">
        <v>0.0</v>
      </c>
      <c r="R1715" s="5">
        <v>0.0</v>
      </c>
      <c r="S1715" s="5">
        <v>56.3317659210552</v>
      </c>
    </row>
    <row r="1716">
      <c r="A1716" s="6">
        <v>42845.0</v>
      </c>
      <c r="B1716" s="5">
        <v>57.5112458999269</v>
      </c>
      <c r="C1716" s="5">
        <v>-6.75114671584185</v>
      </c>
      <c r="D1716" s="5">
        <v>112.435891315219</v>
      </c>
      <c r="E1716" s="5">
        <v>57.5112458999269</v>
      </c>
      <c r="F1716" s="5">
        <v>57.5112458999269</v>
      </c>
      <c r="G1716" s="5">
        <v>-1.87228105303755</v>
      </c>
      <c r="H1716" s="5">
        <v>-1.87228105303755</v>
      </c>
      <c r="I1716" s="5">
        <v>-1.87228105303755</v>
      </c>
      <c r="J1716" s="5">
        <v>-0.776422525900385</v>
      </c>
      <c r="K1716" s="5">
        <v>-0.776422525900385</v>
      </c>
      <c r="L1716" s="5">
        <v>-0.776422525900385</v>
      </c>
      <c r="M1716" s="5">
        <v>-1.09585852713717</v>
      </c>
      <c r="N1716" s="5">
        <v>-1.09585852713717</v>
      </c>
      <c r="O1716" s="5">
        <v>-1.09585852713717</v>
      </c>
      <c r="P1716" s="5">
        <v>0.0</v>
      </c>
      <c r="Q1716" s="5">
        <v>0.0</v>
      </c>
      <c r="R1716" s="5">
        <v>0.0</v>
      </c>
      <c r="S1716" s="5">
        <v>55.6389648468894</v>
      </c>
    </row>
    <row r="1717">
      <c r="A1717" s="6">
        <v>42846.0</v>
      </c>
      <c r="B1717" s="5">
        <v>57.5414919116668</v>
      </c>
      <c r="C1717" s="5">
        <v>-11.0174738665301</v>
      </c>
      <c r="D1717" s="5">
        <v>118.916394528569</v>
      </c>
      <c r="E1717" s="5">
        <v>57.5414919116668</v>
      </c>
      <c r="F1717" s="5">
        <v>57.5414919116668</v>
      </c>
      <c r="G1717" s="5">
        <v>-2.68820948586778</v>
      </c>
      <c r="H1717" s="5">
        <v>-2.68820948586778</v>
      </c>
      <c r="I1717" s="5">
        <v>-2.68820948586778</v>
      </c>
      <c r="J1717" s="5">
        <v>-1.59155056649287</v>
      </c>
      <c r="K1717" s="5">
        <v>-1.59155056649287</v>
      </c>
      <c r="L1717" s="5">
        <v>-1.59155056649287</v>
      </c>
      <c r="M1717" s="5">
        <v>-1.09665891937491</v>
      </c>
      <c r="N1717" s="5">
        <v>-1.09665891937491</v>
      </c>
      <c r="O1717" s="5">
        <v>-1.09665891937491</v>
      </c>
      <c r="P1717" s="5">
        <v>0.0</v>
      </c>
      <c r="Q1717" s="5">
        <v>0.0</v>
      </c>
      <c r="R1717" s="5">
        <v>0.0</v>
      </c>
      <c r="S1717" s="5">
        <v>54.8532824257991</v>
      </c>
    </row>
    <row r="1718">
      <c r="A1718" s="6">
        <v>42849.0</v>
      </c>
      <c r="B1718" s="5">
        <v>57.6322299468865</v>
      </c>
      <c r="C1718" s="5">
        <v>-8.29466928788114</v>
      </c>
      <c r="D1718" s="5">
        <v>119.270950854219</v>
      </c>
      <c r="E1718" s="5">
        <v>57.6322299468865</v>
      </c>
      <c r="F1718" s="5">
        <v>57.6322299468865</v>
      </c>
      <c r="G1718" s="5">
        <v>-1.44101434163413</v>
      </c>
      <c r="H1718" s="5">
        <v>-1.44101434163413</v>
      </c>
      <c r="I1718" s="5">
        <v>-1.44101434163413</v>
      </c>
      <c r="J1718" s="5">
        <v>0.0905589421224858</v>
      </c>
      <c r="K1718" s="5">
        <v>0.0905589421224858</v>
      </c>
      <c r="L1718" s="5">
        <v>0.0905589421224858</v>
      </c>
      <c r="M1718" s="5">
        <v>-1.53157328375662</v>
      </c>
      <c r="N1718" s="5">
        <v>-1.53157328375662</v>
      </c>
      <c r="O1718" s="5">
        <v>-1.53157328375662</v>
      </c>
      <c r="P1718" s="5">
        <v>0.0</v>
      </c>
      <c r="Q1718" s="5">
        <v>0.0</v>
      </c>
      <c r="R1718" s="5">
        <v>0.0</v>
      </c>
      <c r="S1718" s="5">
        <v>56.1912156052524</v>
      </c>
    </row>
    <row r="1719">
      <c r="A1719" s="6">
        <v>42850.0</v>
      </c>
      <c r="B1719" s="5">
        <v>57.6624759586264</v>
      </c>
      <c r="C1719" s="5">
        <v>-8.51383304101609</v>
      </c>
      <c r="D1719" s="5">
        <v>113.864715696625</v>
      </c>
      <c r="E1719" s="5">
        <v>57.6624759586264</v>
      </c>
      <c r="F1719" s="5">
        <v>57.6624759586264</v>
      </c>
      <c r="G1719" s="5">
        <v>-1.98238341794904</v>
      </c>
      <c r="H1719" s="5">
        <v>-1.98238341794904</v>
      </c>
      <c r="I1719" s="5">
        <v>-1.98238341794904</v>
      </c>
      <c r="J1719" s="5">
        <v>-0.144118857245166</v>
      </c>
      <c r="K1719" s="5">
        <v>-0.144118857245166</v>
      </c>
      <c r="L1719" s="5">
        <v>-0.144118857245166</v>
      </c>
      <c r="M1719" s="5">
        <v>-1.83826456070387</v>
      </c>
      <c r="N1719" s="5">
        <v>-1.83826456070387</v>
      </c>
      <c r="O1719" s="5">
        <v>-1.83826456070387</v>
      </c>
      <c r="P1719" s="5">
        <v>0.0</v>
      </c>
      <c r="Q1719" s="5">
        <v>0.0</v>
      </c>
      <c r="R1719" s="5">
        <v>0.0</v>
      </c>
      <c r="S1719" s="5">
        <v>55.6800925406774</v>
      </c>
    </row>
    <row r="1720">
      <c r="A1720" s="6">
        <v>42851.0</v>
      </c>
      <c r="B1720" s="5">
        <v>57.6927219703663</v>
      </c>
      <c r="C1720" s="5">
        <v>-10.8794840696391</v>
      </c>
      <c r="D1720" s="5">
        <v>119.289500880181</v>
      </c>
      <c r="E1720" s="5">
        <v>57.6927219703663</v>
      </c>
      <c r="F1720" s="5">
        <v>57.6927219703663</v>
      </c>
      <c r="G1720" s="5">
        <v>-2.22461392372915</v>
      </c>
      <c r="H1720" s="5">
        <v>-2.22461392372915</v>
      </c>
      <c r="I1720" s="5">
        <v>-2.22461392372915</v>
      </c>
      <c r="J1720" s="5">
        <v>0.00703780528183581</v>
      </c>
      <c r="K1720" s="5">
        <v>0.00703780528183581</v>
      </c>
      <c r="L1720" s="5">
        <v>0.00703780528183581</v>
      </c>
      <c r="M1720" s="5">
        <v>-2.23165172901099</v>
      </c>
      <c r="N1720" s="5">
        <v>-2.23165172901099</v>
      </c>
      <c r="O1720" s="5">
        <v>-2.23165172901099</v>
      </c>
      <c r="P1720" s="5">
        <v>0.0</v>
      </c>
      <c r="Q1720" s="5">
        <v>0.0</v>
      </c>
      <c r="R1720" s="5">
        <v>0.0</v>
      </c>
      <c r="S1720" s="5">
        <v>55.4681080466372</v>
      </c>
    </row>
    <row r="1721">
      <c r="A1721" s="6">
        <v>42852.0</v>
      </c>
      <c r="B1721" s="5">
        <v>57.7229679821062</v>
      </c>
      <c r="C1721" s="5">
        <v>-11.3999864347896</v>
      </c>
      <c r="D1721" s="5">
        <v>112.177414818344</v>
      </c>
      <c r="E1721" s="5">
        <v>57.7229679821062</v>
      </c>
      <c r="F1721" s="5">
        <v>57.7229679821062</v>
      </c>
      <c r="G1721" s="5">
        <v>-3.48947020653772</v>
      </c>
      <c r="H1721" s="5">
        <v>-3.48947020653772</v>
      </c>
      <c r="I1721" s="5">
        <v>-3.48947020653772</v>
      </c>
      <c r="J1721" s="5">
        <v>-0.776422525902482</v>
      </c>
      <c r="K1721" s="5">
        <v>-0.776422525902482</v>
      </c>
      <c r="L1721" s="5">
        <v>-0.776422525902482</v>
      </c>
      <c r="M1721" s="5">
        <v>-2.71304768063524</v>
      </c>
      <c r="N1721" s="5">
        <v>-2.71304768063524</v>
      </c>
      <c r="O1721" s="5">
        <v>-2.71304768063524</v>
      </c>
      <c r="P1721" s="5">
        <v>0.0</v>
      </c>
      <c r="Q1721" s="5">
        <v>0.0</v>
      </c>
      <c r="R1721" s="5">
        <v>0.0</v>
      </c>
      <c r="S1721" s="5">
        <v>54.2334977755685</v>
      </c>
    </row>
    <row r="1722">
      <c r="A1722" s="6">
        <v>42853.0</v>
      </c>
      <c r="B1722" s="5">
        <v>57.7532139938461</v>
      </c>
      <c r="C1722" s="5">
        <v>-13.032296896819</v>
      </c>
      <c r="D1722" s="5">
        <v>114.527662477094</v>
      </c>
      <c r="E1722" s="5">
        <v>57.7532139938461</v>
      </c>
      <c r="F1722" s="5">
        <v>57.7532139938461</v>
      </c>
      <c r="G1722" s="5">
        <v>-4.87364274662602</v>
      </c>
      <c r="H1722" s="5">
        <v>-4.87364274662602</v>
      </c>
      <c r="I1722" s="5">
        <v>-4.87364274662602</v>
      </c>
      <c r="J1722" s="5">
        <v>-1.59155056649469</v>
      </c>
      <c r="K1722" s="5">
        <v>-1.59155056649469</v>
      </c>
      <c r="L1722" s="5">
        <v>-1.59155056649469</v>
      </c>
      <c r="M1722" s="5">
        <v>-3.28209218013132</v>
      </c>
      <c r="N1722" s="5">
        <v>-3.28209218013132</v>
      </c>
      <c r="O1722" s="5">
        <v>-3.28209218013132</v>
      </c>
      <c r="P1722" s="5">
        <v>0.0</v>
      </c>
      <c r="Q1722" s="5">
        <v>0.0</v>
      </c>
      <c r="R1722" s="5">
        <v>0.0</v>
      </c>
      <c r="S1722" s="5">
        <v>52.8795712472201</v>
      </c>
    </row>
    <row r="1723">
      <c r="A1723" s="6">
        <v>42856.0</v>
      </c>
      <c r="B1723" s="5">
        <v>57.8439520290658</v>
      </c>
      <c r="C1723" s="5">
        <v>-8.33598784036235</v>
      </c>
      <c r="D1723" s="5">
        <v>113.309589612477</v>
      </c>
      <c r="E1723" s="5">
        <v>57.8439520290658</v>
      </c>
      <c r="F1723" s="5">
        <v>57.8439520290658</v>
      </c>
      <c r="G1723" s="5">
        <v>-5.39425624713253</v>
      </c>
      <c r="H1723" s="5">
        <v>-5.39425624713253</v>
      </c>
      <c r="I1723" s="5">
        <v>-5.39425624713253</v>
      </c>
      <c r="J1723" s="5">
        <v>0.0905589421210485</v>
      </c>
      <c r="K1723" s="5">
        <v>0.0905589421210485</v>
      </c>
      <c r="L1723" s="5">
        <v>0.0905589421210485</v>
      </c>
      <c r="M1723" s="5">
        <v>-5.48481518925358</v>
      </c>
      <c r="N1723" s="5">
        <v>-5.48481518925358</v>
      </c>
      <c r="O1723" s="5">
        <v>-5.48481518925358</v>
      </c>
      <c r="P1723" s="5">
        <v>0.0</v>
      </c>
      <c r="Q1723" s="5">
        <v>0.0</v>
      </c>
      <c r="R1723" s="5">
        <v>0.0</v>
      </c>
      <c r="S1723" s="5">
        <v>52.4496957819333</v>
      </c>
    </row>
    <row r="1724">
      <c r="A1724" s="6">
        <v>42857.0</v>
      </c>
      <c r="B1724" s="5">
        <v>57.8741980408057</v>
      </c>
      <c r="C1724" s="5">
        <v>-7.53732959190415</v>
      </c>
      <c r="D1724" s="5">
        <v>114.510185805452</v>
      </c>
      <c r="E1724" s="5">
        <v>57.8741980408057</v>
      </c>
      <c r="F1724" s="5">
        <v>57.8741980408057</v>
      </c>
      <c r="G1724" s="5">
        <v>-6.50931474210279</v>
      </c>
      <c r="H1724" s="5">
        <v>-6.50931474210279</v>
      </c>
      <c r="I1724" s="5">
        <v>-6.50931474210279</v>
      </c>
      <c r="J1724" s="5">
        <v>-0.144118857246602</v>
      </c>
      <c r="K1724" s="5">
        <v>-0.144118857246602</v>
      </c>
      <c r="L1724" s="5">
        <v>-0.144118857246602</v>
      </c>
      <c r="M1724" s="5">
        <v>-6.36519588485619</v>
      </c>
      <c r="N1724" s="5">
        <v>-6.36519588485619</v>
      </c>
      <c r="O1724" s="5">
        <v>-6.36519588485619</v>
      </c>
      <c r="P1724" s="5">
        <v>0.0</v>
      </c>
      <c r="Q1724" s="5">
        <v>0.0</v>
      </c>
      <c r="R1724" s="5">
        <v>0.0</v>
      </c>
      <c r="S1724" s="5">
        <v>51.3648832987029</v>
      </c>
    </row>
    <row r="1725">
      <c r="A1725" s="6">
        <v>42858.0</v>
      </c>
      <c r="B1725" s="5">
        <v>57.9044440525456</v>
      </c>
      <c r="C1725" s="5">
        <v>-13.7447898241292</v>
      </c>
      <c r="D1725" s="5">
        <v>110.898865363862</v>
      </c>
      <c r="E1725" s="5">
        <v>57.9044440525456</v>
      </c>
      <c r="F1725" s="5">
        <v>57.9044440525456</v>
      </c>
      <c r="G1725" s="5">
        <v>-7.29781889654873</v>
      </c>
      <c r="H1725" s="5">
        <v>-7.29781889654873</v>
      </c>
      <c r="I1725" s="5">
        <v>-7.29781889654873</v>
      </c>
      <c r="J1725" s="5">
        <v>0.00703780528098326</v>
      </c>
      <c r="K1725" s="5">
        <v>0.00703780528098326</v>
      </c>
      <c r="L1725" s="5">
        <v>0.00703780528098326</v>
      </c>
      <c r="M1725" s="5">
        <v>-7.30485670182971</v>
      </c>
      <c r="N1725" s="5">
        <v>-7.30485670182971</v>
      </c>
      <c r="O1725" s="5">
        <v>-7.30485670182971</v>
      </c>
      <c r="P1725" s="5">
        <v>0.0</v>
      </c>
      <c r="Q1725" s="5">
        <v>0.0</v>
      </c>
      <c r="R1725" s="5">
        <v>0.0</v>
      </c>
      <c r="S1725" s="5">
        <v>50.6066251559969</v>
      </c>
    </row>
    <row r="1726">
      <c r="A1726" s="6">
        <v>42859.0</v>
      </c>
      <c r="B1726" s="5">
        <v>57.9346900642855</v>
      </c>
      <c r="C1726" s="5">
        <v>-12.8190021117024</v>
      </c>
      <c r="D1726" s="5">
        <v>107.579480185115</v>
      </c>
      <c r="E1726" s="5">
        <v>57.9346900642855</v>
      </c>
      <c r="F1726" s="5">
        <v>57.9346900642855</v>
      </c>
      <c r="G1726" s="5">
        <v>-9.06966301051931</v>
      </c>
      <c r="H1726" s="5">
        <v>-9.06966301051931</v>
      </c>
      <c r="I1726" s="5">
        <v>-9.06966301051931</v>
      </c>
      <c r="J1726" s="5">
        <v>-0.776422525898978</v>
      </c>
      <c r="K1726" s="5">
        <v>-0.776422525898978</v>
      </c>
      <c r="L1726" s="5">
        <v>-0.776422525898978</v>
      </c>
      <c r="M1726" s="5">
        <v>-8.29324048462034</v>
      </c>
      <c r="N1726" s="5">
        <v>-8.29324048462034</v>
      </c>
      <c r="O1726" s="5">
        <v>-8.29324048462034</v>
      </c>
      <c r="P1726" s="5">
        <v>0.0</v>
      </c>
      <c r="Q1726" s="5">
        <v>0.0</v>
      </c>
      <c r="R1726" s="5">
        <v>0.0</v>
      </c>
      <c r="S1726" s="5">
        <v>48.8650270537662</v>
      </c>
    </row>
    <row r="1727">
      <c r="A1727" s="6">
        <v>42860.0</v>
      </c>
      <c r="B1727" s="5">
        <v>57.9649360760254</v>
      </c>
      <c r="C1727" s="5">
        <v>-14.2820591709823</v>
      </c>
      <c r="D1727" s="5">
        <v>110.581266226086</v>
      </c>
      <c r="E1727" s="5">
        <v>57.9649360760254</v>
      </c>
      <c r="F1727" s="5">
        <v>57.9649360760254</v>
      </c>
      <c r="G1727" s="5">
        <v>-10.9100891884737</v>
      </c>
      <c r="H1727" s="5">
        <v>-10.9100891884737</v>
      </c>
      <c r="I1727" s="5">
        <v>-10.9100891884737</v>
      </c>
      <c r="J1727" s="5">
        <v>-1.59155056649377</v>
      </c>
      <c r="K1727" s="5">
        <v>-1.59155056649377</v>
      </c>
      <c r="L1727" s="5">
        <v>-1.59155056649377</v>
      </c>
      <c r="M1727" s="5">
        <v>-9.31853862197995</v>
      </c>
      <c r="N1727" s="5">
        <v>-9.31853862197995</v>
      </c>
      <c r="O1727" s="5">
        <v>-9.31853862197995</v>
      </c>
      <c r="P1727" s="5">
        <v>0.0</v>
      </c>
      <c r="Q1727" s="5">
        <v>0.0</v>
      </c>
      <c r="R1727" s="5">
        <v>0.0</v>
      </c>
      <c r="S1727" s="5">
        <v>47.0548468875517</v>
      </c>
    </row>
    <row r="1728">
      <c r="A1728" s="6">
        <v>42863.0</v>
      </c>
      <c r="B1728" s="5">
        <v>58.0556741112451</v>
      </c>
      <c r="C1728" s="5">
        <v>-12.4094581711304</v>
      </c>
      <c r="D1728" s="5">
        <v>106.289673830167</v>
      </c>
      <c r="E1728" s="5">
        <v>58.0556741112451</v>
      </c>
      <c r="F1728" s="5">
        <v>58.0556741112451</v>
      </c>
      <c r="G1728" s="5">
        <v>-12.3939383175448</v>
      </c>
      <c r="H1728" s="5">
        <v>-12.3939383175448</v>
      </c>
      <c r="I1728" s="5">
        <v>-12.3939383175448</v>
      </c>
      <c r="J1728" s="5">
        <v>0.0905589421219949</v>
      </c>
      <c r="K1728" s="5">
        <v>0.0905589421219949</v>
      </c>
      <c r="L1728" s="5">
        <v>0.0905589421219949</v>
      </c>
      <c r="M1728" s="5">
        <v>-12.4844972596668</v>
      </c>
      <c r="N1728" s="5">
        <v>-12.4844972596668</v>
      </c>
      <c r="O1728" s="5">
        <v>-12.4844972596668</v>
      </c>
      <c r="P1728" s="5">
        <v>0.0</v>
      </c>
      <c r="Q1728" s="5">
        <v>0.0</v>
      </c>
      <c r="R1728" s="5">
        <v>0.0</v>
      </c>
      <c r="S1728" s="5">
        <v>45.6617357937003</v>
      </c>
    </row>
    <row r="1729">
      <c r="A1729" s="6">
        <v>42864.0</v>
      </c>
      <c r="B1729" s="5">
        <v>58.085920122985</v>
      </c>
      <c r="C1729" s="5">
        <v>-16.2524298575404</v>
      </c>
      <c r="D1729" s="5">
        <v>109.493847684464</v>
      </c>
      <c r="E1729" s="5">
        <v>58.085920122985</v>
      </c>
      <c r="F1729" s="5">
        <v>58.085920122985</v>
      </c>
      <c r="G1729" s="5">
        <v>-13.6677804368545</v>
      </c>
      <c r="H1729" s="5">
        <v>-13.6677804368545</v>
      </c>
      <c r="I1729" s="5">
        <v>-13.6677804368545</v>
      </c>
      <c r="J1729" s="5">
        <v>-0.144118857246928</v>
      </c>
      <c r="K1729" s="5">
        <v>-0.144118857246928</v>
      </c>
      <c r="L1729" s="5">
        <v>-0.144118857246928</v>
      </c>
      <c r="M1729" s="5">
        <v>-13.5236615796076</v>
      </c>
      <c r="N1729" s="5">
        <v>-13.5236615796076</v>
      </c>
      <c r="O1729" s="5">
        <v>-13.5236615796076</v>
      </c>
      <c r="P1729" s="5">
        <v>0.0</v>
      </c>
      <c r="Q1729" s="5">
        <v>0.0</v>
      </c>
      <c r="R1729" s="5">
        <v>0.0</v>
      </c>
      <c r="S1729" s="5">
        <v>44.4181396861305</v>
      </c>
    </row>
    <row r="1730">
      <c r="A1730" s="6">
        <v>42865.0</v>
      </c>
      <c r="B1730" s="5">
        <v>58.1161661347249</v>
      </c>
      <c r="C1730" s="5">
        <v>-14.1332873119319</v>
      </c>
      <c r="D1730" s="5">
        <v>106.4082686267</v>
      </c>
      <c r="E1730" s="5">
        <v>58.1161661347249</v>
      </c>
      <c r="F1730" s="5">
        <v>58.1161661347249</v>
      </c>
      <c r="G1730" s="5">
        <v>-14.5245570471551</v>
      </c>
      <c r="H1730" s="5">
        <v>-14.5245570471551</v>
      </c>
      <c r="I1730" s="5">
        <v>-14.5245570471551</v>
      </c>
      <c r="J1730" s="5">
        <v>0.00703780528112211</v>
      </c>
      <c r="K1730" s="5">
        <v>0.00703780528112211</v>
      </c>
      <c r="L1730" s="5">
        <v>0.00703780528112211</v>
      </c>
      <c r="M1730" s="5">
        <v>-14.5315948524363</v>
      </c>
      <c r="N1730" s="5">
        <v>-14.5315948524363</v>
      </c>
      <c r="O1730" s="5">
        <v>-14.5315948524363</v>
      </c>
      <c r="P1730" s="5">
        <v>0.0</v>
      </c>
      <c r="Q1730" s="5">
        <v>0.0</v>
      </c>
      <c r="R1730" s="5">
        <v>0.0</v>
      </c>
      <c r="S1730" s="5">
        <v>43.5916090875697</v>
      </c>
    </row>
    <row r="1731">
      <c r="A1731" s="6">
        <v>42866.0</v>
      </c>
      <c r="B1731" s="5">
        <v>58.1464121464648</v>
      </c>
      <c r="C1731" s="5">
        <v>-21.8215456301543</v>
      </c>
      <c r="D1731" s="5">
        <v>102.280702950914</v>
      </c>
      <c r="E1731" s="5">
        <v>58.1464121464648</v>
      </c>
      <c r="F1731" s="5">
        <v>58.1464121464648</v>
      </c>
      <c r="G1731" s="5">
        <v>-16.2714763520904</v>
      </c>
      <c r="H1731" s="5">
        <v>-16.2714763520904</v>
      </c>
      <c r="I1731" s="5">
        <v>-16.2714763520904</v>
      </c>
      <c r="J1731" s="5">
        <v>-0.776422525901076</v>
      </c>
      <c r="K1731" s="5">
        <v>-0.776422525901076</v>
      </c>
      <c r="L1731" s="5">
        <v>-0.776422525901076</v>
      </c>
      <c r="M1731" s="5">
        <v>-15.4950538261894</v>
      </c>
      <c r="N1731" s="5">
        <v>-15.4950538261894</v>
      </c>
      <c r="O1731" s="5">
        <v>-15.4950538261894</v>
      </c>
      <c r="P1731" s="5">
        <v>0.0</v>
      </c>
      <c r="Q1731" s="5">
        <v>0.0</v>
      </c>
      <c r="R1731" s="5">
        <v>0.0</v>
      </c>
      <c r="S1731" s="5">
        <v>41.8749357943743</v>
      </c>
    </row>
    <row r="1732">
      <c r="A1732" s="6">
        <v>42867.0</v>
      </c>
      <c r="B1732" s="5">
        <v>58.1766581582047</v>
      </c>
      <c r="C1732" s="5">
        <v>-21.7931953054083</v>
      </c>
      <c r="D1732" s="5">
        <v>102.935069796563</v>
      </c>
      <c r="E1732" s="5">
        <v>58.1766581582047</v>
      </c>
      <c r="F1732" s="5">
        <v>58.1766581582047</v>
      </c>
      <c r="G1732" s="5">
        <v>-17.9932251207481</v>
      </c>
      <c r="H1732" s="5">
        <v>-17.9932251207481</v>
      </c>
      <c r="I1732" s="5">
        <v>-17.9932251207481</v>
      </c>
      <c r="J1732" s="5">
        <v>-1.59155056649284</v>
      </c>
      <c r="K1732" s="5">
        <v>-1.59155056649284</v>
      </c>
      <c r="L1732" s="5">
        <v>-1.59155056649284</v>
      </c>
      <c r="M1732" s="5">
        <v>-16.4016745542553</v>
      </c>
      <c r="N1732" s="5">
        <v>-16.4016745542553</v>
      </c>
      <c r="O1732" s="5">
        <v>-16.4016745542553</v>
      </c>
      <c r="P1732" s="5">
        <v>0.0</v>
      </c>
      <c r="Q1732" s="5">
        <v>0.0</v>
      </c>
      <c r="R1732" s="5">
        <v>0.0</v>
      </c>
      <c r="S1732" s="5">
        <v>40.1834330374565</v>
      </c>
    </row>
    <row r="1733">
      <c r="A1733" s="6">
        <v>42870.0</v>
      </c>
      <c r="B1733" s="5">
        <v>58.2673961934244</v>
      </c>
      <c r="C1733" s="5">
        <v>-27.7617686729824</v>
      </c>
      <c r="D1733" s="5">
        <v>107.715794662235</v>
      </c>
      <c r="E1733" s="5">
        <v>58.2673961934244</v>
      </c>
      <c r="F1733" s="5">
        <v>58.2673961934244</v>
      </c>
      <c r="G1733" s="5">
        <v>-18.5854746602718</v>
      </c>
      <c r="H1733" s="5">
        <v>-18.5854746602718</v>
      </c>
      <c r="I1733" s="5">
        <v>-18.5854746602718</v>
      </c>
      <c r="J1733" s="5">
        <v>0.0905589421206376</v>
      </c>
      <c r="K1733" s="5">
        <v>0.0905589421206376</v>
      </c>
      <c r="L1733" s="5">
        <v>0.0905589421206376</v>
      </c>
      <c r="M1733" s="5">
        <v>-18.6760336023924</v>
      </c>
      <c r="N1733" s="5">
        <v>-18.6760336023924</v>
      </c>
      <c r="O1733" s="5">
        <v>-18.6760336023924</v>
      </c>
      <c r="P1733" s="5">
        <v>0.0</v>
      </c>
      <c r="Q1733" s="5">
        <v>0.0</v>
      </c>
      <c r="R1733" s="5">
        <v>0.0</v>
      </c>
      <c r="S1733" s="5">
        <v>39.6819215331526</v>
      </c>
    </row>
    <row r="1734">
      <c r="A1734" s="6">
        <v>42871.0</v>
      </c>
      <c r="B1734" s="5">
        <v>58.2976422051643</v>
      </c>
      <c r="C1734" s="5">
        <v>-24.9390836865506</v>
      </c>
      <c r="D1734" s="5">
        <v>97.8548695578169</v>
      </c>
      <c r="E1734" s="5">
        <v>58.2976422051643</v>
      </c>
      <c r="F1734" s="5">
        <v>58.2976422051643</v>
      </c>
      <c r="G1734" s="5">
        <v>-19.4030119452311</v>
      </c>
      <c r="H1734" s="5">
        <v>-19.4030119452311</v>
      </c>
      <c r="I1734" s="5">
        <v>-19.4030119452311</v>
      </c>
      <c r="J1734" s="5">
        <v>-0.14411885724584</v>
      </c>
      <c r="K1734" s="5">
        <v>-0.14411885724584</v>
      </c>
      <c r="L1734" s="5">
        <v>-0.14411885724584</v>
      </c>
      <c r="M1734" s="5">
        <v>-19.2588930879853</v>
      </c>
      <c r="N1734" s="5">
        <v>-19.2588930879853</v>
      </c>
      <c r="O1734" s="5">
        <v>-19.2588930879853</v>
      </c>
      <c r="P1734" s="5">
        <v>0.0</v>
      </c>
      <c r="Q1734" s="5">
        <v>0.0</v>
      </c>
      <c r="R1734" s="5">
        <v>0.0</v>
      </c>
      <c r="S1734" s="5">
        <v>38.8946302599331</v>
      </c>
    </row>
    <row r="1735">
      <c r="A1735" s="6">
        <v>42872.0</v>
      </c>
      <c r="B1735" s="5">
        <v>58.3278882169042</v>
      </c>
      <c r="C1735" s="5">
        <v>-25.1167670926051</v>
      </c>
      <c r="D1735" s="5">
        <v>100.231638884477</v>
      </c>
      <c r="E1735" s="5">
        <v>58.3278882169042</v>
      </c>
      <c r="F1735" s="5">
        <v>58.3278882169042</v>
      </c>
      <c r="G1735" s="5">
        <v>-19.7383770591404</v>
      </c>
      <c r="H1735" s="5">
        <v>-19.7383770591404</v>
      </c>
      <c r="I1735" s="5">
        <v>-19.7383770591404</v>
      </c>
      <c r="J1735" s="5">
        <v>0.00703780528243304</v>
      </c>
      <c r="K1735" s="5">
        <v>0.00703780528243304</v>
      </c>
      <c r="L1735" s="5">
        <v>0.00703780528243304</v>
      </c>
      <c r="M1735" s="5">
        <v>-19.7454148644228</v>
      </c>
      <c r="N1735" s="5">
        <v>-19.7454148644228</v>
      </c>
      <c r="O1735" s="5">
        <v>-19.7454148644228</v>
      </c>
      <c r="P1735" s="5">
        <v>0.0</v>
      </c>
      <c r="Q1735" s="5">
        <v>0.0</v>
      </c>
      <c r="R1735" s="5">
        <v>0.0</v>
      </c>
      <c r="S1735" s="5">
        <v>38.5895111577637</v>
      </c>
    </row>
    <row r="1736">
      <c r="A1736" s="6">
        <v>42873.0</v>
      </c>
      <c r="B1736" s="5">
        <v>58.3581342286441</v>
      </c>
      <c r="C1736" s="5">
        <v>-23.0428100729632</v>
      </c>
      <c r="D1736" s="5">
        <v>103.074387621692</v>
      </c>
      <c r="E1736" s="5">
        <v>58.3581342286441</v>
      </c>
      <c r="F1736" s="5">
        <v>58.3581342286441</v>
      </c>
      <c r="G1736" s="5">
        <v>-20.9098448130995</v>
      </c>
      <c r="H1736" s="5">
        <v>-20.9098448130995</v>
      </c>
      <c r="I1736" s="5">
        <v>-20.9098448130995</v>
      </c>
      <c r="J1736" s="5">
        <v>-0.776422525901797</v>
      </c>
      <c r="K1736" s="5">
        <v>-0.776422525901797</v>
      </c>
      <c r="L1736" s="5">
        <v>-0.776422525901797</v>
      </c>
      <c r="M1736" s="5">
        <v>-20.1334222871977</v>
      </c>
      <c r="N1736" s="5">
        <v>-20.1334222871977</v>
      </c>
      <c r="O1736" s="5">
        <v>-20.1334222871977</v>
      </c>
      <c r="P1736" s="5">
        <v>0.0</v>
      </c>
      <c r="Q1736" s="5">
        <v>0.0</v>
      </c>
      <c r="R1736" s="5">
        <v>0.0</v>
      </c>
      <c r="S1736" s="5">
        <v>37.4482894155445</v>
      </c>
    </row>
    <row r="1737">
      <c r="A1737" s="6">
        <v>42874.0</v>
      </c>
      <c r="B1737" s="5">
        <v>58.388380240384</v>
      </c>
      <c r="C1737" s="5">
        <v>-23.7909980350388</v>
      </c>
      <c r="D1737" s="5">
        <v>101.231004749369</v>
      </c>
      <c r="E1737" s="5">
        <v>58.388380240384</v>
      </c>
      <c r="F1737" s="5">
        <v>58.388380240384</v>
      </c>
      <c r="G1737" s="5">
        <v>-22.0143832633061</v>
      </c>
      <c r="H1737" s="5">
        <v>-22.0143832633061</v>
      </c>
      <c r="I1737" s="5">
        <v>-22.0143832633061</v>
      </c>
      <c r="J1737" s="5">
        <v>-1.5915505664916</v>
      </c>
      <c r="K1737" s="5">
        <v>-1.5915505664916</v>
      </c>
      <c r="L1737" s="5">
        <v>-1.5915505664916</v>
      </c>
      <c r="M1737" s="5">
        <v>-20.4228326968145</v>
      </c>
      <c r="N1737" s="5">
        <v>-20.4228326968145</v>
      </c>
      <c r="O1737" s="5">
        <v>-20.4228326968145</v>
      </c>
      <c r="P1737" s="5">
        <v>0.0</v>
      </c>
      <c r="Q1737" s="5">
        <v>0.0</v>
      </c>
      <c r="R1737" s="5">
        <v>0.0</v>
      </c>
      <c r="S1737" s="5">
        <v>36.3739969770779</v>
      </c>
    </row>
    <row r="1738">
      <c r="A1738" s="6">
        <v>42877.0</v>
      </c>
      <c r="B1738" s="5">
        <v>58.4791182756037</v>
      </c>
      <c r="C1738" s="5">
        <v>-25.1961341474968</v>
      </c>
      <c r="D1738" s="5">
        <v>98.5826133298574</v>
      </c>
      <c r="E1738" s="5">
        <v>58.4791182756037</v>
      </c>
      <c r="F1738" s="5">
        <v>58.4791182756037</v>
      </c>
      <c r="G1738" s="5">
        <v>-20.6384745916903</v>
      </c>
      <c r="H1738" s="5">
        <v>-20.6384745916903</v>
      </c>
      <c r="I1738" s="5">
        <v>-20.6384745916903</v>
      </c>
      <c r="J1738" s="5">
        <v>0.090558942121584</v>
      </c>
      <c r="K1738" s="5">
        <v>0.090558942121584</v>
      </c>
      <c r="L1738" s="5">
        <v>0.090558942121584</v>
      </c>
      <c r="M1738" s="5">
        <v>-20.7290335338119</v>
      </c>
      <c r="N1738" s="5">
        <v>-20.7290335338119</v>
      </c>
      <c r="O1738" s="5">
        <v>-20.7290335338119</v>
      </c>
      <c r="P1738" s="5">
        <v>0.0</v>
      </c>
      <c r="Q1738" s="5">
        <v>0.0</v>
      </c>
      <c r="R1738" s="5">
        <v>0.0</v>
      </c>
      <c r="S1738" s="5">
        <v>37.8406436839134</v>
      </c>
    </row>
    <row r="1739">
      <c r="A1739" s="6">
        <v>42878.0</v>
      </c>
      <c r="B1739" s="5">
        <v>58.5093642873436</v>
      </c>
      <c r="C1739" s="5">
        <v>-26.1862686362407</v>
      </c>
      <c r="D1739" s="5">
        <v>95.7720899770242</v>
      </c>
      <c r="E1739" s="5">
        <v>58.5093642873436</v>
      </c>
      <c r="F1739" s="5">
        <v>58.5093642873436</v>
      </c>
      <c r="G1739" s="5">
        <v>-20.8070038830371</v>
      </c>
      <c r="H1739" s="5">
        <v>-20.8070038830371</v>
      </c>
      <c r="I1739" s="5">
        <v>-20.8070038830371</v>
      </c>
      <c r="J1739" s="5">
        <v>-0.144118857244752</v>
      </c>
      <c r="K1739" s="5">
        <v>-0.144118857244752</v>
      </c>
      <c r="L1739" s="5">
        <v>-0.144118857244752</v>
      </c>
      <c r="M1739" s="5">
        <v>-20.6628850257923</v>
      </c>
      <c r="N1739" s="5">
        <v>-20.6628850257923</v>
      </c>
      <c r="O1739" s="5">
        <v>-20.6628850257923</v>
      </c>
      <c r="P1739" s="5">
        <v>0.0</v>
      </c>
      <c r="Q1739" s="5">
        <v>0.0</v>
      </c>
      <c r="R1739" s="5">
        <v>0.0</v>
      </c>
      <c r="S1739" s="5">
        <v>37.7023604043065</v>
      </c>
    </row>
    <row r="1740">
      <c r="A1740" s="6">
        <v>42879.0</v>
      </c>
      <c r="B1740" s="5">
        <v>58.5396102990835</v>
      </c>
      <c r="C1740" s="5">
        <v>-23.035655432444</v>
      </c>
      <c r="D1740" s="5">
        <v>103.220745668356</v>
      </c>
      <c r="E1740" s="5">
        <v>58.5396102990835</v>
      </c>
      <c r="F1740" s="5">
        <v>58.5396102990835</v>
      </c>
      <c r="G1740" s="5">
        <v>-20.5191388096322</v>
      </c>
      <c r="H1740" s="5">
        <v>-20.5191388096322</v>
      </c>
      <c r="I1740" s="5">
        <v>-20.5191388096322</v>
      </c>
      <c r="J1740" s="5">
        <v>0.00703780528040823</v>
      </c>
      <c r="K1740" s="5">
        <v>0.00703780528040823</v>
      </c>
      <c r="L1740" s="5">
        <v>0.00703780528040823</v>
      </c>
      <c r="M1740" s="5">
        <v>-20.5261766149126</v>
      </c>
      <c r="N1740" s="5">
        <v>-20.5261766149126</v>
      </c>
      <c r="O1740" s="5">
        <v>-20.5261766149126</v>
      </c>
      <c r="P1740" s="5">
        <v>0.0</v>
      </c>
      <c r="Q1740" s="5">
        <v>0.0</v>
      </c>
      <c r="R1740" s="5">
        <v>0.0</v>
      </c>
      <c r="S1740" s="5">
        <v>38.0204714894512</v>
      </c>
    </row>
    <row r="1741">
      <c r="A1741" s="6">
        <v>42880.0</v>
      </c>
      <c r="B1741" s="5">
        <v>58.5698563108234</v>
      </c>
      <c r="C1741" s="5">
        <v>-24.557181467058</v>
      </c>
      <c r="D1741" s="5">
        <v>99.7293610622667</v>
      </c>
      <c r="E1741" s="5">
        <v>58.5698563108234</v>
      </c>
      <c r="F1741" s="5">
        <v>58.5698563108234</v>
      </c>
      <c r="G1741" s="5">
        <v>-21.1053381202138</v>
      </c>
      <c r="H1741" s="5">
        <v>-21.1053381202138</v>
      </c>
      <c r="I1741" s="5">
        <v>-21.1053381202138</v>
      </c>
      <c r="J1741" s="5">
        <v>-0.776422525901044</v>
      </c>
      <c r="K1741" s="5">
        <v>-0.776422525901044</v>
      </c>
      <c r="L1741" s="5">
        <v>-0.776422525901044</v>
      </c>
      <c r="M1741" s="5">
        <v>-20.3289155943128</v>
      </c>
      <c r="N1741" s="5">
        <v>-20.3289155943128</v>
      </c>
      <c r="O1741" s="5">
        <v>-20.3289155943128</v>
      </c>
      <c r="P1741" s="5">
        <v>0.0</v>
      </c>
      <c r="Q1741" s="5">
        <v>0.0</v>
      </c>
      <c r="R1741" s="5">
        <v>0.0</v>
      </c>
      <c r="S1741" s="5">
        <v>37.4645181906095</v>
      </c>
    </row>
    <row r="1742">
      <c r="A1742" s="6">
        <v>42881.0</v>
      </c>
      <c r="B1742" s="5">
        <v>58.6001023225633</v>
      </c>
      <c r="C1742" s="5">
        <v>-29.4564601494088</v>
      </c>
      <c r="D1742" s="5">
        <v>99.0628189163207</v>
      </c>
      <c r="E1742" s="5">
        <v>58.6001023225633</v>
      </c>
      <c r="F1742" s="5">
        <v>58.6001023225633</v>
      </c>
      <c r="G1742" s="5">
        <v>-21.6735087422551</v>
      </c>
      <c r="H1742" s="5">
        <v>-21.6735087422551</v>
      </c>
      <c r="I1742" s="5">
        <v>-21.6735087422551</v>
      </c>
      <c r="J1742" s="5">
        <v>-1.59155056649373</v>
      </c>
      <c r="K1742" s="5">
        <v>-1.59155056649373</v>
      </c>
      <c r="L1742" s="5">
        <v>-1.59155056649373</v>
      </c>
      <c r="M1742" s="5">
        <v>-20.0819581757614</v>
      </c>
      <c r="N1742" s="5">
        <v>-20.0819581757614</v>
      </c>
      <c r="O1742" s="5">
        <v>-20.0819581757614</v>
      </c>
      <c r="P1742" s="5">
        <v>0.0</v>
      </c>
      <c r="Q1742" s="5">
        <v>0.0</v>
      </c>
      <c r="R1742" s="5">
        <v>0.0</v>
      </c>
      <c r="S1742" s="5">
        <v>36.9265935803081</v>
      </c>
    </row>
    <row r="1743">
      <c r="A1743" s="6">
        <v>42885.0</v>
      </c>
      <c r="B1743" s="5">
        <v>58.7210863695229</v>
      </c>
      <c r="C1743" s="5">
        <v>-26.4257474041586</v>
      </c>
      <c r="D1743" s="5">
        <v>102.045488884364</v>
      </c>
      <c r="E1743" s="5">
        <v>58.7210863695229</v>
      </c>
      <c r="F1743" s="5">
        <v>58.7210863695229</v>
      </c>
      <c r="G1743" s="5">
        <v>-18.9700461957321</v>
      </c>
      <c r="H1743" s="5">
        <v>-18.9700461957321</v>
      </c>
      <c r="I1743" s="5">
        <v>-18.9700461957321</v>
      </c>
      <c r="J1743" s="5">
        <v>-0.144118857246188</v>
      </c>
      <c r="K1743" s="5">
        <v>-0.144118857246188</v>
      </c>
      <c r="L1743" s="5">
        <v>-0.144118857246188</v>
      </c>
      <c r="M1743" s="5">
        <v>-18.8259273384859</v>
      </c>
      <c r="N1743" s="5">
        <v>-18.8259273384859</v>
      </c>
      <c r="O1743" s="5">
        <v>-18.8259273384859</v>
      </c>
      <c r="P1743" s="5">
        <v>0.0</v>
      </c>
      <c r="Q1743" s="5">
        <v>0.0</v>
      </c>
      <c r="R1743" s="5">
        <v>0.0</v>
      </c>
      <c r="S1743" s="5">
        <v>39.7510401737907</v>
      </c>
    </row>
    <row r="1744">
      <c r="A1744" s="6">
        <v>42886.0</v>
      </c>
      <c r="B1744" s="5">
        <v>58.7513323812628</v>
      </c>
      <c r="C1744" s="5">
        <v>-23.0696762253586</v>
      </c>
      <c r="D1744" s="5">
        <v>107.320471936172</v>
      </c>
      <c r="E1744" s="5">
        <v>58.7513323812628</v>
      </c>
      <c r="F1744" s="5">
        <v>58.7513323812628</v>
      </c>
      <c r="G1744" s="5">
        <v>-18.4933541336432</v>
      </c>
      <c r="H1744" s="5">
        <v>-18.4933541336432</v>
      </c>
      <c r="I1744" s="5">
        <v>-18.4933541336432</v>
      </c>
      <c r="J1744" s="5">
        <v>0.00703780528271067</v>
      </c>
      <c r="K1744" s="5">
        <v>0.00703780528271067</v>
      </c>
      <c r="L1744" s="5">
        <v>0.00703780528271067</v>
      </c>
      <c r="M1744" s="5">
        <v>-18.5003919389259</v>
      </c>
      <c r="N1744" s="5">
        <v>-18.5003919389259</v>
      </c>
      <c r="O1744" s="5">
        <v>-18.5003919389259</v>
      </c>
      <c r="P1744" s="5">
        <v>0.0</v>
      </c>
      <c r="Q1744" s="5">
        <v>0.0</v>
      </c>
      <c r="R1744" s="5">
        <v>0.0</v>
      </c>
      <c r="S1744" s="5">
        <v>40.2579782476196</v>
      </c>
    </row>
    <row r="1745">
      <c r="A1745" s="6">
        <v>42887.0</v>
      </c>
      <c r="B1745" s="5">
        <v>58.7815783930027</v>
      </c>
      <c r="C1745" s="5">
        <v>-19.3199385376096</v>
      </c>
      <c r="D1745" s="5">
        <v>104.054377824472</v>
      </c>
      <c r="E1745" s="5">
        <v>58.7815783930027</v>
      </c>
      <c r="F1745" s="5">
        <v>58.7815783930027</v>
      </c>
      <c r="G1745" s="5">
        <v>-18.9664688339319</v>
      </c>
      <c r="H1745" s="5">
        <v>-18.9664688339319</v>
      </c>
      <c r="I1745" s="5">
        <v>-18.9664688339319</v>
      </c>
      <c r="J1745" s="5">
        <v>-0.776422525901766</v>
      </c>
      <c r="K1745" s="5">
        <v>-0.776422525901766</v>
      </c>
      <c r="L1745" s="5">
        <v>-0.776422525901766</v>
      </c>
      <c r="M1745" s="5">
        <v>-18.1900463080302</v>
      </c>
      <c r="N1745" s="5">
        <v>-18.1900463080302</v>
      </c>
      <c r="O1745" s="5">
        <v>-18.1900463080302</v>
      </c>
      <c r="P1745" s="5">
        <v>0.0</v>
      </c>
      <c r="Q1745" s="5">
        <v>0.0</v>
      </c>
      <c r="R1745" s="5">
        <v>0.0</v>
      </c>
      <c r="S1745" s="5">
        <v>39.8151095590707</v>
      </c>
    </row>
    <row r="1746">
      <c r="A1746" s="6">
        <v>42888.0</v>
      </c>
      <c r="B1746" s="5">
        <v>58.8118244047426</v>
      </c>
      <c r="C1746" s="5">
        <v>-25.5516799316329</v>
      </c>
      <c r="D1746" s="5">
        <v>93.9156098996867</v>
      </c>
      <c r="E1746" s="5">
        <v>58.8118244047426</v>
      </c>
      <c r="F1746" s="5">
        <v>58.8118244047426</v>
      </c>
      <c r="G1746" s="5">
        <v>-19.4943660245151</v>
      </c>
      <c r="H1746" s="5">
        <v>-19.4943660245151</v>
      </c>
      <c r="I1746" s="5">
        <v>-19.4943660245151</v>
      </c>
      <c r="J1746" s="5">
        <v>-1.59155056649249</v>
      </c>
      <c r="K1746" s="5">
        <v>-1.59155056649249</v>
      </c>
      <c r="L1746" s="5">
        <v>-1.59155056649249</v>
      </c>
      <c r="M1746" s="5">
        <v>-17.9028154580226</v>
      </c>
      <c r="N1746" s="5">
        <v>-17.9028154580226</v>
      </c>
      <c r="O1746" s="5">
        <v>-17.9028154580226</v>
      </c>
      <c r="P1746" s="5">
        <v>0.0</v>
      </c>
      <c r="Q1746" s="5">
        <v>0.0</v>
      </c>
      <c r="R1746" s="5">
        <v>0.0</v>
      </c>
      <c r="S1746" s="5">
        <v>39.3174583802275</v>
      </c>
    </row>
    <row r="1747">
      <c r="A1747" s="6">
        <v>42891.0</v>
      </c>
      <c r="B1747" s="5">
        <v>58.9025624399623</v>
      </c>
      <c r="C1747" s="5">
        <v>-21.7386615372721</v>
      </c>
      <c r="D1747" s="5">
        <v>106.335429967392</v>
      </c>
      <c r="E1747" s="5">
        <v>58.9025624399623</v>
      </c>
      <c r="F1747" s="5">
        <v>58.9025624399623</v>
      </c>
      <c r="G1747" s="5">
        <v>-17.145339513235</v>
      </c>
      <c r="H1747" s="5">
        <v>-17.145339513235</v>
      </c>
      <c r="I1747" s="5">
        <v>-17.145339513235</v>
      </c>
      <c r="J1747" s="5">
        <v>0.090558942123557</v>
      </c>
      <c r="K1747" s="5">
        <v>0.090558942123557</v>
      </c>
      <c r="L1747" s="5">
        <v>0.090558942123557</v>
      </c>
      <c r="M1747" s="5">
        <v>-17.2358984553586</v>
      </c>
      <c r="N1747" s="5">
        <v>-17.2358984553586</v>
      </c>
      <c r="O1747" s="5">
        <v>-17.2358984553586</v>
      </c>
      <c r="P1747" s="5">
        <v>0.0</v>
      </c>
      <c r="Q1747" s="5">
        <v>0.0</v>
      </c>
      <c r="R1747" s="5">
        <v>0.0</v>
      </c>
      <c r="S1747" s="5">
        <v>41.7572229267272</v>
      </c>
    </row>
    <row r="1748">
      <c r="A1748" s="6">
        <v>42892.0</v>
      </c>
      <c r="B1748" s="5">
        <v>58.9328084517022</v>
      </c>
      <c r="C1748" s="5">
        <v>-24.0507937554146</v>
      </c>
      <c r="D1748" s="5">
        <v>102.948749331556</v>
      </c>
      <c r="E1748" s="5">
        <v>58.9328084517022</v>
      </c>
      <c r="F1748" s="5">
        <v>58.9328084517022</v>
      </c>
      <c r="G1748" s="5">
        <v>-17.2327634084932</v>
      </c>
      <c r="H1748" s="5">
        <v>-17.2327634084932</v>
      </c>
      <c r="I1748" s="5">
        <v>-17.2327634084932</v>
      </c>
      <c r="J1748" s="5">
        <v>-0.14411885724399</v>
      </c>
      <c r="K1748" s="5">
        <v>-0.14411885724399</v>
      </c>
      <c r="L1748" s="5">
        <v>-0.14411885724399</v>
      </c>
      <c r="M1748" s="5">
        <v>-17.0886445512492</v>
      </c>
      <c r="N1748" s="5">
        <v>-17.0886445512492</v>
      </c>
      <c r="O1748" s="5">
        <v>-17.0886445512492</v>
      </c>
      <c r="P1748" s="5">
        <v>0.0</v>
      </c>
      <c r="Q1748" s="5">
        <v>0.0</v>
      </c>
      <c r="R1748" s="5">
        <v>0.0</v>
      </c>
      <c r="S1748" s="5">
        <v>41.7000450432089</v>
      </c>
    </row>
    <row r="1749">
      <c r="A1749" s="6">
        <v>42893.0</v>
      </c>
      <c r="B1749" s="5">
        <v>58.9630544634421</v>
      </c>
      <c r="C1749" s="5">
        <v>-19.3546876744892</v>
      </c>
      <c r="D1749" s="5">
        <v>105.233490732277</v>
      </c>
      <c r="E1749" s="5">
        <v>58.9630544634421</v>
      </c>
      <c r="F1749" s="5">
        <v>58.9630544634421</v>
      </c>
      <c r="G1749" s="5">
        <v>-16.9724837065894</v>
      </c>
      <c r="H1749" s="5">
        <v>-16.9724837065894</v>
      </c>
      <c r="I1749" s="5">
        <v>-16.9724837065894</v>
      </c>
      <c r="J1749" s="5">
        <v>0.00703780527969462</v>
      </c>
      <c r="K1749" s="5">
        <v>0.00703780527969462</v>
      </c>
      <c r="L1749" s="5">
        <v>0.00703780527969462</v>
      </c>
      <c r="M1749" s="5">
        <v>-16.9795215118691</v>
      </c>
      <c r="N1749" s="5">
        <v>-16.9795215118691</v>
      </c>
      <c r="O1749" s="5">
        <v>-16.9795215118691</v>
      </c>
      <c r="P1749" s="5">
        <v>0.0</v>
      </c>
      <c r="Q1749" s="5">
        <v>0.0</v>
      </c>
      <c r="R1749" s="5">
        <v>0.0</v>
      </c>
      <c r="S1749" s="5">
        <v>41.9905707568526</v>
      </c>
    </row>
    <row r="1750">
      <c r="A1750" s="6">
        <v>42894.0</v>
      </c>
      <c r="B1750" s="5">
        <v>58.993300475182</v>
      </c>
      <c r="C1750" s="5">
        <v>-22.9226621993334</v>
      </c>
      <c r="D1750" s="5">
        <v>105.3049566907</v>
      </c>
      <c r="E1750" s="5">
        <v>58.993300475182</v>
      </c>
      <c r="F1750" s="5">
        <v>58.993300475182</v>
      </c>
      <c r="G1750" s="5">
        <v>-17.68268994903</v>
      </c>
      <c r="H1750" s="5">
        <v>-17.68268994903</v>
      </c>
      <c r="I1750" s="5">
        <v>-17.68268994903</v>
      </c>
      <c r="J1750" s="5">
        <v>-0.776422525902489</v>
      </c>
      <c r="K1750" s="5">
        <v>-0.776422525902489</v>
      </c>
      <c r="L1750" s="5">
        <v>-0.776422525902489</v>
      </c>
      <c r="M1750" s="5">
        <v>-16.9062674231275</v>
      </c>
      <c r="N1750" s="5">
        <v>-16.9062674231275</v>
      </c>
      <c r="O1750" s="5">
        <v>-16.9062674231275</v>
      </c>
      <c r="P1750" s="5">
        <v>0.0</v>
      </c>
      <c r="Q1750" s="5">
        <v>0.0</v>
      </c>
      <c r="R1750" s="5">
        <v>0.0</v>
      </c>
      <c r="S1750" s="5">
        <v>41.3106105261519</v>
      </c>
    </row>
    <row r="1751">
      <c r="A1751" s="6">
        <v>42895.0</v>
      </c>
      <c r="B1751" s="5">
        <v>59.0235464869219</v>
      </c>
      <c r="C1751" s="5">
        <v>-22.3988784891143</v>
      </c>
      <c r="D1751" s="5">
        <v>101.646054310193</v>
      </c>
      <c r="E1751" s="5">
        <v>59.0235464869219</v>
      </c>
      <c r="F1751" s="5">
        <v>59.0235464869219</v>
      </c>
      <c r="G1751" s="5">
        <v>-18.4565551856006</v>
      </c>
      <c r="H1751" s="5">
        <v>-18.4565551856006</v>
      </c>
      <c r="I1751" s="5">
        <v>-18.4565551856006</v>
      </c>
      <c r="J1751" s="5">
        <v>-1.59155056649157</v>
      </c>
      <c r="K1751" s="5">
        <v>-1.59155056649157</v>
      </c>
      <c r="L1751" s="5">
        <v>-1.59155056649157</v>
      </c>
      <c r="M1751" s="5">
        <v>-16.865004619109</v>
      </c>
      <c r="N1751" s="5">
        <v>-16.865004619109</v>
      </c>
      <c r="O1751" s="5">
        <v>-16.865004619109</v>
      </c>
      <c r="P1751" s="5">
        <v>0.0</v>
      </c>
      <c r="Q1751" s="5">
        <v>0.0</v>
      </c>
      <c r="R1751" s="5">
        <v>0.0</v>
      </c>
      <c r="S1751" s="5">
        <v>40.5669913013212</v>
      </c>
    </row>
    <row r="1752">
      <c r="A1752" s="6">
        <v>42898.0</v>
      </c>
      <c r="B1752" s="5">
        <v>59.1142845221416</v>
      </c>
      <c r="C1752" s="5">
        <v>-20.9539775054119</v>
      </c>
      <c r="D1752" s="5">
        <v>102.611942111549</v>
      </c>
      <c r="E1752" s="5">
        <v>59.1142845221416</v>
      </c>
      <c r="F1752" s="5">
        <v>59.1142845221416</v>
      </c>
      <c r="G1752" s="5">
        <v>-16.7833150521296</v>
      </c>
      <c r="H1752" s="5">
        <v>-16.7833150521296</v>
      </c>
      <c r="I1752" s="5">
        <v>-16.7833150521296</v>
      </c>
      <c r="J1752" s="5">
        <v>0.0905589421221195</v>
      </c>
      <c r="K1752" s="5">
        <v>0.0905589421221195</v>
      </c>
      <c r="L1752" s="5">
        <v>0.0905589421221195</v>
      </c>
      <c r="M1752" s="5">
        <v>-16.8738739942517</v>
      </c>
      <c r="N1752" s="5">
        <v>-16.8738739942517</v>
      </c>
      <c r="O1752" s="5">
        <v>-16.8738739942517</v>
      </c>
      <c r="P1752" s="5">
        <v>0.0</v>
      </c>
      <c r="Q1752" s="5">
        <v>0.0</v>
      </c>
      <c r="R1752" s="5">
        <v>0.0</v>
      </c>
      <c r="S1752" s="5">
        <v>42.3309694700119</v>
      </c>
    </row>
    <row r="1753">
      <c r="A1753" s="6">
        <v>42899.0</v>
      </c>
      <c r="B1753" s="5">
        <v>59.1445305338815</v>
      </c>
      <c r="C1753" s="5">
        <v>-24.1736510087211</v>
      </c>
      <c r="D1753" s="5">
        <v>110.70275354326</v>
      </c>
      <c r="E1753" s="5">
        <v>59.1445305338815</v>
      </c>
      <c r="F1753" s="5">
        <v>59.1445305338815</v>
      </c>
      <c r="G1753" s="5">
        <v>-17.0401848276668</v>
      </c>
      <c r="H1753" s="5">
        <v>-17.0401848276668</v>
      </c>
      <c r="I1753" s="5">
        <v>-17.0401848276668</v>
      </c>
      <c r="J1753" s="5">
        <v>-0.144118857245426</v>
      </c>
      <c r="K1753" s="5">
        <v>-0.144118857245426</v>
      </c>
      <c r="L1753" s="5">
        <v>-0.144118857245426</v>
      </c>
      <c r="M1753" s="5">
        <v>-16.8960659704214</v>
      </c>
      <c r="N1753" s="5">
        <v>-16.8960659704214</v>
      </c>
      <c r="O1753" s="5">
        <v>-16.8960659704214</v>
      </c>
      <c r="P1753" s="5">
        <v>0.0</v>
      </c>
      <c r="Q1753" s="5">
        <v>0.0</v>
      </c>
      <c r="R1753" s="5">
        <v>0.0</v>
      </c>
      <c r="S1753" s="5">
        <v>42.1043457062146</v>
      </c>
    </row>
    <row r="1754">
      <c r="A1754" s="6">
        <v>42900.0</v>
      </c>
      <c r="B1754" s="5">
        <v>59.1747765456214</v>
      </c>
      <c r="C1754" s="5">
        <v>-23.4836397042418</v>
      </c>
      <c r="D1754" s="5">
        <v>101.726181429472</v>
      </c>
      <c r="E1754" s="5">
        <v>59.1747765456214</v>
      </c>
      <c r="F1754" s="5">
        <v>59.1747765456214</v>
      </c>
      <c r="G1754" s="5">
        <v>-16.9066890681742</v>
      </c>
      <c r="H1754" s="5">
        <v>-16.9066890681742</v>
      </c>
      <c r="I1754" s="5">
        <v>-16.9066890681742</v>
      </c>
      <c r="J1754" s="5">
        <v>0.00703780528100569</v>
      </c>
      <c r="K1754" s="5">
        <v>0.00703780528100569</v>
      </c>
      <c r="L1754" s="5">
        <v>0.00703780528100569</v>
      </c>
      <c r="M1754" s="5">
        <v>-16.9137268734552</v>
      </c>
      <c r="N1754" s="5">
        <v>-16.9137268734552</v>
      </c>
      <c r="O1754" s="5">
        <v>-16.9137268734552</v>
      </c>
      <c r="P1754" s="5">
        <v>0.0</v>
      </c>
      <c r="Q1754" s="5">
        <v>0.0</v>
      </c>
      <c r="R1754" s="5">
        <v>0.0</v>
      </c>
      <c r="S1754" s="5">
        <v>42.2680874774471</v>
      </c>
    </row>
    <row r="1755">
      <c r="A1755" s="6">
        <v>42901.0</v>
      </c>
      <c r="B1755" s="5">
        <v>59.2050225573613</v>
      </c>
      <c r="C1755" s="5">
        <v>-22.8688643724001</v>
      </c>
      <c r="D1755" s="5">
        <v>102.317427819414</v>
      </c>
      <c r="E1755" s="5">
        <v>59.2050225573613</v>
      </c>
      <c r="F1755" s="5">
        <v>59.2050225573613</v>
      </c>
      <c r="G1755" s="5">
        <v>-17.6944242546296</v>
      </c>
      <c r="H1755" s="5">
        <v>-17.6944242546296</v>
      </c>
      <c r="I1755" s="5">
        <v>-17.6944242546296</v>
      </c>
      <c r="J1755" s="5">
        <v>-0.77642252590321</v>
      </c>
      <c r="K1755" s="5">
        <v>-0.77642252590321</v>
      </c>
      <c r="L1755" s="5">
        <v>-0.77642252590321</v>
      </c>
      <c r="M1755" s="5">
        <v>-16.9180017287264</v>
      </c>
      <c r="N1755" s="5">
        <v>-16.9180017287264</v>
      </c>
      <c r="O1755" s="5">
        <v>-16.9180017287264</v>
      </c>
      <c r="P1755" s="5">
        <v>0.0</v>
      </c>
      <c r="Q1755" s="5">
        <v>0.0</v>
      </c>
      <c r="R1755" s="5">
        <v>0.0</v>
      </c>
      <c r="S1755" s="5">
        <v>41.5105983027316</v>
      </c>
    </row>
    <row r="1756">
      <c r="A1756" s="6">
        <v>42902.0</v>
      </c>
      <c r="B1756" s="5">
        <v>59.2352685691012</v>
      </c>
      <c r="C1756" s="5">
        <v>-21.5269101262775</v>
      </c>
      <c r="D1756" s="5">
        <v>103.140432162556</v>
      </c>
      <c r="E1756" s="5">
        <v>59.2352685691012</v>
      </c>
      <c r="F1756" s="5">
        <v>59.2352685691012</v>
      </c>
      <c r="G1756" s="5">
        <v>-18.4917770985298</v>
      </c>
      <c r="H1756" s="5">
        <v>-18.4917770985298</v>
      </c>
      <c r="I1756" s="5">
        <v>-18.4917770985298</v>
      </c>
      <c r="J1756" s="5">
        <v>-1.59155056649308</v>
      </c>
      <c r="K1756" s="5">
        <v>-1.59155056649308</v>
      </c>
      <c r="L1756" s="5">
        <v>-1.59155056649308</v>
      </c>
      <c r="M1756" s="5">
        <v>-16.9002265320367</v>
      </c>
      <c r="N1756" s="5">
        <v>-16.9002265320367</v>
      </c>
      <c r="O1756" s="5">
        <v>-16.9002265320367</v>
      </c>
      <c r="P1756" s="5">
        <v>0.0</v>
      </c>
      <c r="Q1756" s="5">
        <v>0.0</v>
      </c>
      <c r="R1756" s="5">
        <v>0.0</v>
      </c>
      <c r="S1756" s="5">
        <v>40.7434914705713</v>
      </c>
    </row>
    <row r="1757">
      <c r="A1757" s="6">
        <v>42905.0</v>
      </c>
      <c r="B1757" s="5">
        <v>59.3260066043209</v>
      </c>
      <c r="C1757" s="5">
        <v>-20.7036041898872</v>
      </c>
      <c r="D1757" s="5">
        <v>111.595603302423</v>
      </c>
      <c r="E1757" s="5">
        <v>59.3260066043209</v>
      </c>
      <c r="F1757" s="5">
        <v>59.3260066043209</v>
      </c>
      <c r="G1757" s="5">
        <v>-16.5465632761237</v>
      </c>
      <c r="H1757" s="5">
        <v>-16.5465632761237</v>
      </c>
      <c r="I1757" s="5">
        <v>-16.5465632761237</v>
      </c>
      <c r="J1757" s="5">
        <v>0.090558942120682</v>
      </c>
      <c r="K1757" s="5">
        <v>0.090558942120682</v>
      </c>
      <c r="L1757" s="5">
        <v>0.090558942120682</v>
      </c>
      <c r="M1757" s="5">
        <v>-16.6371222182443</v>
      </c>
      <c r="N1757" s="5">
        <v>-16.6371222182443</v>
      </c>
      <c r="O1757" s="5">
        <v>-16.6371222182443</v>
      </c>
      <c r="P1757" s="5">
        <v>0.0</v>
      </c>
      <c r="Q1757" s="5">
        <v>0.0</v>
      </c>
      <c r="R1757" s="5">
        <v>0.0</v>
      </c>
      <c r="S1757" s="5">
        <v>42.7794433281971</v>
      </c>
    </row>
    <row r="1758">
      <c r="A1758" s="6">
        <v>42906.0</v>
      </c>
      <c r="B1758" s="5">
        <v>59.3562526160607</v>
      </c>
      <c r="C1758" s="5">
        <v>-20.7027058693788</v>
      </c>
      <c r="D1758" s="5">
        <v>103.492321220985</v>
      </c>
      <c r="E1758" s="5">
        <v>59.3562526160607</v>
      </c>
      <c r="F1758" s="5">
        <v>59.3562526160607</v>
      </c>
      <c r="G1758" s="5">
        <v>-16.6027462836637</v>
      </c>
      <c r="H1758" s="5">
        <v>-16.6027462836637</v>
      </c>
      <c r="I1758" s="5">
        <v>-16.6027462836637</v>
      </c>
      <c r="J1758" s="5">
        <v>-0.144118857243228</v>
      </c>
      <c r="K1758" s="5">
        <v>-0.144118857243228</v>
      </c>
      <c r="L1758" s="5">
        <v>-0.144118857243228</v>
      </c>
      <c r="M1758" s="5">
        <v>-16.4586274264205</v>
      </c>
      <c r="N1758" s="5">
        <v>-16.4586274264205</v>
      </c>
      <c r="O1758" s="5">
        <v>-16.4586274264205</v>
      </c>
      <c r="P1758" s="5">
        <v>0.0</v>
      </c>
      <c r="Q1758" s="5">
        <v>0.0</v>
      </c>
      <c r="R1758" s="5">
        <v>0.0</v>
      </c>
      <c r="S1758" s="5">
        <v>42.753506332397</v>
      </c>
    </row>
    <row r="1759">
      <c r="A1759" s="6">
        <v>42907.0</v>
      </c>
      <c r="B1759" s="5">
        <v>59.3864986278006</v>
      </c>
      <c r="C1759" s="5">
        <v>-17.7101586396521</v>
      </c>
      <c r="D1759" s="5">
        <v>104.485182600721</v>
      </c>
      <c r="E1759" s="5">
        <v>59.3864986278006</v>
      </c>
      <c r="F1759" s="5">
        <v>59.3864986278006</v>
      </c>
      <c r="G1759" s="5">
        <v>-16.2205502773229</v>
      </c>
      <c r="H1759" s="5">
        <v>-16.2205502773229</v>
      </c>
      <c r="I1759" s="5">
        <v>-16.2205502773229</v>
      </c>
      <c r="J1759" s="5">
        <v>0.0070378052833082</v>
      </c>
      <c r="K1759" s="5">
        <v>0.0070378052833082</v>
      </c>
      <c r="L1759" s="5">
        <v>0.0070378052833082</v>
      </c>
      <c r="M1759" s="5">
        <v>-16.2275880826062</v>
      </c>
      <c r="N1759" s="5">
        <v>-16.2275880826062</v>
      </c>
      <c r="O1759" s="5">
        <v>-16.2275880826062</v>
      </c>
      <c r="P1759" s="5">
        <v>0.0</v>
      </c>
      <c r="Q1759" s="5">
        <v>0.0</v>
      </c>
      <c r="R1759" s="5">
        <v>0.0</v>
      </c>
      <c r="S1759" s="5">
        <v>43.1659483504777</v>
      </c>
    </row>
    <row r="1760">
      <c r="A1760" s="6">
        <v>42908.0</v>
      </c>
      <c r="B1760" s="5">
        <v>59.4167446395405</v>
      </c>
      <c r="C1760" s="5">
        <v>-18.1337743863452</v>
      </c>
      <c r="D1760" s="5">
        <v>106.603528037652</v>
      </c>
      <c r="E1760" s="5">
        <v>59.4167446395405</v>
      </c>
      <c r="F1760" s="5">
        <v>59.4167446395405</v>
      </c>
      <c r="G1760" s="5">
        <v>-16.7184798831248</v>
      </c>
      <c r="H1760" s="5">
        <v>-16.7184798831248</v>
      </c>
      <c r="I1760" s="5">
        <v>-16.7184798831248</v>
      </c>
      <c r="J1760" s="5">
        <v>-0.776422525902457</v>
      </c>
      <c r="K1760" s="5">
        <v>-0.776422525902457</v>
      </c>
      <c r="L1760" s="5">
        <v>-0.776422525902457</v>
      </c>
      <c r="M1760" s="5">
        <v>-15.9420573572223</v>
      </c>
      <c r="N1760" s="5">
        <v>-15.9420573572223</v>
      </c>
      <c r="O1760" s="5">
        <v>-15.9420573572223</v>
      </c>
      <c r="P1760" s="5">
        <v>0.0</v>
      </c>
      <c r="Q1760" s="5">
        <v>0.0</v>
      </c>
      <c r="R1760" s="5">
        <v>0.0</v>
      </c>
      <c r="S1760" s="5">
        <v>42.6982647564157</v>
      </c>
    </row>
    <row r="1761">
      <c r="A1761" s="6">
        <v>42909.0</v>
      </c>
      <c r="B1761" s="5">
        <v>59.4469906512804</v>
      </c>
      <c r="C1761" s="5">
        <v>-23.1003496793473</v>
      </c>
      <c r="D1761" s="5">
        <v>97.2768586656847</v>
      </c>
      <c r="E1761" s="5">
        <v>59.4469906512804</v>
      </c>
      <c r="F1761" s="5">
        <v>59.4469906512804</v>
      </c>
      <c r="G1761" s="5">
        <v>-17.1933584936022</v>
      </c>
      <c r="H1761" s="5">
        <v>-17.1933584936022</v>
      </c>
      <c r="I1761" s="5">
        <v>-17.1933584936022</v>
      </c>
      <c r="J1761" s="5">
        <v>-1.59155056649215</v>
      </c>
      <c r="K1761" s="5">
        <v>-1.59155056649215</v>
      </c>
      <c r="L1761" s="5">
        <v>-1.59155056649215</v>
      </c>
      <c r="M1761" s="5">
        <v>-15.60180792711</v>
      </c>
      <c r="N1761" s="5">
        <v>-15.60180792711</v>
      </c>
      <c r="O1761" s="5">
        <v>-15.60180792711</v>
      </c>
      <c r="P1761" s="5">
        <v>0.0</v>
      </c>
      <c r="Q1761" s="5">
        <v>0.0</v>
      </c>
      <c r="R1761" s="5">
        <v>0.0</v>
      </c>
      <c r="S1761" s="5">
        <v>42.2536321576782</v>
      </c>
    </row>
    <row r="1762">
      <c r="A1762" s="6">
        <v>42912.0</v>
      </c>
      <c r="B1762" s="5">
        <v>59.5377286865001</v>
      </c>
      <c r="C1762" s="5">
        <v>-19.6211176148252</v>
      </c>
      <c r="D1762" s="5">
        <v>107.703349944725</v>
      </c>
      <c r="E1762" s="5">
        <v>59.5377286865001</v>
      </c>
      <c r="F1762" s="5">
        <v>59.5377286865001</v>
      </c>
      <c r="G1762" s="5">
        <v>-14.1862322968848</v>
      </c>
      <c r="H1762" s="5">
        <v>-14.1862322968848</v>
      </c>
      <c r="I1762" s="5">
        <v>-14.1862322968848</v>
      </c>
      <c r="J1762" s="5">
        <v>0.0905589421192446</v>
      </c>
      <c r="K1762" s="5">
        <v>0.0905589421192446</v>
      </c>
      <c r="L1762" s="5">
        <v>0.0905589421192446</v>
      </c>
      <c r="M1762" s="5">
        <v>-14.276791239004</v>
      </c>
      <c r="N1762" s="5">
        <v>-14.276791239004</v>
      </c>
      <c r="O1762" s="5">
        <v>-14.276791239004</v>
      </c>
      <c r="P1762" s="5">
        <v>0.0</v>
      </c>
      <c r="Q1762" s="5">
        <v>0.0</v>
      </c>
      <c r="R1762" s="5">
        <v>0.0</v>
      </c>
      <c r="S1762" s="5">
        <v>45.3514963896153</v>
      </c>
    </row>
    <row r="1763">
      <c r="A1763" s="6">
        <v>42913.0</v>
      </c>
      <c r="B1763" s="5">
        <v>59.56797469824</v>
      </c>
      <c r="C1763" s="5">
        <v>-19.1746912044653</v>
      </c>
      <c r="D1763" s="5">
        <v>104.229387721538</v>
      </c>
      <c r="E1763" s="5">
        <v>59.56797469824</v>
      </c>
      <c r="F1763" s="5">
        <v>59.56797469824</v>
      </c>
      <c r="G1763" s="5">
        <v>-13.8942691936132</v>
      </c>
      <c r="H1763" s="5">
        <v>-13.8942691936132</v>
      </c>
      <c r="I1763" s="5">
        <v>-13.8942691936132</v>
      </c>
      <c r="J1763" s="5">
        <v>-0.144118857246078</v>
      </c>
      <c r="K1763" s="5">
        <v>-0.144118857246078</v>
      </c>
      <c r="L1763" s="5">
        <v>-0.144118857246078</v>
      </c>
      <c r="M1763" s="5">
        <v>-13.7501503363671</v>
      </c>
      <c r="N1763" s="5">
        <v>-13.7501503363671</v>
      </c>
      <c r="O1763" s="5">
        <v>-13.7501503363671</v>
      </c>
      <c r="P1763" s="5">
        <v>0.0</v>
      </c>
      <c r="Q1763" s="5">
        <v>0.0</v>
      </c>
      <c r="R1763" s="5">
        <v>0.0</v>
      </c>
      <c r="S1763" s="5">
        <v>45.6737055046268</v>
      </c>
    </row>
    <row r="1764">
      <c r="A1764" s="6">
        <v>42914.0</v>
      </c>
      <c r="B1764" s="5">
        <v>59.5982207099799</v>
      </c>
      <c r="C1764" s="5">
        <v>-14.501134415127</v>
      </c>
      <c r="D1764" s="5">
        <v>106.61432000992</v>
      </c>
      <c r="E1764" s="5">
        <v>59.5982207099799</v>
      </c>
      <c r="F1764" s="5">
        <v>59.5982207099799</v>
      </c>
      <c r="G1764" s="5">
        <v>-13.1860225638014</v>
      </c>
      <c r="H1764" s="5">
        <v>-13.1860225638014</v>
      </c>
      <c r="I1764" s="5">
        <v>-13.1860225638014</v>
      </c>
      <c r="J1764" s="5">
        <v>0.00703780528245561</v>
      </c>
      <c r="K1764" s="5">
        <v>0.00703780528245561</v>
      </c>
      <c r="L1764" s="5">
        <v>0.00703780528245561</v>
      </c>
      <c r="M1764" s="5">
        <v>-13.1930603690838</v>
      </c>
      <c r="N1764" s="5">
        <v>-13.1930603690838</v>
      </c>
      <c r="O1764" s="5">
        <v>-13.1930603690838</v>
      </c>
      <c r="P1764" s="5">
        <v>0.0</v>
      </c>
      <c r="Q1764" s="5">
        <v>0.0</v>
      </c>
      <c r="R1764" s="5">
        <v>0.0</v>
      </c>
      <c r="S1764" s="5">
        <v>46.4121981461785</v>
      </c>
    </row>
    <row r="1765">
      <c r="A1765" s="6">
        <v>42915.0</v>
      </c>
      <c r="B1765" s="5">
        <v>59.6284667217198</v>
      </c>
      <c r="C1765" s="5">
        <v>-17.6365927308889</v>
      </c>
      <c r="D1765" s="5">
        <v>113.134191939971</v>
      </c>
      <c r="E1765" s="5">
        <v>59.6284667217198</v>
      </c>
      <c r="F1765" s="5">
        <v>59.6284667217198</v>
      </c>
      <c r="G1765" s="5">
        <v>-13.3910682510456</v>
      </c>
      <c r="H1765" s="5">
        <v>-13.3910682510456</v>
      </c>
      <c r="I1765" s="5">
        <v>-13.3910682510456</v>
      </c>
      <c r="J1765" s="5">
        <v>-0.776422525901804</v>
      </c>
      <c r="K1765" s="5">
        <v>-0.776422525901804</v>
      </c>
      <c r="L1765" s="5">
        <v>-0.776422525901804</v>
      </c>
      <c r="M1765" s="5">
        <v>-12.6146457251438</v>
      </c>
      <c r="N1765" s="5">
        <v>-12.6146457251438</v>
      </c>
      <c r="O1765" s="5">
        <v>-12.6146457251438</v>
      </c>
      <c r="P1765" s="5">
        <v>0.0</v>
      </c>
      <c r="Q1765" s="5">
        <v>0.0</v>
      </c>
      <c r="R1765" s="5">
        <v>0.0</v>
      </c>
      <c r="S1765" s="5">
        <v>46.2373984706742</v>
      </c>
    </row>
    <row r="1766">
      <c r="A1766" s="6">
        <v>42916.0</v>
      </c>
      <c r="B1766" s="5">
        <v>59.6587127334597</v>
      </c>
      <c r="C1766" s="5">
        <v>-17.4717918193101</v>
      </c>
      <c r="D1766" s="5">
        <v>111.219048708085</v>
      </c>
      <c r="E1766" s="5">
        <v>59.6587127334597</v>
      </c>
      <c r="F1766" s="5">
        <v>59.6587127334597</v>
      </c>
      <c r="G1766" s="5">
        <v>-13.6165184123993</v>
      </c>
      <c r="H1766" s="5">
        <v>-13.6165184123993</v>
      </c>
      <c r="I1766" s="5">
        <v>-13.6165184123993</v>
      </c>
      <c r="J1766" s="5">
        <v>-1.59155056649122</v>
      </c>
      <c r="K1766" s="5">
        <v>-1.59155056649122</v>
      </c>
      <c r="L1766" s="5">
        <v>-1.59155056649122</v>
      </c>
      <c r="M1766" s="5">
        <v>-12.024967845908</v>
      </c>
      <c r="N1766" s="5">
        <v>-12.024967845908</v>
      </c>
      <c r="O1766" s="5">
        <v>-12.024967845908</v>
      </c>
      <c r="P1766" s="5">
        <v>0.0</v>
      </c>
      <c r="Q1766" s="5">
        <v>0.0</v>
      </c>
      <c r="R1766" s="5">
        <v>0.0</v>
      </c>
      <c r="S1766" s="5">
        <v>46.0421943210604</v>
      </c>
    </row>
    <row r="1767">
      <c r="A1767" s="6">
        <v>42919.0</v>
      </c>
      <c r="B1767" s="5">
        <v>59.7494507686794</v>
      </c>
      <c r="C1767" s="5">
        <v>-19.4331621748726</v>
      </c>
      <c r="D1767" s="5">
        <v>111.494338917239</v>
      </c>
      <c r="E1767" s="5">
        <v>59.7494507686794</v>
      </c>
      <c r="F1767" s="5">
        <v>59.7494507686794</v>
      </c>
      <c r="G1767" s="5">
        <v>-10.2064281663137</v>
      </c>
      <c r="H1767" s="5">
        <v>-10.2064281663137</v>
      </c>
      <c r="I1767" s="5">
        <v>-10.2064281663137</v>
      </c>
      <c r="J1767" s="5">
        <v>0.090558942122655</v>
      </c>
      <c r="K1767" s="5">
        <v>0.090558942122655</v>
      </c>
      <c r="L1767" s="5">
        <v>0.090558942122655</v>
      </c>
      <c r="M1767" s="5">
        <v>-10.2969871084364</v>
      </c>
      <c r="N1767" s="5">
        <v>-10.2969871084364</v>
      </c>
      <c r="O1767" s="5">
        <v>-10.2969871084364</v>
      </c>
      <c r="P1767" s="5">
        <v>0.0</v>
      </c>
      <c r="Q1767" s="5">
        <v>0.0</v>
      </c>
      <c r="R1767" s="5">
        <v>0.0</v>
      </c>
      <c r="S1767" s="5">
        <v>49.5430226023657</v>
      </c>
    </row>
    <row r="1768">
      <c r="A1768" s="6">
        <v>42921.0</v>
      </c>
      <c r="B1768" s="5">
        <v>59.8099427921592</v>
      </c>
      <c r="C1768" s="5">
        <v>-9.46657291394055</v>
      </c>
      <c r="D1768" s="5">
        <v>115.872921363353</v>
      </c>
      <c r="E1768" s="5">
        <v>59.8099427921592</v>
      </c>
      <c r="F1768" s="5">
        <v>59.8099427921592</v>
      </c>
      <c r="G1768" s="5">
        <v>-9.28144589277222</v>
      </c>
      <c r="H1768" s="5">
        <v>-9.28144589277222</v>
      </c>
      <c r="I1768" s="5">
        <v>-9.28144589277222</v>
      </c>
      <c r="J1768" s="5">
        <v>0.00703780528376668</v>
      </c>
      <c r="K1768" s="5">
        <v>0.00703780528376668</v>
      </c>
      <c r="L1768" s="5">
        <v>0.00703780528376668</v>
      </c>
      <c r="M1768" s="5">
        <v>-9.28848369805599</v>
      </c>
      <c r="N1768" s="5">
        <v>-9.28848369805599</v>
      </c>
      <c r="O1768" s="5">
        <v>-9.28848369805599</v>
      </c>
      <c r="P1768" s="5">
        <v>0.0</v>
      </c>
      <c r="Q1768" s="5">
        <v>0.0</v>
      </c>
      <c r="R1768" s="5">
        <v>0.0</v>
      </c>
      <c r="S1768" s="5">
        <v>50.528496899387</v>
      </c>
    </row>
    <row r="1769">
      <c r="A1769" s="6">
        <v>42922.0</v>
      </c>
      <c r="B1769" s="5">
        <v>59.8401888038991</v>
      </c>
      <c r="C1769" s="5">
        <v>-12.568808242361</v>
      </c>
      <c r="D1769" s="5">
        <v>108.181073984834</v>
      </c>
      <c r="E1769" s="5">
        <v>59.8401888038991</v>
      </c>
      <c r="F1769" s="5">
        <v>59.8401888038991</v>
      </c>
      <c r="G1769" s="5">
        <v>-9.63402772051491</v>
      </c>
      <c r="H1769" s="5">
        <v>-9.63402772051491</v>
      </c>
      <c r="I1769" s="5">
        <v>-9.63402772051491</v>
      </c>
      <c r="J1769" s="5">
        <v>-0.776422525903901</v>
      </c>
      <c r="K1769" s="5">
        <v>-0.776422525903901</v>
      </c>
      <c r="L1769" s="5">
        <v>-0.776422525903901</v>
      </c>
      <c r="M1769" s="5">
        <v>-8.85760519461101</v>
      </c>
      <c r="N1769" s="5">
        <v>-8.85760519461101</v>
      </c>
      <c r="O1769" s="5">
        <v>-8.85760519461101</v>
      </c>
      <c r="P1769" s="5">
        <v>0.0</v>
      </c>
      <c r="Q1769" s="5">
        <v>0.0</v>
      </c>
      <c r="R1769" s="5">
        <v>0.0</v>
      </c>
      <c r="S1769" s="5">
        <v>50.2061610833842</v>
      </c>
    </row>
    <row r="1770">
      <c r="A1770" s="6">
        <v>42923.0</v>
      </c>
      <c r="B1770" s="5">
        <v>59.870434815639</v>
      </c>
      <c r="C1770" s="5">
        <v>-9.49250717028225</v>
      </c>
      <c r="D1770" s="5">
        <v>112.302452087141</v>
      </c>
      <c r="E1770" s="5">
        <v>59.870434815639</v>
      </c>
      <c r="F1770" s="5">
        <v>59.870434815639</v>
      </c>
      <c r="G1770" s="5">
        <v>-10.0784659052089</v>
      </c>
      <c r="H1770" s="5">
        <v>-10.0784659052089</v>
      </c>
      <c r="I1770" s="5">
        <v>-10.0784659052089</v>
      </c>
      <c r="J1770" s="5">
        <v>-1.5915505664961</v>
      </c>
      <c r="K1770" s="5">
        <v>-1.5915505664961</v>
      </c>
      <c r="L1770" s="5">
        <v>-1.5915505664961</v>
      </c>
      <c r="M1770" s="5">
        <v>-8.48691533871281</v>
      </c>
      <c r="N1770" s="5">
        <v>-8.48691533871281</v>
      </c>
      <c r="O1770" s="5">
        <v>-8.48691533871281</v>
      </c>
      <c r="P1770" s="5">
        <v>0.0</v>
      </c>
      <c r="Q1770" s="5">
        <v>0.0</v>
      </c>
      <c r="R1770" s="5">
        <v>0.0</v>
      </c>
      <c r="S1770" s="5">
        <v>49.7919689104301</v>
      </c>
    </row>
    <row r="1771">
      <c r="A1771" s="6">
        <v>42926.0</v>
      </c>
      <c r="B1771" s="5">
        <v>59.9611728508587</v>
      </c>
      <c r="C1771" s="5">
        <v>-11.2692145661281</v>
      </c>
      <c r="D1771" s="5">
        <v>111.961409471966</v>
      </c>
      <c r="E1771" s="5">
        <v>59.9611728508587</v>
      </c>
      <c r="F1771" s="5">
        <v>59.9611728508587</v>
      </c>
      <c r="G1771" s="5">
        <v>-7.70462363387408</v>
      </c>
      <c r="H1771" s="5">
        <v>-7.70462363387408</v>
      </c>
      <c r="I1771" s="5">
        <v>-7.70462363387408</v>
      </c>
      <c r="J1771" s="5">
        <v>0.0905589421188338</v>
      </c>
      <c r="K1771" s="5">
        <v>0.0905589421188338</v>
      </c>
      <c r="L1771" s="5">
        <v>0.0905589421188338</v>
      </c>
      <c r="M1771" s="5">
        <v>-7.79518257599292</v>
      </c>
      <c r="N1771" s="5">
        <v>-7.79518257599292</v>
      </c>
      <c r="O1771" s="5">
        <v>-7.79518257599292</v>
      </c>
      <c r="P1771" s="5">
        <v>0.0</v>
      </c>
      <c r="Q1771" s="5">
        <v>0.0</v>
      </c>
      <c r="R1771" s="5">
        <v>0.0</v>
      </c>
      <c r="S1771" s="5">
        <v>52.2565492169846</v>
      </c>
    </row>
    <row r="1772">
      <c r="A1772" s="6">
        <v>42927.0</v>
      </c>
      <c r="B1772" s="5">
        <v>59.9914188625986</v>
      </c>
      <c r="C1772" s="5">
        <v>-7.56139262631541</v>
      </c>
      <c r="D1772" s="5">
        <v>117.051097160697</v>
      </c>
      <c r="E1772" s="5">
        <v>59.9914188625986</v>
      </c>
      <c r="F1772" s="5">
        <v>59.9914188625986</v>
      </c>
      <c r="G1772" s="5">
        <v>-7.85988604687113</v>
      </c>
      <c r="H1772" s="5">
        <v>-7.85988604687113</v>
      </c>
      <c r="I1772" s="5">
        <v>-7.85988604687113</v>
      </c>
      <c r="J1772" s="5">
        <v>-0.144118857243902</v>
      </c>
      <c r="K1772" s="5">
        <v>-0.144118857243902</v>
      </c>
      <c r="L1772" s="5">
        <v>-0.144118857243902</v>
      </c>
      <c r="M1772" s="5">
        <v>-7.71576718962723</v>
      </c>
      <c r="N1772" s="5">
        <v>-7.71576718962723</v>
      </c>
      <c r="O1772" s="5">
        <v>-7.71576718962723</v>
      </c>
      <c r="P1772" s="5">
        <v>0.0</v>
      </c>
      <c r="Q1772" s="5">
        <v>0.0</v>
      </c>
      <c r="R1772" s="5">
        <v>0.0</v>
      </c>
      <c r="S1772" s="5">
        <v>52.1315328157275</v>
      </c>
    </row>
    <row r="1773">
      <c r="A1773" s="6">
        <v>42928.0</v>
      </c>
      <c r="B1773" s="5">
        <v>60.0216648743385</v>
      </c>
      <c r="C1773" s="5">
        <v>-12.7861102911842</v>
      </c>
      <c r="D1773" s="5">
        <v>112.361149782062</v>
      </c>
      <c r="E1773" s="5">
        <v>60.0216648743385</v>
      </c>
      <c r="F1773" s="5">
        <v>60.0216648743385</v>
      </c>
      <c r="G1773" s="5">
        <v>-7.70569999392213</v>
      </c>
      <c r="H1773" s="5">
        <v>-7.70569999392213</v>
      </c>
      <c r="I1773" s="5">
        <v>-7.70569999392213</v>
      </c>
      <c r="J1773" s="5">
        <v>0.0070378052807507</v>
      </c>
      <c r="K1773" s="5">
        <v>0.0070378052807507</v>
      </c>
      <c r="L1773" s="5">
        <v>0.0070378052807507</v>
      </c>
      <c r="M1773" s="5">
        <v>-7.71273779920288</v>
      </c>
      <c r="N1773" s="5">
        <v>-7.71273779920288</v>
      </c>
      <c r="O1773" s="5">
        <v>-7.71273779920288</v>
      </c>
      <c r="P1773" s="5">
        <v>0.0</v>
      </c>
      <c r="Q1773" s="5">
        <v>0.0</v>
      </c>
      <c r="R1773" s="5">
        <v>0.0</v>
      </c>
      <c r="S1773" s="5">
        <v>52.3159648804164</v>
      </c>
    </row>
    <row r="1774">
      <c r="A1774" s="6">
        <v>42929.0</v>
      </c>
      <c r="B1774" s="5">
        <v>60.0519108860784</v>
      </c>
      <c r="C1774" s="5">
        <v>-11.6323950163334</v>
      </c>
      <c r="D1774" s="5">
        <v>116.07715111022</v>
      </c>
      <c r="E1774" s="5">
        <v>60.0519108860784</v>
      </c>
      <c r="F1774" s="5">
        <v>60.0519108860784</v>
      </c>
      <c r="G1774" s="5">
        <v>-8.5600905236179</v>
      </c>
      <c r="H1774" s="5">
        <v>-8.5600905236179</v>
      </c>
      <c r="I1774" s="5">
        <v>-8.5600905236179</v>
      </c>
      <c r="J1774" s="5">
        <v>-0.776422525903148</v>
      </c>
      <c r="K1774" s="5">
        <v>-0.776422525903148</v>
      </c>
      <c r="L1774" s="5">
        <v>-0.776422525903148</v>
      </c>
      <c r="M1774" s="5">
        <v>-7.78366799771475</v>
      </c>
      <c r="N1774" s="5">
        <v>-7.78366799771475</v>
      </c>
      <c r="O1774" s="5">
        <v>-7.78366799771475</v>
      </c>
      <c r="P1774" s="5">
        <v>0.0</v>
      </c>
      <c r="Q1774" s="5">
        <v>0.0</v>
      </c>
      <c r="R1774" s="5">
        <v>0.0</v>
      </c>
      <c r="S1774" s="5">
        <v>51.4918203624605</v>
      </c>
    </row>
    <row r="1775">
      <c r="A1775" s="6">
        <v>42930.0</v>
      </c>
      <c r="B1775" s="5">
        <v>60.0821568978183</v>
      </c>
      <c r="C1775" s="5">
        <v>-13.9717146059082</v>
      </c>
      <c r="D1775" s="5">
        <v>113.642087255432</v>
      </c>
      <c r="E1775" s="5">
        <v>60.0821568978183</v>
      </c>
      <c r="F1775" s="5">
        <v>60.0821568978183</v>
      </c>
      <c r="G1775" s="5">
        <v>-9.51579337927957</v>
      </c>
      <c r="H1775" s="5">
        <v>-9.51579337927957</v>
      </c>
      <c r="I1775" s="5">
        <v>-9.51579337927957</v>
      </c>
      <c r="J1775" s="5">
        <v>-1.59155056649486</v>
      </c>
      <c r="K1775" s="5">
        <v>-1.59155056649486</v>
      </c>
      <c r="L1775" s="5">
        <v>-1.59155056649486</v>
      </c>
      <c r="M1775" s="5">
        <v>-7.9242428127847</v>
      </c>
      <c r="N1775" s="5">
        <v>-7.9242428127847</v>
      </c>
      <c r="O1775" s="5">
        <v>-7.9242428127847</v>
      </c>
      <c r="P1775" s="5">
        <v>0.0</v>
      </c>
      <c r="Q1775" s="5">
        <v>0.0</v>
      </c>
      <c r="R1775" s="5">
        <v>0.0</v>
      </c>
      <c r="S1775" s="5">
        <v>50.5663635185387</v>
      </c>
    </row>
    <row r="1776">
      <c r="A1776" s="6">
        <v>42933.0</v>
      </c>
      <c r="B1776" s="5">
        <v>60.172894933038</v>
      </c>
      <c r="C1776" s="5">
        <v>-10.9666312368369</v>
      </c>
      <c r="D1776" s="5">
        <v>114.932089932929</v>
      </c>
      <c r="E1776" s="5">
        <v>60.172894933038</v>
      </c>
      <c r="F1776" s="5">
        <v>60.172894933038</v>
      </c>
      <c r="G1776" s="5">
        <v>-8.60442176877511</v>
      </c>
      <c r="H1776" s="5">
        <v>-8.60442176877511</v>
      </c>
      <c r="I1776" s="5">
        <v>-8.60442176877511</v>
      </c>
      <c r="J1776" s="5">
        <v>0.090558942122244</v>
      </c>
      <c r="K1776" s="5">
        <v>0.090558942122244</v>
      </c>
      <c r="L1776" s="5">
        <v>0.090558942122244</v>
      </c>
      <c r="M1776" s="5">
        <v>-8.69498071089736</v>
      </c>
      <c r="N1776" s="5">
        <v>-8.69498071089736</v>
      </c>
      <c r="O1776" s="5">
        <v>-8.69498071089736</v>
      </c>
      <c r="P1776" s="5">
        <v>0.0</v>
      </c>
      <c r="Q1776" s="5">
        <v>0.0</v>
      </c>
      <c r="R1776" s="5">
        <v>0.0</v>
      </c>
      <c r="S1776" s="5">
        <v>51.5684731642629</v>
      </c>
    </row>
    <row r="1777">
      <c r="A1777" s="6">
        <v>42934.0</v>
      </c>
      <c r="B1777" s="5">
        <v>60.2031409447779</v>
      </c>
      <c r="C1777" s="5">
        <v>-9.92773729433753</v>
      </c>
      <c r="D1777" s="5">
        <v>115.948888213255</v>
      </c>
      <c r="E1777" s="5">
        <v>60.2031409447779</v>
      </c>
      <c r="F1777" s="5">
        <v>60.2031409447779</v>
      </c>
      <c r="G1777" s="5">
        <v>-9.1821495767109</v>
      </c>
      <c r="H1777" s="5">
        <v>-9.1821495767109</v>
      </c>
      <c r="I1777" s="5">
        <v>-9.1821495767109</v>
      </c>
      <c r="J1777" s="5">
        <v>-0.144118857244228</v>
      </c>
      <c r="K1777" s="5">
        <v>-0.144118857244228</v>
      </c>
      <c r="L1777" s="5">
        <v>-0.144118857244228</v>
      </c>
      <c r="M1777" s="5">
        <v>-9.03803071946667</v>
      </c>
      <c r="N1777" s="5">
        <v>-9.03803071946667</v>
      </c>
      <c r="O1777" s="5">
        <v>-9.03803071946667</v>
      </c>
      <c r="P1777" s="5">
        <v>0.0</v>
      </c>
      <c r="Q1777" s="5">
        <v>0.0</v>
      </c>
      <c r="R1777" s="5">
        <v>0.0</v>
      </c>
      <c r="S1777" s="5">
        <v>51.020991368067</v>
      </c>
    </row>
    <row r="1778">
      <c r="A1778" s="6">
        <v>42935.0</v>
      </c>
      <c r="B1778" s="5">
        <v>60.2333869565178</v>
      </c>
      <c r="C1778" s="5">
        <v>-11.9622448377856</v>
      </c>
      <c r="D1778" s="5">
        <v>111.914131204424</v>
      </c>
      <c r="E1778" s="5">
        <v>60.2333869565178</v>
      </c>
      <c r="F1778" s="5">
        <v>60.2333869565178</v>
      </c>
      <c r="G1778" s="5">
        <v>-9.39923504934252</v>
      </c>
      <c r="H1778" s="5">
        <v>-9.39923504934252</v>
      </c>
      <c r="I1778" s="5">
        <v>-9.39923504934252</v>
      </c>
      <c r="J1778" s="5">
        <v>0.007037805283053</v>
      </c>
      <c r="K1778" s="5">
        <v>0.007037805283053</v>
      </c>
      <c r="L1778" s="5">
        <v>0.007037805283053</v>
      </c>
      <c r="M1778" s="5">
        <v>-9.40627285462557</v>
      </c>
      <c r="N1778" s="5">
        <v>-9.40627285462557</v>
      </c>
      <c r="O1778" s="5">
        <v>-9.40627285462557</v>
      </c>
      <c r="P1778" s="5">
        <v>0.0</v>
      </c>
      <c r="Q1778" s="5">
        <v>0.0</v>
      </c>
      <c r="R1778" s="5">
        <v>0.0</v>
      </c>
      <c r="S1778" s="5">
        <v>50.8341519071753</v>
      </c>
    </row>
    <row r="1779">
      <c r="A1779" s="6">
        <v>42936.0</v>
      </c>
      <c r="B1779" s="5">
        <v>60.2636329682577</v>
      </c>
      <c r="C1779" s="5">
        <v>-16.1373203122555</v>
      </c>
      <c r="D1779" s="5">
        <v>112.742094100587</v>
      </c>
      <c r="E1779" s="5">
        <v>60.2636329682577</v>
      </c>
      <c r="F1779" s="5">
        <v>60.2636329682577</v>
      </c>
      <c r="G1779" s="5">
        <v>-10.5643344882388</v>
      </c>
      <c r="H1779" s="5">
        <v>-10.5643344882388</v>
      </c>
      <c r="I1779" s="5">
        <v>-10.5643344882388</v>
      </c>
      <c r="J1779" s="5">
        <v>-0.77642252590387</v>
      </c>
      <c r="K1779" s="5">
        <v>-0.77642252590387</v>
      </c>
      <c r="L1779" s="5">
        <v>-0.77642252590387</v>
      </c>
      <c r="M1779" s="5">
        <v>-9.78791196233494</v>
      </c>
      <c r="N1779" s="5">
        <v>-9.78791196233494</v>
      </c>
      <c r="O1779" s="5">
        <v>-9.78791196233494</v>
      </c>
      <c r="P1779" s="5">
        <v>0.0</v>
      </c>
      <c r="Q1779" s="5">
        <v>0.0</v>
      </c>
      <c r="R1779" s="5">
        <v>0.0</v>
      </c>
      <c r="S1779" s="5">
        <v>49.6992984800189</v>
      </c>
    </row>
    <row r="1780">
      <c r="A1780" s="6">
        <v>42937.0</v>
      </c>
      <c r="B1780" s="5">
        <v>60.2938789799976</v>
      </c>
      <c r="C1780" s="5">
        <v>-15.3837048674693</v>
      </c>
      <c r="D1780" s="5">
        <v>112.034626597818</v>
      </c>
      <c r="E1780" s="5">
        <v>60.2938789799976</v>
      </c>
      <c r="F1780" s="5">
        <v>60.2938789799976</v>
      </c>
      <c r="G1780" s="5">
        <v>-11.7624270953482</v>
      </c>
      <c r="H1780" s="5">
        <v>-11.7624270953482</v>
      </c>
      <c r="I1780" s="5">
        <v>-11.7624270953482</v>
      </c>
      <c r="J1780" s="5">
        <v>-1.59155056649394</v>
      </c>
      <c r="K1780" s="5">
        <v>-1.59155056649394</v>
      </c>
      <c r="L1780" s="5">
        <v>-1.59155056649394</v>
      </c>
      <c r="M1780" s="5">
        <v>-10.1708765288543</v>
      </c>
      <c r="N1780" s="5">
        <v>-10.1708765288543</v>
      </c>
      <c r="O1780" s="5">
        <v>-10.1708765288543</v>
      </c>
      <c r="P1780" s="5">
        <v>0.0</v>
      </c>
      <c r="Q1780" s="5">
        <v>0.0</v>
      </c>
      <c r="R1780" s="5">
        <v>0.0</v>
      </c>
      <c r="S1780" s="5">
        <v>48.5314518846493</v>
      </c>
    </row>
    <row r="1781">
      <c r="A1781" s="6">
        <v>42940.0</v>
      </c>
      <c r="B1781" s="5">
        <v>60.3846170152173</v>
      </c>
      <c r="C1781" s="5">
        <v>-8.54816151559812</v>
      </c>
      <c r="D1781" s="5">
        <v>115.846617033245</v>
      </c>
      <c r="E1781" s="5">
        <v>60.3846170152173</v>
      </c>
      <c r="F1781" s="5">
        <v>60.3846170152173</v>
      </c>
      <c r="G1781" s="5">
        <v>-11.1190784658312</v>
      </c>
      <c r="H1781" s="5">
        <v>-11.1190784658312</v>
      </c>
      <c r="I1781" s="5">
        <v>-11.1190784658312</v>
      </c>
      <c r="J1781" s="5">
        <v>0.0905589421208867</v>
      </c>
      <c r="K1781" s="5">
        <v>0.0905589421208867</v>
      </c>
      <c r="L1781" s="5">
        <v>0.0905589421208867</v>
      </c>
      <c r="M1781" s="5">
        <v>-11.2096374079521</v>
      </c>
      <c r="N1781" s="5">
        <v>-11.2096374079521</v>
      </c>
      <c r="O1781" s="5">
        <v>-11.2096374079521</v>
      </c>
      <c r="P1781" s="5">
        <v>0.0</v>
      </c>
      <c r="Q1781" s="5">
        <v>0.0</v>
      </c>
      <c r="R1781" s="5">
        <v>0.0</v>
      </c>
      <c r="S1781" s="5">
        <v>49.2655385493861</v>
      </c>
    </row>
    <row r="1782">
      <c r="A1782" s="6">
        <v>42941.0</v>
      </c>
      <c r="B1782" s="5">
        <v>60.4148630269572</v>
      </c>
      <c r="C1782" s="5">
        <v>-17.9357953960239</v>
      </c>
      <c r="D1782" s="5">
        <v>114.179412473893</v>
      </c>
      <c r="E1782" s="5">
        <v>60.4148630269572</v>
      </c>
      <c r="F1782" s="5">
        <v>60.4148630269572</v>
      </c>
      <c r="G1782" s="5">
        <v>-11.6269963682829</v>
      </c>
      <c r="H1782" s="5">
        <v>-11.6269963682829</v>
      </c>
      <c r="I1782" s="5">
        <v>-11.6269963682829</v>
      </c>
      <c r="J1782" s="5">
        <v>-0.144118857245664</v>
      </c>
      <c r="K1782" s="5">
        <v>-0.144118857245664</v>
      </c>
      <c r="L1782" s="5">
        <v>-0.144118857245664</v>
      </c>
      <c r="M1782" s="5">
        <v>-11.4828775110372</v>
      </c>
      <c r="N1782" s="5">
        <v>-11.4828775110372</v>
      </c>
      <c r="O1782" s="5">
        <v>-11.4828775110372</v>
      </c>
      <c r="P1782" s="5">
        <v>0.0</v>
      </c>
      <c r="Q1782" s="5">
        <v>0.0</v>
      </c>
      <c r="R1782" s="5">
        <v>0.0</v>
      </c>
      <c r="S1782" s="5">
        <v>48.7878666586743</v>
      </c>
    </row>
    <row r="1783">
      <c r="A1783" s="6">
        <v>42942.0</v>
      </c>
      <c r="B1783" s="5">
        <v>60.4451090386971</v>
      </c>
      <c r="C1783" s="5">
        <v>-15.6238973495131</v>
      </c>
      <c r="D1783" s="5">
        <v>113.160413828582</v>
      </c>
      <c r="E1783" s="5">
        <v>60.4451090386971</v>
      </c>
      <c r="F1783" s="5">
        <v>60.4451090386971</v>
      </c>
      <c r="G1783" s="5">
        <v>-11.6969512921623</v>
      </c>
      <c r="H1783" s="5">
        <v>-11.6969512921623</v>
      </c>
      <c r="I1783" s="5">
        <v>-11.6969512921623</v>
      </c>
      <c r="J1783" s="5">
        <v>0.00703780528220045</v>
      </c>
      <c r="K1783" s="5">
        <v>0.00703780528220045</v>
      </c>
      <c r="L1783" s="5">
        <v>0.00703780528220045</v>
      </c>
      <c r="M1783" s="5">
        <v>-11.7039890974445</v>
      </c>
      <c r="N1783" s="5">
        <v>-11.7039890974445</v>
      </c>
      <c r="O1783" s="5">
        <v>-11.7039890974445</v>
      </c>
      <c r="P1783" s="5">
        <v>0.0</v>
      </c>
      <c r="Q1783" s="5">
        <v>0.0</v>
      </c>
      <c r="R1783" s="5">
        <v>0.0</v>
      </c>
      <c r="S1783" s="5">
        <v>48.7481577465347</v>
      </c>
    </row>
    <row r="1784">
      <c r="A1784" s="6">
        <v>42943.0</v>
      </c>
      <c r="B1784" s="5">
        <v>60.475355050437</v>
      </c>
      <c r="C1784" s="5">
        <v>-11.770452374151</v>
      </c>
      <c r="D1784" s="5">
        <v>108.802258245094</v>
      </c>
      <c r="E1784" s="5">
        <v>60.475355050437</v>
      </c>
      <c r="F1784" s="5">
        <v>60.475355050437</v>
      </c>
      <c r="G1784" s="5">
        <v>-12.6420549904749</v>
      </c>
      <c r="H1784" s="5">
        <v>-12.6420549904749</v>
      </c>
      <c r="I1784" s="5">
        <v>-12.6420549904749</v>
      </c>
      <c r="J1784" s="5">
        <v>-0.776422525905967</v>
      </c>
      <c r="K1784" s="5">
        <v>-0.776422525905967</v>
      </c>
      <c r="L1784" s="5">
        <v>-0.776422525905967</v>
      </c>
      <c r="M1784" s="5">
        <v>-11.8656324645689</v>
      </c>
      <c r="N1784" s="5">
        <v>-11.8656324645689</v>
      </c>
      <c r="O1784" s="5">
        <v>-11.8656324645689</v>
      </c>
      <c r="P1784" s="5">
        <v>0.0</v>
      </c>
      <c r="Q1784" s="5">
        <v>0.0</v>
      </c>
      <c r="R1784" s="5">
        <v>0.0</v>
      </c>
      <c r="S1784" s="5">
        <v>47.8333000599621</v>
      </c>
    </row>
    <row r="1785">
      <c r="A1785" s="6">
        <v>42944.0</v>
      </c>
      <c r="B1785" s="5">
        <v>60.5056010621769</v>
      </c>
      <c r="C1785" s="5">
        <v>-14.0322891299387</v>
      </c>
      <c r="D1785" s="5">
        <v>111.709362349319</v>
      </c>
      <c r="E1785" s="5">
        <v>60.5056010621769</v>
      </c>
      <c r="F1785" s="5">
        <v>60.5056010621769</v>
      </c>
      <c r="G1785" s="5">
        <v>-13.5536447208212</v>
      </c>
      <c r="H1785" s="5">
        <v>-13.5536447208212</v>
      </c>
      <c r="I1785" s="5">
        <v>-13.5536447208212</v>
      </c>
      <c r="J1785" s="5">
        <v>-1.5915505664927</v>
      </c>
      <c r="K1785" s="5">
        <v>-1.5915505664927</v>
      </c>
      <c r="L1785" s="5">
        <v>-1.5915505664927</v>
      </c>
      <c r="M1785" s="5">
        <v>-11.9620941543285</v>
      </c>
      <c r="N1785" s="5">
        <v>-11.9620941543285</v>
      </c>
      <c r="O1785" s="5">
        <v>-11.9620941543285</v>
      </c>
      <c r="P1785" s="5">
        <v>0.0</v>
      </c>
      <c r="Q1785" s="5">
        <v>0.0</v>
      </c>
      <c r="R1785" s="5">
        <v>0.0</v>
      </c>
      <c r="S1785" s="5">
        <v>46.9519563413557</v>
      </c>
    </row>
    <row r="1786">
      <c r="A1786" s="6">
        <v>42947.0</v>
      </c>
      <c r="B1786" s="5">
        <v>60.5963390973966</v>
      </c>
      <c r="C1786" s="5">
        <v>-18.3718884083749</v>
      </c>
      <c r="D1786" s="5">
        <v>107.976707373612</v>
      </c>
      <c r="E1786" s="5">
        <v>60.5963390973966</v>
      </c>
      <c r="F1786" s="5">
        <v>60.5963390973966</v>
      </c>
      <c r="G1786" s="5">
        <v>-11.7394923854995</v>
      </c>
      <c r="H1786" s="5">
        <v>-11.7394923854995</v>
      </c>
      <c r="I1786" s="5">
        <v>-11.7394923854995</v>
      </c>
      <c r="J1786" s="5">
        <v>0.0905589421218331</v>
      </c>
      <c r="K1786" s="5">
        <v>0.0905589421218331</v>
      </c>
      <c r="L1786" s="5">
        <v>0.0905589421218331</v>
      </c>
      <c r="M1786" s="5">
        <v>-11.8300513276213</v>
      </c>
      <c r="N1786" s="5">
        <v>-11.8300513276213</v>
      </c>
      <c r="O1786" s="5">
        <v>-11.8300513276213</v>
      </c>
      <c r="P1786" s="5">
        <v>0.0</v>
      </c>
      <c r="Q1786" s="5">
        <v>0.0</v>
      </c>
      <c r="R1786" s="5">
        <v>0.0</v>
      </c>
      <c r="S1786" s="5">
        <v>48.8568467118971</v>
      </c>
    </row>
    <row r="1787">
      <c r="A1787" s="6">
        <v>42948.0</v>
      </c>
      <c r="B1787" s="5">
        <v>60.6265851091365</v>
      </c>
      <c r="C1787" s="5">
        <v>-13.1367660137464</v>
      </c>
      <c r="D1787" s="5">
        <v>109.44664330728</v>
      </c>
      <c r="E1787" s="5">
        <v>60.6265851091365</v>
      </c>
      <c r="F1787" s="5">
        <v>60.6265851091365</v>
      </c>
      <c r="G1787" s="5">
        <v>-11.7888135290547</v>
      </c>
      <c r="H1787" s="5">
        <v>-11.7888135290547</v>
      </c>
      <c r="I1787" s="5">
        <v>-11.7888135290547</v>
      </c>
      <c r="J1787" s="5">
        <v>-0.144118857244576</v>
      </c>
      <c r="K1787" s="5">
        <v>-0.144118857244576</v>
      </c>
      <c r="L1787" s="5">
        <v>-0.144118857244576</v>
      </c>
      <c r="M1787" s="5">
        <v>-11.6446946718101</v>
      </c>
      <c r="N1787" s="5">
        <v>-11.6446946718101</v>
      </c>
      <c r="O1787" s="5">
        <v>-11.6446946718101</v>
      </c>
      <c r="P1787" s="5">
        <v>0.0</v>
      </c>
      <c r="Q1787" s="5">
        <v>0.0</v>
      </c>
      <c r="R1787" s="5">
        <v>0.0</v>
      </c>
      <c r="S1787" s="5">
        <v>48.8377715800818</v>
      </c>
    </row>
    <row r="1788">
      <c r="A1788" s="6">
        <v>42949.0</v>
      </c>
      <c r="B1788" s="5">
        <v>60.6568311208764</v>
      </c>
      <c r="C1788" s="5">
        <v>-12.0750639246678</v>
      </c>
      <c r="D1788" s="5">
        <v>113.721879555116</v>
      </c>
      <c r="E1788" s="5">
        <v>60.6568311208764</v>
      </c>
      <c r="F1788" s="5">
        <v>60.6568311208764</v>
      </c>
      <c r="G1788" s="5">
        <v>-11.385727832602</v>
      </c>
      <c r="H1788" s="5">
        <v>-11.385727832602</v>
      </c>
      <c r="I1788" s="5">
        <v>-11.385727832602</v>
      </c>
      <c r="J1788" s="5">
        <v>0.00703780528134786</v>
      </c>
      <c r="K1788" s="5">
        <v>0.00703780528134786</v>
      </c>
      <c r="L1788" s="5">
        <v>0.00703780528134786</v>
      </c>
      <c r="M1788" s="5">
        <v>-11.3927656378833</v>
      </c>
      <c r="N1788" s="5">
        <v>-11.3927656378833</v>
      </c>
      <c r="O1788" s="5">
        <v>-11.3927656378833</v>
      </c>
      <c r="P1788" s="5">
        <v>0.0</v>
      </c>
      <c r="Q1788" s="5">
        <v>0.0</v>
      </c>
      <c r="R1788" s="5">
        <v>0.0</v>
      </c>
      <c r="S1788" s="5">
        <v>49.2711032882744</v>
      </c>
    </row>
    <row r="1789">
      <c r="A1789" s="6">
        <v>42950.0</v>
      </c>
      <c r="B1789" s="5">
        <v>60.6870771326163</v>
      </c>
      <c r="C1789" s="5">
        <v>-17.3763611902861</v>
      </c>
      <c r="D1789" s="5">
        <v>109.011416541223</v>
      </c>
      <c r="E1789" s="5">
        <v>60.6870771326163</v>
      </c>
      <c r="F1789" s="5">
        <v>60.6870771326163</v>
      </c>
      <c r="G1789" s="5">
        <v>-11.8556662117165</v>
      </c>
      <c r="H1789" s="5">
        <v>-11.8556662117165</v>
      </c>
      <c r="I1789" s="5">
        <v>-11.8556662117165</v>
      </c>
      <c r="J1789" s="5">
        <v>-0.776422525898239</v>
      </c>
      <c r="K1789" s="5">
        <v>-0.776422525898239</v>
      </c>
      <c r="L1789" s="5">
        <v>-0.776422525898239</v>
      </c>
      <c r="M1789" s="5">
        <v>-11.0792436858182</v>
      </c>
      <c r="N1789" s="5">
        <v>-11.0792436858182</v>
      </c>
      <c r="O1789" s="5">
        <v>-11.0792436858182</v>
      </c>
      <c r="P1789" s="5">
        <v>0.0</v>
      </c>
      <c r="Q1789" s="5">
        <v>0.0</v>
      </c>
      <c r="R1789" s="5">
        <v>0.0</v>
      </c>
      <c r="S1789" s="5">
        <v>48.8314109208998</v>
      </c>
    </row>
    <row r="1790">
      <c r="A1790" s="6">
        <v>42951.0</v>
      </c>
      <c r="B1790" s="5">
        <v>60.7173231443562</v>
      </c>
      <c r="C1790" s="5">
        <v>-13.1445332226572</v>
      </c>
      <c r="D1790" s="5">
        <v>115.439661182125</v>
      </c>
      <c r="E1790" s="5">
        <v>60.7173231443562</v>
      </c>
      <c r="F1790" s="5">
        <v>60.7173231443562</v>
      </c>
      <c r="G1790" s="5">
        <v>-12.3021175695474</v>
      </c>
      <c r="H1790" s="5">
        <v>-12.3021175695474</v>
      </c>
      <c r="I1790" s="5">
        <v>-12.3021175695474</v>
      </c>
      <c r="J1790" s="5">
        <v>-1.59155056649483</v>
      </c>
      <c r="K1790" s="5">
        <v>-1.59155056649483</v>
      </c>
      <c r="L1790" s="5">
        <v>-1.59155056649483</v>
      </c>
      <c r="M1790" s="5">
        <v>-10.7105670030526</v>
      </c>
      <c r="N1790" s="5">
        <v>-10.7105670030526</v>
      </c>
      <c r="O1790" s="5">
        <v>-10.7105670030526</v>
      </c>
      <c r="P1790" s="5">
        <v>0.0</v>
      </c>
      <c r="Q1790" s="5">
        <v>0.0</v>
      </c>
      <c r="R1790" s="5">
        <v>0.0</v>
      </c>
      <c r="S1790" s="5">
        <v>48.4152055748087</v>
      </c>
    </row>
    <row r="1791">
      <c r="A1791" s="6">
        <v>42954.0</v>
      </c>
      <c r="B1791" s="5">
        <v>60.8080611795759</v>
      </c>
      <c r="C1791" s="5">
        <v>-11.5296380008899</v>
      </c>
      <c r="D1791" s="5">
        <v>116.168526670058</v>
      </c>
      <c r="E1791" s="5">
        <v>60.8080611795759</v>
      </c>
      <c r="F1791" s="5">
        <v>60.8080611795759</v>
      </c>
      <c r="G1791" s="5">
        <v>-9.26461592139933</v>
      </c>
      <c r="H1791" s="5">
        <v>-9.26461592139933</v>
      </c>
      <c r="I1791" s="5">
        <v>-9.26461592139933</v>
      </c>
      <c r="J1791" s="5">
        <v>0.0905589421227795</v>
      </c>
      <c r="K1791" s="5">
        <v>0.0905589421227795</v>
      </c>
      <c r="L1791" s="5">
        <v>0.0905589421227795</v>
      </c>
      <c r="M1791" s="5">
        <v>-9.35517486352211</v>
      </c>
      <c r="N1791" s="5">
        <v>-9.35517486352211</v>
      </c>
      <c r="O1791" s="5">
        <v>-9.35517486352211</v>
      </c>
      <c r="P1791" s="5">
        <v>0.0</v>
      </c>
      <c r="Q1791" s="5">
        <v>0.0</v>
      </c>
      <c r="R1791" s="5">
        <v>0.0</v>
      </c>
      <c r="S1791" s="5">
        <v>51.5434452581766</v>
      </c>
    </row>
    <row r="1792">
      <c r="A1792" s="6">
        <v>42955.0</v>
      </c>
      <c r="B1792" s="5">
        <v>60.8383071913158</v>
      </c>
      <c r="C1792" s="5">
        <v>-9.16685912311168</v>
      </c>
      <c r="D1792" s="5">
        <v>116.0256132498</v>
      </c>
      <c r="E1792" s="5">
        <v>60.8383071913158</v>
      </c>
      <c r="F1792" s="5">
        <v>60.8383071913158</v>
      </c>
      <c r="G1792" s="5">
        <v>-8.99546200108061</v>
      </c>
      <c r="H1792" s="5">
        <v>-8.99546200108061</v>
      </c>
      <c r="I1792" s="5">
        <v>-8.99546200108061</v>
      </c>
      <c r="J1792" s="5">
        <v>-0.144118857246011</v>
      </c>
      <c r="K1792" s="5">
        <v>-0.144118857246011</v>
      </c>
      <c r="L1792" s="5">
        <v>-0.144118857246011</v>
      </c>
      <c r="M1792" s="5">
        <v>-8.8513431438346</v>
      </c>
      <c r="N1792" s="5">
        <v>-8.8513431438346</v>
      </c>
      <c r="O1792" s="5">
        <v>-8.8513431438346</v>
      </c>
      <c r="P1792" s="5">
        <v>0.0</v>
      </c>
      <c r="Q1792" s="5">
        <v>0.0</v>
      </c>
      <c r="R1792" s="5">
        <v>0.0</v>
      </c>
      <c r="S1792" s="5">
        <v>51.8428451902352</v>
      </c>
    </row>
    <row r="1793">
      <c r="A1793" s="6">
        <v>42956.0</v>
      </c>
      <c r="B1793" s="5">
        <v>60.8685532030557</v>
      </c>
      <c r="C1793" s="5">
        <v>-12.8550454305449</v>
      </c>
      <c r="D1793" s="5">
        <v>116.786048939245</v>
      </c>
      <c r="E1793" s="5">
        <v>60.8685532030557</v>
      </c>
      <c r="F1793" s="5">
        <v>60.8685532030557</v>
      </c>
      <c r="G1793" s="5">
        <v>-8.33094981005859</v>
      </c>
      <c r="H1793" s="5">
        <v>-8.33094981005859</v>
      </c>
      <c r="I1793" s="5">
        <v>-8.33094981005859</v>
      </c>
      <c r="J1793" s="5">
        <v>0.00703780528148671</v>
      </c>
      <c r="K1793" s="5">
        <v>0.00703780528148671</v>
      </c>
      <c r="L1793" s="5">
        <v>0.00703780528148671</v>
      </c>
      <c r="M1793" s="5">
        <v>-8.33798761534008</v>
      </c>
      <c r="N1793" s="5">
        <v>-8.33798761534008</v>
      </c>
      <c r="O1793" s="5">
        <v>-8.33798761534008</v>
      </c>
      <c r="P1793" s="5">
        <v>0.0</v>
      </c>
      <c r="Q1793" s="5">
        <v>0.0</v>
      </c>
      <c r="R1793" s="5">
        <v>0.0</v>
      </c>
      <c r="S1793" s="5">
        <v>52.5376033929971</v>
      </c>
    </row>
    <row r="1794">
      <c r="A1794" s="6">
        <v>42957.0</v>
      </c>
      <c r="B1794" s="5">
        <v>60.8987992147956</v>
      </c>
      <c r="C1794" s="5">
        <v>-14.2607755548724</v>
      </c>
      <c r="D1794" s="5">
        <v>115.714593870846</v>
      </c>
      <c r="E1794" s="5">
        <v>60.8987992147956</v>
      </c>
      <c r="F1794" s="5">
        <v>60.8987992147956</v>
      </c>
      <c r="G1794" s="5">
        <v>-8.60137942623445</v>
      </c>
      <c r="H1794" s="5">
        <v>-8.60137942623445</v>
      </c>
      <c r="I1794" s="5">
        <v>-8.60137942623445</v>
      </c>
      <c r="J1794" s="5">
        <v>-0.776422525900336</v>
      </c>
      <c r="K1794" s="5">
        <v>-0.776422525900336</v>
      </c>
      <c r="L1794" s="5">
        <v>-0.776422525900336</v>
      </c>
      <c r="M1794" s="5">
        <v>-7.82495690033411</v>
      </c>
      <c r="N1794" s="5">
        <v>-7.82495690033411</v>
      </c>
      <c r="O1794" s="5">
        <v>-7.82495690033411</v>
      </c>
      <c r="P1794" s="5">
        <v>0.0</v>
      </c>
      <c r="Q1794" s="5">
        <v>0.0</v>
      </c>
      <c r="R1794" s="5">
        <v>0.0</v>
      </c>
      <c r="S1794" s="5">
        <v>52.2974197885611</v>
      </c>
    </row>
    <row r="1795">
      <c r="A1795" s="6">
        <v>42958.0</v>
      </c>
      <c r="B1795" s="5">
        <v>60.9290452265355</v>
      </c>
      <c r="C1795" s="5">
        <v>-12.1509767511499</v>
      </c>
      <c r="D1795" s="5">
        <v>114.955133322291</v>
      </c>
      <c r="E1795" s="5">
        <v>60.9290452265355</v>
      </c>
      <c r="F1795" s="5">
        <v>60.9290452265355</v>
      </c>
      <c r="G1795" s="5">
        <v>-8.91321626290359</v>
      </c>
      <c r="H1795" s="5">
        <v>-8.91321626290359</v>
      </c>
      <c r="I1795" s="5">
        <v>-8.91321626290359</v>
      </c>
      <c r="J1795" s="5">
        <v>-1.59155056649359</v>
      </c>
      <c r="K1795" s="5">
        <v>-1.59155056649359</v>
      </c>
      <c r="L1795" s="5">
        <v>-1.59155056649359</v>
      </c>
      <c r="M1795" s="5">
        <v>-7.32166569641</v>
      </c>
      <c r="N1795" s="5">
        <v>-7.32166569641</v>
      </c>
      <c r="O1795" s="5">
        <v>-7.32166569641</v>
      </c>
      <c r="P1795" s="5">
        <v>0.0</v>
      </c>
      <c r="Q1795" s="5">
        <v>0.0</v>
      </c>
      <c r="R1795" s="5">
        <v>0.0</v>
      </c>
      <c r="S1795" s="5">
        <v>52.0158289636319</v>
      </c>
    </row>
    <row r="1796">
      <c r="A1796" s="6">
        <v>42961.0</v>
      </c>
      <c r="B1796" s="5">
        <v>61.0197832617552</v>
      </c>
      <c r="C1796" s="5">
        <v>-5.32019836007141</v>
      </c>
      <c r="D1796" s="5">
        <v>117.680559903568</v>
      </c>
      <c r="E1796" s="5">
        <v>61.0197832617552</v>
      </c>
      <c r="F1796" s="5">
        <v>61.0197832617552</v>
      </c>
      <c r="G1796" s="5">
        <v>-5.86192259779677</v>
      </c>
      <c r="H1796" s="5">
        <v>-5.86192259779677</v>
      </c>
      <c r="I1796" s="5">
        <v>-5.86192259779677</v>
      </c>
      <c r="J1796" s="5">
        <v>0.0905589421214222</v>
      </c>
      <c r="K1796" s="5">
        <v>0.0905589421214222</v>
      </c>
      <c r="L1796" s="5">
        <v>0.0905589421214222</v>
      </c>
      <c r="M1796" s="5">
        <v>-5.95248153991819</v>
      </c>
      <c r="N1796" s="5">
        <v>-5.95248153991819</v>
      </c>
      <c r="O1796" s="5">
        <v>-5.95248153991819</v>
      </c>
      <c r="P1796" s="5">
        <v>0.0</v>
      </c>
      <c r="Q1796" s="5">
        <v>0.0</v>
      </c>
      <c r="R1796" s="5">
        <v>0.0</v>
      </c>
      <c r="S1796" s="5">
        <v>55.1578606639584</v>
      </c>
    </row>
    <row r="1797">
      <c r="A1797" s="6">
        <v>42962.0</v>
      </c>
      <c r="B1797" s="5">
        <v>61.0500292734951</v>
      </c>
      <c r="C1797" s="5">
        <v>-8.32825711073376</v>
      </c>
      <c r="D1797" s="5">
        <v>118.40608137161</v>
      </c>
      <c r="E1797" s="5">
        <v>61.0500292734951</v>
      </c>
      <c r="F1797" s="5">
        <v>61.0500292734951</v>
      </c>
      <c r="G1797" s="5">
        <v>-5.70904540210465</v>
      </c>
      <c r="H1797" s="5">
        <v>-5.70904540210465</v>
      </c>
      <c r="I1797" s="5">
        <v>-5.70904540210465</v>
      </c>
      <c r="J1797" s="5">
        <v>-0.144118857243814</v>
      </c>
      <c r="K1797" s="5">
        <v>-0.144118857243814</v>
      </c>
      <c r="L1797" s="5">
        <v>-0.144118857243814</v>
      </c>
      <c r="M1797" s="5">
        <v>-5.56492654486083</v>
      </c>
      <c r="N1797" s="5">
        <v>-5.56492654486083</v>
      </c>
      <c r="O1797" s="5">
        <v>-5.56492654486083</v>
      </c>
      <c r="P1797" s="5">
        <v>0.0</v>
      </c>
      <c r="Q1797" s="5">
        <v>0.0</v>
      </c>
      <c r="R1797" s="5">
        <v>0.0</v>
      </c>
      <c r="S1797" s="5">
        <v>55.3409838713904</v>
      </c>
    </row>
    <row r="1798">
      <c r="A1798" s="6">
        <v>42963.0</v>
      </c>
      <c r="B1798" s="5">
        <v>61.0802752852349</v>
      </c>
      <c r="C1798" s="5">
        <v>-4.96118982911811</v>
      </c>
      <c r="D1798" s="5">
        <v>116.921270303044</v>
      </c>
      <c r="E1798" s="5">
        <v>61.0802752852349</v>
      </c>
      <c r="F1798" s="5">
        <v>61.0802752852349</v>
      </c>
      <c r="G1798" s="5">
        <v>-5.21241386415403</v>
      </c>
      <c r="H1798" s="5">
        <v>-5.21241386415403</v>
      </c>
      <c r="I1798" s="5">
        <v>-5.21241386415403</v>
      </c>
      <c r="J1798" s="5">
        <v>0.00703780528279775</v>
      </c>
      <c r="K1798" s="5">
        <v>0.00703780528279775</v>
      </c>
      <c r="L1798" s="5">
        <v>0.00703780528279775</v>
      </c>
      <c r="M1798" s="5">
        <v>-5.21945166943683</v>
      </c>
      <c r="N1798" s="5">
        <v>-5.21945166943683</v>
      </c>
      <c r="O1798" s="5">
        <v>-5.21945166943683</v>
      </c>
      <c r="P1798" s="5">
        <v>0.0</v>
      </c>
      <c r="Q1798" s="5">
        <v>0.0</v>
      </c>
      <c r="R1798" s="5">
        <v>0.0</v>
      </c>
      <c r="S1798" s="5">
        <v>55.8678614210809</v>
      </c>
    </row>
    <row r="1799">
      <c r="A1799" s="6">
        <v>42964.0</v>
      </c>
      <c r="B1799" s="5">
        <v>61.0928782002323</v>
      </c>
      <c r="C1799" s="5">
        <v>-6.83938714934309</v>
      </c>
      <c r="D1799" s="5">
        <v>121.284135581176</v>
      </c>
      <c r="E1799" s="5">
        <v>61.0928782002323</v>
      </c>
      <c r="F1799" s="5">
        <v>61.0928782002323</v>
      </c>
      <c r="G1799" s="5">
        <v>-5.69486940690923</v>
      </c>
      <c r="H1799" s="5">
        <v>-5.69486940690923</v>
      </c>
      <c r="I1799" s="5">
        <v>-5.69486940690923</v>
      </c>
      <c r="J1799" s="5">
        <v>-0.776422525901058</v>
      </c>
      <c r="K1799" s="5">
        <v>-0.776422525901058</v>
      </c>
      <c r="L1799" s="5">
        <v>-0.776422525901058</v>
      </c>
      <c r="M1799" s="5">
        <v>-4.91844688100817</v>
      </c>
      <c r="N1799" s="5">
        <v>-4.91844688100817</v>
      </c>
      <c r="O1799" s="5">
        <v>-4.91844688100817</v>
      </c>
      <c r="P1799" s="5">
        <v>0.0</v>
      </c>
      <c r="Q1799" s="5">
        <v>0.0</v>
      </c>
      <c r="R1799" s="5">
        <v>0.0</v>
      </c>
      <c r="S1799" s="5">
        <v>55.3980087933231</v>
      </c>
    </row>
    <row r="1800">
      <c r="A1800" s="6">
        <v>42965.0</v>
      </c>
      <c r="B1800" s="5">
        <v>61.1054811152297</v>
      </c>
      <c r="C1800" s="5">
        <v>-7.37301788538917</v>
      </c>
      <c r="D1800" s="5">
        <v>113.582604530024</v>
      </c>
      <c r="E1800" s="5">
        <v>61.1054811152297</v>
      </c>
      <c r="F1800" s="5">
        <v>61.1054811152297</v>
      </c>
      <c r="G1800" s="5">
        <v>-6.25432617234254</v>
      </c>
      <c r="H1800" s="5">
        <v>-6.25432617234254</v>
      </c>
      <c r="I1800" s="5">
        <v>-6.25432617234254</v>
      </c>
      <c r="J1800" s="5">
        <v>-1.59155056649235</v>
      </c>
      <c r="K1800" s="5">
        <v>-1.59155056649235</v>
      </c>
      <c r="L1800" s="5">
        <v>-1.59155056649235</v>
      </c>
      <c r="M1800" s="5">
        <v>-4.66277560585018</v>
      </c>
      <c r="N1800" s="5">
        <v>-4.66277560585018</v>
      </c>
      <c r="O1800" s="5">
        <v>-4.66277560585018</v>
      </c>
      <c r="P1800" s="5">
        <v>0.0</v>
      </c>
      <c r="Q1800" s="5">
        <v>0.0</v>
      </c>
      <c r="R1800" s="5">
        <v>0.0</v>
      </c>
      <c r="S1800" s="5">
        <v>54.8511549428872</v>
      </c>
    </row>
    <row r="1801">
      <c r="A1801" s="6">
        <v>42968.0</v>
      </c>
      <c r="B1801" s="5">
        <v>61.1432898602219</v>
      </c>
      <c r="C1801" s="5">
        <v>-9.26863800537279</v>
      </c>
      <c r="D1801" s="5">
        <v>118.585919390362</v>
      </c>
      <c r="E1801" s="5">
        <v>61.1432898602219</v>
      </c>
      <c r="F1801" s="5">
        <v>61.1432898602219</v>
      </c>
      <c r="G1801" s="5">
        <v>-4.0638360255682</v>
      </c>
      <c r="H1801" s="5">
        <v>-4.0638360255682</v>
      </c>
      <c r="I1801" s="5">
        <v>-4.0638360255682</v>
      </c>
      <c r="J1801" s="5">
        <v>0.0905589421223688</v>
      </c>
      <c r="K1801" s="5">
        <v>0.0905589421223688</v>
      </c>
      <c r="L1801" s="5">
        <v>0.0905589421223688</v>
      </c>
      <c r="M1801" s="5">
        <v>-4.15439496769057</v>
      </c>
      <c r="N1801" s="5">
        <v>-4.15439496769057</v>
      </c>
      <c r="O1801" s="5">
        <v>-4.15439496769057</v>
      </c>
      <c r="P1801" s="5">
        <v>0.0</v>
      </c>
      <c r="Q1801" s="5">
        <v>0.0</v>
      </c>
      <c r="R1801" s="5">
        <v>0.0</v>
      </c>
      <c r="S1801" s="5">
        <v>57.0794538346537</v>
      </c>
    </row>
    <row r="1802">
      <c r="A1802" s="6">
        <v>42969.0</v>
      </c>
      <c r="B1802" s="5">
        <v>61.1558927752193</v>
      </c>
      <c r="C1802" s="5">
        <v>-6.38554948289554</v>
      </c>
      <c r="D1802" s="5">
        <v>123.106233662186</v>
      </c>
      <c r="E1802" s="5">
        <v>61.1558927752193</v>
      </c>
      <c r="F1802" s="5">
        <v>61.1558927752193</v>
      </c>
      <c r="G1802" s="5">
        <v>-4.20421058936084</v>
      </c>
      <c r="H1802" s="5">
        <v>-4.20421058936084</v>
      </c>
      <c r="I1802" s="5">
        <v>-4.20421058936084</v>
      </c>
      <c r="J1802" s="5">
        <v>-0.144118857245249</v>
      </c>
      <c r="K1802" s="5">
        <v>-0.144118857245249</v>
      </c>
      <c r="L1802" s="5">
        <v>-0.144118857245249</v>
      </c>
      <c r="M1802" s="5">
        <v>-4.06009173211559</v>
      </c>
      <c r="N1802" s="5">
        <v>-4.06009173211559</v>
      </c>
      <c r="O1802" s="5">
        <v>-4.06009173211559</v>
      </c>
      <c r="P1802" s="5">
        <v>0.0</v>
      </c>
      <c r="Q1802" s="5">
        <v>0.0</v>
      </c>
      <c r="R1802" s="5">
        <v>0.0</v>
      </c>
      <c r="S1802" s="5">
        <v>56.9516821858584</v>
      </c>
    </row>
    <row r="1803">
      <c r="A1803" s="6">
        <v>42970.0</v>
      </c>
      <c r="B1803" s="5">
        <v>61.1684956902166</v>
      </c>
      <c r="C1803" s="5">
        <v>-5.66135842931769</v>
      </c>
      <c r="D1803" s="5">
        <v>121.337436461985</v>
      </c>
      <c r="E1803" s="5">
        <v>61.1684956902166</v>
      </c>
      <c r="F1803" s="5">
        <v>61.1684956902166</v>
      </c>
      <c r="G1803" s="5">
        <v>-3.98806633150087</v>
      </c>
      <c r="H1803" s="5">
        <v>-3.98806633150087</v>
      </c>
      <c r="I1803" s="5">
        <v>-3.98806633150087</v>
      </c>
      <c r="J1803" s="5">
        <v>0.00703780528194522</v>
      </c>
      <c r="K1803" s="5">
        <v>0.00703780528194522</v>
      </c>
      <c r="L1803" s="5">
        <v>0.00703780528194522</v>
      </c>
      <c r="M1803" s="5">
        <v>-3.99510413678282</v>
      </c>
      <c r="N1803" s="5">
        <v>-3.99510413678282</v>
      </c>
      <c r="O1803" s="5">
        <v>-3.99510413678282</v>
      </c>
      <c r="P1803" s="5">
        <v>0.0</v>
      </c>
      <c r="Q1803" s="5">
        <v>0.0</v>
      </c>
      <c r="R1803" s="5">
        <v>0.0</v>
      </c>
      <c r="S1803" s="5">
        <v>57.1804293587158</v>
      </c>
    </row>
    <row r="1804">
      <c r="A1804" s="6">
        <v>42971.0</v>
      </c>
      <c r="B1804" s="5">
        <v>61.181098605214</v>
      </c>
      <c r="C1804" s="5">
        <v>-3.62657580701614</v>
      </c>
      <c r="D1804" s="5">
        <v>121.464061657337</v>
      </c>
      <c r="E1804" s="5">
        <v>61.181098605214</v>
      </c>
      <c r="F1804" s="5">
        <v>61.181098605214</v>
      </c>
      <c r="G1804" s="5">
        <v>-4.72969074992184</v>
      </c>
      <c r="H1804" s="5">
        <v>-4.72969074992184</v>
      </c>
      <c r="I1804" s="5">
        <v>-4.72969074992184</v>
      </c>
      <c r="J1804" s="5">
        <v>-0.776422525903155</v>
      </c>
      <c r="K1804" s="5">
        <v>-0.776422525903155</v>
      </c>
      <c r="L1804" s="5">
        <v>-0.776422525903155</v>
      </c>
      <c r="M1804" s="5">
        <v>-3.95326822401868</v>
      </c>
      <c r="N1804" s="5">
        <v>-3.95326822401868</v>
      </c>
      <c r="O1804" s="5">
        <v>-3.95326822401868</v>
      </c>
      <c r="P1804" s="5">
        <v>0.0</v>
      </c>
      <c r="Q1804" s="5">
        <v>0.0</v>
      </c>
      <c r="R1804" s="5">
        <v>0.0</v>
      </c>
      <c r="S1804" s="5">
        <v>56.4514078552922</v>
      </c>
    </row>
    <row r="1805">
      <c r="A1805" s="6">
        <v>42972.0</v>
      </c>
      <c r="B1805" s="5">
        <v>61.1937015202114</v>
      </c>
      <c r="C1805" s="5">
        <v>-6.68747081368989</v>
      </c>
      <c r="D1805" s="5">
        <v>122.672406719045</v>
      </c>
      <c r="E1805" s="5">
        <v>61.1937015202114</v>
      </c>
      <c r="F1805" s="5">
        <v>61.1937015202114</v>
      </c>
      <c r="G1805" s="5">
        <v>-5.51950489801732</v>
      </c>
      <c r="H1805" s="5">
        <v>-5.51950489801732</v>
      </c>
      <c r="I1805" s="5">
        <v>-5.51950489801732</v>
      </c>
      <c r="J1805" s="5">
        <v>-1.59155056649449</v>
      </c>
      <c r="K1805" s="5">
        <v>-1.59155056649449</v>
      </c>
      <c r="L1805" s="5">
        <v>-1.59155056649449</v>
      </c>
      <c r="M1805" s="5">
        <v>-3.92795433152282</v>
      </c>
      <c r="N1805" s="5">
        <v>-3.92795433152282</v>
      </c>
      <c r="O1805" s="5">
        <v>-3.92795433152282</v>
      </c>
      <c r="P1805" s="5">
        <v>0.0</v>
      </c>
      <c r="Q1805" s="5">
        <v>0.0</v>
      </c>
      <c r="R1805" s="5">
        <v>0.0</v>
      </c>
      <c r="S1805" s="5">
        <v>55.6741966221941</v>
      </c>
    </row>
    <row r="1806">
      <c r="A1806" s="6">
        <v>42975.0</v>
      </c>
      <c r="B1806" s="5">
        <v>61.2315102652036</v>
      </c>
      <c r="C1806" s="5">
        <v>-3.38828932217766</v>
      </c>
      <c r="D1806" s="5">
        <v>122.058976428623</v>
      </c>
      <c r="E1806" s="5">
        <v>61.2315102652036</v>
      </c>
      <c r="F1806" s="5">
        <v>61.2315102652036</v>
      </c>
      <c r="G1806" s="5">
        <v>-3.79284263033337</v>
      </c>
      <c r="H1806" s="5">
        <v>-3.79284263033337</v>
      </c>
      <c r="I1806" s="5">
        <v>-3.79284263033337</v>
      </c>
      <c r="J1806" s="5">
        <v>0.0905589421209311</v>
      </c>
      <c r="K1806" s="5">
        <v>0.0905589421209311</v>
      </c>
      <c r="L1806" s="5">
        <v>0.0905589421209311</v>
      </c>
      <c r="M1806" s="5">
        <v>-3.8834015724543</v>
      </c>
      <c r="N1806" s="5">
        <v>-3.8834015724543</v>
      </c>
      <c r="O1806" s="5">
        <v>-3.8834015724543</v>
      </c>
      <c r="P1806" s="5">
        <v>0.0</v>
      </c>
      <c r="Q1806" s="5">
        <v>0.0</v>
      </c>
      <c r="R1806" s="5">
        <v>0.0</v>
      </c>
      <c r="S1806" s="5">
        <v>57.4386676348702</v>
      </c>
    </row>
    <row r="1807">
      <c r="A1807" s="6">
        <v>42976.0</v>
      </c>
      <c r="B1807" s="5">
        <v>61.2441131802009</v>
      </c>
      <c r="C1807" s="5">
        <v>-4.21739124425534</v>
      </c>
      <c r="D1807" s="5">
        <v>120.570770226671</v>
      </c>
      <c r="E1807" s="5">
        <v>61.2441131802009</v>
      </c>
      <c r="F1807" s="5">
        <v>61.2441131802009</v>
      </c>
      <c r="G1807" s="5">
        <v>-4.00191130369321</v>
      </c>
      <c r="H1807" s="5">
        <v>-4.00191130369321</v>
      </c>
      <c r="I1807" s="5">
        <v>-4.00191130369321</v>
      </c>
      <c r="J1807" s="5">
        <v>-0.144118857246685</v>
      </c>
      <c r="K1807" s="5">
        <v>-0.144118857246685</v>
      </c>
      <c r="L1807" s="5">
        <v>-0.144118857246685</v>
      </c>
      <c r="M1807" s="5">
        <v>-3.85779244644652</v>
      </c>
      <c r="N1807" s="5">
        <v>-3.85779244644652</v>
      </c>
      <c r="O1807" s="5">
        <v>-3.85779244644652</v>
      </c>
      <c r="P1807" s="5">
        <v>0.0</v>
      </c>
      <c r="Q1807" s="5">
        <v>0.0</v>
      </c>
      <c r="R1807" s="5">
        <v>0.0</v>
      </c>
      <c r="S1807" s="5">
        <v>57.2422018765077</v>
      </c>
    </row>
    <row r="1808">
      <c r="A1808" s="6">
        <v>42977.0</v>
      </c>
      <c r="B1808" s="5">
        <v>61.2567160951983</v>
      </c>
      <c r="C1808" s="5">
        <v>-2.92803326551478</v>
      </c>
      <c r="D1808" s="5">
        <v>121.999654794262</v>
      </c>
      <c r="E1808" s="5">
        <v>61.2567160951983</v>
      </c>
      <c r="F1808" s="5">
        <v>61.2567160951983</v>
      </c>
      <c r="G1808" s="5">
        <v>-3.81070230491168</v>
      </c>
      <c r="H1808" s="5">
        <v>-3.81070230491168</v>
      </c>
      <c r="I1808" s="5">
        <v>-3.81070230491168</v>
      </c>
      <c r="J1808" s="5">
        <v>0.00703780528325629</v>
      </c>
      <c r="K1808" s="5">
        <v>0.00703780528325629</v>
      </c>
      <c r="L1808" s="5">
        <v>0.00703780528325629</v>
      </c>
      <c r="M1808" s="5">
        <v>-3.81774011019494</v>
      </c>
      <c r="N1808" s="5">
        <v>-3.81774011019494</v>
      </c>
      <c r="O1808" s="5">
        <v>-3.81774011019494</v>
      </c>
      <c r="P1808" s="5">
        <v>0.0</v>
      </c>
      <c r="Q1808" s="5">
        <v>0.0</v>
      </c>
      <c r="R1808" s="5">
        <v>0.0</v>
      </c>
      <c r="S1808" s="5">
        <v>57.4460137902866</v>
      </c>
    </row>
    <row r="1809">
      <c r="A1809" s="6">
        <v>42978.0</v>
      </c>
      <c r="B1809" s="5">
        <v>61.2693190101957</v>
      </c>
      <c r="C1809" s="5">
        <v>-3.9938852836933</v>
      </c>
      <c r="D1809" s="5">
        <v>121.545166348113</v>
      </c>
      <c r="E1809" s="5">
        <v>61.2693190101957</v>
      </c>
      <c r="F1809" s="5">
        <v>61.2693190101957</v>
      </c>
      <c r="G1809" s="5">
        <v>-4.53561396774234</v>
      </c>
      <c r="H1809" s="5">
        <v>-4.53561396774234</v>
      </c>
      <c r="I1809" s="5">
        <v>-4.53561396774234</v>
      </c>
      <c r="J1809" s="5">
        <v>-0.776422525901027</v>
      </c>
      <c r="K1809" s="5">
        <v>-0.776422525901027</v>
      </c>
      <c r="L1809" s="5">
        <v>-0.776422525901027</v>
      </c>
      <c r="M1809" s="5">
        <v>-3.75919144184131</v>
      </c>
      <c r="N1809" s="5">
        <v>-3.75919144184131</v>
      </c>
      <c r="O1809" s="5">
        <v>-3.75919144184131</v>
      </c>
      <c r="P1809" s="5">
        <v>0.0</v>
      </c>
      <c r="Q1809" s="5">
        <v>0.0</v>
      </c>
      <c r="R1809" s="5">
        <v>0.0</v>
      </c>
      <c r="S1809" s="5">
        <v>56.7337050424534</v>
      </c>
    </row>
    <row r="1810">
      <c r="A1810" s="6">
        <v>42979.0</v>
      </c>
      <c r="B1810" s="5">
        <v>61.2819219251931</v>
      </c>
      <c r="C1810" s="5">
        <v>-5.17390868100325</v>
      </c>
      <c r="D1810" s="5">
        <v>119.757667489375</v>
      </c>
      <c r="E1810" s="5">
        <v>61.2819219251931</v>
      </c>
      <c r="F1810" s="5">
        <v>61.2819219251931</v>
      </c>
      <c r="G1810" s="5">
        <v>-5.27081298372865</v>
      </c>
      <c r="H1810" s="5">
        <v>-5.27081298372865</v>
      </c>
      <c r="I1810" s="5">
        <v>-5.27081298372865</v>
      </c>
      <c r="J1810" s="5">
        <v>-1.59155056649325</v>
      </c>
      <c r="K1810" s="5">
        <v>-1.59155056649325</v>
      </c>
      <c r="L1810" s="5">
        <v>-1.59155056649325</v>
      </c>
      <c r="M1810" s="5">
        <v>-3.67926241723539</v>
      </c>
      <c r="N1810" s="5">
        <v>-3.67926241723539</v>
      </c>
      <c r="O1810" s="5">
        <v>-3.67926241723539</v>
      </c>
      <c r="P1810" s="5">
        <v>0.0</v>
      </c>
      <c r="Q1810" s="5">
        <v>0.0</v>
      </c>
      <c r="R1810" s="5">
        <v>0.0</v>
      </c>
      <c r="S1810" s="5">
        <v>56.0111089414644</v>
      </c>
    </row>
    <row r="1811">
      <c r="A1811" s="6">
        <v>42983.0</v>
      </c>
      <c r="B1811" s="5">
        <v>61.3323335851826</v>
      </c>
      <c r="C1811" s="5">
        <v>-5.74136796071314</v>
      </c>
      <c r="D1811" s="5">
        <v>121.079063164405</v>
      </c>
      <c r="E1811" s="5">
        <v>61.3323335851826</v>
      </c>
      <c r="F1811" s="5">
        <v>61.3323335851826</v>
      </c>
      <c r="G1811" s="5">
        <v>-3.27864512520006</v>
      </c>
      <c r="H1811" s="5">
        <v>-3.27864512520006</v>
      </c>
      <c r="I1811" s="5">
        <v>-3.27864512520006</v>
      </c>
      <c r="J1811" s="5">
        <v>-0.144118857244488</v>
      </c>
      <c r="K1811" s="5">
        <v>-0.144118857244488</v>
      </c>
      <c r="L1811" s="5">
        <v>-0.144118857244488</v>
      </c>
      <c r="M1811" s="5">
        <v>-3.13452626795557</v>
      </c>
      <c r="N1811" s="5">
        <v>-3.13452626795557</v>
      </c>
      <c r="O1811" s="5">
        <v>-3.13452626795557</v>
      </c>
      <c r="P1811" s="5">
        <v>0.0</v>
      </c>
      <c r="Q1811" s="5">
        <v>0.0</v>
      </c>
      <c r="R1811" s="5">
        <v>0.0</v>
      </c>
      <c r="S1811" s="5">
        <v>58.0536884599826</v>
      </c>
    </row>
    <row r="1812">
      <c r="A1812" s="6">
        <v>42984.0</v>
      </c>
      <c r="B1812" s="5">
        <v>61.34493650018</v>
      </c>
      <c r="C1812" s="5">
        <v>-2.16842027749236</v>
      </c>
      <c r="D1812" s="5">
        <v>120.092376963451</v>
      </c>
      <c r="E1812" s="5">
        <v>61.34493650018</v>
      </c>
      <c r="F1812" s="5">
        <v>61.34493650018</v>
      </c>
      <c r="G1812" s="5">
        <v>-2.94424410400144</v>
      </c>
      <c r="H1812" s="5">
        <v>-2.94424410400144</v>
      </c>
      <c r="I1812" s="5">
        <v>-2.94424410400144</v>
      </c>
      <c r="J1812" s="5">
        <v>0.00703780528005943</v>
      </c>
      <c r="K1812" s="5">
        <v>0.00703780528005943</v>
      </c>
      <c r="L1812" s="5">
        <v>0.00703780528005943</v>
      </c>
      <c r="M1812" s="5">
        <v>-2.9512819092815</v>
      </c>
      <c r="N1812" s="5">
        <v>-2.9512819092815</v>
      </c>
      <c r="O1812" s="5">
        <v>-2.9512819092815</v>
      </c>
      <c r="P1812" s="5">
        <v>0.0</v>
      </c>
      <c r="Q1812" s="5">
        <v>0.0</v>
      </c>
      <c r="R1812" s="5">
        <v>0.0</v>
      </c>
      <c r="S1812" s="5">
        <v>58.4006923961786</v>
      </c>
    </row>
    <row r="1813">
      <c r="A1813" s="6">
        <v>42985.0</v>
      </c>
      <c r="B1813" s="5">
        <v>61.3575394151774</v>
      </c>
      <c r="C1813" s="5">
        <v>-3.32310172571648</v>
      </c>
      <c r="D1813" s="5">
        <v>122.485798757932</v>
      </c>
      <c r="E1813" s="5">
        <v>61.3575394151774</v>
      </c>
      <c r="F1813" s="5">
        <v>61.3575394151774</v>
      </c>
      <c r="G1813" s="5">
        <v>-3.53385131347515</v>
      </c>
      <c r="H1813" s="5">
        <v>-3.53385131347515</v>
      </c>
      <c r="I1813" s="5">
        <v>-3.53385131347515</v>
      </c>
      <c r="J1813" s="5">
        <v>-0.776422525901749</v>
      </c>
      <c r="K1813" s="5">
        <v>-0.776422525901749</v>
      </c>
      <c r="L1813" s="5">
        <v>-0.776422525901749</v>
      </c>
      <c r="M1813" s="5">
        <v>-2.7574287875734</v>
      </c>
      <c r="N1813" s="5">
        <v>-2.7574287875734</v>
      </c>
      <c r="O1813" s="5">
        <v>-2.7574287875734</v>
      </c>
      <c r="P1813" s="5">
        <v>0.0</v>
      </c>
      <c r="Q1813" s="5">
        <v>0.0</v>
      </c>
      <c r="R1813" s="5">
        <v>0.0</v>
      </c>
      <c r="S1813" s="5">
        <v>57.8236881017022</v>
      </c>
    </row>
    <row r="1814">
      <c r="A1814" s="6">
        <v>42986.0</v>
      </c>
      <c r="B1814" s="5">
        <v>61.3701423301748</v>
      </c>
      <c r="C1814" s="5">
        <v>-9.54688341503096</v>
      </c>
      <c r="D1814" s="5">
        <v>117.680153465105</v>
      </c>
      <c r="E1814" s="5">
        <v>61.3701423301748</v>
      </c>
      <c r="F1814" s="5">
        <v>61.3701423301748</v>
      </c>
      <c r="G1814" s="5">
        <v>-4.150561449291</v>
      </c>
      <c r="H1814" s="5">
        <v>-4.150561449291</v>
      </c>
      <c r="I1814" s="5">
        <v>-4.150561449291</v>
      </c>
      <c r="J1814" s="5">
        <v>-1.59155056649232</v>
      </c>
      <c r="K1814" s="5">
        <v>-1.59155056649232</v>
      </c>
      <c r="L1814" s="5">
        <v>-1.59155056649232</v>
      </c>
      <c r="M1814" s="5">
        <v>-2.55901088279867</v>
      </c>
      <c r="N1814" s="5">
        <v>-2.55901088279867</v>
      </c>
      <c r="O1814" s="5">
        <v>-2.55901088279867</v>
      </c>
      <c r="P1814" s="5">
        <v>0.0</v>
      </c>
      <c r="Q1814" s="5">
        <v>0.0</v>
      </c>
      <c r="R1814" s="5">
        <v>0.0</v>
      </c>
      <c r="S1814" s="5">
        <v>57.2195808808838</v>
      </c>
    </row>
    <row r="1815">
      <c r="A1815" s="6">
        <v>42989.0</v>
      </c>
      <c r="B1815" s="5">
        <v>61.4079510751669</v>
      </c>
      <c r="C1815" s="5">
        <v>-3.07828463887921</v>
      </c>
      <c r="D1815" s="5">
        <v>118.625543327936</v>
      </c>
      <c r="E1815" s="5">
        <v>61.4079510751669</v>
      </c>
      <c r="F1815" s="5">
        <v>61.4079510751669</v>
      </c>
      <c r="G1815" s="5">
        <v>-1.91697724658235</v>
      </c>
      <c r="H1815" s="5">
        <v>-1.91697724658235</v>
      </c>
      <c r="I1815" s="5">
        <v>-1.91697724658235</v>
      </c>
      <c r="J1815" s="5">
        <v>0.090558942122904</v>
      </c>
      <c r="K1815" s="5">
        <v>0.090558942122904</v>
      </c>
      <c r="L1815" s="5">
        <v>0.090558942122904</v>
      </c>
      <c r="M1815" s="5">
        <v>-2.00753618870526</v>
      </c>
      <c r="N1815" s="5">
        <v>-2.00753618870526</v>
      </c>
      <c r="O1815" s="5">
        <v>-2.00753618870526</v>
      </c>
      <c r="P1815" s="5">
        <v>0.0</v>
      </c>
      <c r="Q1815" s="5">
        <v>0.0</v>
      </c>
      <c r="R1815" s="5">
        <v>0.0</v>
      </c>
      <c r="S1815" s="5">
        <v>59.4909738285846</v>
      </c>
    </row>
    <row r="1816">
      <c r="A1816" s="6">
        <v>42990.0</v>
      </c>
      <c r="B1816" s="5">
        <v>61.4205539901643</v>
      </c>
      <c r="C1816" s="5">
        <v>-4.63579134831071</v>
      </c>
      <c r="D1816" s="5">
        <v>127.162555007683</v>
      </c>
      <c r="E1816" s="5">
        <v>61.4205539901643</v>
      </c>
      <c r="F1816" s="5">
        <v>61.4205539901643</v>
      </c>
      <c r="G1816" s="5">
        <v>-2.00794009890696</v>
      </c>
      <c r="H1816" s="5">
        <v>-2.00794009890696</v>
      </c>
      <c r="I1816" s="5">
        <v>-2.00794009890696</v>
      </c>
      <c r="J1816" s="5">
        <v>-0.144118857245923</v>
      </c>
      <c r="K1816" s="5">
        <v>-0.144118857245923</v>
      </c>
      <c r="L1816" s="5">
        <v>-0.144118857245923</v>
      </c>
      <c r="M1816" s="5">
        <v>-1.86382124166103</v>
      </c>
      <c r="N1816" s="5">
        <v>-1.86382124166103</v>
      </c>
      <c r="O1816" s="5">
        <v>-1.86382124166103</v>
      </c>
      <c r="P1816" s="5">
        <v>0.0</v>
      </c>
      <c r="Q1816" s="5">
        <v>0.0</v>
      </c>
      <c r="R1816" s="5">
        <v>0.0</v>
      </c>
      <c r="S1816" s="5">
        <v>59.4126138912574</v>
      </c>
    </row>
    <row r="1817">
      <c r="A1817" s="6">
        <v>42991.0</v>
      </c>
      <c r="B1817" s="5">
        <v>61.4331569051617</v>
      </c>
      <c r="C1817" s="5">
        <v>-0.840231539346746</v>
      </c>
      <c r="D1817" s="5">
        <v>120.221817889009</v>
      </c>
      <c r="E1817" s="5">
        <v>61.4331569051617</v>
      </c>
      <c r="F1817" s="5">
        <v>61.4331569051617</v>
      </c>
      <c r="G1817" s="5">
        <v>-1.7457987181093</v>
      </c>
      <c r="H1817" s="5">
        <v>-1.7457987181093</v>
      </c>
      <c r="I1817" s="5">
        <v>-1.7457987181093</v>
      </c>
      <c r="J1817" s="5">
        <v>0.00703780528137026</v>
      </c>
      <c r="K1817" s="5">
        <v>0.00703780528137026</v>
      </c>
      <c r="L1817" s="5">
        <v>0.00703780528137026</v>
      </c>
      <c r="M1817" s="5">
        <v>-1.75283652339067</v>
      </c>
      <c r="N1817" s="5">
        <v>-1.75283652339067</v>
      </c>
      <c r="O1817" s="5">
        <v>-1.75283652339067</v>
      </c>
      <c r="P1817" s="5">
        <v>0.0</v>
      </c>
      <c r="Q1817" s="5">
        <v>0.0</v>
      </c>
      <c r="R1817" s="5">
        <v>0.0</v>
      </c>
      <c r="S1817" s="5">
        <v>59.6873581870524</v>
      </c>
    </row>
    <row r="1818">
      <c r="A1818" s="6">
        <v>42992.0</v>
      </c>
      <c r="B1818" s="5">
        <v>61.4457598201591</v>
      </c>
      <c r="C1818" s="5">
        <v>-2.27662300828028</v>
      </c>
      <c r="D1818" s="5">
        <v>121.721198577189</v>
      </c>
      <c r="E1818" s="5">
        <v>61.4457598201591</v>
      </c>
      <c r="F1818" s="5">
        <v>61.4457598201591</v>
      </c>
      <c r="G1818" s="5">
        <v>-2.45794939486196</v>
      </c>
      <c r="H1818" s="5">
        <v>-2.45794939486196</v>
      </c>
      <c r="I1818" s="5">
        <v>-2.45794939486196</v>
      </c>
      <c r="J1818" s="5">
        <v>-0.776422525902471</v>
      </c>
      <c r="K1818" s="5">
        <v>-0.776422525902471</v>
      </c>
      <c r="L1818" s="5">
        <v>-0.776422525902471</v>
      </c>
      <c r="M1818" s="5">
        <v>-1.68152686895949</v>
      </c>
      <c r="N1818" s="5">
        <v>-1.68152686895949</v>
      </c>
      <c r="O1818" s="5">
        <v>-1.68152686895949</v>
      </c>
      <c r="P1818" s="5">
        <v>0.0</v>
      </c>
      <c r="Q1818" s="5">
        <v>0.0</v>
      </c>
      <c r="R1818" s="5">
        <v>0.0</v>
      </c>
      <c r="S1818" s="5">
        <v>58.9878104252971</v>
      </c>
    </row>
    <row r="1819">
      <c r="A1819" s="6">
        <v>42993.0</v>
      </c>
      <c r="B1819" s="5">
        <v>61.4583627351565</v>
      </c>
      <c r="C1819" s="5">
        <v>-10.8134853907689</v>
      </c>
      <c r="D1819" s="5">
        <v>122.545843314254</v>
      </c>
      <c r="E1819" s="5">
        <v>61.4583627351565</v>
      </c>
      <c r="F1819" s="5">
        <v>61.4583627351565</v>
      </c>
      <c r="G1819" s="5">
        <v>-3.24754795704014</v>
      </c>
      <c r="H1819" s="5">
        <v>-3.24754795704014</v>
      </c>
      <c r="I1819" s="5">
        <v>-3.24754795704014</v>
      </c>
      <c r="J1819" s="5">
        <v>-1.59155056649108</v>
      </c>
      <c r="K1819" s="5">
        <v>-1.59155056649108</v>
      </c>
      <c r="L1819" s="5">
        <v>-1.59155056649108</v>
      </c>
      <c r="M1819" s="5">
        <v>-1.65599739054906</v>
      </c>
      <c r="N1819" s="5">
        <v>-1.65599739054906</v>
      </c>
      <c r="O1819" s="5">
        <v>-1.65599739054906</v>
      </c>
      <c r="P1819" s="5">
        <v>0.0</v>
      </c>
      <c r="Q1819" s="5">
        <v>0.0</v>
      </c>
      <c r="R1819" s="5">
        <v>0.0</v>
      </c>
      <c r="S1819" s="5">
        <v>58.2108147781163</v>
      </c>
    </row>
    <row r="1820">
      <c r="A1820" s="6">
        <v>42996.0</v>
      </c>
      <c r="B1820" s="5">
        <v>61.4961714801486</v>
      </c>
      <c r="C1820" s="5">
        <v>-3.9145538909853</v>
      </c>
      <c r="D1820" s="5">
        <v>120.693568261143</v>
      </c>
      <c r="E1820" s="5">
        <v>61.4961714801486</v>
      </c>
      <c r="F1820" s="5">
        <v>61.4961714801486</v>
      </c>
      <c r="G1820" s="5">
        <v>-1.8066372578892</v>
      </c>
      <c r="H1820" s="5">
        <v>-1.8066372578892</v>
      </c>
      <c r="I1820" s="5">
        <v>-1.8066372578892</v>
      </c>
      <c r="J1820" s="5">
        <v>0.0905589421214666</v>
      </c>
      <c r="K1820" s="5">
        <v>0.0905589421214666</v>
      </c>
      <c r="L1820" s="5">
        <v>0.0905589421214666</v>
      </c>
      <c r="M1820" s="5">
        <v>-1.89719620001067</v>
      </c>
      <c r="N1820" s="5">
        <v>-1.89719620001067</v>
      </c>
      <c r="O1820" s="5">
        <v>-1.89719620001067</v>
      </c>
      <c r="P1820" s="5">
        <v>0.0</v>
      </c>
      <c r="Q1820" s="5">
        <v>0.0</v>
      </c>
      <c r="R1820" s="5">
        <v>0.0</v>
      </c>
      <c r="S1820" s="5">
        <v>59.6895342222594</v>
      </c>
    </row>
    <row r="1821">
      <c r="A1821" s="6">
        <v>42997.0</v>
      </c>
      <c r="B1821" s="5">
        <v>61.508774395146</v>
      </c>
      <c r="C1821" s="5">
        <v>-1.03644795415223</v>
      </c>
      <c r="D1821" s="5">
        <v>122.646657448961</v>
      </c>
      <c r="E1821" s="5">
        <v>61.508774395146</v>
      </c>
      <c r="F1821" s="5">
        <v>61.508774395146</v>
      </c>
      <c r="G1821" s="5">
        <v>-2.23454406846835</v>
      </c>
      <c r="H1821" s="5">
        <v>-2.23454406846835</v>
      </c>
      <c r="I1821" s="5">
        <v>-2.23454406846835</v>
      </c>
      <c r="J1821" s="5">
        <v>-0.144118857244835</v>
      </c>
      <c r="K1821" s="5">
        <v>-0.144118857244835</v>
      </c>
      <c r="L1821" s="5">
        <v>-0.144118857244835</v>
      </c>
      <c r="M1821" s="5">
        <v>-2.09042521122351</v>
      </c>
      <c r="N1821" s="5">
        <v>-2.09042521122351</v>
      </c>
      <c r="O1821" s="5">
        <v>-2.09042521122351</v>
      </c>
      <c r="P1821" s="5">
        <v>0.0</v>
      </c>
      <c r="Q1821" s="5">
        <v>0.0</v>
      </c>
      <c r="R1821" s="5">
        <v>0.0</v>
      </c>
      <c r="S1821" s="5">
        <v>59.2742303266777</v>
      </c>
    </row>
    <row r="1822">
      <c r="A1822" s="6">
        <v>42998.0</v>
      </c>
      <c r="B1822" s="5">
        <v>61.5213773101434</v>
      </c>
      <c r="C1822" s="5">
        <v>-3.94993805791494</v>
      </c>
      <c r="D1822" s="5">
        <v>120.159174663814</v>
      </c>
      <c r="E1822" s="5">
        <v>61.5213773101434</v>
      </c>
      <c r="F1822" s="5">
        <v>61.5213773101434</v>
      </c>
      <c r="G1822" s="5">
        <v>-2.3321953226042</v>
      </c>
      <c r="H1822" s="5">
        <v>-2.3321953226042</v>
      </c>
      <c r="I1822" s="5">
        <v>-2.3321953226042</v>
      </c>
      <c r="J1822" s="5">
        <v>0.00703780528051781</v>
      </c>
      <c r="K1822" s="5">
        <v>0.00703780528051781</v>
      </c>
      <c r="L1822" s="5">
        <v>0.00703780528051781</v>
      </c>
      <c r="M1822" s="5">
        <v>-2.33923312788472</v>
      </c>
      <c r="N1822" s="5">
        <v>-2.33923312788472</v>
      </c>
      <c r="O1822" s="5">
        <v>-2.33923312788472</v>
      </c>
      <c r="P1822" s="5">
        <v>0.0</v>
      </c>
      <c r="Q1822" s="5">
        <v>0.0</v>
      </c>
      <c r="R1822" s="5">
        <v>0.0</v>
      </c>
      <c r="S1822" s="5">
        <v>59.1891819875392</v>
      </c>
    </row>
    <row r="1823">
      <c r="A1823" s="6">
        <v>42999.0</v>
      </c>
      <c r="B1823" s="5">
        <v>61.5339802251408</v>
      </c>
      <c r="C1823" s="5">
        <v>-8.6529108592536</v>
      </c>
      <c r="D1823" s="5">
        <v>120.70763751747</v>
      </c>
      <c r="E1823" s="5">
        <v>61.5339802251408</v>
      </c>
      <c r="F1823" s="5">
        <v>61.5339802251408</v>
      </c>
      <c r="G1823" s="5">
        <v>-3.41677415093365</v>
      </c>
      <c r="H1823" s="5">
        <v>-3.41677415093365</v>
      </c>
      <c r="I1823" s="5">
        <v>-3.41677415093365</v>
      </c>
      <c r="J1823" s="5">
        <v>-0.776422525901718</v>
      </c>
      <c r="K1823" s="5">
        <v>-0.776422525901718</v>
      </c>
      <c r="L1823" s="5">
        <v>-0.776422525901718</v>
      </c>
      <c r="M1823" s="5">
        <v>-2.64035162503193</v>
      </c>
      <c r="N1823" s="5">
        <v>-2.64035162503193</v>
      </c>
      <c r="O1823" s="5">
        <v>-2.64035162503193</v>
      </c>
      <c r="P1823" s="5">
        <v>0.0</v>
      </c>
      <c r="Q1823" s="5">
        <v>0.0</v>
      </c>
      <c r="R1823" s="5">
        <v>0.0</v>
      </c>
      <c r="S1823" s="5">
        <v>58.1172060742071</v>
      </c>
    </row>
    <row r="1824">
      <c r="A1824" s="6">
        <v>43000.0</v>
      </c>
      <c r="B1824" s="5">
        <v>61.5465831401382</v>
      </c>
      <c r="C1824" s="5">
        <v>-5.71051410572884</v>
      </c>
      <c r="D1824" s="5">
        <v>117.019493466107</v>
      </c>
      <c r="E1824" s="5">
        <v>61.5465831401382</v>
      </c>
      <c r="F1824" s="5">
        <v>61.5465831401382</v>
      </c>
      <c r="G1824" s="5">
        <v>-4.58018839874045</v>
      </c>
      <c r="H1824" s="5">
        <v>-4.58018839874045</v>
      </c>
      <c r="I1824" s="5">
        <v>-4.58018839874045</v>
      </c>
      <c r="J1824" s="5">
        <v>-1.5915505664929</v>
      </c>
      <c r="K1824" s="5">
        <v>-1.5915505664929</v>
      </c>
      <c r="L1824" s="5">
        <v>-1.5915505664929</v>
      </c>
      <c r="M1824" s="5">
        <v>-2.98863783224754</v>
      </c>
      <c r="N1824" s="5">
        <v>-2.98863783224754</v>
      </c>
      <c r="O1824" s="5">
        <v>-2.98863783224754</v>
      </c>
      <c r="P1824" s="5">
        <v>0.0</v>
      </c>
      <c r="Q1824" s="5">
        <v>0.0</v>
      </c>
      <c r="R1824" s="5">
        <v>0.0</v>
      </c>
      <c r="S1824" s="5">
        <v>56.9663947413977</v>
      </c>
    </row>
    <row r="1825">
      <c r="A1825" s="6">
        <v>43003.0</v>
      </c>
      <c r="B1825" s="5">
        <v>61.5843918851303</v>
      </c>
      <c r="C1825" s="5">
        <v>-4.7649764190463</v>
      </c>
      <c r="D1825" s="5">
        <v>121.428723958539</v>
      </c>
      <c r="E1825" s="5">
        <v>61.5843918851303</v>
      </c>
      <c r="F1825" s="5">
        <v>61.5843918851303</v>
      </c>
      <c r="G1825" s="5">
        <v>-4.14791648432287</v>
      </c>
      <c r="H1825" s="5">
        <v>-4.14791648432287</v>
      </c>
      <c r="I1825" s="5">
        <v>-4.14791648432287</v>
      </c>
      <c r="J1825" s="5">
        <v>0.0905589421200292</v>
      </c>
      <c r="K1825" s="5">
        <v>0.0905589421200292</v>
      </c>
      <c r="L1825" s="5">
        <v>0.0905589421200292</v>
      </c>
      <c r="M1825" s="5">
        <v>-4.2384754264429</v>
      </c>
      <c r="N1825" s="5">
        <v>-4.2384754264429</v>
      </c>
      <c r="O1825" s="5">
        <v>-4.2384754264429</v>
      </c>
      <c r="P1825" s="5">
        <v>0.0</v>
      </c>
      <c r="Q1825" s="5">
        <v>0.0</v>
      </c>
      <c r="R1825" s="5">
        <v>0.0</v>
      </c>
      <c r="S1825" s="5">
        <v>57.4364754008074</v>
      </c>
    </row>
    <row r="1826">
      <c r="A1826" s="6">
        <v>43004.0</v>
      </c>
      <c r="B1826" s="5">
        <v>61.5969948001277</v>
      </c>
      <c r="C1826" s="5">
        <v>-3.026856473897</v>
      </c>
      <c r="D1826" s="5">
        <v>120.101298327864</v>
      </c>
      <c r="E1826" s="5">
        <v>61.5969948001277</v>
      </c>
      <c r="F1826" s="5">
        <v>61.5969948001277</v>
      </c>
      <c r="G1826" s="5">
        <v>-4.83367674262542</v>
      </c>
      <c r="H1826" s="5">
        <v>-4.83367674262542</v>
      </c>
      <c r="I1826" s="5">
        <v>-4.83367674262542</v>
      </c>
      <c r="J1826" s="5">
        <v>-0.144118857246271</v>
      </c>
      <c r="K1826" s="5">
        <v>-0.144118857246271</v>
      </c>
      <c r="L1826" s="5">
        <v>-0.144118857246271</v>
      </c>
      <c r="M1826" s="5">
        <v>-4.68955788537915</v>
      </c>
      <c r="N1826" s="5">
        <v>-4.68955788537915</v>
      </c>
      <c r="O1826" s="5">
        <v>-4.68955788537915</v>
      </c>
      <c r="P1826" s="5">
        <v>0.0</v>
      </c>
      <c r="Q1826" s="5">
        <v>0.0</v>
      </c>
      <c r="R1826" s="5">
        <v>0.0</v>
      </c>
      <c r="S1826" s="5">
        <v>56.7633180575023</v>
      </c>
    </row>
    <row r="1827">
      <c r="A1827" s="6">
        <v>43005.0</v>
      </c>
      <c r="B1827" s="5">
        <v>61.6095977151251</v>
      </c>
      <c r="C1827" s="5">
        <v>-7.12730916631164</v>
      </c>
      <c r="D1827" s="5">
        <v>118.676815306221</v>
      </c>
      <c r="E1827" s="5">
        <v>61.6095977151251</v>
      </c>
      <c r="F1827" s="5">
        <v>61.6095977151251</v>
      </c>
      <c r="G1827" s="5">
        <v>-5.13073102164168</v>
      </c>
      <c r="H1827" s="5">
        <v>-5.13073102164168</v>
      </c>
      <c r="I1827" s="5">
        <v>-5.13073102164168</v>
      </c>
      <c r="J1827" s="5">
        <v>0.00703780528282025</v>
      </c>
      <c r="K1827" s="5">
        <v>0.00703780528282025</v>
      </c>
      <c r="L1827" s="5">
        <v>0.00703780528282025</v>
      </c>
      <c r="M1827" s="5">
        <v>-5.1377688269245</v>
      </c>
      <c r="N1827" s="5">
        <v>-5.1377688269245</v>
      </c>
      <c r="O1827" s="5">
        <v>-5.1377688269245</v>
      </c>
      <c r="P1827" s="5">
        <v>0.0</v>
      </c>
      <c r="Q1827" s="5">
        <v>0.0</v>
      </c>
      <c r="R1827" s="5">
        <v>0.0</v>
      </c>
      <c r="S1827" s="5">
        <v>56.4788666934834</v>
      </c>
    </row>
    <row r="1828">
      <c r="A1828" s="6">
        <v>43006.0</v>
      </c>
      <c r="B1828" s="5">
        <v>61.6222006301225</v>
      </c>
      <c r="C1828" s="5">
        <v>-7.95060176794943</v>
      </c>
      <c r="D1828" s="5">
        <v>117.448767640002</v>
      </c>
      <c r="E1828" s="5">
        <v>61.6222006301225</v>
      </c>
      <c r="F1828" s="5">
        <v>61.6222006301225</v>
      </c>
      <c r="G1828" s="5">
        <v>-6.34612952515004</v>
      </c>
      <c r="H1828" s="5">
        <v>-6.34612952515004</v>
      </c>
      <c r="I1828" s="5">
        <v>-6.34612952515004</v>
      </c>
      <c r="J1828" s="5">
        <v>-0.776422525901065</v>
      </c>
      <c r="K1828" s="5">
        <v>-0.776422525901065</v>
      </c>
      <c r="L1828" s="5">
        <v>-0.776422525901065</v>
      </c>
      <c r="M1828" s="5">
        <v>-5.56970699924897</v>
      </c>
      <c r="N1828" s="5">
        <v>-5.56970699924897</v>
      </c>
      <c r="O1828" s="5">
        <v>-5.56970699924897</v>
      </c>
      <c r="P1828" s="5">
        <v>0.0</v>
      </c>
      <c r="Q1828" s="5">
        <v>0.0</v>
      </c>
      <c r="R1828" s="5">
        <v>0.0</v>
      </c>
      <c r="S1828" s="5">
        <v>55.2760711049724</v>
      </c>
    </row>
    <row r="1829">
      <c r="A1829" s="6">
        <v>43007.0</v>
      </c>
      <c r="B1829" s="5">
        <v>61.6348035451199</v>
      </c>
      <c r="C1829" s="5">
        <v>-11.4070020570757</v>
      </c>
      <c r="D1829" s="5">
        <v>113.53861199937</v>
      </c>
      <c r="E1829" s="5">
        <v>61.6348035451199</v>
      </c>
      <c r="F1829" s="5">
        <v>61.6348035451199</v>
      </c>
      <c r="G1829" s="5">
        <v>-7.56307454835392</v>
      </c>
      <c r="H1829" s="5">
        <v>-7.56307454835392</v>
      </c>
      <c r="I1829" s="5">
        <v>-7.56307454835392</v>
      </c>
      <c r="J1829" s="5">
        <v>-1.59155056649198</v>
      </c>
      <c r="K1829" s="5">
        <v>-1.59155056649198</v>
      </c>
      <c r="L1829" s="5">
        <v>-1.59155056649198</v>
      </c>
      <c r="M1829" s="5">
        <v>-5.97152398186194</v>
      </c>
      <c r="N1829" s="5">
        <v>-5.97152398186194</v>
      </c>
      <c r="O1829" s="5">
        <v>-5.97152398186194</v>
      </c>
      <c r="P1829" s="5">
        <v>0.0</v>
      </c>
      <c r="Q1829" s="5">
        <v>0.0</v>
      </c>
      <c r="R1829" s="5">
        <v>0.0</v>
      </c>
      <c r="S1829" s="5">
        <v>54.0717289967659</v>
      </c>
    </row>
    <row r="1830">
      <c r="A1830" s="6">
        <v>43010.0</v>
      </c>
      <c r="B1830" s="5">
        <v>61.672612290112</v>
      </c>
      <c r="C1830" s="5">
        <v>-6.89066855535037</v>
      </c>
      <c r="D1830" s="5">
        <v>116.765113050197</v>
      </c>
      <c r="E1830" s="5">
        <v>61.672612290112</v>
      </c>
      <c r="F1830" s="5">
        <v>61.672612290112</v>
      </c>
      <c r="G1830" s="5">
        <v>-6.76789814906077</v>
      </c>
      <c r="H1830" s="5">
        <v>-6.76789814906077</v>
      </c>
      <c r="I1830" s="5">
        <v>-6.76789814906077</v>
      </c>
      <c r="J1830" s="5">
        <v>0.0905589421234396</v>
      </c>
      <c r="K1830" s="5">
        <v>0.0905589421234396</v>
      </c>
      <c r="L1830" s="5">
        <v>0.0905589421234396</v>
      </c>
      <c r="M1830" s="5">
        <v>-6.85845709118421</v>
      </c>
      <c r="N1830" s="5">
        <v>-6.85845709118421</v>
      </c>
      <c r="O1830" s="5">
        <v>-6.85845709118421</v>
      </c>
      <c r="P1830" s="5">
        <v>0.0</v>
      </c>
      <c r="Q1830" s="5">
        <v>0.0</v>
      </c>
      <c r="R1830" s="5">
        <v>0.0</v>
      </c>
      <c r="S1830" s="5">
        <v>54.9047141410512</v>
      </c>
    </row>
    <row r="1831">
      <c r="A1831" s="6">
        <v>43011.0</v>
      </c>
      <c r="B1831" s="5">
        <v>61.6852152051094</v>
      </c>
      <c r="C1831" s="5">
        <v>-7.47929360959611</v>
      </c>
      <c r="D1831" s="5">
        <v>112.768486526675</v>
      </c>
      <c r="E1831" s="5">
        <v>61.6852152051094</v>
      </c>
      <c r="F1831" s="5">
        <v>61.6852152051094</v>
      </c>
      <c r="G1831" s="5">
        <v>-7.14886824441551</v>
      </c>
      <c r="H1831" s="5">
        <v>-7.14886824441551</v>
      </c>
      <c r="I1831" s="5">
        <v>-7.14886824441551</v>
      </c>
      <c r="J1831" s="5">
        <v>-0.144118857245487</v>
      </c>
      <c r="K1831" s="5">
        <v>-0.144118857245487</v>
      </c>
      <c r="L1831" s="5">
        <v>-0.144118857245487</v>
      </c>
      <c r="M1831" s="5">
        <v>-7.00474938717002</v>
      </c>
      <c r="N1831" s="5">
        <v>-7.00474938717002</v>
      </c>
      <c r="O1831" s="5">
        <v>-7.00474938717002</v>
      </c>
      <c r="P1831" s="5">
        <v>0.0</v>
      </c>
      <c r="Q1831" s="5">
        <v>0.0</v>
      </c>
      <c r="R1831" s="5">
        <v>0.0</v>
      </c>
      <c r="S1831" s="5">
        <v>54.5363469606939</v>
      </c>
    </row>
    <row r="1832">
      <c r="A1832" s="6">
        <v>43012.0</v>
      </c>
      <c r="B1832" s="5">
        <v>61.6978181201068</v>
      </c>
      <c r="C1832" s="5">
        <v>-6.99939357517401</v>
      </c>
      <c r="D1832" s="5">
        <v>120.009574512421</v>
      </c>
      <c r="E1832" s="5">
        <v>61.6978181201068</v>
      </c>
      <c r="F1832" s="5">
        <v>61.6978181201068</v>
      </c>
      <c r="G1832" s="5">
        <v>-7.05033805183975</v>
      </c>
      <c r="H1832" s="5">
        <v>-7.05033805183975</v>
      </c>
      <c r="I1832" s="5">
        <v>-7.05033805183975</v>
      </c>
      <c r="J1832" s="5">
        <v>0.00703780528413125</v>
      </c>
      <c r="K1832" s="5">
        <v>0.00703780528413125</v>
      </c>
      <c r="L1832" s="5">
        <v>0.00703780528413125</v>
      </c>
      <c r="M1832" s="5">
        <v>-7.05737585712388</v>
      </c>
      <c r="N1832" s="5">
        <v>-7.05737585712388</v>
      </c>
      <c r="O1832" s="5">
        <v>-7.05737585712388</v>
      </c>
      <c r="P1832" s="5">
        <v>0.0</v>
      </c>
      <c r="Q1832" s="5">
        <v>0.0</v>
      </c>
      <c r="R1832" s="5">
        <v>0.0</v>
      </c>
      <c r="S1832" s="5">
        <v>54.647480068267</v>
      </c>
    </row>
    <row r="1833">
      <c r="A1833" s="6">
        <v>43013.0</v>
      </c>
      <c r="B1833" s="5">
        <v>61.7104210351042</v>
      </c>
      <c r="C1833" s="5">
        <v>-11.9237385378885</v>
      </c>
      <c r="D1833" s="5">
        <v>116.565682542439</v>
      </c>
      <c r="E1833" s="5">
        <v>61.7104210351042</v>
      </c>
      <c r="F1833" s="5">
        <v>61.7104210351042</v>
      </c>
      <c r="G1833" s="5">
        <v>-7.78360228258348</v>
      </c>
      <c r="H1833" s="5">
        <v>-7.78360228258348</v>
      </c>
      <c r="I1833" s="5">
        <v>-7.78360228258348</v>
      </c>
      <c r="J1833" s="5">
        <v>-0.776422525903162</v>
      </c>
      <c r="K1833" s="5">
        <v>-0.776422525903162</v>
      </c>
      <c r="L1833" s="5">
        <v>-0.776422525903162</v>
      </c>
      <c r="M1833" s="5">
        <v>-7.00717975668032</v>
      </c>
      <c r="N1833" s="5">
        <v>-7.00717975668032</v>
      </c>
      <c r="O1833" s="5">
        <v>-7.00717975668032</v>
      </c>
      <c r="P1833" s="5">
        <v>0.0</v>
      </c>
      <c r="Q1833" s="5">
        <v>0.0</v>
      </c>
      <c r="R1833" s="5">
        <v>0.0</v>
      </c>
      <c r="S1833" s="5">
        <v>53.9268187525207</v>
      </c>
    </row>
    <row r="1834">
      <c r="A1834" s="6">
        <v>43014.0</v>
      </c>
      <c r="B1834" s="5">
        <v>61.7230239501016</v>
      </c>
      <c r="C1834" s="5">
        <v>-10.8412940079783</v>
      </c>
      <c r="D1834" s="5">
        <v>110.149589792228</v>
      </c>
      <c r="E1834" s="5">
        <v>61.7230239501016</v>
      </c>
      <c r="F1834" s="5">
        <v>61.7230239501016</v>
      </c>
      <c r="G1834" s="5">
        <v>-8.43843654772786</v>
      </c>
      <c r="H1834" s="5">
        <v>-8.43843654772786</v>
      </c>
      <c r="I1834" s="5">
        <v>-8.43843654772786</v>
      </c>
      <c r="J1834" s="5">
        <v>-1.59155056649105</v>
      </c>
      <c r="K1834" s="5">
        <v>-1.59155056649105</v>
      </c>
      <c r="L1834" s="5">
        <v>-1.59155056649105</v>
      </c>
      <c r="M1834" s="5">
        <v>-6.8468859812368</v>
      </c>
      <c r="N1834" s="5">
        <v>-6.8468859812368</v>
      </c>
      <c r="O1834" s="5">
        <v>-6.8468859812368</v>
      </c>
      <c r="P1834" s="5">
        <v>0.0</v>
      </c>
      <c r="Q1834" s="5">
        <v>0.0</v>
      </c>
      <c r="R1834" s="5">
        <v>0.0</v>
      </c>
      <c r="S1834" s="5">
        <v>53.2845874023737</v>
      </c>
    </row>
    <row r="1835">
      <c r="A1835" s="6">
        <v>43017.0</v>
      </c>
      <c r="B1835" s="5">
        <v>61.7608326950937</v>
      </c>
      <c r="C1835" s="5">
        <v>-4.921183217697</v>
      </c>
      <c r="D1835" s="5">
        <v>116.642185719131</v>
      </c>
      <c r="E1835" s="5">
        <v>61.7608326950937</v>
      </c>
      <c r="F1835" s="5">
        <v>61.7608326950937</v>
      </c>
      <c r="G1835" s="5">
        <v>-5.57458811308066</v>
      </c>
      <c r="H1835" s="5">
        <v>-5.57458811308066</v>
      </c>
      <c r="I1835" s="5">
        <v>-5.57458811308066</v>
      </c>
      <c r="J1835" s="5">
        <v>0.0905589421196184</v>
      </c>
      <c r="K1835" s="5">
        <v>0.0905589421196184</v>
      </c>
      <c r="L1835" s="5">
        <v>0.0905589421196184</v>
      </c>
      <c r="M1835" s="5">
        <v>-5.66514705520028</v>
      </c>
      <c r="N1835" s="5">
        <v>-5.66514705520028</v>
      </c>
      <c r="O1835" s="5">
        <v>-5.66514705520028</v>
      </c>
      <c r="P1835" s="5">
        <v>0.0</v>
      </c>
      <c r="Q1835" s="5">
        <v>0.0</v>
      </c>
      <c r="R1835" s="5">
        <v>0.0</v>
      </c>
      <c r="S1835" s="5">
        <v>56.186244582013</v>
      </c>
    </row>
    <row r="1836">
      <c r="A1836" s="6">
        <v>43018.0</v>
      </c>
      <c r="B1836" s="5">
        <v>61.7734356100911</v>
      </c>
      <c r="C1836" s="5">
        <v>-6.41699703578075</v>
      </c>
      <c r="D1836" s="5">
        <v>118.451092211208</v>
      </c>
      <c r="E1836" s="5">
        <v>61.7734356100911</v>
      </c>
      <c r="F1836" s="5">
        <v>61.7734356100911</v>
      </c>
      <c r="G1836" s="5">
        <v>-5.18003560725987</v>
      </c>
      <c r="H1836" s="5">
        <v>-5.18003560725987</v>
      </c>
      <c r="I1836" s="5">
        <v>-5.18003560725987</v>
      </c>
      <c r="J1836" s="5">
        <v>-0.144118857244399</v>
      </c>
      <c r="K1836" s="5">
        <v>-0.144118857244399</v>
      </c>
      <c r="L1836" s="5">
        <v>-0.144118857244399</v>
      </c>
      <c r="M1836" s="5">
        <v>-5.03591675001547</v>
      </c>
      <c r="N1836" s="5">
        <v>-5.03591675001547</v>
      </c>
      <c r="O1836" s="5">
        <v>-5.03591675001547</v>
      </c>
      <c r="P1836" s="5">
        <v>0.0</v>
      </c>
      <c r="Q1836" s="5">
        <v>0.0</v>
      </c>
      <c r="R1836" s="5">
        <v>0.0</v>
      </c>
      <c r="S1836" s="5">
        <v>56.5934000028312</v>
      </c>
    </row>
    <row r="1837">
      <c r="A1837" s="6">
        <v>43019.0</v>
      </c>
      <c r="B1837" s="5">
        <v>61.7860385250885</v>
      </c>
      <c r="C1837" s="5">
        <v>-5.30663664225927</v>
      </c>
      <c r="D1837" s="5">
        <v>122.401218666775</v>
      </c>
      <c r="E1837" s="5">
        <v>61.7860385250885</v>
      </c>
      <c r="F1837" s="5">
        <v>61.7860385250885</v>
      </c>
      <c r="G1837" s="5">
        <v>-4.28716958876304</v>
      </c>
      <c r="H1837" s="5">
        <v>-4.28716958876304</v>
      </c>
      <c r="I1837" s="5">
        <v>-4.28716958876304</v>
      </c>
      <c r="J1837" s="5">
        <v>0.00703780528111527</v>
      </c>
      <c r="K1837" s="5">
        <v>0.00703780528111527</v>
      </c>
      <c r="L1837" s="5">
        <v>0.00703780528111527</v>
      </c>
      <c r="M1837" s="5">
        <v>-4.29420739404416</v>
      </c>
      <c r="N1837" s="5">
        <v>-4.29420739404416</v>
      </c>
      <c r="O1837" s="5">
        <v>-4.29420739404416</v>
      </c>
      <c r="P1837" s="5">
        <v>0.0</v>
      </c>
      <c r="Q1837" s="5">
        <v>0.0</v>
      </c>
      <c r="R1837" s="5">
        <v>0.0</v>
      </c>
      <c r="S1837" s="5">
        <v>57.4988689363254</v>
      </c>
    </row>
    <row r="1838">
      <c r="A1838" s="6">
        <v>43020.0</v>
      </c>
      <c r="B1838" s="5">
        <v>61.7986414400859</v>
      </c>
      <c r="C1838" s="5">
        <v>-5.97982593358881</v>
      </c>
      <c r="D1838" s="5">
        <v>121.765965089337</v>
      </c>
      <c r="E1838" s="5">
        <v>61.7986414400859</v>
      </c>
      <c r="F1838" s="5">
        <v>61.7986414400859</v>
      </c>
      <c r="G1838" s="5">
        <v>-4.22308890413905</v>
      </c>
      <c r="H1838" s="5">
        <v>-4.22308890413905</v>
      </c>
      <c r="I1838" s="5">
        <v>-4.22308890413905</v>
      </c>
      <c r="J1838" s="5">
        <v>-0.776422525903883</v>
      </c>
      <c r="K1838" s="5">
        <v>-0.776422525903883</v>
      </c>
      <c r="L1838" s="5">
        <v>-0.776422525903883</v>
      </c>
      <c r="M1838" s="5">
        <v>-3.44666637823516</v>
      </c>
      <c r="N1838" s="5">
        <v>-3.44666637823516</v>
      </c>
      <c r="O1838" s="5">
        <v>-3.44666637823516</v>
      </c>
      <c r="P1838" s="5">
        <v>0.0</v>
      </c>
      <c r="Q1838" s="5">
        <v>0.0</v>
      </c>
      <c r="R1838" s="5">
        <v>0.0</v>
      </c>
      <c r="S1838" s="5">
        <v>57.5755525359468</v>
      </c>
    </row>
    <row r="1839">
      <c r="A1839" s="6">
        <v>43021.0</v>
      </c>
      <c r="B1839" s="5">
        <v>61.8112443550832</v>
      </c>
      <c r="C1839" s="5">
        <v>-5.16728559756396</v>
      </c>
      <c r="D1839" s="5">
        <v>118.386198037154</v>
      </c>
      <c r="E1839" s="5">
        <v>61.8112443550832</v>
      </c>
      <c r="F1839" s="5">
        <v>61.8112443550832</v>
      </c>
      <c r="G1839" s="5">
        <v>-4.09368251264395</v>
      </c>
      <c r="H1839" s="5">
        <v>-4.09368251264395</v>
      </c>
      <c r="I1839" s="5">
        <v>-4.09368251264395</v>
      </c>
      <c r="J1839" s="5">
        <v>-1.59155056649256</v>
      </c>
      <c r="K1839" s="5">
        <v>-1.59155056649256</v>
      </c>
      <c r="L1839" s="5">
        <v>-1.59155056649256</v>
      </c>
      <c r="M1839" s="5">
        <v>-2.50213194615139</v>
      </c>
      <c r="N1839" s="5">
        <v>-2.50213194615139</v>
      </c>
      <c r="O1839" s="5">
        <v>-2.50213194615139</v>
      </c>
      <c r="P1839" s="5">
        <v>0.0</v>
      </c>
      <c r="Q1839" s="5">
        <v>0.0</v>
      </c>
      <c r="R1839" s="5">
        <v>0.0</v>
      </c>
      <c r="S1839" s="5">
        <v>57.7175618424393</v>
      </c>
    </row>
    <row r="1840">
      <c r="A1840" s="6">
        <v>43024.0</v>
      </c>
      <c r="B1840" s="5">
        <v>61.8490531000754</v>
      </c>
      <c r="C1840" s="5">
        <v>6.18958693721445</v>
      </c>
      <c r="D1840" s="5">
        <v>124.351632994254</v>
      </c>
      <c r="E1840" s="5">
        <v>61.8490531000754</v>
      </c>
      <c r="F1840" s="5">
        <v>61.8490531000754</v>
      </c>
      <c r="G1840" s="5">
        <v>0.88730780094125</v>
      </c>
      <c r="H1840" s="5">
        <v>0.88730780094125</v>
      </c>
      <c r="I1840" s="5">
        <v>0.88730780094125</v>
      </c>
      <c r="J1840" s="5">
        <v>0.0905589421205648</v>
      </c>
      <c r="K1840" s="5">
        <v>0.0905589421205648</v>
      </c>
      <c r="L1840" s="5">
        <v>0.0905589421205648</v>
      </c>
      <c r="M1840" s="5">
        <v>0.796748858820685</v>
      </c>
      <c r="N1840" s="5">
        <v>0.796748858820685</v>
      </c>
      <c r="O1840" s="5">
        <v>0.796748858820685</v>
      </c>
      <c r="P1840" s="5">
        <v>0.0</v>
      </c>
      <c r="Q1840" s="5">
        <v>0.0</v>
      </c>
      <c r="R1840" s="5">
        <v>0.0</v>
      </c>
      <c r="S1840" s="5">
        <v>62.7363609010166</v>
      </c>
    </row>
    <row r="1841">
      <c r="A1841" s="6">
        <v>43025.0</v>
      </c>
      <c r="B1841" s="5">
        <v>61.8616560150728</v>
      </c>
      <c r="C1841" s="5">
        <v>-1.83769800061623</v>
      </c>
      <c r="D1841" s="5">
        <v>125.513073321052</v>
      </c>
      <c r="E1841" s="5">
        <v>61.8616560150728</v>
      </c>
      <c r="F1841" s="5">
        <v>61.8616560150728</v>
      </c>
      <c r="G1841" s="5">
        <v>1.86100158679229</v>
      </c>
      <c r="H1841" s="5">
        <v>1.86100158679229</v>
      </c>
      <c r="I1841" s="5">
        <v>1.86100158679229</v>
      </c>
      <c r="J1841" s="5">
        <v>-0.144118857243311</v>
      </c>
      <c r="K1841" s="5">
        <v>-0.144118857243311</v>
      </c>
      <c r="L1841" s="5">
        <v>-0.144118857243311</v>
      </c>
      <c r="M1841" s="5">
        <v>2.00512044403561</v>
      </c>
      <c r="N1841" s="5">
        <v>2.00512044403561</v>
      </c>
      <c r="O1841" s="5">
        <v>2.00512044403561</v>
      </c>
      <c r="P1841" s="5">
        <v>0.0</v>
      </c>
      <c r="Q1841" s="5">
        <v>0.0</v>
      </c>
      <c r="R1841" s="5">
        <v>0.0</v>
      </c>
      <c r="S1841" s="5">
        <v>63.7226576018651</v>
      </c>
    </row>
    <row r="1842">
      <c r="A1842" s="6">
        <v>43026.0</v>
      </c>
      <c r="B1842" s="5">
        <v>61.8742589300702</v>
      </c>
      <c r="C1842" s="5">
        <v>2.61248309005468</v>
      </c>
      <c r="D1842" s="5">
        <v>125.368890657984</v>
      </c>
      <c r="E1842" s="5">
        <v>61.8742589300702</v>
      </c>
      <c r="F1842" s="5">
        <v>61.8742589300702</v>
      </c>
      <c r="G1842" s="5">
        <v>3.24917449870533</v>
      </c>
      <c r="H1842" s="5">
        <v>3.24917449870533</v>
      </c>
      <c r="I1842" s="5">
        <v>3.24917449870533</v>
      </c>
      <c r="J1842" s="5">
        <v>0.00703780528341758</v>
      </c>
      <c r="K1842" s="5">
        <v>0.00703780528341758</v>
      </c>
      <c r="L1842" s="5">
        <v>0.00703780528341758</v>
      </c>
      <c r="M1842" s="5">
        <v>3.24213669342191</v>
      </c>
      <c r="N1842" s="5">
        <v>3.24213669342191</v>
      </c>
      <c r="O1842" s="5">
        <v>3.24213669342191</v>
      </c>
      <c r="P1842" s="5">
        <v>0.0</v>
      </c>
      <c r="Q1842" s="5">
        <v>0.0</v>
      </c>
      <c r="R1842" s="5">
        <v>0.0</v>
      </c>
      <c r="S1842" s="5">
        <v>65.1234334287755</v>
      </c>
    </row>
    <row r="1843">
      <c r="A1843" s="6">
        <v>43027.0</v>
      </c>
      <c r="B1843" s="5">
        <v>61.8868618450675</v>
      </c>
      <c r="C1843" s="5">
        <v>0.297387773535807</v>
      </c>
      <c r="D1843" s="5">
        <v>126.313573870446</v>
      </c>
      <c r="E1843" s="5">
        <v>61.8868618450675</v>
      </c>
      <c r="F1843" s="5">
        <v>61.8868618450675</v>
      </c>
      <c r="G1843" s="5">
        <v>3.71518672725735</v>
      </c>
      <c r="H1843" s="5">
        <v>3.71518672725735</v>
      </c>
      <c r="I1843" s="5">
        <v>3.71518672725735</v>
      </c>
      <c r="J1843" s="5">
        <v>-0.77642252590313</v>
      </c>
      <c r="K1843" s="5">
        <v>-0.77642252590313</v>
      </c>
      <c r="L1843" s="5">
        <v>-0.77642252590313</v>
      </c>
      <c r="M1843" s="5">
        <v>4.49160925316048</v>
      </c>
      <c r="N1843" s="5">
        <v>4.49160925316048</v>
      </c>
      <c r="O1843" s="5">
        <v>4.49160925316048</v>
      </c>
      <c r="P1843" s="5">
        <v>0.0</v>
      </c>
      <c r="Q1843" s="5">
        <v>0.0</v>
      </c>
      <c r="R1843" s="5">
        <v>0.0</v>
      </c>
      <c r="S1843" s="5">
        <v>65.6020485723249</v>
      </c>
    </row>
    <row r="1844">
      <c r="A1844" s="6">
        <v>43028.0</v>
      </c>
      <c r="B1844" s="5">
        <v>61.8994647600649</v>
      </c>
      <c r="C1844" s="5">
        <v>-3.44930263269955</v>
      </c>
      <c r="D1844" s="5">
        <v>130.83345009526</v>
      </c>
      <c r="E1844" s="5">
        <v>61.8994647600649</v>
      </c>
      <c r="F1844" s="5">
        <v>61.8994647600649</v>
      </c>
      <c r="G1844" s="5">
        <v>4.14584486665769</v>
      </c>
      <c r="H1844" s="5">
        <v>4.14584486665769</v>
      </c>
      <c r="I1844" s="5">
        <v>4.14584486665769</v>
      </c>
      <c r="J1844" s="5">
        <v>-1.59155056649469</v>
      </c>
      <c r="K1844" s="5">
        <v>-1.59155056649469</v>
      </c>
      <c r="L1844" s="5">
        <v>-1.59155056649469</v>
      </c>
      <c r="M1844" s="5">
        <v>5.73739543315239</v>
      </c>
      <c r="N1844" s="5">
        <v>5.73739543315239</v>
      </c>
      <c r="O1844" s="5">
        <v>5.73739543315239</v>
      </c>
      <c r="P1844" s="5">
        <v>0.0</v>
      </c>
      <c r="Q1844" s="5">
        <v>0.0</v>
      </c>
      <c r="R1844" s="5">
        <v>0.0</v>
      </c>
      <c r="S1844" s="5">
        <v>66.0453096267226</v>
      </c>
    </row>
    <row r="1845">
      <c r="A1845" s="6">
        <v>43031.0</v>
      </c>
      <c r="B1845" s="5">
        <v>61.9372735050571</v>
      </c>
      <c r="C1845" s="5">
        <v>5.19688987884853</v>
      </c>
      <c r="D1845" s="5">
        <v>133.337268267087</v>
      </c>
      <c r="E1845" s="5">
        <v>61.9372735050571</v>
      </c>
      <c r="F1845" s="5">
        <v>61.9372735050571</v>
      </c>
      <c r="G1845" s="5">
        <v>9.39055530554183</v>
      </c>
      <c r="H1845" s="5">
        <v>9.39055530554183</v>
      </c>
      <c r="I1845" s="5">
        <v>9.39055530554183</v>
      </c>
      <c r="J1845" s="5">
        <v>0.0905589421191273</v>
      </c>
      <c r="K1845" s="5">
        <v>0.0905589421191273</v>
      </c>
      <c r="L1845" s="5">
        <v>0.0905589421191273</v>
      </c>
      <c r="M1845" s="5">
        <v>9.29999636342271</v>
      </c>
      <c r="N1845" s="5">
        <v>9.29999636342271</v>
      </c>
      <c r="O1845" s="5">
        <v>9.29999636342271</v>
      </c>
      <c r="P1845" s="5">
        <v>0.0</v>
      </c>
      <c r="Q1845" s="5">
        <v>0.0</v>
      </c>
      <c r="R1845" s="5">
        <v>0.0</v>
      </c>
      <c r="S1845" s="5">
        <v>71.3278288105989</v>
      </c>
    </row>
    <row r="1846">
      <c r="A1846" s="6">
        <v>43032.0</v>
      </c>
      <c r="B1846" s="5">
        <v>61.9498764200545</v>
      </c>
      <c r="C1846" s="5">
        <v>9.58671306704621</v>
      </c>
      <c r="D1846" s="5">
        <v>135.215572267786</v>
      </c>
      <c r="E1846" s="5">
        <v>61.9498764200545</v>
      </c>
      <c r="F1846" s="5">
        <v>61.9498764200545</v>
      </c>
      <c r="G1846" s="5">
        <v>10.2397241614043</v>
      </c>
      <c r="H1846" s="5">
        <v>10.2397241614043</v>
      </c>
      <c r="I1846" s="5">
        <v>10.2397241614043</v>
      </c>
      <c r="J1846" s="5">
        <v>-0.144118857246161</v>
      </c>
      <c r="K1846" s="5">
        <v>-0.144118857246161</v>
      </c>
      <c r="L1846" s="5">
        <v>-0.144118857246161</v>
      </c>
      <c r="M1846" s="5">
        <v>10.3838430186505</v>
      </c>
      <c r="N1846" s="5">
        <v>10.3838430186505</v>
      </c>
      <c r="O1846" s="5">
        <v>10.3838430186505</v>
      </c>
      <c r="P1846" s="5">
        <v>0.0</v>
      </c>
      <c r="Q1846" s="5">
        <v>0.0</v>
      </c>
      <c r="R1846" s="5">
        <v>0.0</v>
      </c>
      <c r="S1846" s="5">
        <v>72.1896005814589</v>
      </c>
    </row>
    <row r="1847">
      <c r="A1847" s="6">
        <v>43033.0</v>
      </c>
      <c r="B1847" s="5">
        <v>61.9624793350519</v>
      </c>
      <c r="C1847" s="5">
        <v>11.8802964180141</v>
      </c>
      <c r="D1847" s="5">
        <v>134.738281592589</v>
      </c>
      <c r="E1847" s="5">
        <v>61.9624793350519</v>
      </c>
      <c r="F1847" s="5">
        <v>61.9624793350519</v>
      </c>
      <c r="G1847" s="5">
        <v>11.4039949947251</v>
      </c>
      <c r="H1847" s="5">
        <v>11.4039949947251</v>
      </c>
      <c r="I1847" s="5">
        <v>11.4039949947251</v>
      </c>
      <c r="J1847" s="5">
        <v>0.00703780528256515</v>
      </c>
      <c r="K1847" s="5">
        <v>0.00703780528256515</v>
      </c>
      <c r="L1847" s="5">
        <v>0.00703780528256515</v>
      </c>
      <c r="M1847" s="5">
        <v>11.3969571894425</v>
      </c>
      <c r="N1847" s="5">
        <v>11.3969571894425</v>
      </c>
      <c r="O1847" s="5">
        <v>11.3969571894425</v>
      </c>
      <c r="P1847" s="5">
        <v>0.0</v>
      </c>
      <c r="Q1847" s="5">
        <v>0.0</v>
      </c>
      <c r="R1847" s="5">
        <v>0.0</v>
      </c>
      <c r="S1847" s="5">
        <v>73.366474329777</v>
      </c>
    </row>
    <row r="1848">
      <c r="A1848" s="6">
        <v>43034.0</v>
      </c>
      <c r="B1848" s="5">
        <v>61.9750822500492</v>
      </c>
      <c r="C1848" s="5">
        <v>10.4935370705966</v>
      </c>
      <c r="D1848" s="5">
        <v>134.20687842914</v>
      </c>
      <c r="E1848" s="5">
        <v>61.9750822500492</v>
      </c>
      <c r="F1848" s="5">
        <v>61.9750822500492</v>
      </c>
      <c r="G1848" s="5">
        <v>11.5544198705263</v>
      </c>
      <c r="H1848" s="5">
        <v>11.5544198705263</v>
      </c>
      <c r="I1848" s="5">
        <v>11.5544198705263</v>
      </c>
      <c r="J1848" s="5">
        <v>-0.776422525905228</v>
      </c>
      <c r="K1848" s="5">
        <v>-0.776422525905228</v>
      </c>
      <c r="L1848" s="5">
        <v>-0.776422525905228</v>
      </c>
      <c r="M1848" s="5">
        <v>12.3308423964315</v>
      </c>
      <c r="N1848" s="5">
        <v>12.3308423964315</v>
      </c>
      <c r="O1848" s="5">
        <v>12.3308423964315</v>
      </c>
      <c r="P1848" s="5">
        <v>0.0</v>
      </c>
      <c r="Q1848" s="5">
        <v>0.0</v>
      </c>
      <c r="R1848" s="5">
        <v>0.0</v>
      </c>
      <c r="S1848" s="5">
        <v>73.5295021205756</v>
      </c>
    </row>
    <row r="1849">
      <c r="A1849" s="6">
        <v>43035.0</v>
      </c>
      <c r="B1849" s="5">
        <v>61.9876851650466</v>
      </c>
      <c r="C1849" s="5">
        <v>11.5780245575366</v>
      </c>
      <c r="D1849" s="5">
        <v>134.541616598483</v>
      </c>
      <c r="E1849" s="5">
        <v>61.9876851650466</v>
      </c>
      <c r="F1849" s="5">
        <v>61.9876851650466</v>
      </c>
      <c r="G1849" s="5">
        <v>11.5876031209749</v>
      </c>
      <c r="H1849" s="5">
        <v>11.5876031209749</v>
      </c>
      <c r="I1849" s="5">
        <v>11.5876031209749</v>
      </c>
      <c r="J1849" s="5">
        <v>-1.59155056649345</v>
      </c>
      <c r="K1849" s="5">
        <v>-1.59155056649345</v>
      </c>
      <c r="L1849" s="5">
        <v>-1.59155056649345</v>
      </c>
      <c r="M1849" s="5">
        <v>13.1791536874683</v>
      </c>
      <c r="N1849" s="5">
        <v>13.1791536874683</v>
      </c>
      <c r="O1849" s="5">
        <v>13.1791536874683</v>
      </c>
      <c r="P1849" s="5">
        <v>0.0</v>
      </c>
      <c r="Q1849" s="5">
        <v>0.0</v>
      </c>
      <c r="R1849" s="5">
        <v>0.0</v>
      </c>
      <c r="S1849" s="5">
        <v>73.5752882860215</v>
      </c>
    </row>
    <row r="1850">
      <c r="A1850" s="6">
        <v>43038.0</v>
      </c>
      <c r="B1850" s="5">
        <v>62.0254939100388</v>
      </c>
      <c r="C1850" s="5">
        <v>13.843656294165</v>
      </c>
      <c r="D1850" s="5">
        <v>138.039413573921</v>
      </c>
      <c r="E1850" s="5">
        <v>62.0254939100388</v>
      </c>
      <c r="F1850" s="5">
        <v>62.0254939100388</v>
      </c>
      <c r="G1850" s="5">
        <v>15.2717880907711</v>
      </c>
      <c r="H1850" s="5">
        <v>15.2717880907711</v>
      </c>
      <c r="I1850" s="5">
        <v>15.2717880907711</v>
      </c>
      <c r="J1850" s="5">
        <v>0.0905589421226177</v>
      </c>
      <c r="K1850" s="5">
        <v>0.0905589421226177</v>
      </c>
      <c r="L1850" s="5">
        <v>0.0905589421226177</v>
      </c>
      <c r="M1850" s="5">
        <v>15.1812291486485</v>
      </c>
      <c r="N1850" s="5">
        <v>15.1812291486485</v>
      </c>
      <c r="O1850" s="5">
        <v>15.1812291486485</v>
      </c>
      <c r="P1850" s="5">
        <v>0.0</v>
      </c>
      <c r="Q1850" s="5">
        <v>0.0</v>
      </c>
      <c r="R1850" s="5">
        <v>0.0</v>
      </c>
      <c r="S1850" s="5">
        <v>77.29728200081</v>
      </c>
    </row>
    <row r="1851">
      <c r="A1851" s="6">
        <v>43039.0</v>
      </c>
      <c r="B1851" s="5">
        <v>62.0380968250362</v>
      </c>
      <c r="C1851" s="5">
        <v>18.6195470873022</v>
      </c>
      <c r="D1851" s="5">
        <v>141.550471476733</v>
      </c>
      <c r="E1851" s="5">
        <v>62.0380968250362</v>
      </c>
      <c r="F1851" s="5">
        <v>62.0380968250362</v>
      </c>
      <c r="G1851" s="5">
        <v>15.525038299855</v>
      </c>
      <c r="H1851" s="5">
        <v>15.525038299855</v>
      </c>
      <c r="I1851" s="5">
        <v>15.525038299855</v>
      </c>
      <c r="J1851" s="5">
        <v>-0.144118857245073</v>
      </c>
      <c r="K1851" s="5">
        <v>-0.144118857245073</v>
      </c>
      <c r="L1851" s="5">
        <v>-0.144118857245073</v>
      </c>
      <c r="M1851" s="5">
        <v>15.6691571571</v>
      </c>
      <c r="N1851" s="5">
        <v>15.6691571571</v>
      </c>
      <c r="O1851" s="5">
        <v>15.6691571571</v>
      </c>
      <c r="P1851" s="5">
        <v>0.0</v>
      </c>
      <c r="Q1851" s="5">
        <v>0.0</v>
      </c>
      <c r="R1851" s="5">
        <v>0.0</v>
      </c>
      <c r="S1851" s="5">
        <v>77.5631351248912</v>
      </c>
    </row>
    <row r="1852">
      <c r="A1852" s="6">
        <v>43040.0</v>
      </c>
      <c r="B1852" s="5">
        <v>62.0506997400336</v>
      </c>
      <c r="C1852" s="5">
        <v>12.0004547206655</v>
      </c>
      <c r="D1852" s="5">
        <v>138.482287228065</v>
      </c>
      <c r="E1852" s="5">
        <v>62.0506997400336</v>
      </c>
      <c r="F1852" s="5">
        <v>62.0506997400336</v>
      </c>
      <c r="G1852" s="5">
        <v>16.0805245344896</v>
      </c>
      <c r="H1852" s="5">
        <v>16.0805245344896</v>
      </c>
      <c r="I1852" s="5">
        <v>16.0805245344896</v>
      </c>
      <c r="J1852" s="5">
        <v>0.0070378052817126</v>
      </c>
      <c r="K1852" s="5">
        <v>0.0070378052817126</v>
      </c>
      <c r="L1852" s="5">
        <v>0.0070378052817126</v>
      </c>
      <c r="M1852" s="5">
        <v>16.0734867292079</v>
      </c>
      <c r="N1852" s="5">
        <v>16.0734867292079</v>
      </c>
      <c r="O1852" s="5">
        <v>16.0734867292079</v>
      </c>
      <c r="P1852" s="5">
        <v>0.0</v>
      </c>
      <c r="Q1852" s="5">
        <v>0.0</v>
      </c>
      <c r="R1852" s="5">
        <v>0.0</v>
      </c>
      <c r="S1852" s="5">
        <v>78.1312242745232</v>
      </c>
    </row>
    <row r="1853">
      <c r="A1853" s="6">
        <v>43041.0</v>
      </c>
      <c r="B1853" s="5">
        <v>62.0633026550309</v>
      </c>
      <c r="C1853" s="5">
        <v>18.1512926312476</v>
      </c>
      <c r="D1853" s="5">
        <v>137.859046609078</v>
      </c>
      <c r="E1853" s="5">
        <v>62.0633026550309</v>
      </c>
      <c r="F1853" s="5">
        <v>62.0633026550309</v>
      </c>
      <c r="G1853" s="5">
        <v>15.6243248212336</v>
      </c>
      <c r="H1853" s="5">
        <v>15.6243248212336</v>
      </c>
      <c r="I1853" s="5">
        <v>15.6243248212336</v>
      </c>
      <c r="J1853" s="5">
        <v>-0.776422525904575</v>
      </c>
      <c r="K1853" s="5">
        <v>-0.776422525904575</v>
      </c>
      <c r="L1853" s="5">
        <v>-0.776422525904575</v>
      </c>
      <c r="M1853" s="5">
        <v>16.4007473471382</v>
      </c>
      <c r="N1853" s="5">
        <v>16.4007473471382</v>
      </c>
      <c r="O1853" s="5">
        <v>16.4007473471382</v>
      </c>
      <c r="P1853" s="5">
        <v>0.0</v>
      </c>
      <c r="Q1853" s="5">
        <v>0.0</v>
      </c>
      <c r="R1853" s="5">
        <v>0.0</v>
      </c>
      <c r="S1853" s="5">
        <v>77.6876274762646</v>
      </c>
    </row>
    <row r="1854">
      <c r="A1854" s="6">
        <v>43042.0</v>
      </c>
      <c r="B1854" s="5">
        <v>62.0759055700283</v>
      </c>
      <c r="C1854" s="5">
        <v>16.1008332571616</v>
      </c>
      <c r="D1854" s="5">
        <v>137.21549613209</v>
      </c>
      <c r="E1854" s="5">
        <v>62.0759055700283</v>
      </c>
      <c r="F1854" s="5">
        <v>62.0759055700283</v>
      </c>
      <c r="G1854" s="5">
        <v>15.0674876629532</v>
      </c>
      <c r="H1854" s="5">
        <v>15.0674876629532</v>
      </c>
      <c r="I1854" s="5">
        <v>15.0674876629532</v>
      </c>
      <c r="J1854" s="5">
        <v>-1.59155056649559</v>
      </c>
      <c r="K1854" s="5">
        <v>-1.59155056649559</v>
      </c>
      <c r="L1854" s="5">
        <v>-1.59155056649559</v>
      </c>
      <c r="M1854" s="5">
        <v>16.6590382294488</v>
      </c>
      <c r="N1854" s="5">
        <v>16.6590382294488</v>
      </c>
      <c r="O1854" s="5">
        <v>16.6590382294488</v>
      </c>
      <c r="P1854" s="5">
        <v>0.0</v>
      </c>
      <c r="Q1854" s="5">
        <v>0.0</v>
      </c>
      <c r="R1854" s="5">
        <v>0.0</v>
      </c>
      <c r="S1854" s="5">
        <v>77.1433932329815</v>
      </c>
    </row>
    <row r="1855">
      <c r="A1855" s="6">
        <v>43045.0</v>
      </c>
      <c r="B1855" s="5">
        <v>62.1137143150205</v>
      </c>
      <c r="C1855" s="5">
        <v>14.0766962341012</v>
      </c>
      <c r="D1855" s="5">
        <v>140.639011940405</v>
      </c>
      <c r="E1855" s="5">
        <v>62.1137143150205</v>
      </c>
      <c r="F1855" s="5">
        <v>62.1137143150205</v>
      </c>
      <c r="G1855" s="5">
        <v>17.2086658570809</v>
      </c>
      <c r="H1855" s="5">
        <v>17.2086658570809</v>
      </c>
      <c r="I1855" s="5">
        <v>17.2086658570809</v>
      </c>
      <c r="J1855" s="5">
        <v>0.0905589421211803</v>
      </c>
      <c r="K1855" s="5">
        <v>0.0905589421211803</v>
      </c>
      <c r="L1855" s="5">
        <v>0.0905589421211803</v>
      </c>
      <c r="M1855" s="5">
        <v>17.1181069149597</v>
      </c>
      <c r="N1855" s="5">
        <v>17.1181069149597</v>
      </c>
      <c r="O1855" s="5">
        <v>17.1181069149597</v>
      </c>
      <c r="P1855" s="5">
        <v>0.0</v>
      </c>
      <c r="Q1855" s="5">
        <v>0.0</v>
      </c>
      <c r="R1855" s="5">
        <v>0.0</v>
      </c>
      <c r="S1855" s="5">
        <v>79.3223801721014</v>
      </c>
    </row>
    <row r="1856">
      <c r="A1856" s="6">
        <v>43046.0</v>
      </c>
      <c r="B1856" s="5">
        <v>62.1263172300179</v>
      </c>
      <c r="C1856" s="5">
        <v>19.5097525260722</v>
      </c>
      <c r="D1856" s="5">
        <v>138.176742823039</v>
      </c>
      <c r="E1856" s="5">
        <v>62.1263172300179</v>
      </c>
      <c r="F1856" s="5">
        <v>62.1263172300179</v>
      </c>
      <c r="G1856" s="5">
        <v>17.057656980842</v>
      </c>
      <c r="H1856" s="5">
        <v>17.057656980842</v>
      </c>
      <c r="I1856" s="5">
        <v>17.057656980842</v>
      </c>
      <c r="J1856" s="5">
        <v>-0.144118857246509</v>
      </c>
      <c r="K1856" s="5">
        <v>-0.144118857246509</v>
      </c>
      <c r="L1856" s="5">
        <v>-0.144118857246509</v>
      </c>
      <c r="M1856" s="5">
        <v>17.2017758380885</v>
      </c>
      <c r="N1856" s="5">
        <v>17.2017758380885</v>
      </c>
      <c r="O1856" s="5">
        <v>17.2017758380885</v>
      </c>
      <c r="P1856" s="5">
        <v>0.0</v>
      </c>
      <c r="Q1856" s="5">
        <v>0.0</v>
      </c>
      <c r="R1856" s="5">
        <v>0.0</v>
      </c>
      <c r="S1856" s="5">
        <v>79.1839742108599</v>
      </c>
    </row>
    <row r="1857">
      <c r="A1857" s="6">
        <v>43047.0</v>
      </c>
      <c r="B1857" s="5">
        <v>62.1389201450152</v>
      </c>
      <c r="C1857" s="5">
        <v>17.2501158552773</v>
      </c>
      <c r="D1857" s="5">
        <v>143.399724544379</v>
      </c>
      <c r="E1857" s="5">
        <v>62.1389201450152</v>
      </c>
      <c r="F1857" s="5">
        <v>62.1389201450152</v>
      </c>
      <c r="G1857" s="5">
        <v>17.2761031857252</v>
      </c>
      <c r="H1857" s="5">
        <v>17.2761031857252</v>
      </c>
      <c r="I1857" s="5">
        <v>17.2761031857252</v>
      </c>
      <c r="J1857" s="5">
        <v>0.00703780528086001</v>
      </c>
      <c r="K1857" s="5">
        <v>0.00703780528086001</v>
      </c>
      <c r="L1857" s="5">
        <v>0.00703780528086001</v>
      </c>
      <c r="M1857" s="5">
        <v>17.2690653804444</v>
      </c>
      <c r="N1857" s="5">
        <v>17.2690653804444</v>
      </c>
      <c r="O1857" s="5">
        <v>17.2690653804444</v>
      </c>
      <c r="P1857" s="5">
        <v>0.0</v>
      </c>
      <c r="Q1857" s="5">
        <v>0.0</v>
      </c>
      <c r="R1857" s="5">
        <v>0.0</v>
      </c>
      <c r="S1857" s="5">
        <v>79.4150233307405</v>
      </c>
    </row>
    <row r="1858">
      <c r="A1858" s="6">
        <v>43048.0</v>
      </c>
      <c r="B1858" s="5">
        <v>62.1515230600126</v>
      </c>
      <c r="C1858" s="5">
        <v>18.8177731640268</v>
      </c>
      <c r="D1858" s="5">
        <v>140.85832371036</v>
      </c>
      <c r="E1858" s="5">
        <v>62.1515230600126</v>
      </c>
      <c r="F1858" s="5">
        <v>62.1515230600126</v>
      </c>
      <c r="G1858" s="5">
        <v>16.5539686190043</v>
      </c>
      <c r="H1858" s="5">
        <v>16.5539686190043</v>
      </c>
      <c r="I1858" s="5">
        <v>16.5539686190043</v>
      </c>
      <c r="J1858" s="5">
        <v>-0.776422525903821</v>
      </c>
      <c r="K1858" s="5">
        <v>-0.776422525903821</v>
      </c>
      <c r="L1858" s="5">
        <v>-0.776422525903821</v>
      </c>
      <c r="M1858" s="5">
        <v>17.3303911449081</v>
      </c>
      <c r="N1858" s="5">
        <v>17.3303911449081</v>
      </c>
      <c r="O1858" s="5">
        <v>17.3303911449081</v>
      </c>
      <c r="P1858" s="5">
        <v>0.0</v>
      </c>
      <c r="Q1858" s="5">
        <v>0.0</v>
      </c>
      <c r="R1858" s="5">
        <v>0.0</v>
      </c>
      <c r="S1858" s="5">
        <v>78.705491679017</v>
      </c>
    </row>
    <row r="1859">
      <c r="A1859" s="6">
        <v>43049.0</v>
      </c>
      <c r="B1859" s="5">
        <v>62.16412597501</v>
      </c>
      <c r="C1859" s="5">
        <v>15.9735570794829</v>
      </c>
      <c r="D1859" s="5">
        <v>139.02653851317</v>
      </c>
      <c r="E1859" s="5">
        <v>62.16412597501</v>
      </c>
      <c r="F1859" s="5">
        <v>62.16412597501</v>
      </c>
      <c r="G1859" s="5">
        <v>15.8037587474948</v>
      </c>
      <c r="H1859" s="5">
        <v>15.8037587474948</v>
      </c>
      <c r="I1859" s="5">
        <v>15.8037587474948</v>
      </c>
      <c r="J1859" s="5">
        <v>-1.59155056649435</v>
      </c>
      <c r="K1859" s="5">
        <v>-1.59155056649435</v>
      </c>
      <c r="L1859" s="5">
        <v>-1.59155056649435</v>
      </c>
      <c r="M1859" s="5">
        <v>17.3953093139891</v>
      </c>
      <c r="N1859" s="5">
        <v>17.3953093139891</v>
      </c>
      <c r="O1859" s="5">
        <v>17.3953093139891</v>
      </c>
      <c r="P1859" s="5">
        <v>0.0</v>
      </c>
      <c r="Q1859" s="5">
        <v>0.0</v>
      </c>
      <c r="R1859" s="5">
        <v>0.0</v>
      </c>
      <c r="S1859" s="5">
        <v>77.9678847225048</v>
      </c>
    </row>
    <row r="1860">
      <c r="A1860" s="6">
        <v>43052.0</v>
      </c>
      <c r="B1860" s="5">
        <v>62.2019347200022</v>
      </c>
      <c r="C1860" s="5">
        <v>16.373193275549</v>
      </c>
      <c r="D1860" s="5">
        <v>148.0658958258</v>
      </c>
      <c r="E1860" s="5">
        <v>62.2019347200022</v>
      </c>
      <c r="F1860" s="5">
        <v>62.2019347200022</v>
      </c>
      <c r="G1860" s="5">
        <v>17.7786742548858</v>
      </c>
      <c r="H1860" s="5">
        <v>17.7786742548858</v>
      </c>
      <c r="I1860" s="5">
        <v>17.7786742548858</v>
      </c>
      <c r="J1860" s="5">
        <v>0.090558942119743</v>
      </c>
      <c r="K1860" s="5">
        <v>0.090558942119743</v>
      </c>
      <c r="L1860" s="5">
        <v>0.090558942119743</v>
      </c>
      <c r="M1860" s="5">
        <v>17.688115312766</v>
      </c>
      <c r="N1860" s="5">
        <v>17.688115312766</v>
      </c>
      <c r="O1860" s="5">
        <v>17.688115312766</v>
      </c>
      <c r="P1860" s="5">
        <v>0.0</v>
      </c>
      <c r="Q1860" s="5">
        <v>0.0</v>
      </c>
      <c r="R1860" s="5">
        <v>0.0</v>
      </c>
      <c r="S1860" s="5">
        <v>79.980608974888</v>
      </c>
    </row>
    <row r="1861">
      <c r="A1861" s="6">
        <v>43053.0</v>
      </c>
      <c r="B1861" s="5">
        <v>62.2145376349995</v>
      </c>
      <c r="C1861" s="5">
        <v>16.3743568537387</v>
      </c>
      <c r="D1861" s="5">
        <v>140.057642506969</v>
      </c>
      <c r="E1861" s="5">
        <v>62.2145376349995</v>
      </c>
      <c r="F1861" s="5">
        <v>62.2145376349995</v>
      </c>
      <c r="G1861" s="5">
        <v>17.6917917341992</v>
      </c>
      <c r="H1861" s="5">
        <v>17.6917917341992</v>
      </c>
      <c r="I1861" s="5">
        <v>17.6917917341992</v>
      </c>
      <c r="J1861" s="5">
        <v>-0.144118857244311</v>
      </c>
      <c r="K1861" s="5">
        <v>-0.144118857244311</v>
      </c>
      <c r="L1861" s="5">
        <v>-0.144118857244311</v>
      </c>
      <c r="M1861" s="5">
        <v>17.8359105914435</v>
      </c>
      <c r="N1861" s="5">
        <v>17.8359105914435</v>
      </c>
      <c r="O1861" s="5">
        <v>17.8359105914435</v>
      </c>
      <c r="P1861" s="5">
        <v>0.0</v>
      </c>
      <c r="Q1861" s="5">
        <v>0.0</v>
      </c>
      <c r="R1861" s="5">
        <v>0.0</v>
      </c>
      <c r="S1861" s="5">
        <v>79.9063293691988</v>
      </c>
    </row>
    <row r="1862">
      <c r="A1862" s="6">
        <v>43054.0</v>
      </c>
      <c r="B1862" s="5">
        <v>62.2271405499969</v>
      </c>
      <c r="C1862" s="5">
        <v>21.4261471785979</v>
      </c>
      <c r="D1862" s="5">
        <v>145.103114053577</v>
      </c>
      <c r="E1862" s="5">
        <v>62.2271405499969</v>
      </c>
      <c r="F1862" s="5">
        <v>62.2271405499969</v>
      </c>
      <c r="G1862" s="5">
        <v>18.0200371210297</v>
      </c>
      <c r="H1862" s="5">
        <v>18.0200371210297</v>
      </c>
      <c r="I1862" s="5">
        <v>18.0200371210297</v>
      </c>
      <c r="J1862" s="5">
        <v>0.00703780528316238</v>
      </c>
      <c r="K1862" s="5">
        <v>0.00703780528316238</v>
      </c>
      <c r="L1862" s="5">
        <v>0.00703780528316238</v>
      </c>
      <c r="M1862" s="5">
        <v>18.0129993157465</v>
      </c>
      <c r="N1862" s="5">
        <v>18.0129993157465</v>
      </c>
      <c r="O1862" s="5">
        <v>18.0129993157465</v>
      </c>
      <c r="P1862" s="5">
        <v>0.0</v>
      </c>
      <c r="Q1862" s="5">
        <v>0.0</v>
      </c>
      <c r="R1862" s="5">
        <v>0.0</v>
      </c>
      <c r="S1862" s="5">
        <v>80.2471776710267</v>
      </c>
    </row>
    <row r="1863">
      <c r="A1863" s="6">
        <v>43055.0</v>
      </c>
      <c r="B1863" s="5">
        <v>62.2397434649943</v>
      </c>
      <c r="C1863" s="5">
        <v>16.6140992082551</v>
      </c>
      <c r="D1863" s="5">
        <v>145.552351862562</v>
      </c>
      <c r="E1863" s="5">
        <v>62.2397434649943</v>
      </c>
      <c r="F1863" s="5">
        <v>62.2397434649943</v>
      </c>
      <c r="G1863" s="5">
        <v>17.442575152262</v>
      </c>
      <c r="H1863" s="5">
        <v>17.442575152262</v>
      </c>
      <c r="I1863" s="5">
        <v>17.442575152262</v>
      </c>
      <c r="J1863" s="5">
        <v>-0.776422525900318</v>
      </c>
      <c r="K1863" s="5">
        <v>-0.776422525900318</v>
      </c>
      <c r="L1863" s="5">
        <v>-0.776422525900318</v>
      </c>
      <c r="M1863" s="5">
        <v>18.2189976781623</v>
      </c>
      <c r="N1863" s="5">
        <v>18.2189976781623</v>
      </c>
      <c r="O1863" s="5">
        <v>18.2189976781623</v>
      </c>
      <c r="P1863" s="5">
        <v>0.0</v>
      </c>
      <c r="Q1863" s="5">
        <v>0.0</v>
      </c>
      <c r="R1863" s="5">
        <v>0.0</v>
      </c>
      <c r="S1863" s="5">
        <v>79.6823186172563</v>
      </c>
    </row>
    <row r="1864">
      <c r="A1864" s="6">
        <v>43056.0</v>
      </c>
      <c r="B1864" s="5">
        <v>62.2523463799917</v>
      </c>
      <c r="C1864" s="5">
        <v>17.1879337089981</v>
      </c>
      <c r="D1864" s="5">
        <v>144.744763286528</v>
      </c>
      <c r="E1864" s="5">
        <v>62.2523463799917</v>
      </c>
      <c r="F1864" s="5">
        <v>62.2523463799917</v>
      </c>
      <c r="G1864" s="5">
        <v>16.8600457794566</v>
      </c>
      <c r="H1864" s="5">
        <v>16.8600457794566</v>
      </c>
      <c r="I1864" s="5">
        <v>16.8600457794566</v>
      </c>
      <c r="J1864" s="5">
        <v>-1.59155056649342</v>
      </c>
      <c r="K1864" s="5">
        <v>-1.59155056649342</v>
      </c>
      <c r="L1864" s="5">
        <v>-1.59155056649342</v>
      </c>
      <c r="M1864" s="5">
        <v>18.45159634595</v>
      </c>
      <c r="N1864" s="5">
        <v>18.45159634595</v>
      </c>
      <c r="O1864" s="5">
        <v>18.45159634595</v>
      </c>
      <c r="P1864" s="5">
        <v>0.0</v>
      </c>
      <c r="Q1864" s="5">
        <v>0.0</v>
      </c>
      <c r="R1864" s="5">
        <v>0.0</v>
      </c>
      <c r="S1864" s="5">
        <v>79.1123921594483</v>
      </c>
    </row>
    <row r="1865">
      <c r="A1865" s="6">
        <v>43059.0</v>
      </c>
      <c r="B1865" s="5">
        <v>62.2901551249839</v>
      </c>
      <c r="C1865" s="5">
        <v>18.8748177667833</v>
      </c>
      <c r="D1865" s="5">
        <v>142.409671786258</v>
      </c>
      <c r="E1865" s="5">
        <v>62.2901551249839</v>
      </c>
      <c r="F1865" s="5">
        <v>62.2901551249839</v>
      </c>
      <c r="G1865" s="5">
        <v>19.3499644796238</v>
      </c>
      <c r="H1865" s="5">
        <v>19.3499644796238</v>
      </c>
      <c r="I1865" s="5">
        <v>19.3499644796238</v>
      </c>
      <c r="J1865" s="5">
        <v>0.0905589421207695</v>
      </c>
      <c r="K1865" s="5">
        <v>0.0905589421207695</v>
      </c>
      <c r="L1865" s="5">
        <v>0.0905589421207695</v>
      </c>
      <c r="M1865" s="5">
        <v>19.259405537503</v>
      </c>
      <c r="N1865" s="5">
        <v>19.259405537503</v>
      </c>
      <c r="O1865" s="5">
        <v>19.259405537503</v>
      </c>
      <c r="P1865" s="5">
        <v>0.0</v>
      </c>
      <c r="Q1865" s="5">
        <v>0.0</v>
      </c>
      <c r="R1865" s="5">
        <v>0.0</v>
      </c>
      <c r="S1865" s="5">
        <v>81.6401196046077</v>
      </c>
    </row>
    <row r="1866">
      <c r="A1866" s="6">
        <v>43060.0</v>
      </c>
      <c r="B1866" s="5">
        <v>62.3027580399812</v>
      </c>
      <c r="C1866" s="5">
        <v>14.3728383319714</v>
      </c>
      <c r="D1866" s="5">
        <v>145.180908577065</v>
      </c>
      <c r="E1866" s="5">
        <v>62.3027580399812</v>
      </c>
      <c r="F1866" s="5">
        <v>62.3027580399812</v>
      </c>
      <c r="G1866" s="5">
        <v>19.3972174035252</v>
      </c>
      <c r="H1866" s="5">
        <v>19.3972174035252</v>
      </c>
      <c r="I1866" s="5">
        <v>19.3972174035252</v>
      </c>
      <c r="J1866" s="5">
        <v>-0.144118857245747</v>
      </c>
      <c r="K1866" s="5">
        <v>-0.144118857245747</v>
      </c>
      <c r="L1866" s="5">
        <v>-0.144118857245747</v>
      </c>
      <c r="M1866" s="5">
        <v>19.5413362607709</v>
      </c>
      <c r="N1866" s="5">
        <v>19.5413362607709</v>
      </c>
      <c r="O1866" s="5">
        <v>19.5413362607709</v>
      </c>
      <c r="P1866" s="5">
        <v>0.0</v>
      </c>
      <c r="Q1866" s="5">
        <v>0.0</v>
      </c>
      <c r="R1866" s="5">
        <v>0.0</v>
      </c>
      <c r="S1866" s="5">
        <v>81.6999754435065</v>
      </c>
    </row>
    <row r="1867">
      <c r="A1867" s="6">
        <v>43061.0</v>
      </c>
      <c r="B1867" s="5">
        <v>62.3153609549786</v>
      </c>
      <c r="C1867" s="5">
        <v>19.4379965132237</v>
      </c>
      <c r="D1867" s="5">
        <v>147.203152301573</v>
      </c>
      <c r="E1867" s="5">
        <v>62.3153609549786</v>
      </c>
      <c r="F1867" s="5">
        <v>62.3153609549786</v>
      </c>
      <c r="G1867" s="5">
        <v>19.8218083373803</v>
      </c>
      <c r="H1867" s="5">
        <v>19.8218083373803</v>
      </c>
      <c r="I1867" s="5">
        <v>19.8218083373803</v>
      </c>
      <c r="J1867" s="5">
        <v>0.00703780528230996</v>
      </c>
      <c r="K1867" s="5">
        <v>0.00703780528230996</v>
      </c>
      <c r="L1867" s="5">
        <v>0.00703780528230996</v>
      </c>
      <c r="M1867" s="5">
        <v>19.814770532098</v>
      </c>
      <c r="N1867" s="5">
        <v>19.814770532098</v>
      </c>
      <c r="O1867" s="5">
        <v>19.814770532098</v>
      </c>
      <c r="P1867" s="5">
        <v>0.0</v>
      </c>
      <c r="Q1867" s="5">
        <v>0.0</v>
      </c>
      <c r="R1867" s="5">
        <v>0.0</v>
      </c>
      <c r="S1867" s="5">
        <v>82.137169292359</v>
      </c>
    </row>
    <row r="1868">
      <c r="A1868" s="6">
        <v>43063.0</v>
      </c>
      <c r="B1868" s="5">
        <v>62.3405667849734</v>
      </c>
      <c r="C1868" s="5">
        <v>16.1511083306556</v>
      </c>
      <c r="D1868" s="5">
        <v>142.028058620675</v>
      </c>
      <c r="E1868" s="5">
        <v>62.3405667849734</v>
      </c>
      <c r="F1868" s="5">
        <v>62.3405667849734</v>
      </c>
      <c r="G1868" s="5">
        <v>18.7047331829423</v>
      </c>
      <c r="H1868" s="5">
        <v>18.7047331829423</v>
      </c>
      <c r="I1868" s="5">
        <v>18.7047331829423</v>
      </c>
      <c r="J1868" s="5">
        <v>-1.5915505664925</v>
      </c>
      <c r="K1868" s="5">
        <v>-1.5915505664925</v>
      </c>
      <c r="L1868" s="5">
        <v>-1.5915505664925</v>
      </c>
      <c r="M1868" s="5">
        <v>20.2962837494348</v>
      </c>
      <c r="N1868" s="5">
        <v>20.2962837494348</v>
      </c>
      <c r="O1868" s="5">
        <v>20.2962837494348</v>
      </c>
      <c r="P1868" s="5">
        <v>0.0</v>
      </c>
      <c r="Q1868" s="5">
        <v>0.0</v>
      </c>
      <c r="R1868" s="5">
        <v>0.0</v>
      </c>
      <c r="S1868" s="5">
        <v>81.0452999679158</v>
      </c>
    </row>
    <row r="1869">
      <c r="A1869" s="6">
        <v>43066.0</v>
      </c>
      <c r="B1869" s="5">
        <v>62.3783755299655</v>
      </c>
      <c r="C1869" s="5">
        <v>21.4968643076854</v>
      </c>
      <c r="D1869" s="5">
        <v>146.613836585832</v>
      </c>
      <c r="E1869" s="5">
        <v>62.3783755299655</v>
      </c>
      <c r="F1869" s="5">
        <v>62.3783755299655</v>
      </c>
      <c r="G1869" s="5">
        <v>20.7993944783038</v>
      </c>
      <c r="H1869" s="5">
        <v>20.7993944783038</v>
      </c>
      <c r="I1869" s="5">
        <v>20.7993944783038</v>
      </c>
      <c r="J1869" s="5">
        <v>0.0905589421217158</v>
      </c>
      <c r="K1869" s="5">
        <v>0.0905589421217158</v>
      </c>
      <c r="L1869" s="5">
        <v>0.0905589421217158</v>
      </c>
      <c r="M1869" s="5">
        <v>20.708835536182</v>
      </c>
      <c r="N1869" s="5">
        <v>20.708835536182</v>
      </c>
      <c r="O1869" s="5">
        <v>20.708835536182</v>
      </c>
      <c r="P1869" s="5">
        <v>0.0</v>
      </c>
      <c r="Q1869" s="5">
        <v>0.0</v>
      </c>
      <c r="R1869" s="5">
        <v>0.0</v>
      </c>
      <c r="S1869" s="5">
        <v>83.1777700082694</v>
      </c>
    </row>
    <row r="1870">
      <c r="A1870" s="6">
        <v>43067.0</v>
      </c>
      <c r="B1870" s="5">
        <v>62.3909784449629</v>
      </c>
      <c r="C1870" s="5">
        <v>19.2231203702216</v>
      </c>
      <c r="D1870" s="5">
        <v>143.600525070077</v>
      </c>
      <c r="E1870" s="5">
        <v>62.3909784449629</v>
      </c>
      <c r="F1870" s="5">
        <v>62.3909784449629</v>
      </c>
      <c r="G1870" s="5">
        <v>20.5856518035123</v>
      </c>
      <c r="H1870" s="5">
        <v>20.5856518035123</v>
      </c>
      <c r="I1870" s="5">
        <v>20.5856518035123</v>
      </c>
      <c r="J1870" s="5">
        <v>-0.144118857244659</v>
      </c>
      <c r="K1870" s="5">
        <v>-0.144118857244659</v>
      </c>
      <c r="L1870" s="5">
        <v>-0.144118857244659</v>
      </c>
      <c r="M1870" s="5">
        <v>20.7297706607569</v>
      </c>
      <c r="N1870" s="5">
        <v>20.7297706607569</v>
      </c>
      <c r="O1870" s="5">
        <v>20.7297706607569</v>
      </c>
      <c r="P1870" s="5">
        <v>0.0</v>
      </c>
      <c r="Q1870" s="5">
        <v>0.0</v>
      </c>
      <c r="R1870" s="5">
        <v>0.0</v>
      </c>
      <c r="S1870" s="5">
        <v>82.9766302484753</v>
      </c>
    </row>
    <row r="1871">
      <c r="A1871" s="6">
        <v>43068.0</v>
      </c>
      <c r="B1871" s="5">
        <v>62.4035813599603</v>
      </c>
      <c r="C1871" s="5">
        <v>19.7130017360093</v>
      </c>
      <c r="D1871" s="5">
        <v>148.426299010868</v>
      </c>
      <c r="E1871" s="5">
        <v>62.4035813599603</v>
      </c>
      <c r="F1871" s="5">
        <v>62.4035813599603</v>
      </c>
      <c r="G1871" s="5">
        <v>20.6890191955799</v>
      </c>
      <c r="H1871" s="5">
        <v>20.6890191955799</v>
      </c>
      <c r="I1871" s="5">
        <v>20.6890191955799</v>
      </c>
      <c r="J1871" s="5">
        <v>0.0070378052836209</v>
      </c>
      <c r="K1871" s="5">
        <v>0.0070378052836209</v>
      </c>
      <c r="L1871" s="5">
        <v>0.0070378052836209</v>
      </c>
      <c r="M1871" s="5">
        <v>20.6819813902963</v>
      </c>
      <c r="N1871" s="5">
        <v>20.6819813902963</v>
      </c>
      <c r="O1871" s="5">
        <v>20.6819813902963</v>
      </c>
      <c r="P1871" s="5">
        <v>0.0</v>
      </c>
      <c r="Q1871" s="5">
        <v>0.0</v>
      </c>
      <c r="R1871" s="5">
        <v>0.0</v>
      </c>
      <c r="S1871" s="5">
        <v>83.0926005555403</v>
      </c>
    </row>
    <row r="1872">
      <c r="A1872" s="6">
        <v>43069.0</v>
      </c>
      <c r="B1872" s="5">
        <v>62.4161842749577</v>
      </c>
      <c r="C1872" s="5">
        <v>18.8161903384716</v>
      </c>
      <c r="D1872" s="5">
        <v>145.997771904281</v>
      </c>
      <c r="E1872" s="5">
        <v>62.4161842749577</v>
      </c>
      <c r="F1872" s="5">
        <v>62.4161842749577</v>
      </c>
      <c r="G1872" s="5">
        <v>19.7854287458072</v>
      </c>
      <c r="H1872" s="5">
        <v>19.7854287458072</v>
      </c>
      <c r="I1872" s="5">
        <v>19.7854287458072</v>
      </c>
      <c r="J1872" s="5">
        <v>-0.776422525900287</v>
      </c>
      <c r="K1872" s="5">
        <v>-0.776422525900287</v>
      </c>
      <c r="L1872" s="5">
        <v>-0.776422525900287</v>
      </c>
      <c r="M1872" s="5">
        <v>20.5618512717075</v>
      </c>
      <c r="N1872" s="5">
        <v>20.5618512717075</v>
      </c>
      <c r="O1872" s="5">
        <v>20.5618512717075</v>
      </c>
      <c r="P1872" s="5">
        <v>0.0</v>
      </c>
      <c r="Q1872" s="5">
        <v>0.0</v>
      </c>
      <c r="R1872" s="5">
        <v>0.0</v>
      </c>
      <c r="S1872" s="5">
        <v>82.2016130207649</v>
      </c>
    </row>
    <row r="1873">
      <c r="A1873" s="6">
        <v>43070.0</v>
      </c>
      <c r="B1873" s="5">
        <v>62.4287871899551</v>
      </c>
      <c r="C1873" s="5">
        <v>17.1854016757907</v>
      </c>
      <c r="D1873" s="5">
        <v>147.145060644782</v>
      </c>
      <c r="E1873" s="5">
        <v>62.4287871899551</v>
      </c>
      <c r="F1873" s="5">
        <v>62.4287871899551</v>
      </c>
      <c r="G1873" s="5">
        <v>18.7763018880458</v>
      </c>
      <c r="H1873" s="5">
        <v>18.7763018880458</v>
      </c>
      <c r="I1873" s="5">
        <v>18.7763018880458</v>
      </c>
      <c r="J1873" s="5">
        <v>-1.59155056649432</v>
      </c>
      <c r="K1873" s="5">
        <v>-1.59155056649432</v>
      </c>
      <c r="L1873" s="5">
        <v>-1.59155056649432</v>
      </c>
      <c r="M1873" s="5">
        <v>20.3678524545402</v>
      </c>
      <c r="N1873" s="5">
        <v>20.3678524545402</v>
      </c>
      <c r="O1873" s="5">
        <v>20.3678524545402</v>
      </c>
      <c r="P1873" s="5">
        <v>0.0</v>
      </c>
      <c r="Q1873" s="5">
        <v>0.0</v>
      </c>
      <c r="R1873" s="5">
        <v>0.0</v>
      </c>
      <c r="S1873" s="5">
        <v>81.205089078001</v>
      </c>
    </row>
    <row r="1874">
      <c r="A1874" s="6">
        <v>43073.0</v>
      </c>
      <c r="B1874" s="5">
        <v>62.4665959349472</v>
      </c>
      <c r="C1874" s="5">
        <v>22.2789849685914</v>
      </c>
      <c r="D1874" s="5">
        <v>143.76616847926</v>
      </c>
      <c r="E1874" s="5">
        <v>62.4665959349472</v>
      </c>
      <c r="F1874" s="5">
        <v>62.4665959349472</v>
      </c>
      <c r="G1874" s="5">
        <v>19.4520507752785</v>
      </c>
      <c r="H1874" s="5">
        <v>19.4520507752785</v>
      </c>
      <c r="I1874" s="5">
        <v>19.4520507752785</v>
      </c>
      <c r="J1874" s="5">
        <v>0.0905589421226623</v>
      </c>
      <c r="K1874" s="5">
        <v>0.0905589421226623</v>
      </c>
      <c r="L1874" s="5">
        <v>0.0905589421226623</v>
      </c>
      <c r="M1874" s="5">
        <v>19.3614918331558</v>
      </c>
      <c r="N1874" s="5">
        <v>19.3614918331558</v>
      </c>
      <c r="O1874" s="5">
        <v>19.3614918331558</v>
      </c>
      <c r="P1874" s="5">
        <v>0.0</v>
      </c>
      <c r="Q1874" s="5">
        <v>0.0</v>
      </c>
      <c r="R1874" s="5">
        <v>0.0</v>
      </c>
      <c r="S1874" s="5">
        <v>81.9186467102257</v>
      </c>
    </row>
    <row r="1875">
      <c r="A1875" s="6">
        <v>43074.0</v>
      </c>
      <c r="B1875" s="5">
        <v>62.4791988499446</v>
      </c>
      <c r="C1875" s="5">
        <v>20.0557769920833</v>
      </c>
      <c r="D1875" s="5">
        <v>141.227652698083</v>
      </c>
      <c r="E1875" s="5">
        <v>62.4791988499446</v>
      </c>
      <c r="F1875" s="5">
        <v>62.4791988499446</v>
      </c>
      <c r="G1875" s="5">
        <v>18.758418858164</v>
      </c>
      <c r="H1875" s="5">
        <v>18.758418858164</v>
      </c>
      <c r="I1875" s="5">
        <v>18.758418858164</v>
      </c>
      <c r="J1875" s="5">
        <v>-0.144118857243571</v>
      </c>
      <c r="K1875" s="5">
        <v>-0.144118857243571</v>
      </c>
      <c r="L1875" s="5">
        <v>-0.144118857243571</v>
      </c>
      <c r="M1875" s="5">
        <v>18.9025377154076</v>
      </c>
      <c r="N1875" s="5">
        <v>18.9025377154076</v>
      </c>
      <c r="O1875" s="5">
        <v>18.9025377154076</v>
      </c>
      <c r="P1875" s="5">
        <v>0.0</v>
      </c>
      <c r="Q1875" s="5">
        <v>0.0</v>
      </c>
      <c r="R1875" s="5">
        <v>0.0</v>
      </c>
      <c r="S1875" s="5">
        <v>81.2376177081087</v>
      </c>
    </row>
    <row r="1876">
      <c r="A1876" s="6">
        <v>43075.0</v>
      </c>
      <c r="B1876" s="5">
        <v>62.491801764942</v>
      </c>
      <c r="C1876" s="5">
        <v>18.4494335874266</v>
      </c>
      <c r="D1876" s="5">
        <v>146.82550579484</v>
      </c>
      <c r="E1876" s="5">
        <v>62.491801764942</v>
      </c>
      <c r="F1876" s="5">
        <v>62.491801764942</v>
      </c>
      <c r="G1876" s="5">
        <v>18.4034993899883</v>
      </c>
      <c r="H1876" s="5">
        <v>18.4034993899883</v>
      </c>
      <c r="I1876" s="5">
        <v>18.4034993899883</v>
      </c>
      <c r="J1876" s="5">
        <v>0.00703780528159615</v>
      </c>
      <c r="K1876" s="5">
        <v>0.00703780528159615</v>
      </c>
      <c r="L1876" s="5">
        <v>0.00703780528159615</v>
      </c>
      <c r="M1876" s="5">
        <v>18.3964615847067</v>
      </c>
      <c r="N1876" s="5">
        <v>18.3964615847067</v>
      </c>
      <c r="O1876" s="5">
        <v>18.3964615847067</v>
      </c>
      <c r="P1876" s="5">
        <v>0.0</v>
      </c>
      <c r="Q1876" s="5">
        <v>0.0</v>
      </c>
      <c r="R1876" s="5">
        <v>0.0</v>
      </c>
      <c r="S1876" s="5">
        <v>80.8953011549304</v>
      </c>
    </row>
    <row r="1877">
      <c r="A1877" s="6">
        <v>43076.0</v>
      </c>
      <c r="B1877" s="5">
        <v>62.5044046799394</v>
      </c>
      <c r="C1877" s="5">
        <v>17.4531078210799</v>
      </c>
      <c r="D1877" s="5">
        <v>141.909210938581</v>
      </c>
      <c r="E1877" s="5">
        <v>62.5044046799394</v>
      </c>
      <c r="F1877" s="5">
        <v>62.5044046799394</v>
      </c>
      <c r="G1877" s="5">
        <v>17.078699192894</v>
      </c>
      <c r="H1877" s="5">
        <v>17.078699192894</v>
      </c>
      <c r="I1877" s="5">
        <v>17.078699192894</v>
      </c>
      <c r="J1877" s="5">
        <v>-0.776422525901009</v>
      </c>
      <c r="K1877" s="5">
        <v>-0.776422525901009</v>
      </c>
      <c r="L1877" s="5">
        <v>-0.776422525901009</v>
      </c>
      <c r="M1877" s="5">
        <v>17.855121718795</v>
      </c>
      <c r="N1877" s="5">
        <v>17.855121718795</v>
      </c>
      <c r="O1877" s="5">
        <v>17.855121718795</v>
      </c>
      <c r="P1877" s="5">
        <v>0.0</v>
      </c>
      <c r="Q1877" s="5">
        <v>0.0</v>
      </c>
      <c r="R1877" s="5">
        <v>0.0</v>
      </c>
      <c r="S1877" s="5">
        <v>79.5831038728335</v>
      </c>
    </row>
    <row r="1878">
      <c r="A1878" s="6">
        <v>43077.0</v>
      </c>
      <c r="B1878" s="5">
        <v>62.5170075949368</v>
      </c>
      <c r="C1878" s="5">
        <v>19.3842499323025</v>
      </c>
      <c r="D1878" s="5">
        <v>136.794582474584</v>
      </c>
      <c r="E1878" s="5">
        <v>62.5170075949368</v>
      </c>
      <c r="F1878" s="5">
        <v>62.5170075949368</v>
      </c>
      <c r="G1878" s="5">
        <v>15.7005481459301</v>
      </c>
      <c r="H1878" s="5">
        <v>15.7005481459301</v>
      </c>
      <c r="I1878" s="5">
        <v>15.7005481459301</v>
      </c>
      <c r="J1878" s="5">
        <v>-1.59155056649308</v>
      </c>
      <c r="K1878" s="5">
        <v>-1.59155056649308</v>
      </c>
      <c r="L1878" s="5">
        <v>-1.59155056649308</v>
      </c>
      <c r="M1878" s="5">
        <v>17.2920987124232</v>
      </c>
      <c r="N1878" s="5">
        <v>17.2920987124232</v>
      </c>
      <c r="O1878" s="5">
        <v>17.2920987124232</v>
      </c>
      <c r="P1878" s="5">
        <v>0.0</v>
      </c>
      <c r="Q1878" s="5">
        <v>0.0</v>
      </c>
      <c r="R1878" s="5">
        <v>0.0</v>
      </c>
      <c r="S1878" s="5">
        <v>78.2175557408669</v>
      </c>
    </row>
    <row r="1879">
      <c r="A1879" s="6">
        <v>43080.0</v>
      </c>
      <c r="B1879" s="5">
        <v>62.5548163399289</v>
      </c>
      <c r="C1879" s="5">
        <v>16.0247016138551</v>
      </c>
      <c r="D1879" s="5">
        <v>135.034978516639</v>
      </c>
      <c r="E1879" s="5">
        <v>62.5548163399289</v>
      </c>
      <c r="F1879" s="5">
        <v>62.5548163399289</v>
      </c>
      <c r="G1879" s="5">
        <v>15.7181180930992</v>
      </c>
      <c r="H1879" s="5">
        <v>15.7181180930992</v>
      </c>
      <c r="I1879" s="5">
        <v>15.7181180930992</v>
      </c>
      <c r="J1879" s="5">
        <v>0.0905589421236886</v>
      </c>
      <c r="K1879" s="5">
        <v>0.0905589421236886</v>
      </c>
      <c r="L1879" s="5">
        <v>0.0905589421236886</v>
      </c>
      <c r="M1879" s="5">
        <v>15.6275591509755</v>
      </c>
      <c r="N1879" s="5">
        <v>15.6275591509755</v>
      </c>
      <c r="O1879" s="5">
        <v>15.6275591509755</v>
      </c>
      <c r="P1879" s="5">
        <v>0.0</v>
      </c>
      <c r="Q1879" s="5">
        <v>0.0</v>
      </c>
      <c r="R1879" s="5">
        <v>0.0</v>
      </c>
      <c r="S1879" s="5">
        <v>78.2729344330282</v>
      </c>
    </row>
    <row r="1880">
      <c r="A1880" s="6">
        <v>43081.0</v>
      </c>
      <c r="B1880" s="5">
        <v>62.5674192549263</v>
      </c>
      <c r="C1880" s="5">
        <v>10.890455682594</v>
      </c>
      <c r="D1880" s="5">
        <v>140.163351246248</v>
      </c>
      <c r="E1880" s="5">
        <v>62.5674192549263</v>
      </c>
      <c r="F1880" s="5">
        <v>62.5674192549263</v>
      </c>
      <c r="G1880" s="5">
        <v>14.9918319531204</v>
      </c>
      <c r="H1880" s="5">
        <v>14.9918319531204</v>
      </c>
      <c r="I1880" s="5">
        <v>14.9918319531204</v>
      </c>
      <c r="J1880" s="5">
        <v>-0.144118857243897</v>
      </c>
      <c r="K1880" s="5">
        <v>-0.144118857243897</v>
      </c>
      <c r="L1880" s="5">
        <v>-0.144118857243897</v>
      </c>
      <c r="M1880" s="5">
        <v>15.1359508103643</v>
      </c>
      <c r="N1880" s="5">
        <v>15.1359508103643</v>
      </c>
      <c r="O1880" s="5">
        <v>15.1359508103643</v>
      </c>
      <c r="P1880" s="5">
        <v>0.0</v>
      </c>
      <c r="Q1880" s="5">
        <v>0.0</v>
      </c>
      <c r="R1880" s="5">
        <v>0.0</v>
      </c>
      <c r="S1880" s="5">
        <v>77.5592512080468</v>
      </c>
    </row>
    <row r="1881">
      <c r="A1881" s="6">
        <v>43082.0</v>
      </c>
      <c r="B1881" s="5">
        <v>62.5800221699237</v>
      </c>
      <c r="C1881" s="5">
        <v>12.1091536620662</v>
      </c>
      <c r="D1881" s="5">
        <v>141.350496355234</v>
      </c>
      <c r="E1881" s="5">
        <v>62.5800221699237</v>
      </c>
      <c r="F1881" s="5">
        <v>62.5800221699237</v>
      </c>
      <c r="G1881" s="5">
        <v>14.7107672332108</v>
      </c>
      <c r="H1881" s="5">
        <v>14.7107672332108</v>
      </c>
      <c r="I1881" s="5">
        <v>14.7107672332108</v>
      </c>
      <c r="J1881" s="5">
        <v>0.00703780528173497</v>
      </c>
      <c r="K1881" s="5">
        <v>0.00703780528173497</v>
      </c>
      <c r="L1881" s="5">
        <v>0.00703780528173497</v>
      </c>
      <c r="M1881" s="5">
        <v>14.703729427929</v>
      </c>
      <c r="N1881" s="5">
        <v>14.703729427929</v>
      </c>
      <c r="O1881" s="5">
        <v>14.703729427929</v>
      </c>
      <c r="P1881" s="5">
        <v>0.0</v>
      </c>
      <c r="Q1881" s="5">
        <v>0.0</v>
      </c>
      <c r="R1881" s="5">
        <v>0.0</v>
      </c>
      <c r="S1881" s="5">
        <v>77.2907894031345</v>
      </c>
    </row>
    <row r="1882">
      <c r="A1882" s="6">
        <v>43083.0</v>
      </c>
      <c r="B1882" s="5">
        <v>62.5926250849211</v>
      </c>
      <c r="C1882" s="5">
        <v>14.0859754891821</v>
      </c>
      <c r="D1882" s="5">
        <v>139.577979893412</v>
      </c>
      <c r="E1882" s="5">
        <v>62.5926250849211</v>
      </c>
      <c r="F1882" s="5">
        <v>62.5926250849211</v>
      </c>
      <c r="G1882" s="5">
        <v>13.5703180740034</v>
      </c>
      <c r="H1882" s="5">
        <v>13.5703180740034</v>
      </c>
      <c r="I1882" s="5">
        <v>13.5703180740034</v>
      </c>
      <c r="J1882" s="5">
        <v>-0.776422525901731</v>
      </c>
      <c r="K1882" s="5">
        <v>-0.776422525901731</v>
      </c>
      <c r="L1882" s="5">
        <v>-0.776422525901731</v>
      </c>
      <c r="M1882" s="5">
        <v>14.3467405999051</v>
      </c>
      <c r="N1882" s="5">
        <v>14.3467405999051</v>
      </c>
      <c r="O1882" s="5">
        <v>14.3467405999051</v>
      </c>
      <c r="P1882" s="5">
        <v>0.0</v>
      </c>
      <c r="Q1882" s="5">
        <v>0.0</v>
      </c>
      <c r="R1882" s="5">
        <v>0.0</v>
      </c>
      <c r="S1882" s="5">
        <v>76.1629431589245</v>
      </c>
    </row>
    <row r="1883">
      <c r="A1883" s="6">
        <v>43084.0</v>
      </c>
      <c r="B1883" s="5">
        <v>62.6052279999185</v>
      </c>
      <c r="C1883" s="5">
        <v>12.1942812199049</v>
      </c>
      <c r="D1883" s="5">
        <v>144.449312401872</v>
      </c>
      <c r="E1883" s="5">
        <v>62.6052279999185</v>
      </c>
      <c r="F1883" s="5">
        <v>62.6052279999185</v>
      </c>
      <c r="G1883" s="5">
        <v>12.4880990139424</v>
      </c>
      <c r="H1883" s="5">
        <v>12.4880990139424</v>
      </c>
      <c r="I1883" s="5">
        <v>12.4880990139424</v>
      </c>
      <c r="J1883" s="5">
        <v>-1.59155056649184</v>
      </c>
      <c r="K1883" s="5">
        <v>-1.59155056649184</v>
      </c>
      <c r="L1883" s="5">
        <v>-1.59155056649184</v>
      </c>
      <c r="M1883" s="5">
        <v>14.0796495804342</v>
      </c>
      <c r="N1883" s="5">
        <v>14.0796495804342</v>
      </c>
      <c r="O1883" s="5">
        <v>14.0796495804342</v>
      </c>
      <c r="P1883" s="5">
        <v>0.0</v>
      </c>
      <c r="Q1883" s="5">
        <v>0.0</v>
      </c>
      <c r="R1883" s="5">
        <v>0.0</v>
      </c>
      <c r="S1883" s="5">
        <v>75.0933270138609</v>
      </c>
    </row>
    <row r="1884">
      <c r="A1884" s="6">
        <v>43087.0</v>
      </c>
      <c r="B1884" s="5">
        <v>62.6430367449106</v>
      </c>
      <c r="C1884" s="5">
        <v>11.6558378458758</v>
      </c>
      <c r="D1884" s="5">
        <v>140.168154805829</v>
      </c>
      <c r="E1884" s="5">
        <v>62.6430367449106</v>
      </c>
      <c r="F1884" s="5">
        <v>62.6430367449106</v>
      </c>
      <c r="G1884" s="5">
        <v>14.0284482665793</v>
      </c>
      <c r="H1884" s="5">
        <v>14.0284482665793</v>
      </c>
      <c r="I1884" s="5">
        <v>14.0284482665793</v>
      </c>
      <c r="J1884" s="5">
        <v>0.0905589421222512</v>
      </c>
      <c r="K1884" s="5">
        <v>0.0905589421222512</v>
      </c>
      <c r="L1884" s="5">
        <v>0.0905589421222512</v>
      </c>
      <c r="M1884" s="5">
        <v>13.937889324457</v>
      </c>
      <c r="N1884" s="5">
        <v>13.937889324457</v>
      </c>
      <c r="O1884" s="5">
        <v>13.937889324457</v>
      </c>
      <c r="P1884" s="5">
        <v>0.0</v>
      </c>
      <c r="Q1884" s="5">
        <v>0.0</v>
      </c>
      <c r="R1884" s="5">
        <v>0.0</v>
      </c>
      <c r="S1884" s="5">
        <v>76.6714850114899</v>
      </c>
    </row>
    <row r="1885">
      <c r="A1885" s="6">
        <v>43088.0</v>
      </c>
      <c r="B1885" s="5">
        <v>62.655639659908</v>
      </c>
      <c r="C1885" s="5">
        <v>14.1879265881043</v>
      </c>
      <c r="D1885" s="5">
        <v>141.387611300065</v>
      </c>
      <c r="E1885" s="5">
        <v>62.655639659908</v>
      </c>
      <c r="F1885" s="5">
        <v>62.655639659908</v>
      </c>
      <c r="G1885" s="5">
        <v>13.9949885402986</v>
      </c>
      <c r="H1885" s="5">
        <v>13.9949885402986</v>
      </c>
      <c r="I1885" s="5">
        <v>13.9949885402986</v>
      </c>
      <c r="J1885" s="5">
        <v>-0.144118857245332</v>
      </c>
      <c r="K1885" s="5">
        <v>-0.144118857245332</v>
      </c>
      <c r="L1885" s="5">
        <v>-0.144118857245332</v>
      </c>
      <c r="M1885" s="5">
        <v>14.139107397544</v>
      </c>
      <c r="N1885" s="5">
        <v>14.139107397544</v>
      </c>
      <c r="O1885" s="5">
        <v>14.139107397544</v>
      </c>
      <c r="P1885" s="5">
        <v>0.0</v>
      </c>
      <c r="Q1885" s="5">
        <v>0.0</v>
      </c>
      <c r="R1885" s="5">
        <v>0.0</v>
      </c>
      <c r="S1885" s="5">
        <v>76.6506282002067</v>
      </c>
    </row>
    <row r="1886">
      <c r="A1886" s="6">
        <v>43089.0</v>
      </c>
      <c r="B1886" s="5">
        <v>62.6682425749054</v>
      </c>
      <c r="C1886" s="5">
        <v>15.8420201410307</v>
      </c>
      <c r="D1886" s="5">
        <v>138.82254014919</v>
      </c>
      <c r="E1886" s="5">
        <v>62.6682425749054</v>
      </c>
      <c r="F1886" s="5">
        <v>62.6682425749054</v>
      </c>
      <c r="G1886" s="5">
        <v>14.47918110716</v>
      </c>
      <c r="H1886" s="5">
        <v>14.47918110716</v>
      </c>
      <c r="I1886" s="5">
        <v>14.47918110716</v>
      </c>
      <c r="J1886" s="5">
        <v>0.00703780528088245</v>
      </c>
      <c r="K1886" s="5">
        <v>0.00703780528088245</v>
      </c>
      <c r="L1886" s="5">
        <v>0.00703780528088245</v>
      </c>
      <c r="M1886" s="5">
        <v>14.4721433018791</v>
      </c>
      <c r="N1886" s="5">
        <v>14.4721433018791</v>
      </c>
      <c r="O1886" s="5">
        <v>14.4721433018791</v>
      </c>
      <c r="P1886" s="5">
        <v>0.0</v>
      </c>
      <c r="Q1886" s="5">
        <v>0.0</v>
      </c>
      <c r="R1886" s="5">
        <v>0.0</v>
      </c>
      <c r="S1886" s="5">
        <v>77.1474236820654</v>
      </c>
    </row>
    <row r="1887">
      <c r="A1887" s="6">
        <v>43090.0</v>
      </c>
      <c r="B1887" s="5">
        <v>62.6808454899028</v>
      </c>
      <c r="C1887" s="5">
        <v>12.0085081220308</v>
      </c>
      <c r="D1887" s="5">
        <v>140.853250343582</v>
      </c>
      <c r="E1887" s="5">
        <v>62.6808454899028</v>
      </c>
      <c r="F1887" s="5">
        <v>62.6808454899028</v>
      </c>
      <c r="G1887" s="5">
        <v>14.1606482087278</v>
      </c>
      <c r="H1887" s="5">
        <v>14.1606482087278</v>
      </c>
      <c r="I1887" s="5">
        <v>14.1606482087278</v>
      </c>
      <c r="J1887" s="5">
        <v>-0.776422525903828</v>
      </c>
      <c r="K1887" s="5">
        <v>-0.776422525903828</v>
      </c>
      <c r="L1887" s="5">
        <v>-0.776422525903828</v>
      </c>
      <c r="M1887" s="5">
        <v>14.9370707346316</v>
      </c>
      <c r="N1887" s="5">
        <v>14.9370707346316</v>
      </c>
      <c r="O1887" s="5">
        <v>14.9370707346316</v>
      </c>
      <c r="P1887" s="5">
        <v>0.0</v>
      </c>
      <c r="Q1887" s="5">
        <v>0.0</v>
      </c>
      <c r="R1887" s="5">
        <v>0.0</v>
      </c>
      <c r="S1887" s="5">
        <v>76.8414936986306</v>
      </c>
    </row>
    <row r="1888">
      <c r="A1888" s="6">
        <v>43091.0</v>
      </c>
      <c r="B1888" s="5">
        <v>62.6934484049002</v>
      </c>
      <c r="C1888" s="5">
        <v>12.3907356485863</v>
      </c>
      <c r="D1888" s="5">
        <v>138.219970710056</v>
      </c>
      <c r="E1888" s="5">
        <v>62.6934484049002</v>
      </c>
      <c r="F1888" s="5">
        <v>62.6934484049002</v>
      </c>
      <c r="G1888" s="5">
        <v>13.9392784352195</v>
      </c>
      <c r="H1888" s="5">
        <v>13.9392784352195</v>
      </c>
      <c r="I1888" s="5">
        <v>13.9392784352195</v>
      </c>
      <c r="J1888" s="5">
        <v>-1.59155056649366</v>
      </c>
      <c r="K1888" s="5">
        <v>-1.59155056649366</v>
      </c>
      <c r="L1888" s="5">
        <v>-1.59155056649366</v>
      </c>
      <c r="M1888" s="5">
        <v>15.5308290017132</v>
      </c>
      <c r="N1888" s="5">
        <v>15.5308290017132</v>
      </c>
      <c r="O1888" s="5">
        <v>15.5308290017132</v>
      </c>
      <c r="P1888" s="5">
        <v>0.0</v>
      </c>
      <c r="Q1888" s="5">
        <v>0.0</v>
      </c>
      <c r="R1888" s="5">
        <v>0.0</v>
      </c>
      <c r="S1888" s="5">
        <v>76.6327268401198</v>
      </c>
    </row>
    <row r="1889">
      <c r="A1889" s="6">
        <v>43095.0</v>
      </c>
      <c r="B1889" s="5">
        <v>62.7438600648897</v>
      </c>
      <c r="C1889" s="5">
        <v>20.3393035508149</v>
      </c>
      <c r="D1889" s="5">
        <v>148.368042138075</v>
      </c>
      <c r="E1889" s="5">
        <v>62.7438600648897</v>
      </c>
      <c r="F1889" s="5">
        <v>62.7438600648897</v>
      </c>
      <c r="G1889" s="5">
        <v>18.8813819610683</v>
      </c>
      <c r="H1889" s="5">
        <v>18.8813819610683</v>
      </c>
      <c r="I1889" s="5">
        <v>18.8813819610683</v>
      </c>
      <c r="J1889" s="5">
        <v>-0.144118857246768</v>
      </c>
      <c r="K1889" s="5">
        <v>-0.144118857246768</v>
      </c>
      <c r="L1889" s="5">
        <v>-0.144118857246768</v>
      </c>
      <c r="M1889" s="5">
        <v>19.025500818315</v>
      </c>
      <c r="N1889" s="5">
        <v>19.025500818315</v>
      </c>
      <c r="O1889" s="5">
        <v>19.025500818315</v>
      </c>
      <c r="P1889" s="5">
        <v>0.0</v>
      </c>
      <c r="Q1889" s="5">
        <v>0.0</v>
      </c>
      <c r="R1889" s="5">
        <v>0.0</v>
      </c>
      <c r="S1889" s="5">
        <v>81.625242025958</v>
      </c>
    </row>
    <row r="1890">
      <c r="A1890" s="6">
        <v>43096.0</v>
      </c>
      <c r="B1890" s="5">
        <v>62.7564629798871</v>
      </c>
      <c r="C1890" s="5">
        <v>22.737668008608</v>
      </c>
      <c r="D1890" s="5">
        <v>143.929615532879</v>
      </c>
      <c r="E1890" s="5">
        <v>62.7564629798871</v>
      </c>
      <c r="F1890" s="5">
        <v>62.7564629798871</v>
      </c>
      <c r="G1890" s="5">
        <v>20.1193385235653</v>
      </c>
      <c r="H1890" s="5">
        <v>20.1193385235653</v>
      </c>
      <c r="I1890" s="5">
        <v>20.1193385235653</v>
      </c>
      <c r="J1890" s="5">
        <v>0.00703780528318495</v>
      </c>
      <c r="K1890" s="5">
        <v>0.00703780528318495</v>
      </c>
      <c r="L1890" s="5">
        <v>0.00703780528318495</v>
      </c>
      <c r="M1890" s="5">
        <v>20.1123007182821</v>
      </c>
      <c r="N1890" s="5">
        <v>20.1123007182821</v>
      </c>
      <c r="O1890" s="5">
        <v>20.1123007182821</v>
      </c>
      <c r="P1890" s="5">
        <v>0.0</v>
      </c>
      <c r="Q1890" s="5">
        <v>0.0</v>
      </c>
      <c r="R1890" s="5">
        <v>0.0</v>
      </c>
      <c r="S1890" s="5">
        <v>82.8758015034524</v>
      </c>
    </row>
    <row r="1891">
      <c r="A1891" s="6">
        <v>43097.0</v>
      </c>
      <c r="B1891" s="5">
        <v>62.7690658948845</v>
      </c>
      <c r="C1891" s="5">
        <v>14.3501648373191</v>
      </c>
      <c r="D1891" s="5">
        <v>146.596827023804</v>
      </c>
      <c r="E1891" s="5">
        <v>62.7690658948845</v>
      </c>
      <c r="F1891" s="5">
        <v>62.7690658948845</v>
      </c>
      <c r="G1891" s="5">
        <v>20.4729097389767</v>
      </c>
      <c r="H1891" s="5">
        <v>20.4729097389767</v>
      </c>
      <c r="I1891" s="5">
        <v>20.4729097389767</v>
      </c>
      <c r="J1891" s="5">
        <v>-0.776422525900325</v>
      </c>
      <c r="K1891" s="5">
        <v>-0.776422525900325</v>
      </c>
      <c r="L1891" s="5">
        <v>-0.776422525900325</v>
      </c>
      <c r="M1891" s="5">
        <v>21.249332264877</v>
      </c>
      <c r="N1891" s="5">
        <v>21.249332264877</v>
      </c>
      <c r="O1891" s="5">
        <v>21.249332264877</v>
      </c>
      <c r="P1891" s="5">
        <v>0.0</v>
      </c>
      <c r="Q1891" s="5">
        <v>0.0</v>
      </c>
      <c r="R1891" s="5">
        <v>0.0</v>
      </c>
      <c r="S1891" s="5">
        <v>83.2419756338612</v>
      </c>
    </row>
    <row r="1892">
      <c r="A1892" s="6">
        <v>43098.0</v>
      </c>
      <c r="B1892" s="5">
        <v>62.7816688098818</v>
      </c>
      <c r="C1892" s="5">
        <v>19.0380028268167</v>
      </c>
      <c r="D1892" s="5">
        <v>149.921339173617</v>
      </c>
      <c r="E1892" s="5">
        <v>62.7816688098818</v>
      </c>
      <c r="F1892" s="5">
        <v>62.7816688098818</v>
      </c>
      <c r="G1892" s="5">
        <v>20.8244232757709</v>
      </c>
      <c r="H1892" s="5">
        <v>20.8244232757709</v>
      </c>
      <c r="I1892" s="5">
        <v>20.8244232757709</v>
      </c>
      <c r="J1892" s="5">
        <v>-1.59155056649273</v>
      </c>
      <c r="K1892" s="5">
        <v>-1.59155056649273</v>
      </c>
      <c r="L1892" s="5">
        <v>-1.59155056649273</v>
      </c>
      <c r="M1892" s="5">
        <v>22.4159738422637</v>
      </c>
      <c r="N1892" s="5">
        <v>22.4159738422637</v>
      </c>
      <c r="O1892" s="5">
        <v>22.4159738422637</v>
      </c>
      <c r="P1892" s="5">
        <v>0.0</v>
      </c>
      <c r="Q1892" s="5">
        <v>0.0</v>
      </c>
      <c r="R1892" s="5">
        <v>0.0</v>
      </c>
      <c r="S1892" s="5">
        <v>83.6060920856528</v>
      </c>
    </row>
    <row r="1893">
      <c r="A1893" s="6">
        <v>43102.0</v>
      </c>
      <c r="B1893" s="5">
        <v>62.8158908822993</v>
      </c>
      <c r="C1893" s="5">
        <v>32.2962410790121</v>
      </c>
      <c r="D1893" s="5">
        <v>153.017377001917</v>
      </c>
      <c r="E1893" s="5">
        <v>62.8158908822993</v>
      </c>
      <c r="F1893" s="5">
        <v>62.8158908822993</v>
      </c>
      <c r="G1893" s="5">
        <v>26.7959493386574</v>
      </c>
      <c r="H1893" s="5">
        <v>26.7959493386574</v>
      </c>
      <c r="I1893" s="5">
        <v>26.7959493386574</v>
      </c>
      <c r="J1893" s="5">
        <v>-0.144118857247094</v>
      </c>
      <c r="K1893" s="5">
        <v>-0.144118857247094</v>
      </c>
      <c r="L1893" s="5">
        <v>-0.144118857247094</v>
      </c>
      <c r="M1893" s="5">
        <v>26.9400681959045</v>
      </c>
      <c r="N1893" s="5">
        <v>26.9400681959045</v>
      </c>
      <c r="O1893" s="5">
        <v>26.9400681959045</v>
      </c>
      <c r="P1893" s="5">
        <v>0.0</v>
      </c>
      <c r="Q1893" s="5">
        <v>0.0</v>
      </c>
      <c r="R1893" s="5">
        <v>0.0</v>
      </c>
      <c r="S1893" s="5">
        <v>89.6118402209567</v>
      </c>
    </row>
    <row r="1894">
      <c r="A1894" s="6">
        <v>43103.0</v>
      </c>
      <c r="B1894" s="5">
        <v>62.8244464004036</v>
      </c>
      <c r="C1894" s="5">
        <v>31.1252928830106</v>
      </c>
      <c r="D1894" s="5">
        <v>150.420178521934</v>
      </c>
      <c r="E1894" s="5">
        <v>62.8244464004036</v>
      </c>
      <c r="F1894" s="5">
        <v>62.8244464004036</v>
      </c>
      <c r="G1894" s="5">
        <v>27.9336046174962</v>
      </c>
      <c r="H1894" s="5">
        <v>27.9336046174962</v>
      </c>
      <c r="I1894" s="5">
        <v>27.9336046174962</v>
      </c>
      <c r="J1894" s="5">
        <v>0.00703780528233246</v>
      </c>
      <c r="K1894" s="5">
        <v>0.00703780528233246</v>
      </c>
      <c r="L1894" s="5">
        <v>0.00703780528233246</v>
      </c>
      <c r="M1894" s="5">
        <v>27.9265668122139</v>
      </c>
      <c r="N1894" s="5">
        <v>27.9265668122139</v>
      </c>
      <c r="O1894" s="5">
        <v>27.9265668122139</v>
      </c>
      <c r="P1894" s="5">
        <v>0.0</v>
      </c>
      <c r="Q1894" s="5">
        <v>0.0</v>
      </c>
      <c r="R1894" s="5">
        <v>0.0</v>
      </c>
      <c r="S1894" s="5">
        <v>90.7580510178999</v>
      </c>
    </row>
    <row r="1895">
      <c r="A1895" s="6">
        <v>43104.0</v>
      </c>
      <c r="B1895" s="5">
        <v>62.8330019185079</v>
      </c>
      <c r="C1895" s="5">
        <v>27.3266634577638</v>
      </c>
      <c r="D1895" s="5">
        <v>153.467564731838</v>
      </c>
      <c r="E1895" s="5">
        <v>62.8330019185079</v>
      </c>
      <c r="F1895" s="5">
        <v>62.8330019185079</v>
      </c>
      <c r="G1895" s="5">
        <v>28.0384752600446</v>
      </c>
      <c r="H1895" s="5">
        <v>28.0384752600446</v>
      </c>
      <c r="I1895" s="5">
        <v>28.0384752600446</v>
      </c>
      <c r="J1895" s="5">
        <v>-0.776422525902422</v>
      </c>
      <c r="K1895" s="5">
        <v>-0.776422525902422</v>
      </c>
      <c r="L1895" s="5">
        <v>-0.776422525902422</v>
      </c>
      <c r="M1895" s="5">
        <v>28.814897785947</v>
      </c>
      <c r="N1895" s="5">
        <v>28.814897785947</v>
      </c>
      <c r="O1895" s="5">
        <v>28.814897785947</v>
      </c>
      <c r="P1895" s="5">
        <v>0.0</v>
      </c>
      <c r="Q1895" s="5">
        <v>0.0</v>
      </c>
      <c r="R1895" s="5">
        <v>0.0</v>
      </c>
      <c r="S1895" s="5">
        <v>90.8714771785526</v>
      </c>
    </row>
    <row r="1896">
      <c r="A1896" s="6">
        <v>43105.0</v>
      </c>
      <c r="B1896" s="5">
        <v>62.8415574366123</v>
      </c>
      <c r="C1896" s="5">
        <v>23.1125899013753</v>
      </c>
      <c r="D1896" s="5">
        <v>154.905311665071</v>
      </c>
      <c r="E1896" s="5">
        <v>62.8415574366123</v>
      </c>
      <c r="F1896" s="5">
        <v>62.8415574366123</v>
      </c>
      <c r="G1896" s="5">
        <v>27.9963075767481</v>
      </c>
      <c r="H1896" s="5">
        <v>27.9963075767481</v>
      </c>
      <c r="I1896" s="5">
        <v>27.9963075767481</v>
      </c>
      <c r="J1896" s="5">
        <v>-1.59155056649181</v>
      </c>
      <c r="K1896" s="5">
        <v>-1.59155056649181</v>
      </c>
      <c r="L1896" s="5">
        <v>-1.59155056649181</v>
      </c>
      <c r="M1896" s="5">
        <v>29.5878581432399</v>
      </c>
      <c r="N1896" s="5">
        <v>29.5878581432399</v>
      </c>
      <c r="O1896" s="5">
        <v>29.5878581432399</v>
      </c>
      <c r="P1896" s="5">
        <v>0.0</v>
      </c>
      <c r="Q1896" s="5">
        <v>0.0</v>
      </c>
      <c r="R1896" s="5">
        <v>0.0</v>
      </c>
      <c r="S1896" s="5">
        <v>90.8378650133604</v>
      </c>
    </row>
    <row r="1897">
      <c r="A1897" s="6">
        <v>43108.0</v>
      </c>
      <c r="B1897" s="5">
        <v>62.8672239909253</v>
      </c>
      <c r="C1897" s="5">
        <v>25.7077828105544</v>
      </c>
      <c r="D1897" s="5">
        <v>160.349125533533</v>
      </c>
      <c r="E1897" s="5">
        <v>62.8672239909253</v>
      </c>
      <c r="F1897" s="5">
        <v>62.8672239909253</v>
      </c>
      <c r="G1897" s="5">
        <v>31.1709638182613</v>
      </c>
      <c r="H1897" s="5">
        <v>31.1709638182613</v>
      </c>
      <c r="I1897" s="5">
        <v>31.1709638182613</v>
      </c>
      <c r="J1897" s="5">
        <v>0.090558942120403</v>
      </c>
      <c r="K1897" s="5">
        <v>0.090558942120403</v>
      </c>
      <c r="L1897" s="5">
        <v>0.090558942120403</v>
      </c>
      <c r="M1897" s="5">
        <v>31.0804048761409</v>
      </c>
      <c r="N1897" s="5">
        <v>31.0804048761409</v>
      </c>
      <c r="O1897" s="5">
        <v>31.0804048761409</v>
      </c>
      <c r="P1897" s="5">
        <v>0.0</v>
      </c>
      <c r="Q1897" s="5">
        <v>0.0</v>
      </c>
      <c r="R1897" s="5">
        <v>0.0</v>
      </c>
      <c r="S1897" s="5">
        <v>94.0381878091867</v>
      </c>
    </row>
    <row r="1898">
      <c r="A1898" s="6">
        <v>43109.0</v>
      </c>
      <c r="B1898" s="5">
        <v>62.8757795090297</v>
      </c>
      <c r="C1898" s="5">
        <v>26.9357086929162</v>
      </c>
      <c r="D1898" s="5">
        <v>157.538095931733</v>
      </c>
      <c r="E1898" s="5">
        <v>62.8757795090297</v>
      </c>
      <c r="F1898" s="5">
        <v>62.8757795090297</v>
      </c>
      <c r="G1898" s="5">
        <v>31.128404383072</v>
      </c>
      <c r="H1898" s="5">
        <v>31.128404383072</v>
      </c>
      <c r="I1898" s="5">
        <v>31.128404383072</v>
      </c>
      <c r="J1898" s="5">
        <v>-0.144118857246006</v>
      </c>
      <c r="K1898" s="5">
        <v>-0.144118857246006</v>
      </c>
      <c r="L1898" s="5">
        <v>-0.144118857246006</v>
      </c>
      <c r="M1898" s="5">
        <v>31.272523240318</v>
      </c>
      <c r="N1898" s="5">
        <v>31.272523240318</v>
      </c>
      <c r="O1898" s="5">
        <v>31.272523240318</v>
      </c>
      <c r="P1898" s="5">
        <v>0.0</v>
      </c>
      <c r="Q1898" s="5">
        <v>0.0</v>
      </c>
      <c r="R1898" s="5">
        <v>0.0</v>
      </c>
      <c r="S1898" s="5">
        <v>94.0041838921017</v>
      </c>
    </row>
    <row r="1899">
      <c r="A1899" s="6">
        <v>43110.0</v>
      </c>
      <c r="B1899" s="5">
        <v>62.884335027134</v>
      </c>
      <c r="C1899" s="5">
        <v>29.427408055633</v>
      </c>
      <c r="D1899" s="5">
        <v>158.858255023259</v>
      </c>
      <c r="E1899" s="5">
        <v>62.884335027134</v>
      </c>
      <c r="F1899" s="5">
        <v>62.884335027134</v>
      </c>
      <c r="G1899" s="5">
        <v>31.3120810202668</v>
      </c>
      <c r="H1899" s="5">
        <v>31.3120810202668</v>
      </c>
      <c r="I1899" s="5">
        <v>31.3120810202668</v>
      </c>
      <c r="J1899" s="5">
        <v>0.00703780528148001</v>
      </c>
      <c r="K1899" s="5">
        <v>0.00703780528148001</v>
      </c>
      <c r="L1899" s="5">
        <v>0.00703780528148001</v>
      </c>
      <c r="M1899" s="5">
        <v>31.3050432149853</v>
      </c>
      <c r="N1899" s="5">
        <v>31.3050432149853</v>
      </c>
      <c r="O1899" s="5">
        <v>31.3050432149853</v>
      </c>
      <c r="P1899" s="5">
        <v>0.0</v>
      </c>
      <c r="Q1899" s="5">
        <v>0.0</v>
      </c>
      <c r="R1899" s="5">
        <v>0.0</v>
      </c>
      <c r="S1899" s="5">
        <v>94.1964160474009</v>
      </c>
    </row>
    <row r="1900">
      <c r="A1900" s="6">
        <v>43111.0</v>
      </c>
      <c r="B1900" s="5">
        <v>62.8928905452384</v>
      </c>
      <c r="C1900" s="5">
        <v>29.821562332921</v>
      </c>
      <c r="D1900" s="5">
        <v>153.165252899993</v>
      </c>
      <c r="E1900" s="5">
        <v>62.8928905452384</v>
      </c>
      <c r="F1900" s="5">
        <v>62.8928905452384</v>
      </c>
      <c r="G1900" s="5">
        <v>30.4024361616949</v>
      </c>
      <c r="H1900" s="5">
        <v>30.4024361616949</v>
      </c>
      <c r="I1900" s="5">
        <v>30.4024361616949</v>
      </c>
      <c r="J1900" s="5">
        <v>-0.776422525903144</v>
      </c>
      <c r="K1900" s="5">
        <v>-0.776422525903144</v>
      </c>
      <c r="L1900" s="5">
        <v>-0.776422525903144</v>
      </c>
      <c r="M1900" s="5">
        <v>31.1788586875981</v>
      </c>
      <c r="N1900" s="5">
        <v>31.1788586875981</v>
      </c>
      <c r="O1900" s="5">
        <v>31.1788586875981</v>
      </c>
      <c r="P1900" s="5">
        <v>0.0</v>
      </c>
      <c r="Q1900" s="5">
        <v>0.0</v>
      </c>
      <c r="R1900" s="5">
        <v>0.0</v>
      </c>
      <c r="S1900" s="5">
        <v>93.2953267069334</v>
      </c>
    </row>
    <row r="1901">
      <c r="A1901" s="6">
        <v>43112.0</v>
      </c>
      <c r="B1901" s="5">
        <v>62.9014460633427</v>
      </c>
      <c r="C1901" s="5">
        <v>27.7260968271782</v>
      </c>
      <c r="D1901" s="5">
        <v>153.507692715837</v>
      </c>
      <c r="E1901" s="5">
        <v>62.9014460633427</v>
      </c>
      <c r="F1901" s="5">
        <v>62.9014460633427</v>
      </c>
      <c r="G1901" s="5">
        <v>29.3066325684428</v>
      </c>
      <c r="H1901" s="5">
        <v>29.3066325684428</v>
      </c>
      <c r="I1901" s="5">
        <v>29.3066325684428</v>
      </c>
      <c r="J1901" s="5">
        <v>-1.59155056649057</v>
      </c>
      <c r="K1901" s="5">
        <v>-1.59155056649057</v>
      </c>
      <c r="L1901" s="5">
        <v>-1.59155056649057</v>
      </c>
      <c r="M1901" s="5">
        <v>30.8981831349334</v>
      </c>
      <c r="N1901" s="5">
        <v>30.8981831349334</v>
      </c>
      <c r="O1901" s="5">
        <v>30.8981831349334</v>
      </c>
      <c r="P1901" s="5">
        <v>0.0</v>
      </c>
      <c r="Q1901" s="5">
        <v>0.0</v>
      </c>
      <c r="R1901" s="5">
        <v>0.0</v>
      </c>
      <c r="S1901" s="5">
        <v>92.2080786317856</v>
      </c>
    </row>
    <row r="1902">
      <c r="A1902" s="6">
        <v>43116.0</v>
      </c>
      <c r="B1902" s="5">
        <v>62.9356681357601</v>
      </c>
      <c r="C1902" s="5">
        <v>27.6707936635187</v>
      </c>
      <c r="D1902" s="5">
        <v>150.993923170355</v>
      </c>
      <c r="E1902" s="5">
        <v>62.9356681357601</v>
      </c>
      <c r="F1902" s="5">
        <v>62.9356681357601</v>
      </c>
      <c r="G1902" s="5">
        <v>28.2767719011219</v>
      </c>
      <c r="H1902" s="5">
        <v>28.2767719011219</v>
      </c>
      <c r="I1902" s="5">
        <v>28.2767719011219</v>
      </c>
      <c r="J1902" s="5">
        <v>-0.144118857243809</v>
      </c>
      <c r="K1902" s="5">
        <v>-0.144118857243809</v>
      </c>
      <c r="L1902" s="5">
        <v>-0.144118857243809</v>
      </c>
      <c r="M1902" s="5">
        <v>28.4208907583657</v>
      </c>
      <c r="N1902" s="5">
        <v>28.4208907583657</v>
      </c>
      <c r="O1902" s="5">
        <v>28.4208907583657</v>
      </c>
      <c r="P1902" s="5">
        <v>0.0</v>
      </c>
      <c r="Q1902" s="5">
        <v>0.0</v>
      </c>
      <c r="R1902" s="5">
        <v>0.0</v>
      </c>
      <c r="S1902" s="5">
        <v>91.2124400368821</v>
      </c>
    </row>
    <row r="1903">
      <c r="A1903" s="6">
        <v>43117.0</v>
      </c>
      <c r="B1903" s="5">
        <v>62.9442236538645</v>
      </c>
      <c r="C1903" s="5">
        <v>27.4910640404988</v>
      </c>
      <c r="D1903" s="5">
        <v>153.168062876039</v>
      </c>
      <c r="E1903" s="5">
        <v>62.9442236538645</v>
      </c>
      <c r="F1903" s="5">
        <v>62.9442236538645</v>
      </c>
      <c r="G1903" s="5">
        <v>27.539914599259</v>
      </c>
      <c r="H1903" s="5">
        <v>27.539914599259</v>
      </c>
      <c r="I1903" s="5">
        <v>27.539914599259</v>
      </c>
      <c r="J1903" s="5">
        <v>0.00703780528062725</v>
      </c>
      <c r="K1903" s="5">
        <v>0.00703780528062725</v>
      </c>
      <c r="L1903" s="5">
        <v>0.00703780528062725</v>
      </c>
      <c r="M1903" s="5">
        <v>27.5328767939783</v>
      </c>
      <c r="N1903" s="5">
        <v>27.5328767939783</v>
      </c>
      <c r="O1903" s="5">
        <v>27.5328767939783</v>
      </c>
      <c r="P1903" s="5">
        <v>0.0</v>
      </c>
      <c r="Q1903" s="5">
        <v>0.0</v>
      </c>
      <c r="R1903" s="5">
        <v>0.0</v>
      </c>
      <c r="S1903" s="5">
        <v>90.4841382531235</v>
      </c>
    </row>
    <row r="1904">
      <c r="A1904" s="6">
        <v>43118.0</v>
      </c>
      <c r="B1904" s="5">
        <v>62.9527791719688</v>
      </c>
      <c r="C1904" s="5">
        <v>25.690578982766</v>
      </c>
      <c r="D1904" s="5">
        <v>151.022921448931</v>
      </c>
      <c r="E1904" s="5">
        <v>62.9527791719688</v>
      </c>
      <c r="F1904" s="5">
        <v>62.9527791719688</v>
      </c>
      <c r="G1904" s="5">
        <v>25.7957007408355</v>
      </c>
      <c r="H1904" s="5">
        <v>25.7957007408355</v>
      </c>
      <c r="I1904" s="5">
        <v>25.7957007408355</v>
      </c>
      <c r="J1904" s="5">
        <v>-0.776422525902391</v>
      </c>
      <c r="K1904" s="5">
        <v>-0.776422525902391</v>
      </c>
      <c r="L1904" s="5">
        <v>-0.776422525902391</v>
      </c>
      <c r="M1904" s="5">
        <v>26.5721232667378</v>
      </c>
      <c r="N1904" s="5">
        <v>26.5721232667378</v>
      </c>
      <c r="O1904" s="5">
        <v>26.5721232667378</v>
      </c>
      <c r="P1904" s="5">
        <v>0.0</v>
      </c>
      <c r="Q1904" s="5">
        <v>0.0</v>
      </c>
      <c r="R1904" s="5">
        <v>0.0</v>
      </c>
      <c r="S1904" s="5">
        <v>88.7484799128043</v>
      </c>
    </row>
    <row r="1905">
      <c r="A1905" s="6">
        <v>43119.0</v>
      </c>
      <c r="B1905" s="5">
        <v>62.9613346900732</v>
      </c>
      <c r="C1905" s="5">
        <v>20.2423795776126</v>
      </c>
      <c r="D1905" s="5">
        <v>148.155831845189</v>
      </c>
      <c r="E1905" s="5">
        <v>62.9613346900732</v>
      </c>
      <c r="F1905" s="5">
        <v>62.9613346900732</v>
      </c>
      <c r="G1905" s="5">
        <v>23.9665194923951</v>
      </c>
      <c r="H1905" s="5">
        <v>23.9665194923951</v>
      </c>
      <c r="I1905" s="5">
        <v>23.9665194923951</v>
      </c>
      <c r="J1905" s="5">
        <v>-1.5915505664927</v>
      </c>
      <c r="K1905" s="5">
        <v>-1.5915505664927</v>
      </c>
      <c r="L1905" s="5">
        <v>-1.5915505664927</v>
      </c>
      <c r="M1905" s="5">
        <v>25.5580700588878</v>
      </c>
      <c r="N1905" s="5">
        <v>25.5580700588878</v>
      </c>
      <c r="O1905" s="5">
        <v>25.5580700588878</v>
      </c>
      <c r="P1905" s="5">
        <v>0.0</v>
      </c>
      <c r="Q1905" s="5">
        <v>0.0</v>
      </c>
      <c r="R1905" s="5">
        <v>0.0</v>
      </c>
      <c r="S1905" s="5">
        <v>86.9278541824684</v>
      </c>
    </row>
    <row r="1906">
      <c r="A1906" s="6">
        <v>43122.0</v>
      </c>
      <c r="B1906" s="5">
        <v>62.9870012443862</v>
      </c>
      <c r="C1906" s="5">
        <v>19.9341827576702</v>
      </c>
      <c r="D1906" s="5">
        <v>144.186676297038</v>
      </c>
      <c r="E1906" s="5">
        <v>62.9870012443862</v>
      </c>
      <c r="F1906" s="5">
        <v>62.9870012443862</v>
      </c>
      <c r="G1906" s="5">
        <v>22.4833213098907</v>
      </c>
      <c r="H1906" s="5">
        <v>22.4833213098907</v>
      </c>
      <c r="I1906" s="5">
        <v>22.4833213098907</v>
      </c>
      <c r="J1906" s="5">
        <v>0.090558942119912</v>
      </c>
      <c r="K1906" s="5">
        <v>0.090558942119912</v>
      </c>
      <c r="L1906" s="5">
        <v>0.090558942119912</v>
      </c>
      <c r="M1906" s="5">
        <v>22.3927623677708</v>
      </c>
      <c r="N1906" s="5">
        <v>22.3927623677708</v>
      </c>
      <c r="O1906" s="5">
        <v>22.3927623677708</v>
      </c>
      <c r="P1906" s="5">
        <v>0.0</v>
      </c>
      <c r="Q1906" s="5">
        <v>0.0</v>
      </c>
      <c r="R1906" s="5">
        <v>0.0</v>
      </c>
      <c r="S1906" s="5">
        <v>85.470322554277</v>
      </c>
    </row>
    <row r="1907">
      <c r="A1907" s="6">
        <v>43123.0</v>
      </c>
      <c r="B1907" s="5">
        <v>62.9955567624906</v>
      </c>
      <c r="C1907" s="5">
        <v>21.0937932147804</v>
      </c>
      <c r="D1907" s="5">
        <v>145.089928265953</v>
      </c>
      <c r="E1907" s="5">
        <v>62.9955567624906</v>
      </c>
      <c r="F1907" s="5">
        <v>62.9955567624906</v>
      </c>
      <c r="G1907" s="5">
        <v>21.2151263908591</v>
      </c>
      <c r="H1907" s="5">
        <v>21.2151263908591</v>
      </c>
      <c r="I1907" s="5">
        <v>21.2151263908591</v>
      </c>
      <c r="J1907" s="5">
        <v>-0.144118857246659</v>
      </c>
      <c r="K1907" s="5">
        <v>-0.144118857246659</v>
      </c>
      <c r="L1907" s="5">
        <v>-0.144118857246659</v>
      </c>
      <c r="M1907" s="5">
        <v>21.3592452481057</v>
      </c>
      <c r="N1907" s="5">
        <v>21.3592452481057</v>
      </c>
      <c r="O1907" s="5">
        <v>21.3592452481057</v>
      </c>
      <c r="P1907" s="5">
        <v>0.0</v>
      </c>
      <c r="Q1907" s="5">
        <v>0.0</v>
      </c>
      <c r="R1907" s="5">
        <v>0.0</v>
      </c>
      <c r="S1907" s="5">
        <v>84.2106831533497</v>
      </c>
    </row>
    <row r="1908">
      <c r="A1908" s="6">
        <v>43124.0</v>
      </c>
      <c r="B1908" s="5">
        <v>63.0041122805949</v>
      </c>
      <c r="C1908" s="5">
        <v>20.8942048174958</v>
      </c>
      <c r="D1908" s="5">
        <v>149.345454082226</v>
      </c>
      <c r="E1908" s="5">
        <v>63.0041122805949</v>
      </c>
      <c r="F1908" s="5">
        <v>63.0041122805949</v>
      </c>
      <c r="G1908" s="5">
        <v>20.3716812859205</v>
      </c>
      <c r="H1908" s="5">
        <v>20.3716812859205</v>
      </c>
      <c r="I1908" s="5">
        <v>20.3716812859205</v>
      </c>
      <c r="J1908" s="5">
        <v>0.00703780528292976</v>
      </c>
      <c r="K1908" s="5">
        <v>0.00703780528292976</v>
      </c>
      <c r="L1908" s="5">
        <v>0.00703780528292976</v>
      </c>
      <c r="M1908" s="5">
        <v>20.3646434806376</v>
      </c>
      <c r="N1908" s="5">
        <v>20.3646434806376</v>
      </c>
      <c r="O1908" s="5">
        <v>20.3646434806376</v>
      </c>
      <c r="P1908" s="5">
        <v>0.0</v>
      </c>
      <c r="Q1908" s="5">
        <v>0.0</v>
      </c>
      <c r="R1908" s="5">
        <v>0.0</v>
      </c>
      <c r="S1908" s="5">
        <v>83.3757935665155</v>
      </c>
    </row>
    <row r="1909">
      <c r="A1909" s="6">
        <v>43125.0</v>
      </c>
      <c r="B1909" s="5">
        <v>63.0126677986993</v>
      </c>
      <c r="C1909" s="5">
        <v>18.3862130582042</v>
      </c>
      <c r="D1909" s="5">
        <v>145.564117083894</v>
      </c>
      <c r="E1909" s="5">
        <v>63.0126677986993</v>
      </c>
      <c r="F1909" s="5">
        <v>63.0126677986993</v>
      </c>
      <c r="G1909" s="5">
        <v>18.6465544946395</v>
      </c>
      <c r="H1909" s="5">
        <v>18.6465544946395</v>
      </c>
      <c r="I1909" s="5">
        <v>18.6465544946395</v>
      </c>
      <c r="J1909" s="5">
        <v>-0.776422525903113</v>
      </c>
      <c r="K1909" s="5">
        <v>-0.776422525903113</v>
      </c>
      <c r="L1909" s="5">
        <v>-0.776422525903113</v>
      </c>
      <c r="M1909" s="5">
        <v>19.4229770205426</v>
      </c>
      <c r="N1909" s="5">
        <v>19.4229770205426</v>
      </c>
      <c r="O1909" s="5">
        <v>19.4229770205426</v>
      </c>
      <c r="P1909" s="5">
        <v>0.0</v>
      </c>
      <c r="Q1909" s="5">
        <v>0.0</v>
      </c>
      <c r="R1909" s="5">
        <v>0.0</v>
      </c>
      <c r="S1909" s="5">
        <v>81.6592222933388</v>
      </c>
    </row>
    <row r="1910">
      <c r="A1910" s="6">
        <v>43126.0</v>
      </c>
      <c r="B1910" s="5">
        <v>63.0212233168036</v>
      </c>
      <c r="C1910" s="5">
        <v>16.4686564860633</v>
      </c>
      <c r="D1910" s="5">
        <v>150.26333036536</v>
      </c>
      <c r="E1910" s="5">
        <v>63.0212233168036</v>
      </c>
      <c r="F1910" s="5">
        <v>63.0212233168036</v>
      </c>
      <c r="G1910" s="5">
        <v>16.9542876697587</v>
      </c>
      <c r="H1910" s="5">
        <v>16.9542876697587</v>
      </c>
      <c r="I1910" s="5">
        <v>16.9542876697587</v>
      </c>
      <c r="J1910" s="5">
        <v>-1.59155056649421</v>
      </c>
      <c r="K1910" s="5">
        <v>-1.59155056649421</v>
      </c>
      <c r="L1910" s="5">
        <v>-1.59155056649421</v>
      </c>
      <c r="M1910" s="5">
        <v>18.5458382362529</v>
      </c>
      <c r="N1910" s="5">
        <v>18.5458382362529</v>
      </c>
      <c r="O1910" s="5">
        <v>18.5458382362529</v>
      </c>
      <c r="P1910" s="5">
        <v>0.0</v>
      </c>
      <c r="Q1910" s="5">
        <v>0.0</v>
      </c>
      <c r="R1910" s="5">
        <v>0.0</v>
      </c>
      <c r="S1910" s="5">
        <v>79.9755109865623</v>
      </c>
    </row>
    <row r="1911">
      <c r="A1911" s="6">
        <v>43129.0</v>
      </c>
      <c r="B1911" s="5">
        <v>63.0468898711167</v>
      </c>
      <c r="C1911" s="5">
        <v>14.5111364165272</v>
      </c>
      <c r="D1911" s="5">
        <v>140.487084415025</v>
      </c>
      <c r="E1911" s="5">
        <v>63.0468898711167</v>
      </c>
      <c r="F1911" s="5">
        <v>63.0468898711167</v>
      </c>
      <c r="G1911" s="5">
        <v>16.4661810874244</v>
      </c>
      <c r="H1911" s="5">
        <v>16.4661810874244</v>
      </c>
      <c r="I1911" s="5">
        <v>16.4661810874244</v>
      </c>
      <c r="J1911" s="5">
        <v>0.0905589421233224</v>
      </c>
      <c r="K1911" s="5">
        <v>0.0905589421233224</v>
      </c>
      <c r="L1911" s="5">
        <v>0.0905589421233224</v>
      </c>
      <c r="M1911" s="5">
        <v>16.375622145301</v>
      </c>
      <c r="N1911" s="5">
        <v>16.375622145301</v>
      </c>
      <c r="O1911" s="5">
        <v>16.375622145301</v>
      </c>
      <c r="P1911" s="5">
        <v>0.0</v>
      </c>
      <c r="Q1911" s="5">
        <v>0.0</v>
      </c>
      <c r="R1911" s="5">
        <v>0.0</v>
      </c>
      <c r="S1911" s="5">
        <v>79.5130709585411</v>
      </c>
    </row>
    <row r="1912">
      <c r="A1912" s="6">
        <v>43130.0</v>
      </c>
      <c r="B1912" s="5">
        <v>63.055445389221</v>
      </c>
      <c r="C1912" s="5">
        <v>15.0822212672997</v>
      </c>
      <c r="D1912" s="5">
        <v>137.279138090076</v>
      </c>
      <c r="E1912" s="5">
        <v>63.055445389221</v>
      </c>
      <c r="F1912" s="5">
        <v>63.055445389221</v>
      </c>
      <c r="G1912" s="5">
        <v>15.6714637176616</v>
      </c>
      <c r="H1912" s="5">
        <v>15.6714637176616</v>
      </c>
      <c r="I1912" s="5">
        <v>15.6714637176616</v>
      </c>
      <c r="J1912" s="5">
        <v>-0.14411885724557</v>
      </c>
      <c r="K1912" s="5">
        <v>-0.14411885724557</v>
      </c>
      <c r="L1912" s="5">
        <v>-0.14411885724557</v>
      </c>
      <c r="M1912" s="5">
        <v>15.8155825749072</v>
      </c>
      <c r="N1912" s="5">
        <v>15.8155825749072</v>
      </c>
      <c r="O1912" s="5">
        <v>15.8155825749072</v>
      </c>
      <c r="P1912" s="5">
        <v>0.0</v>
      </c>
      <c r="Q1912" s="5">
        <v>0.0</v>
      </c>
      <c r="R1912" s="5">
        <v>0.0</v>
      </c>
      <c r="S1912" s="5">
        <v>78.7269091068827</v>
      </c>
    </row>
    <row r="1913">
      <c r="A1913" s="6">
        <v>43131.0</v>
      </c>
      <c r="B1913" s="5">
        <v>63.0640009073254</v>
      </c>
      <c r="C1913" s="5">
        <v>15.943343478619</v>
      </c>
      <c r="D1913" s="5">
        <v>142.787412585721</v>
      </c>
      <c r="E1913" s="5">
        <v>63.0640009073254</v>
      </c>
      <c r="F1913" s="5">
        <v>63.0640009073254</v>
      </c>
      <c r="G1913" s="5">
        <v>15.3414094170265</v>
      </c>
      <c r="H1913" s="5">
        <v>15.3414094170265</v>
      </c>
      <c r="I1913" s="5">
        <v>15.3414094170265</v>
      </c>
      <c r="J1913" s="5">
        <v>0.00703780527991358</v>
      </c>
      <c r="K1913" s="5">
        <v>0.00703780527991358</v>
      </c>
      <c r="L1913" s="5">
        <v>0.00703780527991358</v>
      </c>
      <c r="M1913" s="5">
        <v>15.3343716117466</v>
      </c>
      <c r="N1913" s="5">
        <v>15.3343716117466</v>
      </c>
      <c r="O1913" s="5">
        <v>15.3343716117466</v>
      </c>
      <c r="P1913" s="5">
        <v>0.0</v>
      </c>
      <c r="Q1913" s="5">
        <v>0.0</v>
      </c>
      <c r="R1913" s="5">
        <v>0.0</v>
      </c>
      <c r="S1913" s="5">
        <v>78.405410324352</v>
      </c>
    </row>
    <row r="1914">
      <c r="A1914" s="6">
        <v>43132.0</v>
      </c>
      <c r="B1914" s="5">
        <v>63.0725564254297</v>
      </c>
      <c r="C1914" s="5">
        <v>14.5230720814132</v>
      </c>
      <c r="D1914" s="5">
        <v>140.31986887403</v>
      </c>
      <c r="E1914" s="5">
        <v>63.0725564254297</v>
      </c>
      <c r="F1914" s="5">
        <v>63.0725564254297</v>
      </c>
      <c r="G1914" s="5">
        <v>14.1494024180073</v>
      </c>
      <c r="H1914" s="5">
        <v>14.1494024180073</v>
      </c>
      <c r="I1914" s="5">
        <v>14.1494024180073</v>
      </c>
      <c r="J1914" s="5">
        <v>-0.776422525903835</v>
      </c>
      <c r="K1914" s="5">
        <v>-0.776422525903835</v>
      </c>
      <c r="L1914" s="5">
        <v>-0.776422525903835</v>
      </c>
      <c r="M1914" s="5">
        <v>14.9258249439111</v>
      </c>
      <c r="N1914" s="5">
        <v>14.9258249439111</v>
      </c>
      <c r="O1914" s="5">
        <v>14.9258249439111</v>
      </c>
      <c r="P1914" s="5">
        <v>0.0</v>
      </c>
      <c r="Q1914" s="5">
        <v>0.0</v>
      </c>
      <c r="R1914" s="5">
        <v>0.0</v>
      </c>
      <c r="S1914" s="5">
        <v>77.2219588434371</v>
      </c>
    </row>
    <row r="1915">
      <c r="A1915" s="6">
        <v>43133.0</v>
      </c>
      <c r="B1915" s="5">
        <v>63.0811119435341</v>
      </c>
      <c r="C1915" s="5">
        <v>18.3637051203458</v>
      </c>
      <c r="D1915" s="5">
        <v>143.026708832282</v>
      </c>
      <c r="E1915" s="5">
        <v>63.0811119435341</v>
      </c>
      <c r="F1915" s="5">
        <v>63.0811119435341</v>
      </c>
      <c r="G1915" s="5">
        <v>12.9895145899157</v>
      </c>
      <c r="H1915" s="5">
        <v>12.9895145899157</v>
      </c>
      <c r="I1915" s="5">
        <v>12.9895145899157</v>
      </c>
      <c r="J1915" s="5">
        <v>-1.59155056649359</v>
      </c>
      <c r="K1915" s="5">
        <v>-1.59155056649359</v>
      </c>
      <c r="L1915" s="5">
        <v>-1.59155056649359</v>
      </c>
      <c r="M1915" s="5">
        <v>14.5810651564093</v>
      </c>
      <c r="N1915" s="5">
        <v>14.5810651564093</v>
      </c>
      <c r="O1915" s="5">
        <v>14.5810651564093</v>
      </c>
      <c r="P1915" s="5">
        <v>0.0</v>
      </c>
      <c r="Q1915" s="5">
        <v>0.0</v>
      </c>
      <c r="R1915" s="5">
        <v>0.0</v>
      </c>
      <c r="S1915" s="5">
        <v>76.0706265334498</v>
      </c>
    </row>
    <row r="1916">
      <c r="A1916" s="6">
        <v>43136.0</v>
      </c>
      <c r="B1916" s="5">
        <v>63.1067784978471</v>
      </c>
      <c r="C1916" s="5">
        <v>14.0269151147328</v>
      </c>
      <c r="D1916" s="5">
        <v>145.671105001185</v>
      </c>
      <c r="E1916" s="5">
        <v>63.1067784978471</v>
      </c>
      <c r="F1916" s="5">
        <v>63.1067784978471</v>
      </c>
      <c r="G1916" s="5">
        <v>13.8970103824491</v>
      </c>
      <c r="H1916" s="5">
        <v>13.8970103824491</v>
      </c>
      <c r="I1916" s="5">
        <v>13.8970103824491</v>
      </c>
      <c r="J1916" s="5">
        <v>0.0905589421218847</v>
      </c>
      <c r="K1916" s="5">
        <v>0.0905589421218847</v>
      </c>
      <c r="L1916" s="5">
        <v>0.0905589421218847</v>
      </c>
      <c r="M1916" s="5">
        <v>13.8064514403272</v>
      </c>
      <c r="N1916" s="5">
        <v>13.8064514403272</v>
      </c>
      <c r="O1916" s="5">
        <v>13.8064514403272</v>
      </c>
      <c r="P1916" s="5">
        <v>0.0</v>
      </c>
      <c r="Q1916" s="5">
        <v>0.0</v>
      </c>
      <c r="R1916" s="5">
        <v>0.0</v>
      </c>
      <c r="S1916" s="5">
        <v>77.0037888802963</v>
      </c>
    </row>
    <row r="1917">
      <c r="A1917" s="6">
        <v>43137.0</v>
      </c>
      <c r="B1917" s="5">
        <v>63.1153340159515</v>
      </c>
      <c r="C1917" s="5">
        <v>11.4675250009287</v>
      </c>
      <c r="D1917" s="5">
        <v>142.41961895831</v>
      </c>
      <c r="E1917" s="5">
        <v>63.1153340159515</v>
      </c>
      <c r="F1917" s="5">
        <v>63.1153340159515</v>
      </c>
      <c r="G1917" s="5">
        <v>13.4409436917306</v>
      </c>
      <c r="H1917" s="5">
        <v>13.4409436917306</v>
      </c>
      <c r="I1917" s="5">
        <v>13.4409436917306</v>
      </c>
      <c r="J1917" s="5">
        <v>-0.144118857247006</v>
      </c>
      <c r="K1917" s="5">
        <v>-0.144118857247006</v>
      </c>
      <c r="L1917" s="5">
        <v>-0.144118857247006</v>
      </c>
      <c r="M1917" s="5">
        <v>13.5850625489776</v>
      </c>
      <c r="N1917" s="5">
        <v>13.5850625489776</v>
      </c>
      <c r="O1917" s="5">
        <v>13.5850625489776</v>
      </c>
      <c r="P1917" s="5">
        <v>0.0</v>
      </c>
      <c r="Q1917" s="5">
        <v>0.0</v>
      </c>
      <c r="R1917" s="5">
        <v>0.0</v>
      </c>
      <c r="S1917" s="5">
        <v>76.5562777076821</v>
      </c>
    </row>
    <row r="1918">
      <c r="A1918" s="6">
        <v>43138.0</v>
      </c>
      <c r="B1918" s="5">
        <v>63.1238895340558</v>
      </c>
      <c r="C1918" s="5">
        <v>18.5674605701694</v>
      </c>
      <c r="D1918" s="5">
        <v>137.871071131367</v>
      </c>
      <c r="E1918" s="5">
        <v>63.1238895340558</v>
      </c>
      <c r="F1918" s="5">
        <v>63.1238895340558</v>
      </c>
      <c r="G1918" s="5">
        <v>13.3614604156704</v>
      </c>
      <c r="H1918" s="5">
        <v>13.3614604156704</v>
      </c>
      <c r="I1918" s="5">
        <v>13.3614604156704</v>
      </c>
      <c r="J1918" s="5">
        <v>0.00703780528122465</v>
      </c>
      <c r="K1918" s="5">
        <v>0.00703780528122465</v>
      </c>
      <c r="L1918" s="5">
        <v>0.00703780528122465</v>
      </c>
      <c r="M1918" s="5">
        <v>13.3544226103891</v>
      </c>
      <c r="N1918" s="5">
        <v>13.3544226103891</v>
      </c>
      <c r="O1918" s="5">
        <v>13.3544226103891</v>
      </c>
      <c r="P1918" s="5">
        <v>0.0</v>
      </c>
      <c r="Q1918" s="5">
        <v>0.0</v>
      </c>
      <c r="R1918" s="5">
        <v>0.0</v>
      </c>
      <c r="S1918" s="5">
        <v>76.4853499497262</v>
      </c>
    </row>
    <row r="1919">
      <c r="A1919" s="6">
        <v>43139.0</v>
      </c>
      <c r="B1919" s="5">
        <v>63.1324450521602</v>
      </c>
      <c r="C1919" s="5">
        <v>14.7191975633671</v>
      </c>
      <c r="D1919" s="5">
        <v>140.101104793727</v>
      </c>
      <c r="E1919" s="5">
        <v>63.1324450521602</v>
      </c>
      <c r="F1919" s="5">
        <v>63.1324450521602</v>
      </c>
      <c r="G1919" s="5">
        <v>12.3208692262824</v>
      </c>
      <c r="H1919" s="5">
        <v>12.3208692262824</v>
      </c>
      <c r="I1919" s="5">
        <v>12.3208692262824</v>
      </c>
      <c r="J1919" s="5">
        <v>-0.776422525904557</v>
      </c>
      <c r="K1919" s="5">
        <v>-0.776422525904557</v>
      </c>
      <c r="L1919" s="5">
        <v>-0.776422525904557</v>
      </c>
      <c r="M1919" s="5">
        <v>13.0972917521869</v>
      </c>
      <c r="N1919" s="5">
        <v>13.0972917521869</v>
      </c>
      <c r="O1919" s="5">
        <v>13.0972917521869</v>
      </c>
      <c r="P1919" s="5">
        <v>0.0</v>
      </c>
      <c r="Q1919" s="5">
        <v>0.0</v>
      </c>
      <c r="R1919" s="5">
        <v>0.0</v>
      </c>
      <c r="S1919" s="5">
        <v>75.4533142784426</v>
      </c>
    </row>
    <row r="1920">
      <c r="A1920" s="6">
        <v>43140.0</v>
      </c>
      <c r="B1920" s="5">
        <v>63.1410005702645</v>
      </c>
      <c r="C1920" s="5">
        <v>11.7588657513562</v>
      </c>
      <c r="D1920" s="5">
        <v>133.394362143698</v>
      </c>
      <c r="E1920" s="5">
        <v>63.1410005702645</v>
      </c>
      <c r="F1920" s="5">
        <v>63.1410005702645</v>
      </c>
      <c r="G1920" s="5">
        <v>11.2051609096977</v>
      </c>
      <c r="H1920" s="5">
        <v>11.2051609096977</v>
      </c>
      <c r="I1920" s="5">
        <v>11.2051609096977</v>
      </c>
      <c r="J1920" s="5">
        <v>-1.5915505664951</v>
      </c>
      <c r="K1920" s="5">
        <v>-1.5915505664951</v>
      </c>
      <c r="L1920" s="5">
        <v>-1.5915505664951</v>
      </c>
      <c r="M1920" s="5">
        <v>12.7967114761928</v>
      </c>
      <c r="N1920" s="5">
        <v>12.7967114761928</v>
      </c>
      <c r="O1920" s="5">
        <v>12.7967114761928</v>
      </c>
      <c r="P1920" s="5">
        <v>0.0</v>
      </c>
      <c r="Q1920" s="5">
        <v>0.0</v>
      </c>
      <c r="R1920" s="5">
        <v>0.0</v>
      </c>
      <c r="S1920" s="5">
        <v>74.3461614799623</v>
      </c>
    </row>
    <row r="1921">
      <c r="A1921" s="6">
        <v>43143.0</v>
      </c>
      <c r="B1921" s="5">
        <v>63.1666671245776</v>
      </c>
      <c r="C1921" s="5">
        <v>11.9345756959135</v>
      </c>
      <c r="D1921" s="5">
        <v>142.220600125783</v>
      </c>
      <c r="E1921" s="5">
        <v>63.1666671245776</v>
      </c>
      <c r="F1921" s="5">
        <v>63.1666671245776</v>
      </c>
      <c r="G1921" s="5">
        <v>11.5698447807895</v>
      </c>
      <c r="H1921" s="5">
        <v>11.5698447807895</v>
      </c>
      <c r="I1921" s="5">
        <v>11.5698447807895</v>
      </c>
      <c r="J1921" s="5">
        <v>0.0905589421205276</v>
      </c>
      <c r="K1921" s="5">
        <v>0.0905589421205276</v>
      </c>
      <c r="L1921" s="5">
        <v>0.0905589421205276</v>
      </c>
      <c r="M1921" s="5">
        <v>11.479285838669</v>
      </c>
      <c r="N1921" s="5">
        <v>11.479285838669</v>
      </c>
      <c r="O1921" s="5">
        <v>11.479285838669</v>
      </c>
      <c r="P1921" s="5">
        <v>0.0</v>
      </c>
      <c r="Q1921" s="5">
        <v>0.0</v>
      </c>
      <c r="R1921" s="5">
        <v>0.0</v>
      </c>
      <c r="S1921" s="5">
        <v>74.7365119053671</v>
      </c>
    </row>
    <row r="1922">
      <c r="A1922" s="6">
        <v>43144.0</v>
      </c>
      <c r="B1922" s="5">
        <v>63.1752226426819</v>
      </c>
      <c r="C1922" s="5">
        <v>4.97525849268959</v>
      </c>
      <c r="D1922" s="5">
        <v>131.065697878056</v>
      </c>
      <c r="E1922" s="5">
        <v>63.1752226426819</v>
      </c>
      <c r="F1922" s="5">
        <v>63.1752226426819</v>
      </c>
      <c r="G1922" s="5">
        <v>10.7138513645615</v>
      </c>
      <c r="H1922" s="5">
        <v>10.7138513645615</v>
      </c>
      <c r="I1922" s="5">
        <v>10.7138513645615</v>
      </c>
      <c r="J1922" s="5">
        <v>-0.144118857243394</v>
      </c>
      <c r="K1922" s="5">
        <v>-0.144118857243394</v>
      </c>
      <c r="L1922" s="5">
        <v>-0.144118857243394</v>
      </c>
      <c r="M1922" s="5">
        <v>10.8579702218049</v>
      </c>
      <c r="N1922" s="5">
        <v>10.8579702218049</v>
      </c>
      <c r="O1922" s="5">
        <v>10.8579702218049</v>
      </c>
      <c r="P1922" s="5">
        <v>0.0</v>
      </c>
      <c r="Q1922" s="5">
        <v>0.0</v>
      </c>
      <c r="R1922" s="5">
        <v>0.0</v>
      </c>
      <c r="S1922" s="5">
        <v>73.8890740072434</v>
      </c>
    </row>
    <row r="1923">
      <c r="A1923" s="6">
        <v>43145.0</v>
      </c>
      <c r="B1923" s="5">
        <v>63.1837781607863</v>
      </c>
      <c r="C1923" s="5">
        <v>11.0314110125373</v>
      </c>
      <c r="D1923" s="5">
        <v>134.774326440027</v>
      </c>
      <c r="E1923" s="5">
        <v>63.1837781607863</v>
      </c>
      <c r="F1923" s="5">
        <v>63.1837781607863</v>
      </c>
      <c r="G1923" s="5">
        <v>10.1362076827329</v>
      </c>
      <c r="H1923" s="5">
        <v>10.1362076827329</v>
      </c>
      <c r="I1923" s="5">
        <v>10.1362076827329</v>
      </c>
      <c r="J1923" s="5">
        <v>0.00703780528352715</v>
      </c>
      <c r="K1923" s="5">
        <v>0.00703780528352715</v>
      </c>
      <c r="L1923" s="5">
        <v>0.00703780528352715</v>
      </c>
      <c r="M1923" s="5">
        <v>10.1291698774494</v>
      </c>
      <c r="N1923" s="5">
        <v>10.1291698774494</v>
      </c>
      <c r="O1923" s="5">
        <v>10.1291698774494</v>
      </c>
      <c r="P1923" s="5">
        <v>0.0</v>
      </c>
      <c r="Q1923" s="5">
        <v>0.0</v>
      </c>
      <c r="R1923" s="5">
        <v>0.0</v>
      </c>
      <c r="S1923" s="5">
        <v>73.3199858435192</v>
      </c>
    </row>
    <row r="1924">
      <c r="A1924" s="6">
        <v>43146.0</v>
      </c>
      <c r="B1924" s="5">
        <v>63.1923336788906</v>
      </c>
      <c r="C1924" s="5">
        <v>8.68709527568047</v>
      </c>
      <c r="D1924" s="5">
        <v>131.550881040042</v>
      </c>
      <c r="E1924" s="5">
        <v>63.1923336788906</v>
      </c>
      <c r="F1924" s="5">
        <v>63.1923336788906</v>
      </c>
      <c r="G1924" s="5">
        <v>8.51053463459928</v>
      </c>
      <c r="H1924" s="5">
        <v>8.51053463459928</v>
      </c>
      <c r="I1924" s="5">
        <v>8.51053463459928</v>
      </c>
      <c r="J1924" s="5">
        <v>-0.776422525903804</v>
      </c>
      <c r="K1924" s="5">
        <v>-0.776422525903804</v>
      </c>
      <c r="L1924" s="5">
        <v>-0.776422525903804</v>
      </c>
      <c r="M1924" s="5">
        <v>9.28695716050308</v>
      </c>
      <c r="N1924" s="5">
        <v>9.28695716050308</v>
      </c>
      <c r="O1924" s="5">
        <v>9.28695716050308</v>
      </c>
      <c r="P1924" s="5">
        <v>0.0</v>
      </c>
      <c r="Q1924" s="5">
        <v>0.0</v>
      </c>
      <c r="R1924" s="5">
        <v>0.0</v>
      </c>
      <c r="S1924" s="5">
        <v>71.7028683134899</v>
      </c>
    </row>
    <row r="1925">
      <c r="A1925" s="6">
        <v>43147.0</v>
      </c>
      <c r="B1925" s="5">
        <v>63.200889196995</v>
      </c>
      <c r="C1925" s="5">
        <v>8.49150404070055</v>
      </c>
      <c r="D1925" s="5">
        <v>131.788391938048</v>
      </c>
      <c r="E1925" s="5">
        <v>63.200889196995</v>
      </c>
      <c r="F1925" s="5">
        <v>63.200889196995</v>
      </c>
      <c r="G1925" s="5">
        <v>6.73677603772951</v>
      </c>
      <c r="H1925" s="5">
        <v>6.73677603772951</v>
      </c>
      <c r="I1925" s="5">
        <v>6.73677603772951</v>
      </c>
      <c r="J1925" s="5">
        <v>-1.59155056649417</v>
      </c>
      <c r="K1925" s="5">
        <v>-1.59155056649417</v>
      </c>
      <c r="L1925" s="5">
        <v>-1.59155056649417</v>
      </c>
      <c r="M1925" s="5">
        <v>8.32832660422369</v>
      </c>
      <c r="N1925" s="5">
        <v>8.32832660422369</v>
      </c>
      <c r="O1925" s="5">
        <v>8.32832660422369</v>
      </c>
      <c r="P1925" s="5">
        <v>0.0</v>
      </c>
      <c r="Q1925" s="5">
        <v>0.0</v>
      </c>
      <c r="R1925" s="5">
        <v>0.0</v>
      </c>
      <c r="S1925" s="5">
        <v>69.9376652347245</v>
      </c>
    </row>
    <row r="1926">
      <c r="A1926" s="6">
        <v>43151.0</v>
      </c>
      <c r="B1926" s="5">
        <v>63.2351112694124</v>
      </c>
      <c r="C1926" s="5">
        <v>4.45921606746134</v>
      </c>
      <c r="D1926" s="5">
        <v>130.27376592483</v>
      </c>
      <c r="E1926" s="5">
        <v>63.2351112694124</v>
      </c>
      <c r="F1926" s="5">
        <v>63.2351112694124</v>
      </c>
      <c r="G1926" s="5">
        <v>3.23223598030556</v>
      </c>
      <c r="H1926" s="5">
        <v>3.23223598030556</v>
      </c>
      <c r="I1926" s="5">
        <v>3.23223598030556</v>
      </c>
      <c r="J1926" s="5">
        <v>-0.144118857246244</v>
      </c>
      <c r="K1926" s="5">
        <v>-0.144118857246244</v>
      </c>
      <c r="L1926" s="5">
        <v>-0.144118857246244</v>
      </c>
      <c r="M1926" s="5">
        <v>3.37635483755181</v>
      </c>
      <c r="N1926" s="5">
        <v>3.37635483755181</v>
      </c>
      <c r="O1926" s="5">
        <v>3.37635483755181</v>
      </c>
      <c r="P1926" s="5">
        <v>0.0</v>
      </c>
      <c r="Q1926" s="5">
        <v>0.0</v>
      </c>
      <c r="R1926" s="5">
        <v>0.0</v>
      </c>
      <c r="S1926" s="5">
        <v>66.4673472497179</v>
      </c>
    </row>
    <row r="1927">
      <c r="A1927" s="6">
        <v>43152.0</v>
      </c>
      <c r="B1927" s="5">
        <v>63.2436667875167</v>
      </c>
      <c r="C1927" s="5">
        <v>4.3249652103775</v>
      </c>
      <c r="D1927" s="5">
        <v>125.952513563618</v>
      </c>
      <c r="E1927" s="5">
        <v>63.2436667875167</v>
      </c>
      <c r="F1927" s="5">
        <v>63.2436667875167</v>
      </c>
      <c r="G1927" s="5">
        <v>1.90386594863859</v>
      </c>
      <c r="H1927" s="5">
        <v>1.90386594863859</v>
      </c>
      <c r="I1927" s="5">
        <v>1.90386594863859</v>
      </c>
      <c r="J1927" s="5">
        <v>0.0070378052826746</v>
      </c>
      <c r="K1927" s="5">
        <v>0.0070378052826746</v>
      </c>
      <c r="L1927" s="5">
        <v>0.0070378052826746</v>
      </c>
      <c r="M1927" s="5">
        <v>1.89682814335592</v>
      </c>
      <c r="N1927" s="5">
        <v>1.89682814335592</v>
      </c>
      <c r="O1927" s="5">
        <v>1.89682814335592</v>
      </c>
      <c r="P1927" s="5">
        <v>0.0</v>
      </c>
      <c r="Q1927" s="5">
        <v>0.0</v>
      </c>
      <c r="R1927" s="5">
        <v>0.0</v>
      </c>
      <c r="S1927" s="5">
        <v>65.1475327361553</v>
      </c>
    </row>
    <row r="1928">
      <c r="A1928" s="6">
        <v>43153.0</v>
      </c>
      <c r="B1928" s="5">
        <v>63.252222305621</v>
      </c>
      <c r="C1928" s="5">
        <v>-1.82326703455397</v>
      </c>
      <c r="D1928" s="5">
        <v>123.310477946747</v>
      </c>
      <c r="E1928" s="5">
        <v>63.252222305621</v>
      </c>
      <c r="F1928" s="5">
        <v>63.252222305621</v>
      </c>
      <c r="G1928" s="5">
        <v>-0.43102845569441</v>
      </c>
      <c r="H1928" s="5">
        <v>-0.43102845569441</v>
      </c>
      <c r="I1928" s="5">
        <v>-0.43102845569441</v>
      </c>
      <c r="J1928" s="5">
        <v>-0.776422525903151</v>
      </c>
      <c r="K1928" s="5">
        <v>-0.776422525903151</v>
      </c>
      <c r="L1928" s="5">
        <v>-0.776422525903151</v>
      </c>
      <c r="M1928" s="5">
        <v>0.34539407020874</v>
      </c>
      <c r="N1928" s="5">
        <v>0.34539407020874</v>
      </c>
      <c r="O1928" s="5">
        <v>0.34539407020874</v>
      </c>
      <c r="P1928" s="5">
        <v>0.0</v>
      </c>
      <c r="Q1928" s="5">
        <v>0.0</v>
      </c>
      <c r="R1928" s="5">
        <v>0.0</v>
      </c>
      <c r="S1928" s="5">
        <v>62.8211938499266</v>
      </c>
    </row>
    <row r="1929">
      <c r="A1929" s="6">
        <v>43154.0</v>
      </c>
      <c r="B1929" s="5">
        <v>63.2607778237254</v>
      </c>
      <c r="C1929" s="5">
        <v>-0.781627110549086</v>
      </c>
      <c r="D1929" s="5">
        <v>121.378573489224</v>
      </c>
      <c r="E1929" s="5">
        <v>63.2607778237254</v>
      </c>
      <c r="F1929" s="5">
        <v>63.2607778237254</v>
      </c>
      <c r="G1929" s="5">
        <v>-2.85309997221374</v>
      </c>
      <c r="H1929" s="5">
        <v>-2.85309997221374</v>
      </c>
      <c r="I1929" s="5">
        <v>-2.85309997221374</v>
      </c>
      <c r="J1929" s="5">
        <v>-1.59155056649325</v>
      </c>
      <c r="K1929" s="5">
        <v>-1.59155056649325</v>
      </c>
      <c r="L1929" s="5">
        <v>-1.59155056649325</v>
      </c>
      <c r="M1929" s="5">
        <v>-1.26154940572049</v>
      </c>
      <c r="N1929" s="5">
        <v>-1.26154940572049</v>
      </c>
      <c r="O1929" s="5">
        <v>-1.26154940572049</v>
      </c>
      <c r="P1929" s="5">
        <v>0.0</v>
      </c>
      <c r="Q1929" s="5">
        <v>0.0</v>
      </c>
      <c r="R1929" s="5">
        <v>0.0</v>
      </c>
      <c r="S1929" s="5">
        <v>60.4076778515117</v>
      </c>
    </row>
    <row r="1930">
      <c r="A1930" s="6">
        <v>43157.0</v>
      </c>
      <c r="B1930" s="5">
        <v>63.2864443780384</v>
      </c>
      <c r="C1930" s="5">
        <v>-6.44557483900071</v>
      </c>
      <c r="D1930" s="5">
        <v>117.843723707065</v>
      </c>
      <c r="E1930" s="5">
        <v>63.2864443780384</v>
      </c>
      <c r="F1930" s="5">
        <v>63.2864443780384</v>
      </c>
      <c r="G1930" s="5">
        <v>-6.1373770221044</v>
      </c>
      <c r="H1930" s="5">
        <v>-6.1373770221044</v>
      </c>
      <c r="I1930" s="5">
        <v>-6.1373770221044</v>
      </c>
      <c r="J1930" s="5">
        <v>0.0905589421225005</v>
      </c>
      <c r="K1930" s="5">
        <v>0.0905589421225005</v>
      </c>
      <c r="L1930" s="5">
        <v>0.0905589421225005</v>
      </c>
      <c r="M1930" s="5">
        <v>-6.2279359642269</v>
      </c>
      <c r="N1930" s="5">
        <v>-6.2279359642269</v>
      </c>
      <c r="O1930" s="5">
        <v>-6.2279359642269</v>
      </c>
      <c r="P1930" s="5">
        <v>0.0</v>
      </c>
      <c r="Q1930" s="5">
        <v>0.0</v>
      </c>
      <c r="R1930" s="5">
        <v>0.0</v>
      </c>
      <c r="S1930" s="5">
        <v>57.149067355934</v>
      </c>
    </row>
    <row r="1931">
      <c r="A1931" s="6">
        <v>43158.0</v>
      </c>
      <c r="B1931" s="5">
        <v>63.2949998961428</v>
      </c>
      <c r="C1931" s="5">
        <v>-9.10903612610574</v>
      </c>
      <c r="D1931" s="5">
        <v>124.160089198961</v>
      </c>
      <c r="E1931" s="5">
        <v>63.2949998961428</v>
      </c>
      <c r="F1931" s="5">
        <v>63.2949998961428</v>
      </c>
      <c r="G1931" s="5">
        <v>-8.00881691251692</v>
      </c>
      <c r="H1931" s="5">
        <v>-8.00881691251692</v>
      </c>
      <c r="I1931" s="5">
        <v>-8.00881691251692</v>
      </c>
      <c r="J1931" s="5">
        <v>-0.144118857245156</v>
      </c>
      <c r="K1931" s="5">
        <v>-0.144118857245156</v>
      </c>
      <c r="L1931" s="5">
        <v>-0.144118857245156</v>
      </c>
      <c r="M1931" s="5">
        <v>-7.86469805527177</v>
      </c>
      <c r="N1931" s="5">
        <v>-7.86469805527177</v>
      </c>
      <c r="O1931" s="5">
        <v>-7.86469805527177</v>
      </c>
      <c r="P1931" s="5">
        <v>0.0</v>
      </c>
      <c r="Q1931" s="5">
        <v>0.0</v>
      </c>
      <c r="R1931" s="5">
        <v>0.0</v>
      </c>
      <c r="S1931" s="5">
        <v>55.2861829836259</v>
      </c>
    </row>
    <row r="1932">
      <c r="A1932" s="6">
        <v>43159.0</v>
      </c>
      <c r="B1932" s="5">
        <v>63.3035554142472</v>
      </c>
      <c r="C1932" s="5">
        <v>-9.24933623449041</v>
      </c>
      <c r="D1932" s="5">
        <v>122.466615082541</v>
      </c>
      <c r="E1932" s="5">
        <v>63.3035554142472</v>
      </c>
      <c r="F1932" s="5">
        <v>63.3035554142472</v>
      </c>
      <c r="G1932" s="5">
        <v>-9.45075768491926</v>
      </c>
      <c r="H1932" s="5">
        <v>-9.45075768491926</v>
      </c>
      <c r="I1932" s="5">
        <v>-9.45075768491926</v>
      </c>
      <c r="J1932" s="5">
        <v>0.0070378052839858</v>
      </c>
      <c r="K1932" s="5">
        <v>0.0070378052839858</v>
      </c>
      <c r="L1932" s="5">
        <v>0.0070378052839858</v>
      </c>
      <c r="M1932" s="5">
        <v>-9.45779549020325</v>
      </c>
      <c r="N1932" s="5">
        <v>-9.45779549020325</v>
      </c>
      <c r="O1932" s="5">
        <v>-9.45779549020325</v>
      </c>
      <c r="P1932" s="5">
        <v>0.0</v>
      </c>
      <c r="Q1932" s="5">
        <v>0.0</v>
      </c>
      <c r="R1932" s="5">
        <v>0.0</v>
      </c>
      <c r="S1932" s="5">
        <v>53.8527977293279</v>
      </c>
    </row>
    <row r="1933">
      <c r="A1933" s="6">
        <v>43160.0</v>
      </c>
      <c r="B1933" s="5">
        <v>63.3121109323515</v>
      </c>
      <c r="C1933" s="5">
        <v>-8.89491407490591</v>
      </c>
      <c r="D1933" s="5">
        <v>112.773269403183</v>
      </c>
      <c r="E1933" s="5">
        <v>63.3121109323515</v>
      </c>
      <c r="F1933" s="5">
        <v>63.3121109323515</v>
      </c>
      <c r="G1933" s="5">
        <v>-11.7636414560631</v>
      </c>
      <c r="H1933" s="5">
        <v>-11.7636414560631</v>
      </c>
      <c r="I1933" s="5">
        <v>-11.7636414560631</v>
      </c>
      <c r="J1933" s="5">
        <v>-0.776422525902398</v>
      </c>
      <c r="K1933" s="5">
        <v>-0.776422525902398</v>
      </c>
      <c r="L1933" s="5">
        <v>-0.776422525902398</v>
      </c>
      <c r="M1933" s="5">
        <v>-10.9872189301607</v>
      </c>
      <c r="N1933" s="5">
        <v>-10.9872189301607</v>
      </c>
      <c r="O1933" s="5">
        <v>-10.9872189301607</v>
      </c>
      <c r="P1933" s="5">
        <v>0.0</v>
      </c>
      <c r="Q1933" s="5">
        <v>0.0</v>
      </c>
      <c r="R1933" s="5">
        <v>0.0</v>
      </c>
      <c r="S1933" s="5">
        <v>51.5484694762883</v>
      </c>
    </row>
    <row r="1934">
      <c r="A1934" s="6">
        <v>43161.0</v>
      </c>
      <c r="B1934" s="5">
        <v>63.3206664504558</v>
      </c>
      <c r="C1934" s="5">
        <v>-13.1178632423741</v>
      </c>
      <c r="D1934" s="5">
        <v>113.967265730266</v>
      </c>
      <c r="E1934" s="5">
        <v>63.3206664504558</v>
      </c>
      <c r="F1934" s="5">
        <v>63.3206664504558</v>
      </c>
      <c r="G1934" s="5">
        <v>-14.0255404408576</v>
      </c>
      <c r="H1934" s="5">
        <v>-14.0255404408576</v>
      </c>
      <c r="I1934" s="5">
        <v>-14.0255404408576</v>
      </c>
      <c r="J1934" s="5">
        <v>-1.59155056649507</v>
      </c>
      <c r="K1934" s="5">
        <v>-1.59155056649507</v>
      </c>
      <c r="L1934" s="5">
        <v>-1.59155056649507</v>
      </c>
      <c r="M1934" s="5">
        <v>-12.4339898743626</v>
      </c>
      <c r="N1934" s="5">
        <v>-12.4339898743626</v>
      </c>
      <c r="O1934" s="5">
        <v>-12.4339898743626</v>
      </c>
      <c r="P1934" s="5">
        <v>0.0</v>
      </c>
      <c r="Q1934" s="5">
        <v>0.0</v>
      </c>
      <c r="R1934" s="5">
        <v>0.0</v>
      </c>
      <c r="S1934" s="5">
        <v>49.2951260095982</v>
      </c>
    </row>
    <row r="1935">
      <c r="A1935" s="6">
        <v>43164.0</v>
      </c>
      <c r="B1935" s="5">
        <v>63.3463330047689</v>
      </c>
      <c r="C1935" s="5">
        <v>-15.6789239417692</v>
      </c>
      <c r="D1935" s="5">
        <v>110.516266161979</v>
      </c>
      <c r="E1935" s="5">
        <v>63.3463330047689</v>
      </c>
      <c r="F1935" s="5">
        <v>63.3463330047689</v>
      </c>
      <c r="G1935" s="5">
        <v>-16.0220744581513</v>
      </c>
      <c r="H1935" s="5">
        <v>-16.0220744581513</v>
      </c>
      <c r="I1935" s="5">
        <v>-16.0220744581513</v>
      </c>
      <c r="J1935" s="5">
        <v>0.090558942121063</v>
      </c>
      <c r="K1935" s="5">
        <v>0.090558942121063</v>
      </c>
      <c r="L1935" s="5">
        <v>0.090558942121063</v>
      </c>
      <c r="M1935" s="5">
        <v>-16.1126334002724</v>
      </c>
      <c r="N1935" s="5">
        <v>-16.1126334002724</v>
      </c>
      <c r="O1935" s="5">
        <v>-16.1126334002724</v>
      </c>
      <c r="P1935" s="5">
        <v>0.0</v>
      </c>
      <c r="Q1935" s="5">
        <v>0.0</v>
      </c>
      <c r="R1935" s="5">
        <v>0.0</v>
      </c>
      <c r="S1935" s="5">
        <v>47.3242585466175</v>
      </c>
    </row>
    <row r="1936">
      <c r="A1936" s="6">
        <v>43165.0</v>
      </c>
      <c r="B1936" s="5">
        <v>63.3548885228732</v>
      </c>
      <c r="C1936" s="5">
        <v>-15.9606182402185</v>
      </c>
      <c r="D1936" s="5">
        <v>105.81008212922</v>
      </c>
      <c r="E1936" s="5">
        <v>63.3548885228732</v>
      </c>
      <c r="F1936" s="5">
        <v>63.3548885228732</v>
      </c>
      <c r="G1936" s="5">
        <v>-17.2175798882172</v>
      </c>
      <c r="H1936" s="5">
        <v>-17.2175798882172</v>
      </c>
      <c r="I1936" s="5">
        <v>-17.2175798882172</v>
      </c>
      <c r="J1936" s="5">
        <v>-0.144118857244068</v>
      </c>
      <c r="K1936" s="5">
        <v>-0.144118857244068</v>
      </c>
      <c r="L1936" s="5">
        <v>-0.144118857244068</v>
      </c>
      <c r="M1936" s="5">
        <v>-17.0734610309731</v>
      </c>
      <c r="N1936" s="5">
        <v>-17.0734610309731</v>
      </c>
      <c r="O1936" s="5">
        <v>-17.0734610309731</v>
      </c>
      <c r="P1936" s="5">
        <v>0.0</v>
      </c>
      <c r="Q1936" s="5">
        <v>0.0</v>
      </c>
      <c r="R1936" s="5">
        <v>0.0</v>
      </c>
      <c r="S1936" s="5">
        <v>46.137308634656</v>
      </c>
    </row>
    <row r="1937">
      <c r="A1937" s="6">
        <v>43166.0</v>
      </c>
      <c r="B1937" s="5">
        <v>63.3634440409776</v>
      </c>
      <c r="C1937" s="5">
        <v>-15.9750747997315</v>
      </c>
      <c r="D1937" s="5">
        <v>110.00791552365</v>
      </c>
      <c r="E1937" s="5">
        <v>63.3634440409776</v>
      </c>
      <c r="F1937" s="5">
        <v>63.3634440409776</v>
      </c>
      <c r="G1937" s="5">
        <v>-17.8782861287692</v>
      </c>
      <c r="H1937" s="5">
        <v>-17.8782861287692</v>
      </c>
      <c r="I1937" s="5">
        <v>-17.8782861287692</v>
      </c>
      <c r="J1937" s="5">
        <v>0.00703780528096962</v>
      </c>
      <c r="K1937" s="5">
        <v>0.00703780528096962</v>
      </c>
      <c r="L1937" s="5">
        <v>0.00703780528096962</v>
      </c>
      <c r="M1937" s="5">
        <v>-17.8853239340502</v>
      </c>
      <c r="N1937" s="5">
        <v>-17.8853239340502</v>
      </c>
      <c r="O1937" s="5">
        <v>-17.8853239340502</v>
      </c>
      <c r="P1937" s="5">
        <v>0.0</v>
      </c>
      <c r="Q1937" s="5">
        <v>0.0</v>
      </c>
      <c r="R1937" s="5">
        <v>0.0</v>
      </c>
      <c r="S1937" s="5">
        <v>45.4851579122083</v>
      </c>
    </row>
    <row r="1938">
      <c r="A1938" s="6">
        <v>43167.0</v>
      </c>
      <c r="B1938" s="5">
        <v>63.3719995590819</v>
      </c>
      <c r="C1938" s="5">
        <v>-19.357767350597</v>
      </c>
      <c r="D1938" s="5">
        <v>108.785471929208</v>
      </c>
      <c r="E1938" s="5">
        <v>63.3719995590819</v>
      </c>
      <c r="F1938" s="5">
        <v>63.3719995590819</v>
      </c>
      <c r="G1938" s="5">
        <v>-19.3189433311445</v>
      </c>
      <c r="H1938" s="5">
        <v>-19.3189433311445</v>
      </c>
      <c r="I1938" s="5">
        <v>-19.3189433311445</v>
      </c>
      <c r="J1938" s="5">
        <v>-0.776422525898895</v>
      </c>
      <c r="K1938" s="5">
        <v>-0.776422525898895</v>
      </c>
      <c r="L1938" s="5">
        <v>-0.776422525898895</v>
      </c>
      <c r="M1938" s="5">
        <v>-18.5425208052456</v>
      </c>
      <c r="N1938" s="5">
        <v>-18.5425208052456</v>
      </c>
      <c r="O1938" s="5">
        <v>-18.5425208052456</v>
      </c>
      <c r="P1938" s="5">
        <v>0.0</v>
      </c>
      <c r="Q1938" s="5">
        <v>0.0</v>
      </c>
      <c r="R1938" s="5">
        <v>0.0</v>
      </c>
      <c r="S1938" s="5">
        <v>44.0530562279374</v>
      </c>
    </row>
    <row r="1939">
      <c r="A1939" s="6">
        <v>43168.0</v>
      </c>
      <c r="B1939" s="5">
        <v>63.3805550771863</v>
      </c>
      <c r="C1939" s="5">
        <v>-25.2248557661235</v>
      </c>
      <c r="D1939" s="5">
        <v>107.791252082919</v>
      </c>
      <c r="E1939" s="5">
        <v>63.3805550771863</v>
      </c>
      <c r="F1939" s="5">
        <v>63.3805550771863</v>
      </c>
      <c r="G1939" s="5">
        <v>-20.6337265626272</v>
      </c>
      <c r="H1939" s="5">
        <v>-20.6337265626272</v>
      </c>
      <c r="I1939" s="5">
        <v>-20.6337265626272</v>
      </c>
      <c r="J1939" s="5">
        <v>-1.59155056649383</v>
      </c>
      <c r="K1939" s="5">
        <v>-1.59155056649383</v>
      </c>
      <c r="L1939" s="5">
        <v>-1.59155056649383</v>
      </c>
      <c r="M1939" s="5">
        <v>-19.0421759961334</v>
      </c>
      <c r="N1939" s="5">
        <v>-19.0421759961334</v>
      </c>
      <c r="O1939" s="5">
        <v>-19.0421759961334</v>
      </c>
      <c r="P1939" s="5">
        <v>0.0</v>
      </c>
      <c r="Q1939" s="5">
        <v>0.0</v>
      </c>
      <c r="R1939" s="5">
        <v>0.0</v>
      </c>
      <c r="S1939" s="5">
        <v>42.746828514559</v>
      </c>
    </row>
    <row r="1940">
      <c r="A1940" s="6">
        <v>43171.0</v>
      </c>
      <c r="B1940" s="5">
        <v>63.4062216314993</v>
      </c>
      <c r="C1940" s="5">
        <v>-13.4074134121469</v>
      </c>
      <c r="D1940" s="5">
        <v>107.4334638881</v>
      </c>
      <c r="E1940" s="5">
        <v>63.4062216314993</v>
      </c>
      <c r="F1940" s="5">
        <v>63.4062216314993</v>
      </c>
      <c r="G1940" s="5">
        <v>-19.5182203693955</v>
      </c>
      <c r="H1940" s="5">
        <v>-19.5182203693955</v>
      </c>
      <c r="I1940" s="5">
        <v>-19.5182203693955</v>
      </c>
      <c r="J1940" s="5">
        <v>0.0905589421220094</v>
      </c>
      <c r="K1940" s="5">
        <v>0.0905589421220094</v>
      </c>
      <c r="L1940" s="5">
        <v>0.0905589421220094</v>
      </c>
      <c r="M1940" s="5">
        <v>-19.6087793115175</v>
      </c>
      <c r="N1940" s="5">
        <v>-19.6087793115175</v>
      </c>
      <c r="O1940" s="5">
        <v>-19.6087793115175</v>
      </c>
      <c r="P1940" s="5">
        <v>0.0</v>
      </c>
      <c r="Q1940" s="5">
        <v>0.0</v>
      </c>
      <c r="R1940" s="5">
        <v>0.0</v>
      </c>
      <c r="S1940" s="5">
        <v>43.8880012621038</v>
      </c>
    </row>
    <row r="1941">
      <c r="A1941" s="6">
        <v>43172.0</v>
      </c>
      <c r="B1941" s="5">
        <v>63.4147771496037</v>
      </c>
      <c r="C1941" s="5">
        <v>-18.0587137619096</v>
      </c>
      <c r="D1941" s="5">
        <v>105.534898177997</v>
      </c>
      <c r="E1941" s="5">
        <v>63.4147771496037</v>
      </c>
      <c r="F1941" s="5">
        <v>63.4147771496037</v>
      </c>
      <c r="G1941" s="5">
        <v>-19.6482742661688</v>
      </c>
      <c r="H1941" s="5">
        <v>-19.6482742661688</v>
      </c>
      <c r="I1941" s="5">
        <v>-19.6482742661688</v>
      </c>
      <c r="J1941" s="5">
        <v>-0.144118857244394</v>
      </c>
      <c r="K1941" s="5">
        <v>-0.144118857244394</v>
      </c>
      <c r="L1941" s="5">
        <v>-0.144118857244394</v>
      </c>
      <c r="M1941" s="5">
        <v>-19.5041554089244</v>
      </c>
      <c r="N1941" s="5">
        <v>-19.5041554089244</v>
      </c>
      <c r="O1941" s="5">
        <v>-19.5041554089244</v>
      </c>
      <c r="P1941" s="5">
        <v>0.0</v>
      </c>
      <c r="Q1941" s="5">
        <v>0.0</v>
      </c>
      <c r="R1941" s="5">
        <v>0.0</v>
      </c>
      <c r="S1941" s="5">
        <v>43.7665028834348</v>
      </c>
    </row>
    <row r="1942">
      <c r="A1942" s="6">
        <v>43173.0</v>
      </c>
      <c r="B1942" s="5">
        <v>63.423332667708</v>
      </c>
      <c r="C1942" s="5">
        <v>-17.2799551968986</v>
      </c>
      <c r="D1942" s="5">
        <v>108.056813072524</v>
      </c>
      <c r="E1942" s="5">
        <v>63.423332667708</v>
      </c>
      <c r="F1942" s="5">
        <v>63.423332667708</v>
      </c>
      <c r="G1942" s="5">
        <v>-19.2601683849779</v>
      </c>
      <c r="H1942" s="5">
        <v>-19.2601683849779</v>
      </c>
      <c r="I1942" s="5">
        <v>-19.2601683849779</v>
      </c>
      <c r="J1942" s="5">
        <v>0.00703780528327206</v>
      </c>
      <c r="K1942" s="5">
        <v>0.00703780528327206</v>
      </c>
      <c r="L1942" s="5">
        <v>0.00703780528327206</v>
      </c>
      <c r="M1942" s="5">
        <v>-19.2672061902611</v>
      </c>
      <c r="N1942" s="5">
        <v>-19.2672061902611</v>
      </c>
      <c r="O1942" s="5">
        <v>-19.2672061902611</v>
      </c>
      <c r="P1942" s="5">
        <v>0.0</v>
      </c>
      <c r="Q1942" s="5">
        <v>0.0</v>
      </c>
      <c r="R1942" s="5">
        <v>0.0</v>
      </c>
      <c r="S1942" s="5">
        <v>44.1631642827301</v>
      </c>
    </row>
    <row r="1943">
      <c r="A1943" s="6">
        <v>43174.0</v>
      </c>
      <c r="B1943" s="5">
        <v>63.4318881858124</v>
      </c>
      <c r="C1943" s="5">
        <v>-20.6645187820911</v>
      </c>
      <c r="D1943" s="5">
        <v>109.085956525458</v>
      </c>
      <c r="E1943" s="5">
        <v>63.4318881858124</v>
      </c>
      <c r="F1943" s="5">
        <v>63.4318881858124</v>
      </c>
      <c r="G1943" s="5">
        <v>-19.6858877362452</v>
      </c>
      <c r="H1943" s="5">
        <v>-19.6858877362452</v>
      </c>
      <c r="I1943" s="5">
        <v>-19.6858877362452</v>
      </c>
      <c r="J1943" s="5">
        <v>-0.776422525900992</v>
      </c>
      <c r="K1943" s="5">
        <v>-0.776422525900992</v>
      </c>
      <c r="L1943" s="5">
        <v>-0.776422525900992</v>
      </c>
      <c r="M1943" s="5">
        <v>-18.9094652103442</v>
      </c>
      <c r="N1943" s="5">
        <v>-18.9094652103442</v>
      </c>
      <c r="O1943" s="5">
        <v>-18.9094652103442</v>
      </c>
      <c r="P1943" s="5">
        <v>0.0</v>
      </c>
      <c r="Q1943" s="5">
        <v>0.0</v>
      </c>
      <c r="R1943" s="5">
        <v>0.0</v>
      </c>
      <c r="S1943" s="5">
        <v>43.7460004495671</v>
      </c>
    </row>
    <row r="1944">
      <c r="A1944" s="6">
        <v>43175.0</v>
      </c>
      <c r="B1944" s="5">
        <v>63.4404437039167</v>
      </c>
      <c r="C1944" s="5">
        <v>-19.9901412041395</v>
      </c>
      <c r="D1944" s="5">
        <v>105.071293830533</v>
      </c>
      <c r="E1944" s="5">
        <v>63.4404437039167</v>
      </c>
      <c r="F1944" s="5">
        <v>63.4404437039167</v>
      </c>
      <c r="G1944" s="5">
        <v>-20.035473115534</v>
      </c>
      <c r="H1944" s="5">
        <v>-20.035473115534</v>
      </c>
      <c r="I1944" s="5">
        <v>-20.035473115534</v>
      </c>
      <c r="J1944" s="5">
        <v>-1.5915505664929</v>
      </c>
      <c r="K1944" s="5">
        <v>-1.5915505664929</v>
      </c>
      <c r="L1944" s="5">
        <v>-1.5915505664929</v>
      </c>
      <c r="M1944" s="5">
        <v>-18.4439225490411</v>
      </c>
      <c r="N1944" s="5">
        <v>-18.4439225490411</v>
      </c>
      <c r="O1944" s="5">
        <v>-18.4439225490411</v>
      </c>
      <c r="P1944" s="5">
        <v>0.0</v>
      </c>
      <c r="Q1944" s="5">
        <v>0.0</v>
      </c>
      <c r="R1944" s="5">
        <v>0.0</v>
      </c>
      <c r="S1944" s="5">
        <v>43.4049705883827</v>
      </c>
    </row>
    <row r="1945">
      <c r="A1945" s="6">
        <v>43178.0</v>
      </c>
      <c r="B1945" s="5">
        <v>63.4661102582298</v>
      </c>
      <c r="C1945" s="5">
        <v>-21.3023241894089</v>
      </c>
      <c r="D1945" s="5">
        <v>105.101456345043</v>
      </c>
      <c r="E1945" s="5">
        <v>63.4661102582298</v>
      </c>
      <c r="F1945" s="5">
        <v>63.4661102582298</v>
      </c>
      <c r="G1945" s="5">
        <v>-16.4538476248791</v>
      </c>
      <c r="H1945" s="5">
        <v>-16.4538476248791</v>
      </c>
      <c r="I1945" s="5">
        <v>-16.4538476248791</v>
      </c>
      <c r="J1945" s="5">
        <v>0.0905589421206521</v>
      </c>
      <c r="K1945" s="5">
        <v>0.0905589421206521</v>
      </c>
      <c r="L1945" s="5">
        <v>0.0905589421206521</v>
      </c>
      <c r="M1945" s="5">
        <v>-16.5444065669997</v>
      </c>
      <c r="N1945" s="5">
        <v>-16.5444065669997</v>
      </c>
      <c r="O1945" s="5">
        <v>-16.5444065669997</v>
      </c>
      <c r="P1945" s="5">
        <v>0.0</v>
      </c>
      <c r="Q1945" s="5">
        <v>0.0</v>
      </c>
      <c r="R1945" s="5">
        <v>0.0</v>
      </c>
      <c r="S1945" s="5">
        <v>47.0122626333507</v>
      </c>
    </row>
    <row r="1946">
      <c r="A1946" s="6">
        <v>43179.0</v>
      </c>
      <c r="B1946" s="5">
        <v>63.4746657763341</v>
      </c>
      <c r="C1946" s="5">
        <v>-13.4834449313784</v>
      </c>
      <c r="D1946" s="5">
        <v>108.75046911633</v>
      </c>
      <c r="E1946" s="5">
        <v>63.4746657763341</v>
      </c>
      <c r="F1946" s="5">
        <v>63.4746657763341</v>
      </c>
      <c r="G1946" s="5">
        <v>-15.9376943099673</v>
      </c>
      <c r="H1946" s="5">
        <v>-15.9376943099673</v>
      </c>
      <c r="I1946" s="5">
        <v>-15.9376943099673</v>
      </c>
      <c r="J1946" s="5">
        <v>-0.14411885724583</v>
      </c>
      <c r="K1946" s="5">
        <v>-0.14411885724583</v>
      </c>
      <c r="L1946" s="5">
        <v>-0.14411885724583</v>
      </c>
      <c r="M1946" s="5">
        <v>-15.7935754527215</v>
      </c>
      <c r="N1946" s="5">
        <v>-15.7935754527215</v>
      </c>
      <c r="O1946" s="5">
        <v>-15.7935754527215</v>
      </c>
      <c r="P1946" s="5">
        <v>0.0</v>
      </c>
      <c r="Q1946" s="5">
        <v>0.0</v>
      </c>
      <c r="R1946" s="5">
        <v>0.0</v>
      </c>
      <c r="S1946" s="5">
        <v>47.5369714663668</v>
      </c>
    </row>
    <row r="1947">
      <c r="A1947" s="6">
        <v>43180.0</v>
      </c>
      <c r="B1947" s="5">
        <v>63.4832212944385</v>
      </c>
      <c r="C1947" s="5">
        <v>-17.0952408440101</v>
      </c>
      <c r="D1947" s="5">
        <v>109.160414207943</v>
      </c>
      <c r="E1947" s="5">
        <v>63.4832212944385</v>
      </c>
      <c r="F1947" s="5">
        <v>63.4832212944385</v>
      </c>
      <c r="G1947" s="5">
        <v>-15.0015530820777</v>
      </c>
      <c r="H1947" s="5">
        <v>-15.0015530820777</v>
      </c>
      <c r="I1947" s="5">
        <v>-15.0015530820777</v>
      </c>
      <c r="J1947" s="5">
        <v>0.00703780528241954</v>
      </c>
      <c r="K1947" s="5">
        <v>0.00703780528241954</v>
      </c>
      <c r="L1947" s="5">
        <v>0.00703780528241954</v>
      </c>
      <c r="M1947" s="5">
        <v>-15.0085908873601</v>
      </c>
      <c r="N1947" s="5">
        <v>-15.0085908873601</v>
      </c>
      <c r="O1947" s="5">
        <v>-15.0085908873601</v>
      </c>
      <c r="P1947" s="5">
        <v>0.0</v>
      </c>
      <c r="Q1947" s="5">
        <v>0.0</v>
      </c>
      <c r="R1947" s="5">
        <v>0.0</v>
      </c>
      <c r="S1947" s="5">
        <v>48.4816682123608</v>
      </c>
    </row>
    <row r="1948">
      <c r="A1948" s="6">
        <v>43181.0</v>
      </c>
      <c r="B1948" s="5">
        <v>63.4917768125428</v>
      </c>
      <c r="C1948" s="5">
        <v>-16.0367169860813</v>
      </c>
      <c r="D1948" s="5">
        <v>114.883109520016</v>
      </c>
      <c r="E1948" s="5">
        <v>63.4917768125428</v>
      </c>
      <c r="F1948" s="5">
        <v>63.4917768125428</v>
      </c>
      <c r="G1948" s="5">
        <v>-14.97976804673</v>
      </c>
      <c r="H1948" s="5">
        <v>-14.97976804673</v>
      </c>
      <c r="I1948" s="5">
        <v>-14.97976804673</v>
      </c>
      <c r="J1948" s="5">
        <v>-0.776422525903089</v>
      </c>
      <c r="K1948" s="5">
        <v>-0.776422525903089</v>
      </c>
      <c r="L1948" s="5">
        <v>-0.776422525903089</v>
      </c>
      <c r="M1948" s="5">
        <v>-14.2033455208269</v>
      </c>
      <c r="N1948" s="5">
        <v>-14.2033455208269</v>
      </c>
      <c r="O1948" s="5">
        <v>-14.2033455208269</v>
      </c>
      <c r="P1948" s="5">
        <v>0.0</v>
      </c>
      <c r="Q1948" s="5">
        <v>0.0</v>
      </c>
      <c r="R1948" s="5">
        <v>0.0</v>
      </c>
      <c r="S1948" s="5">
        <v>48.5120087658128</v>
      </c>
    </row>
    <row r="1949">
      <c r="A1949" s="6">
        <v>43182.0</v>
      </c>
      <c r="B1949" s="5">
        <v>63.5003323306472</v>
      </c>
      <c r="C1949" s="5">
        <v>-14.1809998583936</v>
      </c>
      <c r="D1949" s="5">
        <v>112.363261965815</v>
      </c>
      <c r="E1949" s="5">
        <v>63.5003323306472</v>
      </c>
      <c r="F1949" s="5">
        <v>63.5003323306472</v>
      </c>
      <c r="G1949" s="5">
        <v>-14.9822492006122</v>
      </c>
      <c r="H1949" s="5">
        <v>-14.9822492006122</v>
      </c>
      <c r="I1949" s="5">
        <v>-14.9822492006122</v>
      </c>
      <c r="J1949" s="5">
        <v>-1.59155056649166</v>
      </c>
      <c r="K1949" s="5">
        <v>-1.59155056649166</v>
      </c>
      <c r="L1949" s="5">
        <v>-1.59155056649166</v>
      </c>
      <c r="M1949" s="5">
        <v>-13.3906986341205</v>
      </c>
      <c r="N1949" s="5">
        <v>-13.3906986341205</v>
      </c>
      <c r="O1949" s="5">
        <v>-13.3906986341205</v>
      </c>
      <c r="P1949" s="5">
        <v>0.0</v>
      </c>
      <c r="Q1949" s="5">
        <v>0.0</v>
      </c>
      <c r="R1949" s="5">
        <v>0.0</v>
      </c>
      <c r="S1949" s="5">
        <v>48.5180831300349</v>
      </c>
    </row>
    <row r="1950">
      <c r="A1950" s="6">
        <v>43185.0</v>
      </c>
      <c r="B1950" s="5">
        <v>63.5259988849602</v>
      </c>
      <c r="C1950" s="5">
        <v>-7.43403696864688</v>
      </c>
      <c r="D1950" s="5">
        <v>115.848705068183</v>
      </c>
      <c r="E1950" s="5">
        <v>63.5259988849602</v>
      </c>
      <c r="F1950" s="5">
        <v>63.5259988849602</v>
      </c>
      <c r="G1950" s="5">
        <v>-10.9260644701779</v>
      </c>
      <c r="H1950" s="5">
        <v>-10.9260644701779</v>
      </c>
      <c r="I1950" s="5">
        <v>-10.9260644701779</v>
      </c>
      <c r="J1950" s="5">
        <v>0.0905589421215985</v>
      </c>
      <c r="K1950" s="5">
        <v>0.0905589421215985</v>
      </c>
      <c r="L1950" s="5">
        <v>0.0905589421215985</v>
      </c>
      <c r="M1950" s="5">
        <v>-11.0166234122995</v>
      </c>
      <c r="N1950" s="5">
        <v>-11.0166234122995</v>
      </c>
      <c r="O1950" s="5">
        <v>-11.0166234122995</v>
      </c>
      <c r="P1950" s="5">
        <v>0.0</v>
      </c>
      <c r="Q1950" s="5">
        <v>0.0</v>
      </c>
      <c r="R1950" s="5">
        <v>0.0</v>
      </c>
      <c r="S1950" s="5">
        <v>52.5999344147823</v>
      </c>
    </row>
    <row r="1951">
      <c r="A1951" s="6">
        <v>43186.0</v>
      </c>
      <c r="B1951" s="5">
        <v>63.5345544030646</v>
      </c>
      <c r="C1951" s="5">
        <v>-10.8287511645816</v>
      </c>
      <c r="D1951" s="5">
        <v>120.983552600206</v>
      </c>
      <c r="E1951" s="5">
        <v>63.5345544030646</v>
      </c>
      <c r="F1951" s="5">
        <v>63.5345544030646</v>
      </c>
      <c r="G1951" s="5">
        <v>-10.4188786801188</v>
      </c>
      <c r="H1951" s="5">
        <v>-10.4188786801188</v>
      </c>
      <c r="I1951" s="5">
        <v>-10.4188786801188</v>
      </c>
      <c r="J1951" s="5">
        <v>-0.144118857244742</v>
      </c>
      <c r="K1951" s="5">
        <v>-0.144118857244742</v>
      </c>
      <c r="L1951" s="5">
        <v>-0.144118857244742</v>
      </c>
      <c r="M1951" s="5">
        <v>-10.2747598228741</v>
      </c>
      <c r="N1951" s="5">
        <v>-10.2747598228741</v>
      </c>
      <c r="O1951" s="5">
        <v>-10.2747598228741</v>
      </c>
      <c r="P1951" s="5">
        <v>0.0</v>
      </c>
      <c r="Q1951" s="5">
        <v>0.0</v>
      </c>
      <c r="R1951" s="5">
        <v>0.0</v>
      </c>
      <c r="S1951" s="5">
        <v>53.1156757229457</v>
      </c>
    </row>
    <row r="1952">
      <c r="A1952" s="6">
        <v>43187.0</v>
      </c>
      <c r="B1952" s="5">
        <v>63.5431099211689</v>
      </c>
      <c r="C1952" s="5">
        <v>-8.95680570595158</v>
      </c>
      <c r="D1952" s="5">
        <v>121.376533116399</v>
      </c>
      <c r="E1952" s="5">
        <v>63.5431099211689</v>
      </c>
      <c r="F1952" s="5">
        <v>63.5431099211689</v>
      </c>
      <c r="G1952" s="5">
        <v>-9.56047424931499</v>
      </c>
      <c r="H1952" s="5">
        <v>-9.56047424931499</v>
      </c>
      <c r="I1952" s="5">
        <v>-9.56047424931499</v>
      </c>
      <c r="J1952" s="5">
        <v>0.00703780528255822</v>
      </c>
      <c r="K1952" s="5">
        <v>0.00703780528255822</v>
      </c>
      <c r="L1952" s="5">
        <v>0.00703780528255822</v>
      </c>
      <c r="M1952" s="5">
        <v>-9.56751205459755</v>
      </c>
      <c r="N1952" s="5">
        <v>-9.56751205459755</v>
      </c>
      <c r="O1952" s="5">
        <v>-9.56751205459755</v>
      </c>
      <c r="P1952" s="5">
        <v>0.0</v>
      </c>
      <c r="Q1952" s="5">
        <v>0.0</v>
      </c>
      <c r="R1952" s="5">
        <v>0.0</v>
      </c>
      <c r="S1952" s="5">
        <v>53.9826356718539</v>
      </c>
    </row>
    <row r="1953">
      <c r="A1953" s="6">
        <v>43188.0</v>
      </c>
      <c r="B1953" s="5">
        <v>63.5516654392733</v>
      </c>
      <c r="C1953" s="5">
        <v>-11.3311202263629</v>
      </c>
      <c r="D1953" s="5">
        <v>117.318403524968</v>
      </c>
      <c r="E1953" s="5">
        <v>63.5516654392733</v>
      </c>
      <c r="F1953" s="5">
        <v>63.5516654392733</v>
      </c>
      <c r="G1953" s="5">
        <v>-9.67466831455815</v>
      </c>
      <c r="H1953" s="5">
        <v>-9.67466831455815</v>
      </c>
      <c r="I1953" s="5">
        <v>-9.67466831455815</v>
      </c>
      <c r="J1953" s="5">
        <v>-0.776422525899586</v>
      </c>
      <c r="K1953" s="5">
        <v>-0.776422525899586</v>
      </c>
      <c r="L1953" s="5">
        <v>-0.776422525899586</v>
      </c>
      <c r="M1953" s="5">
        <v>-8.89824578865856</v>
      </c>
      <c r="N1953" s="5">
        <v>-8.89824578865856</v>
      </c>
      <c r="O1953" s="5">
        <v>-8.89824578865856</v>
      </c>
      <c r="P1953" s="5">
        <v>0.0</v>
      </c>
      <c r="Q1953" s="5">
        <v>0.0</v>
      </c>
      <c r="R1953" s="5">
        <v>0.0</v>
      </c>
      <c r="S1953" s="5">
        <v>53.8769971247151</v>
      </c>
    </row>
    <row r="1954">
      <c r="A1954" s="6">
        <v>43192.0</v>
      </c>
      <c r="B1954" s="5">
        <v>63.5858875116907</v>
      </c>
      <c r="C1954" s="5">
        <v>-4.27114640196011</v>
      </c>
      <c r="D1954" s="5">
        <v>124.093956491537</v>
      </c>
      <c r="E1954" s="5">
        <v>63.5858875116907</v>
      </c>
      <c r="F1954" s="5">
        <v>63.5858875116907</v>
      </c>
      <c r="G1954" s="5">
        <v>-6.524530492487</v>
      </c>
      <c r="H1954" s="5">
        <v>-6.524530492487</v>
      </c>
      <c r="I1954" s="5">
        <v>-6.524530492487</v>
      </c>
      <c r="J1954" s="5">
        <v>0.090558942122545</v>
      </c>
      <c r="K1954" s="5">
        <v>0.090558942122545</v>
      </c>
      <c r="L1954" s="5">
        <v>0.090558942122545</v>
      </c>
      <c r="M1954" s="5">
        <v>-6.61508943460955</v>
      </c>
      <c r="N1954" s="5">
        <v>-6.61508943460955</v>
      </c>
      <c r="O1954" s="5">
        <v>-6.61508943460955</v>
      </c>
      <c r="P1954" s="5">
        <v>0.0</v>
      </c>
      <c r="Q1954" s="5">
        <v>0.0</v>
      </c>
      <c r="R1954" s="5">
        <v>0.0</v>
      </c>
      <c r="S1954" s="5">
        <v>57.0613570192037</v>
      </c>
    </row>
    <row r="1955">
      <c r="A1955" s="6">
        <v>43193.0</v>
      </c>
      <c r="B1955" s="5">
        <v>63.594443029795</v>
      </c>
      <c r="C1955" s="5">
        <v>-9.08676222425855</v>
      </c>
      <c r="D1955" s="5">
        <v>120.148875067054</v>
      </c>
      <c r="E1955" s="5">
        <v>63.594443029795</v>
      </c>
      <c r="F1955" s="5">
        <v>63.594443029795</v>
      </c>
      <c r="G1955" s="5">
        <v>-6.27956394114436</v>
      </c>
      <c r="H1955" s="5">
        <v>-6.27956394114436</v>
      </c>
      <c r="I1955" s="5">
        <v>-6.27956394114436</v>
      </c>
      <c r="J1955" s="5">
        <v>-0.144118857246177</v>
      </c>
      <c r="K1955" s="5">
        <v>-0.144118857246177</v>
      </c>
      <c r="L1955" s="5">
        <v>-0.144118857246177</v>
      </c>
      <c r="M1955" s="5">
        <v>-6.13544508389818</v>
      </c>
      <c r="N1955" s="5">
        <v>-6.13544508389818</v>
      </c>
      <c r="O1955" s="5">
        <v>-6.13544508389818</v>
      </c>
      <c r="P1955" s="5">
        <v>0.0</v>
      </c>
      <c r="Q1955" s="5">
        <v>0.0</v>
      </c>
      <c r="R1955" s="5">
        <v>0.0</v>
      </c>
      <c r="S1955" s="5">
        <v>57.3148790886507</v>
      </c>
    </row>
    <row r="1956">
      <c r="A1956" s="6">
        <v>43194.0</v>
      </c>
      <c r="B1956" s="5">
        <v>63.6029985478994</v>
      </c>
      <c r="C1956" s="5">
        <v>-9.62055201495631</v>
      </c>
      <c r="D1956" s="5">
        <v>118.882713020313</v>
      </c>
      <c r="E1956" s="5">
        <v>63.6029985478994</v>
      </c>
      <c r="F1956" s="5">
        <v>63.6029985478994</v>
      </c>
      <c r="G1956" s="5">
        <v>-5.67920780996703</v>
      </c>
      <c r="H1956" s="5">
        <v>-5.67920780996703</v>
      </c>
      <c r="I1956" s="5">
        <v>-5.67920780996703</v>
      </c>
      <c r="J1956" s="5">
        <v>0.00703780528269707</v>
      </c>
      <c r="K1956" s="5">
        <v>0.00703780528269707</v>
      </c>
      <c r="L1956" s="5">
        <v>0.00703780528269707</v>
      </c>
      <c r="M1956" s="5">
        <v>-5.68624561524973</v>
      </c>
      <c r="N1956" s="5">
        <v>-5.68624561524973</v>
      </c>
      <c r="O1956" s="5">
        <v>-5.68624561524973</v>
      </c>
      <c r="P1956" s="5">
        <v>0.0</v>
      </c>
      <c r="Q1956" s="5">
        <v>0.0</v>
      </c>
      <c r="R1956" s="5">
        <v>0.0</v>
      </c>
      <c r="S1956" s="5">
        <v>57.9237907379323</v>
      </c>
    </row>
    <row r="1957">
      <c r="A1957" s="6">
        <v>43195.0</v>
      </c>
      <c r="B1957" s="5">
        <v>63.6115540660037</v>
      </c>
      <c r="C1957" s="5">
        <v>-3.31075496306237</v>
      </c>
      <c r="D1957" s="5">
        <v>119.163814023904</v>
      </c>
      <c r="E1957" s="5">
        <v>63.6115540660037</v>
      </c>
      <c r="F1957" s="5">
        <v>63.6115540660037</v>
      </c>
      <c r="G1957" s="5">
        <v>-6.04008855359059</v>
      </c>
      <c r="H1957" s="5">
        <v>-6.04008855359059</v>
      </c>
      <c r="I1957" s="5">
        <v>-6.04008855359059</v>
      </c>
      <c r="J1957" s="5">
        <v>-0.776422525901682</v>
      </c>
      <c r="K1957" s="5">
        <v>-0.776422525901682</v>
      </c>
      <c r="L1957" s="5">
        <v>-0.776422525901682</v>
      </c>
      <c r="M1957" s="5">
        <v>-5.26366602768891</v>
      </c>
      <c r="N1957" s="5">
        <v>-5.26366602768891</v>
      </c>
      <c r="O1957" s="5">
        <v>-5.26366602768891</v>
      </c>
      <c r="P1957" s="5">
        <v>0.0</v>
      </c>
      <c r="Q1957" s="5">
        <v>0.0</v>
      </c>
      <c r="R1957" s="5">
        <v>0.0</v>
      </c>
      <c r="S1957" s="5">
        <v>57.5714655124131</v>
      </c>
    </row>
    <row r="1958">
      <c r="A1958" s="6">
        <v>43196.0</v>
      </c>
      <c r="B1958" s="5">
        <v>63.6201095841081</v>
      </c>
      <c r="C1958" s="5">
        <v>2.30457950509767</v>
      </c>
      <c r="D1958" s="5">
        <v>120.922516454913</v>
      </c>
      <c r="E1958" s="5">
        <v>63.6201095841081</v>
      </c>
      <c r="F1958" s="5">
        <v>63.6201095841081</v>
      </c>
      <c r="G1958" s="5">
        <v>-6.45539640469395</v>
      </c>
      <c r="H1958" s="5">
        <v>-6.45539640469395</v>
      </c>
      <c r="I1958" s="5">
        <v>-6.45539640469395</v>
      </c>
      <c r="J1958" s="5">
        <v>-1.59155056649256</v>
      </c>
      <c r="K1958" s="5">
        <v>-1.59155056649256</v>
      </c>
      <c r="L1958" s="5">
        <v>-1.59155056649256</v>
      </c>
      <c r="M1958" s="5">
        <v>-4.86384583820139</v>
      </c>
      <c r="N1958" s="5">
        <v>-4.86384583820139</v>
      </c>
      <c r="O1958" s="5">
        <v>-4.86384583820139</v>
      </c>
      <c r="P1958" s="5">
        <v>0.0</v>
      </c>
      <c r="Q1958" s="5">
        <v>0.0</v>
      </c>
      <c r="R1958" s="5">
        <v>0.0</v>
      </c>
      <c r="S1958" s="5">
        <v>57.1647131794141</v>
      </c>
    </row>
    <row r="1959">
      <c r="A1959" s="6">
        <v>43199.0</v>
      </c>
      <c r="B1959" s="5">
        <v>63.6457761384211</v>
      </c>
      <c r="C1959" s="5">
        <v>-0.156160653782126</v>
      </c>
      <c r="D1959" s="5">
        <v>122.51031236498</v>
      </c>
      <c r="E1959" s="5">
        <v>63.6457761384211</v>
      </c>
      <c r="F1959" s="5">
        <v>63.6457761384211</v>
      </c>
      <c r="G1959" s="5">
        <v>-3.67661800257546</v>
      </c>
      <c r="H1959" s="5">
        <v>-3.67661800257546</v>
      </c>
      <c r="I1959" s="5">
        <v>-3.67661800257546</v>
      </c>
      <c r="J1959" s="5">
        <v>0.0905589421211876</v>
      </c>
      <c r="K1959" s="5">
        <v>0.0905589421211876</v>
      </c>
      <c r="L1959" s="5">
        <v>0.0905589421211876</v>
      </c>
      <c r="M1959" s="5">
        <v>-3.76717694469665</v>
      </c>
      <c r="N1959" s="5">
        <v>-3.76717694469665</v>
      </c>
      <c r="O1959" s="5">
        <v>-3.76717694469665</v>
      </c>
      <c r="P1959" s="5">
        <v>0.0</v>
      </c>
      <c r="Q1959" s="5">
        <v>0.0</v>
      </c>
      <c r="R1959" s="5">
        <v>0.0</v>
      </c>
      <c r="S1959" s="5">
        <v>59.9691581358456</v>
      </c>
    </row>
    <row r="1960">
      <c r="A1960" s="6">
        <v>43200.0</v>
      </c>
      <c r="B1960" s="5">
        <v>63.6543316565255</v>
      </c>
      <c r="C1960" s="5">
        <v>0.397622575313098</v>
      </c>
      <c r="D1960" s="5">
        <v>114.213654208921</v>
      </c>
      <c r="E1960" s="5">
        <v>63.6543316565255</v>
      </c>
      <c r="F1960" s="5">
        <v>63.6543316565255</v>
      </c>
      <c r="G1960" s="5">
        <v>-3.57193882371615</v>
      </c>
      <c r="H1960" s="5">
        <v>-3.57193882371615</v>
      </c>
      <c r="I1960" s="5">
        <v>-3.57193882371615</v>
      </c>
      <c r="J1960" s="5">
        <v>-0.14411885724398</v>
      </c>
      <c r="K1960" s="5">
        <v>-0.14411885724398</v>
      </c>
      <c r="L1960" s="5">
        <v>-0.14411885724398</v>
      </c>
      <c r="M1960" s="5">
        <v>-3.42781996647217</v>
      </c>
      <c r="N1960" s="5">
        <v>-3.42781996647217</v>
      </c>
      <c r="O1960" s="5">
        <v>-3.42781996647217</v>
      </c>
      <c r="P1960" s="5">
        <v>0.0</v>
      </c>
      <c r="Q1960" s="5">
        <v>0.0</v>
      </c>
      <c r="R1960" s="5">
        <v>0.0</v>
      </c>
      <c r="S1960" s="5">
        <v>60.0823928328093</v>
      </c>
    </row>
    <row r="1961">
      <c r="A1961" s="6">
        <v>43201.0</v>
      </c>
      <c r="B1961" s="5">
        <v>63.6628871746298</v>
      </c>
      <c r="C1961" s="5">
        <v>-8.04968328953159</v>
      </c>
      <c r="D1961" s="5">
        <v>120.30041215684</v>
      </c>
      <c r="E1961" s="5">
        <v>63.6628871746298</v>
      </c>
      <c r="F1961" s="5">
        <v>63.6628871746298</v>
      </c>
      <c r="G1961" s="5">
        <v>-3.09272413480821</v>
      </c>
      <c r="H1961" s="5">
        <v>-3.09272413480821</v>
      </c>
      <c r="I1961" s="5">
        <v>-3.09272413480821</v>
      </c>
      <c r="J1961" s="5">
        <v>0.00703780528184458</v>
      </c>
      <c r="K1961" s="5">
        <v>0.00703780528184458</v>
      </c>
      <c r="L1961" s="5">
        <v>0.00703780528184458</v>
      </c>
      <c r="M1961" s="5">
        <v>-3.09976194009005</v>
      </c>
      <c r="N1961" s="5">
        <v>-3.09976194009005</v>
      </c>
      <c r="O1961" s="5">
        <v>-3.09976194009005</v>
      </c>
      <c r="P1961" s="5">
        <v>0.0</v>
      </c>
      <c r="Q1961" s="5">
        <v>0.0</v>
      </c>
      <c r="R1961" s="5">
        <v>0.0</v>
      </c>
      <c r="S1961" s="5">
        <v>60.5701630398216</v>
      </c>
    </row>
    <row r="1962">
      <c r="A1962" s="6">
        <v>43202.0</v>
      </c>
      <c r="B1962" s="5">
        <v>63.6714426927342</v>
      </c>
      <c r="C1962" s="5">
        <v>-5.19368931701623</v>
      </c>
      <c r="D1962" s="5">
        <v>122.726583790635</v>
      </c>
      <c r="E1962" s="5">
        <v>63.6714426927342</v>
      </c>
      <c r="F1962" s="5">
        <v>63.6714426927342</v>
      </c>
      <c r="G1962" s="5">
        <v>-3.55995262567189</v>
      </c>
      <c r="H1962" s="5">
        <v>-3.55995262567189</v>
      </c>
      <c r="I1962" s="5">
        <v>-3.55995262567189</v>
      </c>
      <c r="J1962" s="5">
        <v>-0.776422525902405</v>
      </c>
      <c r="K1962" s="5">
        <v>-0.776422525902405</v>
      </c>
      <c r="L1962" s="5">
        <v>-0.776422525902405</v>
      </c>
      <c r="M1962" s="5">
        <v>-2.78353009976948</v>
      </c>
      <c r="N1962" s="5">
        <v>-2.78353009976948</v>
      </c>
      <c r="O1962" s="5">
        <v>-2.78353009976948</v>
      </c>
      <c r="P1962" s="5">
        <v>0.0</v>
      </c>
      <c r="Q1962" s="5">
        <v>0.0</v>
      </c>
      <c r="R1962" s="5">
        <v>0.0</v>
      </c>
      <c r="S1962" s="5">
        <v>60.1114900670623</v>
      </c>
    </row>
    <row r="1963">
      <c r="A1963" s="6">
        <v>43203.0</v>
      </c>
      <c r="B1963" s="5">
        <v>63.6799982108385</v>
      </c>
      <c r="C1963" s="5">
        <v>-4.31622237096797</v>
      </c>
      <c r="D1963" s="5">
        <v>123.122670496209</v>
      </c>
      <c r="E1963" s="5">
        <v>63.6799982108385</v>
      </c>
      <c r="F1963" s="5">
        <v>63.6799982108385</v>
      </c>
      <c r="G1963" s="5">
        <v>-4.07236727647379</v>
      </c>
      <c r="H1963" s="5">
        <v>-4.07236727647379</v>
      </c>
      <c r="I1963" s="5">
        <v>-4.07236727647379</v>
      </c>
      <c r="J1963" s="5">
        <v>-1.59155056649132</v>
      </c>
      <c r="K1963" s="5">
        <v>-1.59155056649132</v>
      </c>
      <c r="L1963" s="5">
        <v>-1.59155056649132</v>
      </c>
      <c r="M1963" s="5">
        <v>-2.48081670998247</v>
      </c>
      <c r="N1963" s="5">
        <v>-2.48081670998247</v>
      </c>
      <c r="O1963" s="5">
        <v>-2.48081670998247</v>
      </c>
      <c r="P1963" s="5">
        <v>0.0</v>
      </c>
      <c r="Q1963" s="5">
        <v>0.0</v>
      </c>
      <c r="R1963" s="5">
        <v>0.0</v>
      </c>
      <c r="S1963" s="5">
        <v>59.6076309343647</v>
      </c>
    </row>
    <row r="1964">
      <c r="A1964" s="6">
        <v>43206.0</v>
      </c>
      <c r="B1964" s="5">
        <v>63.7056647651516</v>
      </c>
      <c r="C1964" s="5">
        <v>-2.64854865947719</v>
      </c>
      <c r="D1964" s="5">
        <v>126.258988035728</v>
      </c>
      <c r="E1964" s="5">
        <v>63.7056647651516</v>
      </c>
      <c r="F1964" s="5">
        <v>63.7056647651516</v>
      </c>
      <c r="G1964" s="5">
        <v>-1.59730326968307</v>
      </c>
      <c r="H1964" s="5">
        <v>-1.59730326968307</v>
      </c>
      <c r="I1964" s="5">
        <v>-1.59730326968307</v>
      </c>
      <c r="J1964" s="5">
        <v>0.090558942122134</v>
      </c>
      <c r="K1964" s="5">
        <v>0.090558942122134</v>
      </c>
      <c r="L1964" s="5">
        <v>0.090558942122134</v>
      </c>
      <c r="M1964" s="5">
        <v>-1.68786221180521</v>
      </c>
      <c r="N1964" s="5">
        <v>-1.68786221180521</v>
      </c>
      <c r="O1964" s="5">
        <v>-1.68786221180521</v>
      </c>
      <c r="P1964" s="5">
        <v>0.0</v>
      </c>
      <c r="Q1964" s="5">
        <v>0.0</v>
      </c>
      <c r="R1964" s="5">
        <v>0.0</v>
      </c>
      <c r="S1964" s="5">
        <v>62.1083614954685</v>
      </c>
    </row>
    <row r="1965">
      <c r="A1965" s="6">
        <v>43207.0</v>
      </c>
      <c r="B1965" s="5">
        <v>63.7142202832559</v>
      </c>
      <c r="C1965" s="5">
        <v>-6.6291799667155</v>
      </c>
      <c r="D1965" s="5">
        <v>125.189736934235</v>
      </c>
      <c r="E1965" s="5">
        <v>63.7142202832559</v>
      </c>
      <c r="F1965" s="5">
        <v>63.7142202832559</v>
      </c>
      <c r="G1965" s="5">
        <v>-1.62257299934826</v>
      </c>
      <c r="H1965" s="5">
        <v>-1.62257299934826</v>
      </c>
      <c r="I1965" s="5">
        <v>-1.62257299934826</v>
      </c>
      <c r="J1965" s="5">
        <v>-0.144118857245415</v>
      </c>
      <c r="K1965" s="5">
        <v>-0.144118857245415</v>
      </c>
      <c r="L1965" s="5">
        <v>-0.144118857245415</v>
      </c>
      <c r="M1965" s="5">
        <v>-1.47845414210284</v>
      </c>
      <c r="N1965" s="5">
        <v>-1.47845414210284</v>
      </c>
      <c r="O1965" s="5">
        <v>-1.47845414210284</v>
      </c>
      <c r="P1965" s="5">
        <v>0.0</v>
      </c>
      <c r="Q1965" s="5">
        <v>0.0</v>
      </c>
      <c r="R1965" s="5">
        <v>0.0</v>
      </c>
      <c r="S1965" s="5">
        <v>62.0916472839076</v>
      </c>
    </row>
    <row r="1966">
      <c r="A1966" s="6">
        <v>43208.0</v>
      </c>
      <c r="B1966" s="5">
        <v>63.7227758013603</v>
      </c>
      <c r="C1966" s="5">
        <v>-4.820065275344</v>
      </c>
      <c r="D1966" s="5">
        <v>127.211506806615</v>
      </c>
      <c r="E1966" s="5">
        <v>63.7227758013603</v>
      </c>
      <c r="F1966" s="5">
        <v>63.7227758013603</v>
      </c>
      <c r="G1966" s="5">
        <v>-1.29980885206716</v>
      </c>
      <c r="H1966" s="5">
        <v>-1.29980885206716</v>
      </c>
      <c r="I1966" s="5">
        <v>-1.29980885206716</v>
      </c>
      <c r="J1966" s="5">
        <v>0.00703780528099199</v>
      </c>
      <c r="K1966" s="5">
        <v>0.00703780528099199</v>
      </c>
      <c r="L1966" s="5">
        <v>0.00703780528099199</v>
      </c>
      <c r="M1966" s="5">
        <v>-1.30684665734815</v>
      </c>
      <c r="N1966" s="5">
        <v>-1.30684665734815</v>
      </c>
      <c r="O1966" s="5">
        <v>-1.30684665734815</v>
      </c>
      <c r="P1966" s="5">
        <v>0.0</v>
      </c>
      <c r="Q1966" s="5">
        <v>0.0</v>
      </c>
      <c r="R1966" s="5">
        <v>0.0</v>
      </c>
      <c r="S1966" s="5">
        <v>62.4229669492931</v>
      </c>
    </row>
    <row r="1967">
      <c r="A1967" s="6">
        <v>43209.0</v>
      </c>
      <c r="B1967" s="5">
        <v>63.7313313194646</v>
      </c>
      <c r="C1967" s="5">
        <v>1.49797175427599</v>
      </c>
      <c r="D1967" s="5">
        <v>126.535177038964</v>
      </c>
      <c r="E1967" s="5">
        <v>63.7313313194646</v>
      </c>
      <c r="F1967" s="5">
        <v>63.7313313194646</v>
      </c>
      <c r="G1967" s="5">
        <v>-1.95651926845626</v>
      </c>
      <c r="H1967" s="5">
        <v>-1.95651926845626</v>
      </c>
      <c r="I1967" s="5">
        <v>-1.95651926845626</v>
      </c>
      <c r="J1967" s="5">
        <v>-0.776422525904502</v>
      </c>
      <c r="K1967" s="5">
        <v>-0.776422525904502</v>
      </c>
      <c r="L1967" s="5">
        <v>-0.776422525904502</v>
      </c>
      <c r="M1967" s="5">
        <v>-1.18009674255176</v>
      </c>
      <c r="N1967" s="5">
        <v>-1.18009674255176</v>
      </c>
      <c r="O1967" s="5">
        <v>-1.18009674255176</v>
      </c>
      <c r="P1967" s="5">
        <v>0.0</v>
      </c>
      <c r="Q1967" s="5">
        <v>0.0</v>
      </c>
      <c r="R1967" s="5">
        <v>0.0</v>
      </c>
      <c r="S1967" s="5">
        <v>61.7748120510083</v>
      </c>
    </row>
    <row r="1968">
      <c r="A1968" s="6">
        <v>43210.0</v>
      </c>
      <c r="B1968" s="5">
        <v>63.739886837569</v>
      </c>
      <c r="C1968" s="5">
        <v>3.57201676990552</v>
      </c>
      <c r="D1968" s="5">
        <v>128.585717281626</v>
      </c>
      <c r="E1968" s="5">
        <v>63.739886837569</v>
      </c>
      <c r="F1968" s="5">
        <v>63.739886837569</v>
      </c>
      <c r="G1968" s="5">
        <v>-2.69705188915758</v>
      </c>
      <c r="H1968" s="5">
        <v>-2.69705188915758</v>
      </c>
      <c r="I1968" s="5">
        <v>-2.69705188915758</v>
      </c>
      <c r="J1968" s="5">
        <v>-1.59155056649345</v>
      </c>
      <c r="K1968" s="5">
        <v>-1.59155056649345</v>
      </c>
      <c r="L1968" s="5">
        <v>-1.59155056649345</v>
      </c>
      <c r="M1968" s="5">
        <v>-1.10550132266413</v>
      </c>
      <c r="N1968" s="5">
        <v>-1.10550132266413</v>
      </c>
      <c r="O1968" s="5">
        <v>-1.10550132266413</v>
      </c>
      <c r="P1968" s="5">
        <v>0.0</v>
      </c>
      <c r="Q1968" s="5">
        <v>0.0</v>
      </c>
      <c r="R1968" s="5">
        <v>0.0</v>
      </c>
      <c r="S1968" s="5">
        <v>61.0428349484114</v>
      </c>
    </row>
    <row r="1969">
      <c r="A1969" s="6">
        <v>43213.0</v>
      </c>
      <c r="B1969" s="5">
        <v>63.765553391882</v>
      </c>
      <c r="C1969" s="5">
        <v>-0.58812103554591</v>
      </c>
      <c r="D1969" s="5">
        <v>124.163324532956</v>
      </c>
      <c r="E1969" s="5">
        <v>63.765553391882</v>
      </c>
      <c r="F1969" s="5">
        <v>63.765553391882</v>
      </c>
      <c r="G1969" s="5">
        <v>-1.17509797527615</v>
      </c>
      <c r="H1969" s="5">
        <v>-1.17509797527615</v>
      </c>
      <c r="I1969" s="5">
        <v>-1.17509797527615</v>
      </c>
      <c r="J1969" s="5">
        <v>0.0905589421206967</v>
      </c>
      <c r="K1969" s="5">
        <v>0.0905589421206967</v>
      </c>
      <c r="L1969" s="5">
        <v>0.0905589421206967</v>
      </c>
      <c r="M1969" s="5">
        <v>-1.26565691739684</v>
      </c>
      <c r="N1969" s="5">
        <v>-1.26565691739684</v>
      </c>
      <c r="O1969" s="5">
        <v>-1.26565691739684</v>
      </c>
      <c r="P1969" s="5">
        <v>0.0</v>
      </c>
      <c r="Q1969" s="5">
        <v>0.0</v>
      </c>
      <c r="R1969" s="5">
        <v>0.0</v>
      </c>
      <c r="S1969" s="5">
        <v>62.5904554166058</v>
      </c>
    </row>
    <row r="1970">
      <c r="A1970" s="6">
        <v>43214.0</v>
      </c>
      <c r="B1970" s="5">
        <v>63.7741089099863</v>
      </c>
      <c r="C1970" s="5">
        <v>-1.68711776646942</v>
      </c>
      <c r="D1970" s="5">
        <v>121.298495548284</v>
      </c>
      <c r="E1970" s="5">
        <v>63.7741089099863</v>
      </c>
      <c r="F1970" s="5">
        <v>63.7741089099863</v>
      </c>
      <c r="G1970" s="5">
        <v>-1.61226324737956</v>
      </c>
      <c r="H1970" s="5">
        <v>-1.61226324737956</v>
      </c>
      <c r="I1970" s="5">
        <v>-1.61226324737956</v>
      </c>
      <c r="J1970" s="5">
        <v>-0.144118857243218</v>
      </c>
      <c r="K1970" s="5">
        <v>-0.144118857243218</v>
      </c>
      <c r="L1970" s="5">
        <v>-0.144118857243218</v>
      </c>
      <c r="M1970" s="5">
        <v>-1.46814439013634</v>
      </c>
      <c r="N1970" s="5">
        <v>-1.46814439013634</v>
      </c>
      <c r="O1970" s="5">
        <v>-1.46814439013634</v>
      </c>
      <c r="P1970" s="5">
        <v>0.0</v>
      </c>
      <c r="Q1970" s="5">
        <v>0.0</v>
      </c>
      <c r="R1970" s="5">
        <v>0.0</v>
      </c>
      <c r="S1970" s="5">
        <v>62.1618456626068</v>
      </c>
    </row>
    <row r="1971">
      <c r="A1971" s="6">
        <v>43215.0</v>
      </c>
      <c r="B1971" s="5">
        <v>63.7826644280907</v>
      </c>
      <c r="C1971" s="5">
        <v>-3.77001972860631</v>
      </c>
      <c r="D1971" s="5">
        <v>126.147054327355</v>
      </c>
      <c r="E1971" s="5">
        <v>63.7826644280907</v>
      </c>
      <c r="F1971" s="5">
        <v>63.7826644280907</v>
      </c>
      <c r="G1971" s="5">
        <v>-1.7465124338043</v>
      </c>
      <c r="H1971" s="5">
        <v>-1.7465124338043</v>
      </c>
      <c r="I1971" s="5">
        <v>-1.7465124338043</v>
      </c>
      <c r="J1971" s="5">
        <v>0.00703780528329456</v>
      </c>
      <c r="K1971" s="5">
        <v>0.00703780528329456</v>
      </c>
      <c r="L1971" s="5">
        <v>0.00703780528329456</v>
      </c>
      <c r="M1971" s="5">
        <v>-1.7535502390876</v>
      </c>
      <c r="N1971" s="5">
        <v>-1.7535502390876</v>
      </c>
      <c r="O1971" s="5">
        <v>-1.7535502390876</v>
      </c>
      <c r="P1971" s="5">
        <v>0.0</v>
      </c>
      <c r="Q1971" s="5">
        <v>0.0</v>
      </c>
      <c r="R1971" s="5">
        <v>0.0</v>
      </c>
      <c r="S1971" s="5">
        <v>62.0361519942864</v>
      </c>
    </row>
    <row r="1972">
      <c r="A1972" s="6">
        <v>43216.0</v>
      </c>
      <c r="B1972" s="5">
        <v>63.7912199461951</v>
      </c>
      <c r="C1972" s="5">
        <v>0.780160516427507</v>
      </c>
      <c r="D1972" s="5">
        <v>120.613089324037</v>
      </c>
      <c r="E1972" s="5">
        <v>63.7912199461951</v>
      </c>
      <c r="F1972" s="5">
        <v>63.7912199461951</v>
      </c>
      <c r="G1972" s="5">
        <v>-2.9015002472472</v>
      </c>
      <c r="H1972" s="5">
        <v>-2.9015002472472</v>
      </c>
      <c r="I1972" s="5">
        <v>-2.9015002472472</v>
      </c>
      <c r="J1972" s="5">
        <v>-0.776422525902373</v>
      </c>
      <c r="K1972" s="5">
        <v>-0.776422525902373</v>
      </c>
      <c r="L1972" s="5">
        <v>-0.776422525902373</v>
      </c>
      <c r="M1972" s="5">
        <v>-2.12507772134483</v>
      </c>
      <c r="N1972" s="5">
        <v>-2.12507772134483</v>
      </c>
      <c r="O1972" s="5">
        <v>-2.12507772134483</v>
      </c>
      <c r="P1972" s="5">
        <v>0.0</v>
      </c>
      <c r="Q1972" s="5">
        <v>0.0</v>
      </c>
      <c r="R1972" s="5">
        <v>0.0</v>
      </c>
      <c r="S1972" s="5">
        <v>60.8897196989478</v>
      </c>
    </row>
    <row r="1973">
      <c r="A1973" s="6">
        <v>43217.0</v>
      </c>
      <c r="B1973" s="5">
        <v>63.7997754642994</v>
      </c>
      <c r="C1973" s="5">
        <v>-5.42062294587571</v>
      </c>
      <c r="D1973" s="5">
        <v>123.235226843814</v>
      </c>
      <c r="E1973" s="5">
        <v>63.7997754642994</v>
      </c>
      <c r="F1973" s="5">
        <v>63.7997754642994</v>
      </c>
      <c r="G1973" s="5">
        <v>-4.17598849594147</v>
      </c>
      <c r="H1973" s="5">
        <v>-4.17598849594147</v>
      </c>
      <c r="I1973" s="5">
        <v>-4.17598849594147</v>
      </c>
      <c r="J1973" s="5">
        <v>-1.59155056649221</v>
      </c>
      <c r="K1973" s="5">
        <v>-1.59155056649221</v>
      </c>
      <c r="L1973" s="5">
        <v>-1.59155056649221</v>
      </c>
      <c r="M1973" s="5">
        <v>-2.58443792944926</v>
      </c>
      <c r="N1973" s="5">
        <v>-2.58443792944926</v>
      </c>
      <c r="O1973" s="5">
        <v>-2.58443792944926</v>
      </c>
      <c r="P1973" s="5">
        <v>0.0</v>
      </c>
      <c r="Q1973" s="5">
        <v>0.0</v>
      </c>
      <c r="R1973" s="5">
        <v>0.0</v>
      </c>
      <c r="S1973" s="5">
        <v>59.6237869683579</v>
      </c>
    </row>
    <row r="1974">
      <c r="A1974" s="6">
        <v>43220.0</v>
      </c>
      <c r="B1974" s="5">
        <v>63.8254420186124</v>
      </c>
      <c r="C1974" s="5">
        <v>-4.85344923777101</v>
      </c>
      <c r="D1974" s="5">
        <v>122.009060330522</v>
      </c>
      <c r="E1974" s="5">
        <v>63.8254420186124</v>
      </c>
      <c r="F1974" s="5">
        <v>63.8254420186124</v>
      </c>
      <c r="G1974" s="5">
        <v>-4.39084908127964</v>
      </c>
      <c r="H1974" s="5">
        <v>-4.39084908127964</v>
      </c>
      <c r="I1974" s="5">
        <v>-4.39084908127964</v>
      </c>
      <c r="J1974" s="5">
        <v>0.0905589421216431</v>
      </c>
      <c r="K1974" s="5">
        <v>0.0905589421216431</v>
      </c>
      <c r="L1974" s="5">
        <v>0.0905589421216431</v>
      </c>
      <c r="M1974" s="5">
        <v>-4.48140802340128</v>
      </c>
      <c r="N1974" s="5">
        <v>-4.48140802340128</v>
      </c>
      <c r="O1974" s="5">
        <v>-4.48140802340128</v>
      </c>
      <c r="P1974" s="5">
        <v>0.0</v>
      </c>
      <c r="Q1974" s="5">
        <v>0.0</v>
      </c>
      <c r="R1974" s="5">
        <v>0.0</v>
      </c>
      <c r="S1974" s="5">
        <v>59.4345929373328</v>
      </c>
    </row>
    <row r="1975">
      <c r="A1975" s="6">
        <v>43221.0</v>
      </c>
      <c r="B1975" s="5">
        <v>63.8339975367168</v>
      </c>
      <c r="C1975" s="5">
        <v>-5.80969058580299</v>
      </c>
      <c r="D1975" s="5">
        <v>119.787380076068</v>
      </c>
      <c r="E1975" s="5">
        <v>63.8339975367168</v>
      </c>
      <c r="F1975" s="5">
        <v>63.8339975367168</v>
      </c>
      <c r="G1975" s="5">
        <v>-5.41920206875888</v>
      </c>
      <c r="H1975" s="5">
        <v>-5.41920206875888</v>
      </c>
      <c r="I1975" s="5">
        <v>-5.41920206875888</v>
      </c>
      <c r="J1975" s="5">
        <v>-0.144118857246068</v>
      </c>
      <c r="K1975" s="5">
        <v>-0.144118857246068</v>
      </c>
      <c r="L1975" s="5">
        <v>-0.144118857246068</v>
      </c>
      <c r="M1975" s="5">
        <v>-5.27508321151281</v>
      </c>
      <c r="N1975" s="5">
        <v>-5.27508321151281</v>
      </c>
      <c r="O1975" s="5">
        <v>-5.27508321151281</v>
      </c>
      <c r="P1975" s="5">
        <v>0.0</v>
      </c>
      <c r="Q1975" s="5">
        <v>0.0</v>
      </c>
      <c r="R1975" s="5">
        <v>0.0</v>
      </c>
      <c r="S1975" s="5">
        <v>58.4147954679579</v>
      </c>
    </row>
    <row r="1976">
      <c r="A1976" s="6">
        <v>43222.0</v>
      </c>
      <c r="B1976" s="5">
        <v>63.8425530548211</v>
      </c>
      <c r="C1976" s="5">
        <v>-7.74472555564623</v>
      </c>
      <c r="D1976" s="5">
        <v>120.558386928988</v>
      </c>
      <c r="E1976" s="5">
        <v>63.8425530548211</v>
      </c>
      <c r="F1976" s="5">
        <v>63.8425530548211</v>
      </c>
      <c r="G1976" s="5">
        <v>-6.13212366356721</v>
      </c>
      <c r="H1976" s="5">
        <v>-6.13212366356721</v>
      </c>
      <c r="I1976" s="5">
        <v>-6.13212366356721</v>
      </c>
      <c r="J1976" s="5">
        <v>0.00703780528027838</v>
      </c>
      <c r="K1976" s="5">
        <v>0.00703780528027838</v>
      </c>
      <c r="L1976" s="5">
        <v>0.00703780528027838</v>
      </c>
      <c r="M1976" s="5">
        <v>-6.13916146884749</v>
      </c>
      <c r="N1976" s="5">
        <v>-6.13916146884749</v>
      </c>
      <c r="O1976" s="5">
        <v>-6.13916146884749</v>
      </c>
      <c r="P1976" s="5">
        <v>0.0</v>
      </c>
      <c r="Q1976" s="5">
        <v>0.0</v>
      </c>
      <c r="R1976" s="5">
        <v>0.0</v>
      </c>
      <c r="S1976" s="5">
        <v>57.7104293912539</v>
      </c>
    </row>
    <row r="1977">
      <c r="A1977" s="6">
        <v>43223.0</v>
      </c>
      <c r="B1977" s="5">
        <v>63.8511085729255</v>
      </c>
      <c r="C1977" s="5">
        <v>-6.50277139862936</v>
      </c>
      <c r="D1977" s="5">
        <v>117.908782237261</v>
      </c>
      <c r="E1977" s="5">
        <v>63.8511085729255</v>
      </c>
      <c r="F1977" s="5">
        <v>63.8511085729255</v>
      </c>
      <c r="G1977" s="5">
        <v>-7.84136071493177</v>
      </c>
      <c r="H1977" s="5">
        <v>-7.84136071493177</v>
      </c>
      <c r="I1977" s="5">
        <v>-7.84136071493177</v>
      </c>
      <c r="J1977" s="5">
        <v>-0.776422525903096</v>
      </c>
      <c r="K1977" s="5">
        <v>-0.776422525903096</v>
      </c>
      <c r="L1977" s="5">
        <v>-0.776422525903096</v>
      </c>
      <c r="M1977" s="5">
        <v>-7.06493818902868</v>
      </c>
      <c r="N1977" s="5">
        <v>-7.06493818902868</v>
      </c>
      <c r="O1977" s="5">
        <v>-7.06493818902868</v>
      </c>
      <c r="P1977" s="5">
        <v>0.0</v>
      </c>
      <c r="Q1977" s="5">
        <v>0.0</v>
      </c>
      <c r="R1977" s="5">
        <v>0.0</v>
      </c>
      <c r="S1977" s="5">
        <v>56.0097478579937</v>
      </c>
    </row>
    <row r="1978">
      <c r="A1978" s="6">
        <v>43224.0</v>
      </c>
      <c r="B1978" s="5">
        <v>63.8596640910298</v>
      </c>
      <c r="C1978" s="5">
        <v>-9.63237029299859</v>
      </c>
      <c r="D1978" s="5">
        <v>120.169340173541</v>
      </c>
      <c r="E1978" s="5">
        <v>63.8596640910298</v>
      </c>
      <c r="F1978" s="5">
        <v>63.8596640910298</v>
      </c>
      <c r="G1978" s="5">
        <v>-9.63375392961338</v>
      </c>
      <c r="H1978" s="5">
        <v>-9.63375392961338</v>
      </c>
      <c r="I1978" s="5">
        <v>-9.63375392961338</v>
      </c>
      <c r="J1978" s="5">
        <v>-1.59155056649129</v>
      </c>
      <c r="K1978" s="5">
        <v>-1.59155056649129</v>
      </c>
      <c r="L1978" s="5">
        <v>-1.59155056649129</v>
      </c>
      <c r="M1978" s="5">
        <v>-8.04220336312209</v>
      </c>
      <c r="N1978" s="5">
        <v>-8.04220336312209</v>
      </c>
      <c r="O1978" s="5">
        <v>-8.04220336312209</v>
      </c>
      <c r="P1978" s="5">
        <v>0.0</v>
      </c>
      <c r="Q1978" s="5">
        <v>0.0</v>
      </c>
      <c r="R1978" s="5">
        <v>0.0</v>
      </c>
      <c r="S1978" s="5">
        <v>54.2259101614165</v>
      </c>
    </row>
    <row r="1979">
      <c r="A1979" s="6">
        <v>43227.0</v>
      </c>
      <c r="B1979" s="5">
        <v>63.8853306453429</v>
      </c>
      <c r="C1979" s="5">
        <v>-10.6399366129621</v>
      </c>
      <c r="D1979" s="5">
        <v>117.120161754442</v>
      </c>
      <c r="E1979" s="5">
        <v>63.8853306453429</v>
      </c>
      <c r="F1979" s="5">
        <v>63.8853306453429</v>
      </c>
      <c r="G1979" s="5">
        <v>-11.0721254241007</v>
      </c>
      <c r="H1979" s="5">
        <v>-11.0721254241007</v>
      </c>
      <c r="I1979" s="5">
        <v>-11.0721254241007</v>
      </c>
      <c r="J1979" s="5">
        <v>0.0905589421226694</v>
      </c>
      <c r="K1979" s="5">
        <v>0.0905589421226694</v>
      </c>
      <c r="L1979" s="5">
        <v>0.0905589421226694</v>
      </c>
      <c r="M1979" s="5">
        <v>-11.1626843662234</v>
      </c>
      <c r="N1979" s="5">
        <v>-11.1626843662234</v>
      </c>
      <c r="O1979" s="5">
        <v>-11.1626843662234</v>
      </c>
      <c r="P1979" s="5">
        <v>0.0</v>
      </c>
      <c r="Q1979" s="5">
        <v>0.0</v>
      </c>
      <c r="R1979" s="5">
        <v>0.0</v>
      </c>
      <c r="S1979" s="5">
        <v>52.8132052212421</v>
      </c>
    </row>
    <row r="1980">
      <c r="A1980" s="6">
        <v>43228.0</v>
      </c>
      <c r="B1980" s="5">
        <v>63.8938861634472</v>
      </c>
      <c r="C1980" s="5">
        <v>-11.1664990533816</v>
      </c>
      <c r="D1980" s="5">
        <v>118.731114599039</v>
      </c>
      <c r="E1980" s="5">
        <v>63.8938861634472</v>
      </c>
      <c r="F1980" s="5">
        <v>63.8938861634472</v>
      </c>
      <c r="G1980" s="5">
        <v>-12.3655554477805</v>
      </c>
      <c r="H1980" s="5">
        <v>-12.3655554477805</v>
      </c>
      <c r="I1980" s="5">
        <v>-12.3655554477805</v>
      </c>
      <c r="J1980" s="5">
        <v>-0.144118857247503</v>
      </c>
      <c r="K1980" s="5">
        <v>-0.144118857247503</v>
      </c>
      <c r="L1980" s="5">
        <v>-0.144118857247503</v>
      </c>
      <c r="M1980" s="5">
        <v>-12.221436590533</v>
      </c>
      <c r="N1980" s="5">
        <v>-12.221436590533</v>
      </c>
      <c r="O1980" s="5">
        <v>-12.221436590533</v>
      </c>
      <c r="P1980" s="5">
        <v>0.0</v>
      </c>
      <c r="Q1980" s="5">
        <v>0.0</v>
      </c>
      <c r="R1980" s="5">
        <v>0.0</v>
      </c>
      <c r="S1980" s="5">
        <v>51.5283307156667</v>
      </c>
    </row>
    <row r="1981">
      <c r="A1981" s="6">
        <v>43229.0</v>
      </c>
      <c r="B1981" s="5">
        <v>63.9024416815516</v>
      </c>
      <c r="C1981" s="5">
        <v>-13.2622857702857</v>
      </c>
      <c r="D1981" s="5">
        <v>115.477084642146</v>
      </c>
      <c r="E1981" s="5">
        <v>63.9024416815516</v>
      </c>
      <c r="F1981" s="5">
        <v>63.9024416815516</v>
      </c>
      <c r="G1981" s="5">
        <v>-13.2592284138889</v>
      </c>
      <c r="H1981" s="5">
        <v>-13.2592284138889</v>
      </c>
      <c r="I1981" s="5">
        <v>-13.2592284138889</v>
      </c>
      <c r="J1981" s="5">
        <v>0.00703780528158945</v>
      </c>
      <c r="K1981" s="5">
        <v>0.00703780528158945</v>
      </c>
      <c r="L1981" s="5">
        <v>0.00703780528158945</v>
      </c>
      <c r="M1981" s="5">
        <v>-13.2662662191705</v>
      </c>
      <c r="N1981" s="5">
        <v>-13.2662662191705</v>
      </c>
      <c r="O1981" s="5">
        <v>-13.2662662191705</v>
      </c>
      <c r="P1981" s="5">
        <v>0.0</v>
      </c>
      <c r="Q1981" s="5">
        <v>0.0</v>
      </c>
      <c r="R1981" s="5">
        <v>0.0</v>
      </c>
      <c r="S1981" s="5">
        <v>50.6432132676626</v>
      </c>
    </row>
    <row r="1982">
      <c r="A1982" s="6">
        <v>43230.0</v>
      </c>
      <c r="B1982" s="5">
        <v>63.9109971996559</v>
      </c>
      <c r="C1982" s="5">
        <v>-12.4354729574434</v>
      </c>
      <c r="D1982" s="5">
        <v>113.904205931837</v>
      </c>
      <c r="E1982" s="5">
        <v>63.9109971996559</v>
      </c>
      <c r="F1982" s="5">
        <v>63.9109971996559</v>
      </c>
      <c r="G1982" s="5">
        <v>-15.0596988697649</v>
      </c>
      <c r="H1982" s="5">
        <v>-15.0596988697649</v>
      </c>
      <c r="I1982" s="5">
        <v>-15.0596988697649</v>
      </c>
      <c r="J1982" s="5">
        <v>-0.776422525903818</v>
      </c>
      <c r="K1982" s="5">
        <v>-0.776422525903818</v>
      </c>
      <c r="L1982" s="5">
        <v>-0.776422525903818</v>
      </c>
      <c r="M1982" s="5">
        <v>-14.283276343861</v>
      </c>
      <c r="N1982" s="5">
        <v>-14.283276343861</v>
      </c>
      <c r="O1982" s="5">
        <v>-14.283276343861</v>
      </c>
      <c r="P1982" s="5">
        <v>0.0</v>
      </c>
      <c r="Q1982" s="5">
        <v>0.0</v>
      </c>
      <c r="R1982" s="5">
        <v>0.0</v>
      </c>
      <c r="S1982" s="5">
        <v>48.851298329891</v>
      </c>
    </row>
    <row r="1983">
      <c r="A1983" s="6">
        <v>43231.0</v>
      </c>
      <c r="B1983" s="5">
        <v>63.9195527177603</v>
      </c>
      <c r="C1983" s="5">
        <v>-15.5441962804127</v>
      </c>
      <c r="D1983" s="5">
        <v>106.313065152647</v>
      </c>
      <c r="E1983" s="5">
        <v>63.9195527177603</v>
      </c>
      <c r="F1983" s="5">
        <v>63.9195527177603</v>
      </c>
      <c r="G1983" s="5">
        <v>-16.850603156363</v>
      </c>
      <c r="H1983" s="5">
        <v>-16.850603156363</v>
      </c>
      <c r="I1983" s="5">
        <v>-16.850603156363</v>
      </c>
      <c r="J1983" s="5">
        <v>-1.59155056649585</v>
      </c>
      <c r="K1983" s="5">
        <v>-1.59155056649585</v>
      </c>
      <c r="L1983" s="5">
        <v>-1.59155056649585</v>
      </c>
      <c r="M1983" s="5">
        <v>-15.2590525898672</v>
      </c>
      <c r="N1983" s="5">
        <v>-15.2590525898672</v>
      </c>
      <c r="O1983" s="5">
        <v>-15.2590525898672</v>
      </c>
      <c r="P1983" s="5">
        <v>0.0</v>
      </c>
      <c r="Q1983" s="5">
        <v>0.0</v>
      </c>
      <c r="R1983" s="5">
        <v>0.0</v>
      </c>
      <c r="S1983" s="5">
        <v>47.0689495613972</v>
      </c>
    </row>
    <row r="1984">
      <c r="A1984" s="6">
        <v>43234.0</v>
      </c>
      <c r="B1984" s="5">
        <v>63.9452192720733</v>
      </c>
      <c r="C1984" s="5">
        <v>-16.0766349907636</v>
      </c>
      <c r="D1984" s="5">
        <v>106.74246988152</v>
      </c>
      <c r="E1984" s="5">
        <v>63.9452192720733</v>
      </c>
      <c r="F1984" s="5">
        <v>63.9452192720733</v>
      </c>
      <c r="G1984" s="5">
        <v>-17.7280829161169</v>
      </c>
      <c r="H1984" s="5">
        <v>-17.7280829161169</v>
      </c>
      <c r="I1984" s="5">
        <v>-17.7280829161169</v>
      </c>
      <c r="J1984" s="5">
        <v>0.090558942121232</v>
      </c>
      <c r="K1984" s="5">
        <v>0.090558942121232</v>
      </c>
      <c r="L1984" s="5">
        <v>0.090558942121232</v>
      </c>
      <c r="M1984" s="5">
        <v>-17.8186418582381</v>
      </c>
      <c r="N1984" s="5">
        <v>-17.8186418582381</v>
      </c>
      <c r="O1984" s="5">
        <v>-17.8186418582381</v>
      </c>
      <c r="P1984" s="5">
        <v>0.0</v>
      </c>
      <c r="Q1984" s="5">
        <v>0.0</v>
      </c>
      <c r="R1984" s="5">
        <v>0.0</v>
      </c>
      <c r="S1984" s="5">
        <v>46.2171363559564</v>
      </c>
    </row>
    <row r="1985">
      <c r="A1985" s="6">
        <v>43235.0</v>
      </c>
      <c r="B1985" s="5">
        <v>63.9537747901777</v>
      </c>
      <c r="C1985" s="5">
        <v>-15.6767765100055</v>
      </c>
      <c r="D1985" s="5">
        <v>112.229779798368</v>
      </c>
      <c r="E1985" s="5">
        <v>63.9537747901777</v>
      </c>
      <c r="F1985" s="5">
        <v>63.9537747901777</v>
      </c>
      <c r="G1985" s="5">
        <v>-18.6598377514755</v>
      </c>
      <c r="H1985" s="5">
        <v>-18.6598377514755</v>
      </c>
      <c r="I1985" s="5">
        <v>-18.6598377514755</v>
      </c>
      <c r="J1985" s="5">
        <v>-0.144118857243892</v>
      </c>
      <c r="K1985" s="5">
        <v>-0.144118857243892</v>
      </c>
      <c r="L1985" s="5">
        <v>-0.144118857243892</v>
      </c>
      <c r="M1985" s="5">
        <v>-18.5157188942317</v>
      </c>
      <c r="N1985" s="5">
        <v>-18.5157188942317</v>
      </c>
      <c r="O1985" s="5">
        <v>-18.5157188942317</v>
      </c>
      <c r="P1985" s="5">
        <v>0.0</v>
      </c>
      <c r="Q1985" s="5">
        <v>0.0</v>
      </c>
      <c r="R1985" s="5">
        <v>0.0</v>
      </c>
      <c r="S1985" s="5">
        <v>45.2939370387021</v>
      </c>
    </row>
    <row r="1986">
      <c r="A1986" s="6">
        <v>43236.0</v>
      </c>
      <c r="B1986" s="5">
        <v>63.962330308282</v>
      </c>
      <c r="C1986" s="5">
        <v>-16.336561531368</v>
      </c>
      <c r="D1986" s="5">
        <v>108.140228193035</v>
      </c>
      <c r="E1986" s="5">
        <v>63.962330308282</v>
      </c>
      <c r="F1986" s="5">
        <v>63.962330308282</v>
      </c>
      <c r="G1986" s="5">
        <v>-19.1150411702746</v>
      </c>
      <c r="H1986" s="5">
        <v>-19.1150411702746</v>
      </c>
      <c r="I1986" s="5">
        <v>-19.1150411702746</v>
      </c>
      <c r="J1986" s="5">
        <v>0.00703780528073693</v>
      </c>
      <c r="K1986" s="5">
        <v>0.00703780528073693</v>
      </c>
      <c r="L1986" s="5">
        <v>0.00703780528073693</v>
      </c>
      <c r="M1986" s="5">
        <v>-19.1220789755554</v>
      </c>
      <c r="N1986" s="5">
        <v>-19.1220789755554</v>
      </c>
      <c r="O1986" s="5">
        <v>-19.1220789755554</v>
      </c>
      <c r="P1986" s="5">
        <v>0.0</v>
      </c>
      <c r="Q1986" s="5">
        <v>0.0</v>
      </c>
      <c r="R1986" s="5">
        <v>0.0</v>
      </c>
      <c r="S1986" s="5">
        <v>44.8472891380074</v>
      </c>
    </row>
    <row r="1987">
      <c r="A1987" s="6">
        <v>43237.0</v>
      </c>
      <c r="B1987" s="5">
        <v>63.9708858263864</v>
      </c>
      <c r="C1987" s="5">
        <v>-17.5455876701919</v>
      </c>
      <c r="D1987" s="5">
        <v>107.640544624376</v>
      </c>
      <c r="E1987" s="5">
        <v>63.9708858263864</v>
      </c>
      <c r="F1987" s="5">
        <v>63.9708858263864</v>
      </c>
      <c r="G1987" s="5">
        <v>-20.4093934279776</v>
      </c>
      <c r="H1987" s="5">
        <v>-20.4093934279776</v>
      </c>
      <c r="I1987" s="5">
        <v>-20.4093934279776</v>
      </c>
      <c r="J1987" s="5">
        <v>-0.776422525903064</v>
      </c>
      <c r="K1987" s="5">
        <v>-0.776422525903064</v>
      </c>
      <c r="L1987" s="5">
        <v>-0.776422525903064</v>
      </c>
      <c r="M1987" s="5">
        <v>-19.6329709020745</v>
      </c>
      <c r="N1987" s="5">
        <v>-19.6329709020745</v>
      </c>
      <c r="O1987" s="5">
        <v>-19.6329709020745</v>
      </c>
      <c r="P1987" s="5">
        <v>0.0</v>
      </c>
      <c r="Q1987" s="5">
        <v>0.0</v>
      </c>
      <c r="R1987" s="5">
        <v>0.0</v>
      </c>
      <c r="S1987" s="5">
        <v>43.5614923984087</v>
      </c>
    </row>
    <row r="1988">
      <c r="A1988" s="6">
        <v>43238.0</v>
      </c>
      <c r="B1988" s="5">
        <v>63.9457450809017</v>
      </c>
      <c r="C1988" s="5">
        <v>-19.5234319955629</v>
      </c>
      <c r="D1988" s="5">
        <v>108.613886174114</v>
      </c>
      <c r="E1988" s="5">
        <v>63.9457450809017</v>
      </c>
      <c r="F1988" s="5">
        <v>63.9457450809017</v>
      </c>
      <c r="G1988" s="5">
        <v>-21.6372469355241</v>
      </c>
      <c r="H1988" s="5">
        <v>-21.6372469355241</v>
      </c>
      <c r="I1988" s="5">
        <v>-21.6372469355241</v>
      </c>
      <c r="J1988" s="5">
        <v>-1.59155056649493</v>
      </c>
      <c r="K1988" s="5">
        <v>-1.59155056649493</v>
      </c>
      <c r="L1988" s="5">
        <v>-1.59155056649493</v>
      </c>
      <c r="M1988" s="5">
        <v>-20.0456963690291</v>
      </c>
      <c r="N1988" s="5">
        <v>-20.0456963690291</v>
      </c>
      <c r="O1988" s="5">
        <v>-20.0456963690291</v>
      </c>
      <c r="P1988" s="5">
        <v>0.0</v>
      </c>
      <c r="Q1988" s="5">
        <v>0.0</v>
      </c>
      <c r="R1988" s="5">
        <v>0.0</v>
      </c>
      <c r="S1988" s="5">
        <v>42.3084981453776</v>
      </c>
    </row>
    <row r="1989">
      <c r="A1989" s="6">
        <v>43241.0</v>
      </c>
      <c r="B1989" s="5">
        <v>63.8703228444478</v>
      </c>
      <c r="C1989" s="5">
        <v>-16.4002756435912</v>
      </c>
      <c r="D1989" s="5">
        <v>103.079682019682</v>
      </c>
      <c r="E1989" s="5">
        <v>63.8703228444478</v>
      </c>
      <c r="F1989" s="5">
        <v>63.8703228444478</v>
      </c>
      <c r="G1989" s="5">
        <v>-20.608568891558</v>
      </c>
      <c r="H1989" s="5">
        <v>-20.608568891558</v>
      </c>
      <c r="I1989" s="5">
        <v>-20.608568891558</v>
      </c>
      <c r="J1989" s="5">
        <v>0.0905589421197946</v>
      </c>
      <c r="K1989" s="5">
        <v>0.0905589421197946</v>
      </c>
      <c r="L1989" s="5">
        <v>0.0905589421197946</v>
      </c>
      <c r="M1989" s="5">
        <v>-20.6991278336778</v>
      </c>
      <c r="N1989" s="5">
        <v>-20.6991278336778</v>
      </c>
      <c r="O1989" s="5">
        <v>-20.6991278336778</v>
      </c>
      <c r="P1989" s="5">
        <v>0.0</v>
      </c>
      <c r="Q1989" s="5">
        <v>0.0</v>
      </c>
      <c r="R1989" s="5">
        <v>0.0</v>
      </c>
      <c r="S1989" s="5">
        <v>43.2617539528897</v>
      </c>
    </row>
    <row r="1990">
      <c r="A1990" s="6">
        <v>43242.0</v>
      </c>
      <c r="B1990" s="5">
        <v>63.8451820989631</v>
      </c>
      <c r="C1990" s="5">
        <v>-21.4711603568846</v>
      </c>
      <c r="D1990" s="5">
        <v>103.896194718451</v>
      </c>
      <c r="E1990" s="5">
        <v>63.8451820989631</v>
      </c>
      <c r="F1990" s="5">
        <v>63.8451820989631</v>
      </c>
      <c r="G1990" s="5">
        <v>-20.877597044551</v>
      </c>
      <c r="H1990" s="5">
        <v>-20.877597044551</v>
      </c>
      <c r="I1990" s="5">
        <v>-20.877597044551</v>
      </c>
      <c r="J1990" s="5">
        <v>-0.144118857246742</v>
      </c>
      <c r="K1990" s="5">
        <v>-0.144118857246742</v>
      </c>
      <c r="L1990" s="5">
        <v>-0.144118857246742</v>
      </c>
      <c r="M1990" s="5">
        <v>-20.7334781873043</v>
      </c>
      <c r="N1990" s="5">
        <v>-20.7334781873043</v>
      </c>
      <c r="O1990" s="5">
        <v>-20.7334781873043</v>
      </c>
      <c r="P1990" s="5">
        <v>0.0</v>
      </c>
      <c r="Q1990" s="5">
        <v>0.0</v>
      </c>
      <c r="R1990" s="5">
        <v>0.0</v>
      </c>
      <c r="S1990" s="5">
        <v>42.9675850544121</v>
      </c>
    </row>
    <row r="1991">
      <c r="A1991" s="6">
        <v>43243.0</v>
      </c>
      <c r="B1991" s="5">
        <v>63.8200413534785</v>
      </c>
      <c r="C1991" s="5">
        <v>-21.0527370356429</v>
      </c>
      <c r="D1991" s="5">
        <v>102.816677958257</v>
      </c>
      <c r="E1991" s="5">
        <v>63.8200413534785</v>
      </c>
      <c r="F1991" s="5">
        <v>63.8200413534785</v>
      </c>
      <c r="G1991" s="5">
        <v>-20.6793672282365</v>
      </c>
      <c r="H1991" s="5">
        <v>-20.6793672282365</v>
      </c>
      <c r="I1991" s="5">
        <v>-20.6793672282365</v>
      </c>
      <c r="J1991" s="5">
        <v>0.00703780528303937</v>
      </c>
      <c r="K1991" s="5">
        <v>0.00703780528303937</v>
      </c>
      <c r="L1991" s="5">
        <v>0.00703780528303937</v>
      </c>
      <c r="M1991" s="5">
        <v>-20.6864050335196</v>
      </c>
      <c r="N1991" s="5">
        <v>-20.6864050335196</v>
      </c>
      <c r="O1991" s="5">
        <v>-20.6864050335196</v>
      </c>
      <c r="P1991" s="5">
        <v>0.0</v>
      </c>
      <c r="Q1991" s="5">
        <v>0.0</v>
      </c>
      <c r="R1991" s="5">
        <v>0.0</v>
      </c>
      <c r="S1991" s="5">
        <v>43.1406741252419</v>
      </c>
    </row>
    <row r="1992">
      <c r="A1992" s="6">
        <v>43244.0</v>
      </c>
      <c r="B1992" s="5">
        <v>63.7949006079938</v>
      </c>
      <c r="C1992" s="5">
        <v>-19.2583645397551</v>
      </c>
      <c r="D1992" s="5">
        <v>101.761753438337</v>
      </c>
      <c r="E1992" s="5">
        <v>63.7949006079938</v>
      </c>
      <c r="F1992" s="5">
        <v>63.7949006079938</v>
      </c>
      <c r="G1992" s="5">
        <v>-21.3428608486195</v>
      </c>
      <c r="H1992" s="5">
        <v>-21.3428608486195</v>
      </c>
      <c r="I1992" s="5">
        <v>-21.3428608486195</v>
      </c>
      <c r="J1992" s="5">
        <v>-0.776422525902411</v>
      </c>
      <c r="K1992" s="5">
        <v>-0.776422525902411</v>
      </c>
      <c r="L1992" s="5">
        <v>-0.776422525902411</v>
      </c>
      <c r="M1992" s="5">
        <v>-20.566438322717</v>
      </c>
      <c r="N1992" s="5">
        <v>-20.566438322717</v>
      </c>
      <c r="O1992" s="5">
        <v>-20.566438322717</v>
      </c>
      <c r="P1992" s="5">
        <v>0.0</v>
      </c>
      <c r="Q1992" s="5">
        <v>0.0</v>
      </c>
      <c r="R1992" s="5">
        <v>0.0</v>
      </c>
      <c r="S1992" s="5">
        <v>42.4520397593743</v>
      </c>
    </row>
    <row r="1993">
      <c r="A1993" s="6">
        <v>43245.0</v>
      </c>
      <c r="B1993" s="5">
        <v>63.7697598625092</v>
      </c>
      <c r="C1993" s="5">
        <v>-24.2181327776361</v>
      </c>
      <c r="D1993" s="5">
        <v>106.639233320928</v>
      </c>
      <c r="E1993" s="5">
        <v>63.7697598625092</v>
      </c>
      <c r="F1993" s="5">
        <v>63.7697598625092</v>
      </c>
      <c r="G1993" s="5">
        <v>-21.9748760918666</v>
      </c>
      <c r="H1993" s="5">
        <v>-21.9748760918666</v>
      </c>
      <c r="I1993" s="5">
        <v>-21.9748760918666</v>
      </c>
      <c r="J1993" s="5">
        <v>-1.591550566494</v>
      </c>
      <c r="K1993" s="5">
        <v>-1.591550566494</v>
      </c>
      <c r="L1993" s="5">
        <v>-1.591550566494</v>
      </c>
      <c r="M1993" s="5">
        <v>-20.3833255253726</v>
      </c>
      <c r="N1993" s="5">
        <v>-20.3833255253726</v>
      </c>
      <c r="O1993" s="5">
        <v>-20.3833255253726</v>
      </c>
      <c r="P1993" s="5">
        <v>0.0</v>
      </c>
      <c r="Q1993" s="5">
        <v>0.0</v>
      </c>
      <c r="R1993" s="5">
        <v>0.0</v>
      </c>
      <c r="S1993" s="5">
        <v>41.7948837706425</v>
      </c>
    </row>
    <row r="1994">
      <c r="A1994" s="6">
        <v>43249.0</v>
      </c>
      <c r="B1994" s="5">
        <v>63.6691968805706</v>
      </c>
      <c r="C1994" s="5">
        <v>-16.6655048193521</v>
      </c>
      <c r="D1994" s="5">
        <v>109.188982805932</v>
      </c>
      <c r="E1994" s="5">
        <v>63.6691968805706</v>
      </c>
      <c r="F1994" s="5">
        <v>63.6691968805706</v>
      </c>
      <c r="G1994" s="5">
        <v>-19.3841968050103</v>
      </c>
      <c r="H1994" s="5">
        <v>-19.3841968050103</v>
      </c>
      <c r="I1994" s="5">
        <v>-19.3841968050103</v>
      </c>
      <c r="J1994" s="5">
        <v>-0.144118857245654</v>
      </c>
      <c r="K1994" s="5">
        <v>-0.144118857245654</v>
      </c>
      <c r="L1994" s="5">
        <v>-0.144118857245654</v>
      </c>
      <c r="M1994" s="5">
        <v>-19.2400779477647</v>
      </c>
      <c r="N1994" s="5">
        <v>-19.2400779477647</v>
      </c>
      <c r="O1994" s="5">
        <v>-19.2400779477647</v>
      </c>
      <c r="P1994" s="5">
        <v>0.0</v>
      </c>
      <c r="Q1994" s="5">
        <v>0.0</v>
      </c>
      <c r="R1994" s="5">
        <v>0.0</v>
      </c>
      <c r="S1994" s="5">
        <v>44.2850000755602</v>
      </c>
    </row>
    <row r="1995">
      <c r="A1995" s="6">
        <v>43250.0</v>
      </c>
      <c r="B1995" s="5">
        <v>63.6440561350859</v>
      </c>
      <c r="C1995" s="5">
        <v>-24.0266193131948</v>
      </c>
      <c r="D1995" s="5">
        <v>106.253728444456</v>
      </c>
      <c r="E1995" s="5">
        <v>63.6440561350859</v>
      </c>
      <c r="F1995" s="5">
        <v>63.6440561350859</v>
      </c>
      <c r="G1995" s="5">
        <v>-18.9015926521125</v>
      </c>
      <c r="H1995" s="5">
        <v>-18.9015926521125</v>
      </c>
      <c r="I1995" s="5">
        <v>-18.9015926521125</v>
      </c>
      <c r="J1995" s="5">
        <v>0.00703780528435041</v>
      </c>
      <c r="K1995" s="5">
        <v>0.00703780528435041</v>
      </c>
      <c r="L1995" s="5">
        <v>0.00703780528435041</v>
      </c>
      <c r="M1995" s="5">
        <v>-18.9086304573969</v>
      </c>
      <c r="N1995" s="5">
        <v>-18.9086304573969</v>
      </c>
      <c r="O1995" s="5">
        <v>-18.9086304573969</v>
      </c>
      <c r="P1995" s="5">
        <v>0.0</v>
      </c>
      <c r="Q1995" s="5">
        <v>0.0</v>
      </c>
      <c r="R1995" s="5">
        <v>0.0</v>
      </c>
      <c r="S1995" s="5">
        <v>44.7424634829734</v>
      </c>
    </row>
    <row r="1996">
      <c r="A1996" s="6">
        <v>43251.0</v>
      </c>
      <c r="B1996" s="5">
        <v>63.6189153896013</v>
      </c>
      <c r="C1996" s="5">
        <v>-14.498481588988</v>
      </c>
      <c r="D1996" s="5">
        <v>103.92840849235</v>
      </c>
      <c r="E1996" s="5">
        <v>63.6189153896013</v>
      </c>
      <c r="F1996" s="5">
        <v>63.6189153896013</v>
      </c>
      <c r="G1996" s="5">
        <v>-19.3571137629083</v>
      </c>
      <c r="H1996" s="5">
        <v>-19.3571137629083</v>
      </c>
      <c r="I1996" s="5">
        <v>-19.3571137629083</v>
      </c>
      <c r="J1996" s="5">
        <v>-0.776422525904509</v>
      </c>
      <c r="K1996" s="5">
        <v>-0.776422525904509</v>
      </c>
      <c r="L1996" s="5">
        <v>-0.776422525904509</v>
      </c>
      <c r="M1996" s="5">
        <v>-18.5806912370038</v>
      </c>
      <c r="N1996" s="5">
        <v>-18.5806912370038</v>
      </c>
      <c r="O1996" s="5">
        <v>-18.5806912370038</v>
      </c>
      <c r="P1996" s="5">
        <v>0.0</v>
      </c>
      <c r="Q1996" s="5">
        <v>0.0</v>
      </c>
      <c r="R1996" s="5">
        <v>0.0</v>
      </c>
      <c r="S1996" s="5">
        <v>44.2618016266929</v>
      </c>
    </row>
    <row r="1997">
      <c r="A1997" s="6">
        <v>43252.0</v>
      </c>
      <c r="B1997" s="5">
        <v>63.5937746441166</v>
      </c>
      <c r="C1997" s="5">
        <v>-20.6225716811142</v>
      </c>
      <c r="D1997" s="5">
        <v>104.860422463816</v>
      </c>
      <c r="E1997" s="5">
        <v>63.5937746441166</v>
      </c>
      <c r="F1997" s="5">
        <v>63.5937746441166</v>
      </c>
      <c r="G1997" s="5">
        <v>-19.8573018629173</v>
      </c>
      <c r="H1997" s="5">
        <v>-19.8573018629173</v>
      </c>
      <c r="I1997" s="5">
        <v>-19.8573018629173</v>
      </c>
      <c r="J1997" s="5">
        <v>-1.59155056649308</v>
      </c>
      <c r="K1997" s="5">
        <v>-1.59155056649308</v>
      </c>
      <c r="L1997" s="5">
        <v>-1.59155056649308</v>
      </c>
      <c r="M1997" s="5">
        <v>-18.2657512964242</v>
      </c>
      <c r="N1997" s="5">
        <v>-18.2657512964242</v>
      </c>
      <c r="O1997" s="5">
        <v>-18.2657512964242</v>
      </c>
      <c r="P1997" s="5">
        <v>0.0</v>
      </c>
      <c r="Q1997" s="5">
        <v>0.0</v>
      </c>
      <c r="R1997" s="5">
        <v>0.0</v>
      </c>
      <c r="S1997" s="5">
        <v>43.7364727811993</v>
      </c>
    </row>
    <row r="1998">
      <c r="A1998" s="6">
        <v>43255.0</v>
      </c>
      <c r="B1998" s="5">
        <v>63.5183524076627</v>
      </c>
      <c r="C1998" s="5">
        <v>-17.6377660395105</v>
      </c>
      <c r="D1998" s="5">
        <v>106.682324531745</v>
      </c>
      <c r="E1998" s="5">
        <v>63.5183524076627</v>
      </c>
      <c r="F1998" s="5">
        <v>63.5183524076627</v>
      </c>
      <c r="G1998" s="5">
        <v>-17.3836696215615</v>
      </c>
      <c r="H1998" s="5">
        <v>-17.3836696215615</v>
      </c>
      <c r="I1998" s="5">
        <v>-17.3836696215615</v>
      </c>
      <c r="J1998" s="5">
        <v>0.0905589421218478</v>
      </c>
      <c r="K1998" s="5">
        <v>0.0905589421218478</v>
      </c>
      <c r="L1998" s="5">
        <v>0.0905589421218478</v>
      </c>
      <c r="M1998" s="5">
        <v>-17.4742285636833</v>
      </c>
      <c r="N1998" s="5">
        <v>-17.4742285636833</v>
      </c>
      <c r="O1998" s="5">
        <v>-17.4742285636833</v>
      </c>
      <c r="P1998" s="5">
        <v>0.0</v>
      </c>
      <c r="Q1998" s="5">
        <v>0.0</v>
      </c>
      <c r="R1998" s="5">
        <v>0.0</v>
      </c>
      <c r="S1998" s="5">
        <v>46.1346827861011</v>
      </c>
    </row>
    <row r="1999">
      <c r="A1999" s="6">
        <v>43256.0</v>
      </c>
      <c r="B1999" s="5">
        <v>63.493211662178</v>
      </c>
      <c r="C1999" s="5">
        <v>-14.0689409163109</v>
      </c>
      <c r="D1999" s="5">
        <v>108.210183281351</v>
      </c>
      <c r="E1999" s="5">
        <v>63.493211662178</v>
      </c>
      <c r="F1999" s="5">
        <v>63.493211662178</v>
      </c>
      <c r="G1999" s="5">
        <v>-17.422890237498</v>
      </c>
      <c r="H1999" s="5">
        <v>-17.422890237498</v>
      </c>
      <c r="I1999" s="5">
        <v>-17.422890237498</v>
      </c>
      <c r="J1999" s="5">
        <v>-0.144118857244565</v>
      </c>
      <c r="K1999" s="5">
        <v>-0.144118857244565</v>
      </c>
      <c r="L1999" s="5">
        <v>-0.144118857244565</v>
      </c>
      <c r="M1999" s="5">
        <v>-17.2787713802534</v>
      </c>
      <c r="N1999" s="5">
        <v>-17.2787713802534</v>
      </c>
      <c r="O1999" s="5">
        <v>-17.2787713802534</v>
      </c>
      <c r="P1999" s="5">
        <v>0.0</v>
      </c>
      <c r="Q1999" s="5">
        <v>0.0</v>
      </c>
      <c r="R1999" s="5">
        <v>0.0</v>
      </c>
      <c r="S1999" s="5">
        <v>46.07032142468</v>
      </c>
    </row>
    <row r="2000">
      <c r="A2000" s="6">
        <v>43257.0</v>
      </c>
      <c r="B2000" s="5">
        <v>63.4680709166934</v>
      </c>
      <c r="C2000" s="5">
        <v>-17.2808979057198</v>
      </c>
      <c r="D2000" s="5">
        <v>110.170680543106</v>
      </c>
      <c r="E2000" s="5">
        <v>63.4680709166934</v>
      </c>
      <c r="F2000" s="5">
        <v>63.4680709166934</v>
      </c>
      <c r="G2000" s="5">
        <v>-17.1147944382152</v>
      </c>
      <c r="H2000" s="5">
        <v>-17.1147944382152</v>
      </c>
      <c r="I2000" s="5">
        <v>-17.1147944382152</v>
      </c>
      <c r="J2000" s="5">
        <v>0.00703780528133433</v>
      </c>
      <c r="K2000" s="5">
        <v>0.00703780528133433</v>
      </c>
      <c r="L2000" s="5">
        <v>0.00703780528133433</v>
      </c>
      <c r="M2000" s="5">
        <v>-17.1218322434966</v>
      </c>
      <c r="N2000" s="5">
        <v>-17.1218322434966</v>
      </c>
      <c r="O2000" s="5">
        <v>-17.1218322434966</v>
      </c>
      <c r="P2000" s="5">
        <v>0.0</v>
      </c>
      <c r="Q2000" s="5">
        <v>0.0</v>
      </c>
      <c r="R2000" s="5">
        <v>0.0</v>
      </c>
      <c r="S2000" s="5">
        <v>46.3532764784781</v>
      </c>
    </row>
    <row r="2001">
      <c r="A2001" s="6">
        <v>43258.0</v>
      </c>
      <c r="B2001" s="5">
        <v>63.4429301712087</v>
      </c>
      <c r="C2001" s="5">
        <v>-15.727093331527</v>
      </c>
      <c r="D2001" s="5">
        <v>109.708684028975</v>
      </c>
      <c r="E2001" s="5">
        <v>63.4429301712087</v>
      </c>
      <c r="F2001" s="5">
        <v>63.4429301712087</v>
      </c>
      <c r="G2001" s="5">
        <v>-17.7797450599621</v>
      </c>
      <c r="H2001" s="5">
        <v>-17.7797450599621</v>
      </c>
      <c r="I2001" s="5">
        <v>-17.7797450599621</v>
      </c>
      <c r="J2001" s="5">
        <v>-0.776422525898156</v>
      </c>
      <c r="K2001" s="5">
        <v>-0.776422525898156</v>
      </c>
      <c r="L2001" s="5">
        <v>-0.776422525898156</v>
      </c>
      <c r="M2001" s="5">
        <v>-17.0033225340639</v>
      </c>
      <c r="N2001" s="5">
        <v>-17.0033225340639</v>
      </c>
      <c r="O2001" s="5">
        <v>-17.0033225340639</v>
      </c>
      <c r="P2001" s="5">
        <v>0.0</v>
      </c>
      <c r="Q2001" s="5">
        <v>0.0</v>
      </c>
      <c r="R2001" s="5">
        <v>0.0</v>
      </c>
      <c r="S2001" s="5">
        <v>45.6631851112466</v>
      </c>
    </row>
    <row r="2002">
      <c r="A2002" s="6">
        <v>43259.0</v>
      </c>
      <c r="B2002" s="5">
        <v>63.4177894257241</v>
      </c>
      <c r="C2002" s="5">
        <v>-19.0042044501898</v>
      </c>
      <c r="D2002" s="5">
        <v>107.494553153677</v>
      </c>
      <c r="E2002" s="5">
        <v>63.4177894257241</v>
      </c>
      <c r="F2002" s="5">
        <v>63.4177894257241</v>
      </c>
      <c r="G2002" s="5">
        <v>-18.5129546105597</v>
      </c>
      <c r="H2002" s="5">
        <v>-18.5129546105597</v>
      </c>
      <c r="I2002" s="5">
        <v>-18.5129546105597</v>
      </c>
      <c r="J2002" s="5">
        <v>-1.59155056649458</v>
      </c>
      <c r="K2002" s="5">
        <v>-1.59155056649458</v>
      </c>
      <c r="L2002" s="5">
        <v>-1.59155056649458</v>
      </c>
      <c r="M2002" s="5">
        <v>-16.9214040440651</v>
      </c>
      <c r="N2002" s="5">
        <v>-16.9214040440651</v>
      </c>
      <c r="O2002" s="5">
        <v>-16.9214040440651</v>
      </c>
      <c r="P2002" s="5">
        <v>0.0</v>
      </c>
      <c r="Q2002" s="5">
        <v>0.0</v>
      </c>
      <c r="R2002" s="5">
        <v>0.0</v>
      </c>
      <c r="S2002" s="5">
        <v>44.9048348151644</v>
      </c>
    </row>
    <row r="2003">
      <c r="A2003" s="6">
        <v>43262.0</v>
      </c>
      <c r="B2003" s="5">
        <v>63.3423671892701</v>
      </c>
      <c r="C2003" s="5">
        <v>-11.6645479885718</v>
      </c>
      <c r="D2003" s="5">
        <v>109.195117503178</v>
      </c>
      <c r="E2003" s="5">
        <v>63.3423671892701</v>
      </c>
      <c r="F2003" s="5">
        <v>63.3423671892701</v>
      </c>
      <c r="G2003" s="5">
        <v>-16.7624722276932</v>
      </c>
      <c r="H2003" s="5">
        <v>-16.7624722276932</v>
      </c>
      <c r="I2003" s="5">
        <v>-16.7624722276932</v>
      </c>
      <c r="J2003" s="5">
        <v>0.0905589421227941</v>
      </c>
      <c r="K2003" s="5">
        <v>0.0905589421227941</v>
      </c>
      <c r="L2003" s="5">
        <v>0.0905589421227941</v>
      </c>
      <c r="M2003" s="5">
        <v>-16.853031169816</v>
      </c>
      <c r="N2003" s="5">
        <v>-16.853031169816</v>
      </c>
      <c r="O2003" s="5">
        <v>-16.853031169816</v>
      </c>
      <c r="P2003" s="5">
        <v>0.0</v>
      </c>
      <c r="Q2003" s="5">
        <v>0.0</v>
      </c>
      <c r="R2003" s="5">
        <v>0.0</v>
      </c>
      <c r="S2003" s="5">
        <v>46.5798949615769</v>
      </c>
    </row>
    <row r="2004">
      <c r="A2004" s="6">
        <v>43263.0</v>
      </c>
      <c r="B2004" s="5">
        <v>63.3172264437855</v>
      </c>
      <c r="C2004" s="5">
        <v>-23.9836206038996</v>
      </c>
      <c r="D2004" s="5">
        <v>107.955080173431</v>
      </c>
      <c r="E2004" s="5">
        <v>63.3172264437855</v>
      </c>
      <c r="F2004" s="5">
        <v>63.3172264437855</v>
      </c>
      <c r="G2004" s="5">
        <v>-17.0127674938321</v>
      </c>
      <c r="H2004" s="5">
        <v>-17.0127674938321</v>
      </c>
      <c r="I2004" s="5">
        <v>-17.0127674938321</v>
      </c>
      <c r="J2004" s="5">
        <v>-0.144118857243477</v>
      </c>
      <c r="K2004" s="5">
        <v>-0.144118857243477</v>
      </c>
      <c r="L2004" s="5">
        <v>-0.144118857243477</v>
      </c>
      <c r="M2004" s="5">
        <v>-16.8686486365886</v>
      </c>
      <c r="N2004" s="5">
        <v>-16.8686486365886</v>
      </c>
      <c r="O2004" s="5">
        <v>-16.8686486365886</v>
      </c>
      <c r="P2004" s="5">
        <v>0.0</v>
      </c>
      <c r="Q2004" s="5">
        <v>0.0</v>
      </c>
      <c r="R2004" s="5">
        <v>0.0</v>
      </c>
      <c r="S2004" s="5">
        <v>46.3044589499533</v>
      </c>
    </row>
    <row r="2005">
      <c r="A2005" s="6">
        <v>43264.0</v>
      </c>
      <c r="B2005" s="5">
        <v>63.2920856983008</v>
      </c>
      <c r="C2005" s="5">
        <v>-11.8525362200009</v>
      </c>
      <c r="D2005" s="5">
        <v>113.932807308745</v>
      </c>
      <c r="E2005" s="5">
        <v>63.2920856983008</v>
      </c>
      <c r="F2005" s="5">
        <v>63.2920856983008</v>
      </c>
      <c r="G2005" s="5">
        <v>-16.8835593190277</v>
      </c>
      <c r="H2005" s="5">
        <v>-16.8835593190277</v>
      </c>
      <c r="I2005" s="5">
        <v>-16.8835593190277</v>
      </c>
      <c r="J2005" s="5">
        <v>0.00703780528363667</v>
      </c>
      <c r="K2005" s="5">
        <v>0.00703780528363667</v>
      </c>
      <c r="L2005" s="5">
        <v>0.00703780528363667</v>
      </c>
      <c r="M2005" s="5">
        <v>-16.8905971243113</v>
      </c>
      <c r="N2005" s="5">
        <v>-16.8905971243113</v>
      </c>
      <c r="O2005" s="5">
        <v>-16.8905971243113</v>
      </c>
      <c r="P2005" s="5">
        <v>0.0</v>
      </c>
      <c r="Q2005" s="5">
        <v>0.0</v>
      </c>
      <c r="R2005" s="5">
        <v>0.0</v>
      </c>
      <c r="S2005" s="5">
        <v>46.4085263792731</v>
      </c>
    </row>
    <row r="2006">
      <c r="A2006" s="6">
        <v>43265.0</v>
      </c>
      <c r="B2006" s="5">
        <v>63.2669449528162</v>
      </c>
      <c r="C2006" s="5">
        <v>-17.5736732615892</v>
      </c>
      <c r="D2006" s="5">
        <v>112.803782883229</v>
      </c>
      <c r="E2006" s="5">
        <v>63.2669449528162</v>
      </c>
      <c r="F2006" s="5">
        <v>63.2669449528162</v>
      </c>
      <c r="G2006" s="5">
        <v>-17.6866440895021</v>
      </c>
      <c r="H2006" s="5">
        <v>-17.6866440895021</v>
      </c>
      <c r="I2006" s="5">
        <v>-17.6866440895021</v>
      </c>
      <c r="J2006" s="5">
        <v>-0.776422525900253</v>
      </c>
      <c r="K2006" s="5">
        <v>-0.776422525900253</v>
      </c>
      <c r="L2006" s="5">
        <v>-0.776422525900253</v>
      </c>
      <c r="M2006" s="5">
        <v>-16.9102215636018</v>
      </c>
      <c r="N2006" s="5">
        <v>-16.9102215636018</v>
      </c>
      <c r="O2006" s="5">
        <v>-16.9102215636018</v>
      </c>
      <c r="P2006" s="5">
        <v>0.0</v>
      </c>
      <c r="Q2006" s="5">
        <v>0.0</v>
      </c>
      <c r="R2006" s="5">
        <v>0.0</v>
      </c>
      <c r="S2006" s="5">
        <v>45.580300863314</v>
      </c>
    </row>
    <row r="2007">
      <c r="A2007" s="6">
        <v>43266.0</v>
      </c>
      <c r="B2007" s="5">
        <v>63.2418042073315</v>
      </c>
      <c r="C2007" s="5">
        <v>-11.8483277180442</v>
      </c>
      <c r="D2007" s="5">
        <v>109.416278615776</v>
      </c>
      <c r="E2007" s="5">
        <v>63.2418042073315</v>
      </c>
      <c r="F2007" s="5">
        <v>63.2418042073315</v>
      </c>
      <c r="G2007" s="5">
        <v>-18.5102185124179</v>
      </c>
      <c r="H2007" s="5">
        <v>-18.5102185124179</v>
      </c>
      <c r="I2007" s="5">
        <v>-18.5102185124179</v>
      </c>
      <c r="J2007" s="5">
        <v>-1.59155056649366</v>
      </c>
      <c r="K2007" s="5">
        <v>-1.59155056649366</v>
      </c>
      <c r="L2007" s="5">
        <v>-1.59155056649366</v>
      </c>
      <c r="M2007" s="5">
        <v>-16.9186679459242</v>
      </c>
      <c r="N2007" s="5">
        <v>-16.9186679459242</v>
      </c>
      <c r="O2007" s="5">
        <v>-16.9186679459242</v>
      </c>
      <c r="P2007" s="5">
        <v>0.0</v>
      </c>
      <c r="Q2007" s="5">
        <v>0.0</v>
      </c>
      <c r="R2007" s="5">
        <v>0.0</v>
      </c>
      <c r="S2007" s="5">
        <v>44.7315856949136</v>
      </c>
    </row>
    <row r="2008">
      <c r="A2008" s="6">
        <v>43269.0</v>
      </c>
      <c r="B2008" s="5">
        <v>63.1663819708776</v>
      </c>
      <c r="C2008" s="5">
        <v>-19.2458997292543</v>
      </c>
      <c r="D2008" s="5">
        <v>109.249482080206</v>
      </c>
      <c r="E2008" s="5">
        <v>63.1663819708776</v>
      </c>
      <c r="F2008" s="5">
        <v>63.1663819708776</v>
      </c>
      <c r="G2008" s="5">
        <v>-16.7013725658049</v>
      </c>
      <c r="H2008" s="5">
        <v>-16.7013725658049</v>
      </c>
      <c r="I2008" s="5">
        <v>-16.7013725658049</v>
      </c>
      <c r="J2008" s="5">
        <v>0.0905589421214369</v>
      </c>
      <c r="K2008" s="5">
        <v>0.0905589421214369</v>
      </c>
      <c r="L2008" s="5">
        <v>0.0905589421214369</v>
      </c>
      <c r="M2008" s="5">
        <v>-16.7919315079264</v>
      </c>
      <c r="N2008" s="5">
        <v>-16.7919315079264</v>
      </c>
      <c r="O2008" s="5">
        <v>-16.7919315079264</v>
      </c>
      <c r="P2008" s="5">
        <v>0.0</v>
      </c>
      <c r="Q2008" s="5">
        <v>0.0</v>
      </c>
      <c r="R2008" s="5">
        <v>0.0</v>
      </c>
      <c r="S2008" s="5">
        <v>46.4650094050726</v>
      </c>
    </row>
    <row r="2009">
      <c r="A2009" s="6">
        <v>43270.0</v>
      </c>
      <c r="B2009" s="5">
        <v>63.1412412253929</v>
      </c>
      <c r="C2009" s="5">
        <v>-15.3980597570393</v>
      </c>
      <c r="D2009" s="5">
        <v>106.748200115603</v>
      </c>
      <c r="E2009" s="5">
        <v>63.1412412253929</v>
      </c>
      <c r="F2009" s="5">
        <v>63.1412412253929</v>
      </c>
      <c r="G2009" s="5">
        <v>-16.8180392637114</v>
      </c>
      <c r="H2009" s="5">
        <v>-16.8180392637114</v>
      </c>
      <c r="I2009" s="5">
        <v>-16.8180392637114</v>
      </c>
      <c r="J2009" s="5">
        <v>-0.144118857246327</v>
      </c>
      <c r="K2009" s="5">
        <v>-0.144118857246327</v>
      </c>
      <c r="L2009" s="5">
        <v>-0.144118857246327</v>
      </c>
      <c r="M2009" s="5">
        <v>-16.673920406465</v>
      </c>
      <c r="N2009" s="5">
        <v>-16.673920406465</v>
      </c>
      <c r="O2009" s="5">
        <v>-16.673920406465</v>
      </c>
      <c r="P2009" s="5">
        <v>0.0</v>
      </c>
      <c r="Q2009" s="5">
        <v>0.0</v>
      </c>
      <c r="R2009" s="5">
        <v>0.0</v>
      </c>
      <c r="S2009" s="5">
        <v>46.3232019616815</v>
      </c>
    </row>
    <row r="2010">
      <c r="A2010" s="6">
        <v>43271.0</v>
      </c>
      <c r="B2010" s="5">
        <v>63.1161004799083</v>
      </c>
      <c r="C2010" s="5">
        <v>-17.9542282440649</v>
      </c>
      <c r="D2010" s="5">
        <v>109.01683362772</v>
      </c>
      <c r="E2010" s="5">
        <v>63.1161004799083</v>
      </c>
      <c r="F2010" s="5">
        <v>63.1161004799083</v>
      </c>
      <c r="G2010" s="5">
        <v>-16.501026703012</v>
      </c>
      <c r="H2010" s="5">
        <v>-16.501026703012</v>
      </c>
      <c r="I2010" s="5">
        <v>-16.501026703012</v>
      </c>
      <c r="J2010" s="5">
        <v>0.00703780528278414</v>
      </c>
      <c r="K2010" s="5">
        <v>0.00703780528278414</v>
      </c>
      <c r="L2010" s="5">
        <v>0.00703780528278414</v>
      </c>
      <c r="M2010" s="5">
        <v>-16.5080645082948</v>
      </c>
      <c r="N2010" s="5">
        <v>-16.5080645082948</v>
      </c>
      <c r="O2010" s="5">
        <v>-16.5080645082948</v>
      </c>
      <c r="P2010" s="5">
        <v>0.0</v>
      </c>
      <c r="Q2010" s="5">
        <v>0.0</v>
      </c>
      <c r="R2010" s="5">
        <v>0.0</v>
      </c>
      <c r="S2010" s="5">
        <v>46.6150737768962</v>
      </c>
    </row>
    <row r="2011">
      <c r="A2011" s="6">
        <v>43272.0</v>
      </c>
      <c r="B2011" s="5">
        <v>63.0909597344236</v>
      </c>
      <c r="C2011" s="5">
        <v>-14.5216577259512</v>
      </c>
      <c r="D2011" s="5">
        <v>109.399052529788</v>
      </c>
      <c r="E2011" s="5">
        <v>63.0909597344236</v>
      </c>
      <c r="F2011" s="5">
        <v>63.0909597344236</v>
      </c>
      <c r="G2011" s="5">
        <v>-17.0668317916326</v>
      </c>
      <c r="H2011" s="5">
        <v>-17.0668317916326</v>
      </c>
      <c r="I2011" s="5">
        <v>-17.0668317916326</v>
      </c>
      <c r="J2011" s="5">
        <v>-0.776422525900974</v>
      </c>
      <c r="K2011" s="5">
        <v>-0.776422525900974</v>
      </c>
      <c r="L2011" s="5">
        <v>-0.776422525900974</v>
      </c>
      <c r="M2011" s="5">
        <v>-16.2904092657317</v>
      </c>
      <c r="N2011" s="5">
        <v>-16.2904092657317</v>
      </c>
      <c r="O2011" s="5">
        <v>-16.2904092657317</v>
      </c>
      <c r="P2011" s="5">
        <v>0.0</v>
      </c>
      <c r="Q2011" s="5">
        <v>0.0</v>
      </c>
      <c r="R2011" s="5">
        <v>0.0</v>
      </c>
      <c r="S2011" s="5">
        <v>46.0241279427909</v>
      </c>
    </row>
    <row r="2012">
      <c r="A2012" s="6">
        <v>43273.0</v>
      </c>
      <c r="B2012" s="5">
        <v>63.065818988939</v>
      </c>
      <c r="C2012" s="5">
        <v>-21.4313155643425</v>
      </c>
      <c r="D2012" s="5">
        <v>109.431869854938</v>
      </c>
      <c r="E2012" s="5">
        <v>63.065818988939</v>
      </c>
      <c r="F2012" s="5">
        <v>63.065818988939</v>
      </c>
      <c r="G2012" s="5">
        <v>-17.6101415876933</v>
      </c>
      <c r="H2012" s="5">
        <v>-17.6101415876933</v>
      </c>
      <c r="I2012" s="5">
        <v>-17.6101415876933</v>
      </c>
      <c r="J2012" s="5">
        <v>-1.59155056649242</v>
      </c>
      <c r="K2012" s="5">
        <v>-1.59155056649242</v>
      </c>
      <c r="L2012" s="5">
        <v>-1.59155056649242</v>
      </c>
      <c r="M2012" s="5">
        <v>-16.0185910212009</v>
      </c>
      <c r="N2012" s="5">
        <v>-16.0185910212009</v>
      </c>
      <c r="O2012" s="5">
        <v>-16.0185910212009</v>
      </c>
      <c r="P2012" s="5">
        <v>0.0</v>
      </c>
      <c r="Q2012" s="5">
        <v>0.0</v>
      </c>
      <c r="R2012" s="5">
        <v>0.0</v>
      </c>
      <c r="S2012" s="5">
        <v>45.4556774012456</v>
      </c>
    </row>
    <row r="2013">
      <c r="A2013" s="6">
        <v>43276.0</v>
      </c>
      <c r="B2013" s="5">
        <v>62.990396752485</v>
      </c>
      <c r="C2013" s="5">
        <v>-14.8954538368929</v>
      </c>
      <c r="D2013" s="5">
        <v>111.051117210948</v>
      </c>
      <c r="E2013" s="5">
        <v>62.990396752485</v>
      </c>
      <c r="F2013" s="5">
        <v>62.990396752485</v>
      </c>
      <c r="G2013" s="5">
        <v>-14.7897528959809</v>
      </c>
      <c r="H2013" s="5">
        <v>-14.7897528959809</v>
      </c>
      <c r="I2013" s="5">
        <v>-14.7897528959809</v>
      </c>
      <c r="J2013" s="5">
        <v>0.0905589421223833</v>
      </c>
      <c r="K2013" s="5">
        <v>0.0905589421223833</v>
      </c>
      <c r="L2013" s="5">
        <v>0.0905589421223833</v>
      </c>
      <c r="M2013" s="5">
        <v>-14.8803118381033</v>
      </c>
      <c r="N2013" s="5">
        <v>-14.8803118381033</v>
      </c>
      <c r="O2013" s="5">
        <v>-14.8803118381033</v>
      </c>
      <c r="P2013" s="5">
        <v>0.0</v>
      </c>
      <c r="Q2013" s="5">
        <v>0.0</v>
      </c>
      <c r="R2013" s="5">
        <v>0.0</v>
      </c>
      <c r="S2013" s="5">
        <v>48.200643856504</v>
      </c>
    </row>
    <row r="2014">
      <c r="A2014" s="6">
        <v>43277.0</v>
      </c>
      <c r="B2014" s="5">
        <v>62.9652560070004</v>
      </c>
      <c r="C2014" s="5">
        <v>-14.8229432928746</v>
      </c>
      <c r="D2014" s="5">
        <v>114.631474641084</v>
      </c>
      <c r="E2014" s="5">
        <v>62.9652560070004</v>
      </c>
      <c r="F2014" s="5">
        <v>62.9652560070004</v>
      </c>
      <c r="G2014" s="5">
        <v>-14.5468532076333</v>
      </c>
      <c r="H2014" s="5">
        <v>-14.5468532076333</v>
      </c>
      <c r="I2014" s="5">
        <v>-14.5468532076333</v>
      </c>
      <c r="J2014" s="5">
        <v>-0.144118857245239</v>
      </c>
      <c r="K2014" s="5">
        <v>-0.144118857245239</v>
      </c>
      <c r="L2014" s="5">
        <v>-0.144118857245239</v>
      </c>
      <c r="M2014" s="5">
        <v>-14.4027343503881</v>
      </c>
      <c r="N2014" s="5">
        <v>-14.4027343503881</v>
      </c>
      <c r="O2014" s="5">
        <v>-14.4027343503881</v>
      </c>
      <c r="P2014" s="5">
        <v>0.0</v>
      </c>
      <c r="Q2014" s="5">
        <v>0.0</v>
      </c>
      <c r="R2014" s="5">
        <v>0.0</v>
      </c>
      <c r="S2014" s="5">
        <v>48.418402799367</v>
      </c>
    </row>
    <row r="2015">
      <c r="A2015" s="6">
        <v>43278.0</v>
      </c>
      <c r="B2015" s="5">
        <v>62.9401152615157</v>
      </c>
      <c r="C2015" s="5">
        <v>-13.9840554580792</v>
      </c>
      <c r="D2015" s="5">
        <v>111.47505730638</v>
      </c>
      <c r="E2015" s="5">
        <v>62.9401152615157</v>
      </c>
      <c r="F2015" s="5">
        <v>62.9401152615157</v>
      </c>
      <c r="G2015" s="5">
        <v>-13.8779594718032</v>
      </c>
      <c r="H2015" s="5">
        <v>-13.8779594718032</v>
      </c>
      <c r="I2015" s="5">
        <v>-13.8779594718032</v>
      </c>
      <c r="J2015" s="5">
        <v>0.00703780528193159</v>
      </c>
      <c r="K2015" s="5">
        <v>0.00703780528193159</v>
      </c>
      <c r="L2015" s="5">
        <v>0.00703780528193159</v>
      </c>
      <c r="M2015" s="5">
        <v>-13.8849972770852</v>
      </c>
      <c r="N2015" s="5">
        <v>-13.8849972770852</v>
      </c>
      <c r="O2015" s="5">
        <v>-13.8849972770852</v>
      </c>
      <c r="P2015" s="5">
        <v>0.0</v>
      </c>
      <c r="Q2015" s="5">
        <v>0.0</v>
      </c>
      <c r="R2015" s="5">
        <v>0.0</v>
      </c>
      <c r="S2015" s="5">
        <v>49.0621557897124</v>
      </c>
    </row>
    <row r="2016">
      <c r="A2016" s="6">
        <v>43279.0</v>
      </c>
      <c r="B2016" s="5">
        <v>62.9149745160311</v>
      </c>
      <c r="C2016" s="5">
        <v>-13.3769093442203</v>
      </c>
      <c r="D2016" s="5">
        <v>111.688635222755</v>
      </c>
      <c r="E2016" s="5">
        <v>62.9149745160311</v>
      </c>
      <c r="F2016" s="5">
        <v>62.9149745160311</v>
      </c>
      <c r="G2016" s="5">
        <v>-14.1111290535268</v>
      </c>
      <c r="H2016" s="5">
        <v>-14.1111290535268</v>
      </c>
      <c r="I2016" s="5">
        <v>-14.1111290535268</v>
      </c>
      <c r="J2016" s="5">
        <v>-0.776422525901696</v>
      </c>
      <c r="K2016" s="5">
        <v>-0.776422525901696</v>
      </c>
      <c r="L2016" s="5">
        <v>-0.776422525901696</v>
      </c>
      <c r="M2016" s="5">
        <v>-13.3347065276251</v>
      </c>
      <c r="N2016" s="5">
        <v>-13.3347065276251</v>
      </c>
      <c r="O2016" s="5">
        <v>-13.3347065276251</v>
      </c>
      <c r="P2016" s="5">
        <v>0.0</v>
      </c>
      <c r="Q2016" s="5">
        <v>0.0</v>
      </c>
      <c r="R2016" s="5">
        <v>0.0</v>
      </c>
      <c r="S2016" s="5">
        <v>48.8038454625042</v>
      </c>
    </row>
    <row r="2017">
      <c r="A2017" s="6">
        <v>43280.0</v>
      </c>
      <c r="B2017" s="5">
        <v>62.8898337705464</v>
      </c>
      <c r="C2017" s="5">
        <v>-14.4896321430041</v>
      </c>
      <c r="D2017" s="5">
        <v>109.640865190293</v>
      </c>
      <c r="E2017" s="5">
        <v>62.8898337705464</v>
      </c>
      <c r="F2017" s="5">
        <v>62.8898337705464</v>
      </c>
      <c r="G2017" s="5">
        <v>-14.3522623760932</v>
      </c>
      <c r="H2017" s="5">
        <v>-14.3522623760932</v>
      </c>
      <c r="I2017" s="5">
        <v>-14.3522623760932</v>
      </c>
      <c r="J2017" s="5">
        <v>-1.59155056649455</v>
      </c>
      <c r="K2017" s="5">
        <v>-1.59155056649455</v>
      </c>
      <c r="L2017" s="5">
        <v>-1.59155056649455</v>
      </c>
      <c r="M2017" s="5">
        <v>-12.7607118095987</v>
      </c>
      <c r="N2017" s="5">
        <v>-12.7607118095987</v>
      </c>
      <c r="O2017" s="5">
        <v>-12.7607118095987</v>
      </c>
      <c r="P2017" s="5">
        <v>0.0</v>
      </c>
      <c r="Q2017" s="5">
        <v>0.0</v>
      </c>
      <c r="R2017" s="5">
        <v>0.0</v>
      </c>
      <c r="S2017" s="5">
        <v>48.5375713944532</v>
      </c>
    </row>
    <row r="2018">
      <c r="A2018" s="6">
        <v>43283.0</v>
      </c>
      <c r="B2018" s="5">
        <v>62.8144115340925</v>
      </c>
      <c r="C2018" s="5">
        <v>-13.0687525467065</v>
      </c>
      <c r="D2018" s="5">
        <v>121.652179143672</v>
      </c>
      <c r="E2018" s="5">
        <v>62.8144115340925</v>
      </c>
      <c r="F2018" s="5">
        <v>62.8144115340925</v>
      </c>
      <c r="G2018" s="5">
        <v>-10.9078164784484</v>
      </c>
      <c r="H2018" s="5">
        <v>-10.9078164784484</v>
      </c>
      <c r="I2018" s="5">
        <v>-10.9078164784484</v>
      </c>
      <c r="J2018" s="5">
        <v>0.0905589421209457</v>
      </c>
      <c r="K2018" s="5">
        <v>0.0905589421209457</v>
      </c>
      <c r="L2018" s="5">
        <v>0.0905589421209457</v>
      </c>
      <c r="M2018" s="5">
        <v>-10.9983754205694</v>
      </c>
      <c r="N2018" s="5">
        <v>-10.9983754205694</v>
      </c>
      <c r="O2018" s="5">
        <v>-10.9983754205694</v>
      </c>
      <c r="P2018" s="5">
        <v>0.0</v>
      </c>
      <c r="Q2018" s="5">
        <v>0.0</v>
      </c>
      <c r="R2018" s="5">
        <v>0.0</v>
      </c>
      <c r="S2018" s="5">
        <v>51.906595055644</v>
      </c>
    </row>
    <row r="2019">
      <c r="A2019" s="6">
        <v>43284.0</v>
      </c>
      <c r="B2019" s="5">
        <v>62.7892707886078</v>
      </c>
      <c r="C2019" s="5">
        <v>-14.6272112525253</v>
      </c>
      <c r="D2019" s="5">
        <v>115.649318279603</v>
      </c>
      <c r="E2019" s="5">
        <v>62.7892707886078</v>
      </c>
      <c r="F2019" s="5">
        <v>62.7892707886078</v>
      </c>
      <c r="G2019" s="5">
        <v>-10.5779929183306</v>
      </c>
      <c r="H2019" s="5">
        <v>-10.5779929183306</v>
      </c>
      <c r="I2019" s="5">
        <v>-10.5779929183306</v>
      </c>
      <c r="J2019" s="5">
        <v>-0.144118857246675</v>
      </c>
      <c r="K2019" s="5">
        <v>-0.144118857246675</v>
      </c>
      <c r="L2019" s="5">
        <v>-0.144118857246675</v>
      </c>
      <c r="M2019" s="5">
        <v>-10.4338740610839</v>
      </c>
      <c r="N2019" s="5">
        <v>-10.4338740610839</v>
      </c>
      <c r="O2019" s="5">
        <v>-10.4338740610839</v>
      </c>
      <c r="P2019" s="5">
        <v>0.0</v>
      </c>
      <c r="Q2019" s="5">
        <v>0.0</v>
      </c>
      <c r="R2019" s="5">
        <v>0.0</v>
      </c>
      <c r="S2019" s="5">
        <v>52.2112778702772</v>
      </c>
    </row>
    <row r="2020">
      <c r="A2020" s="6">
        <v>43286.0</v>
      </c>
      <c r="B2020" s="5">
        <v>62.7389892976385</v>
      </c>
      <c r="C2020" s="5">
        <v>-11.7011966839743</v>
      </c>
      <c r="D2020" s="5">
        <v>114.320059007131</v>
      </c>
      <c r="E2020" s="5">
        <v>62.7389892976385</v>
      </c>
      <c r="F2020" s="5">
        <v>62.7389892976385</v>
      </c>
      <c r="G2020" s="5">
        <v>-10.1811016244842</v>
      </c>
      <c r="H2020" s="5">
        <v>-10.1811016244842</v>
      </c>
      <c r="I2020" s="5">
        <v>-10.1811016244842</v>
      </c>
      <c r="J2020" s="5">
        <v>-0.776422525899568</v>
      </c>
      <c r="K2020" s="5">
        <v>-0.776422525899568</v>
      </c>
      <c r="L2020" s="5">
        <v>-0.776422525899568</v>
      </c>
      <c r="M2020" s="5">
        <v>-9.40467909858467</v>
      </c>
      <c r="N2020" s="5">
        <v>-9.40467909858467</v>
      </c>
      <c r="O2020" s="5">
        <v>-9.40467909858467</v>
      </c>
      <c r="P2020" s="5">
        <v>0.0</v>
      </c>
      <c r="Q2020" s="5">
        <v>0.0</v>
      </c>
      <c r="R2020" s="5">
        <v>0.0</v>
      </c>
      <c r="S2020" s="5">
        <v>52.5578876731543</v>
      </c>
    </row>
    <row r="2021">
      <c r="A2021" s="6">
        <v>43287.0</v>
      </c>
      <c r="B2021" s="5">
        <v>62.7138485521539</v>
      </c>
      <c r="C2021" s="5">
        <v>-11.683645716587</v>
      </c>
      <c r="D2021" s="5">
        <v>115.89107129272</v>
      </c>
      <c r="E2021" s="5">
        <v>62.7138485521539</v>
      </c>
      <c r="F2021" s="5">
        <v>62.7138485521539</v>
      </c>
      <c r="G2021" s="5">
        <v>-10.5515290795335</v>
      </c>
      <c r="H2021" s="5">
        <v>-10.5515290795335</v>
      </c>
      <c r="I2021" s="5">
        <v>-10.5515290795335</v>
      </c>
      <c r="J2021" s="5">
        <v>-1.59155056649331</v>
      </c>
      <c r="K2021" s="5">
        <v>-1.59155056649331</v>
      </c>
      <c r="L2021" s="5">
        <v>-1.59155056649331</v>
      </c>
      <c r="M2021" s="5">
        <v>-8.95997851304022</v>
      </c>
      <c r="N2021" s="5">
        <v>-8.95997851304022</v>
      </c>
      <c r="O2021" s="5">
        <v>-8.95997851304022</v>
      </c>
      <c r="P2021" s="5">
        <v>0.0</v>
      </c>
      <c r="Q2021" s="5">
        <v>0.0</v>
      </c>
      <c r="R2021" s="5">
        <v>0.0</v>
      </c>
      <c r="S2021" s="5">
        <v>52.1623194726203</v>
      </c>
    </row>
    <row r="2022">
      <c r="A2022" s="6">
        <v>43290.0</v>
      </c>
      <c r="B2022" s="5">
        <v>62.6384263156999</v>
      </c>
      <c r="C2022" s="5">
        <v>-11.8471392297959</v>
      </c>
      <c r="D2022" s="5">
        <v>113.061176866085</v>
      </c>
      <c r="E2022" s="5">
        <v>62.6384263156999</v>
      </c>
      <c r="F2022" s="5">
        <v>62.6384263156999</v>
      </c>
      <c r="G2022" s="5">
        <v>-7.91186098341955</v>
      </c>
      <c r="H2022" s="5">
        <v>-7.91186098341955</v>
      </c>
      <c r="I2022" s="5">
        <v>-7.91186098341955</v>
      </c>
      <c r="J2022" s="5">
        <v>0.0905589421195082</v>
      </c>
      <c r="K2022" s="5">
        <v>0.0905589421195082</v>
      </c>
      <c r="L2022" s="5">
        <v>0.0905589421195082</v>
      </c>
      <c r="M2022" s="5">
        <v>-8.00241992553906</v>
      </c>
      <c r="N2022" s="5">
        <v>-8.00241992553906</v>
      </c>
      <c r="O2022" s="5">
        <v>-8.00241992553906</v>
      </c>
      <c r="P2022" s="5">
        <v>0.0</v>
      </c>
      <c r="Q2022" s="5">
        <v>0.0</v>
      </c>
      <c r="R2022" s="5">
        <v>0.0</v>
      </c>
      <c r="S2022" s="5">
        <v>54.7265653322804</v>
      </c>
    </row>
    <row r="2023">
      <c r="A2023" s="6">
        <v>43291.0</v>
      </c>
      <c r="B2023" s="5">
        <v>62.6132855702153</v>
      </c>
      <c r="C2023" s="5">
        <v>-11.1130301571925</v>
      </c>
      <c r="D2023" s="5">
        <v>119.517705337364</v>
      </c>
      <c r="E2023" s="5">
        <v>62.6132855702153</v>
      </c>
      <c r="F2023" s="5">
        <v>62.6132855702153</v>
      </c>
      <c r="G2023" s="5">
        <v>-7.97119012503228</v>
      </c>
      <c r="H2023" s="5">
        <v>-7.97119012503228</v>
      </c>
      <c r="I2023" s="5">
        <v>-7.97119012503228</v>
      </c>
      <c r="J2023" s="5">
        <v>-0.144118857244477</v>
      </c>
      <c r="K2023" s="5">
        <v>-0.144118857244477</v>
      </c>
      <c r="L2023" s="5">
        <v>-0.144118857244477</v>
      </c>
      <c r="M2023" s="5">
        <v>-7.8270712677878</v>
      </c>
      <c r="N2023" s="5">
        <v>-7.8270712677878</v>
      </c>
      <c r="O2023" s="5">
        <v>-7.8270712677878</v>
      </c>
      <c r="P2023" s="5">
        <v>0.0</v>
      </c>
      <c r="Q2023" s="5">
        <v>0.0</v>
      </c>
      <c r="R2023" s="5">
        <v>0.0</v>
      </c>
      <c r="S2023" s="5">
        <v>54.642095445183</v>
      </c>
    </row>
    <row r="2024">
      <c r="A2024" s="6">
        <v>43292.0</v>
      </c>
      <c r="B2024" s="5">
        <v>62.5881448247306</v>
      </c>
      <c r="C2024" s="5">
        <v>-4.26300028126655</v>
      </c>
      <c r="D2024" s="5">
        <v>118.203644043583</v>
      </c>
      <c r="E2024" s="5">
        <v>62.5881448247306</v>
      </c>
      <c r="F2024" s="5">
        <v>62.5881448247306</v>
      </c>
      <c r="G2024" s="5">
        <v>-7.72136977029299</v>
      </c>
      <c r="H2024" s="5">
        <v>-7.72136977029299</v>
      </c>
      <c r="I2024" s="5">
        <v>-7.72136977029299</v>
      </c>
      <c r="J2024" s="5">
        <v>0.00703780528220932</v>
      </c>
      <c r="K2024" s="5">
        <v>0.00703780528220932</v>
      </c>
      <c r="L2024" s="5">
        <v>0.00703780528220932</v>
      </c>
      <c r="M2024" s="5">
        <v>-7.7284075755752</v>
      </c>
      <c r="N2024" s="5">
        <v>-7.7284075755752</v>
      </c>
      <c r="O2024" s="5">
        <v>-7.7284075755752</v>
      </c>
      <c r="P2024" s="5">
        <v>0.0</v>
      </c>
      <c r="Q2024" s="5">
        <v>0.0</v>
      </c>
      <c r="R2024" s="5">
        <v>0.0</v>
      </c>
      <c r="S2024" s="5">
        <v>54.8667750544376</v>
      </c>
    </row>
    <row r="2025">
      <c r="A2025" s="6">
        <v>43293.0</v>
      </c>
      <c r="B2025" s="5">
        <v>62.563004079246</v>
      </c>
      <c r="C2025" s="5">
        <v>-8.49713087553006</v>
      </c>
      <c r="D2025" s="5">
        <v>118.162516489644</v>
      </c>
      <c r="E2025" s="5">
        <v>62.563004079246</v>
      </c>
      <c r="F2025" s="5">
        <v>62.563004079246</v>
      </c>
      <c r="G2025" s="5">
        <v>-8.48285629037654</v>
      </c>
      <c r="H2025" s="5">
        <v>-8.48285629037654</v>
      </c>
      <c r="I2025" s="5">
        <v>-8.48285629037654</v>
      </c>
      <c r="J2025" s="5">
        <v>-0.776422525901665</v>
      </c>
      <c r="K2025" s="5">
        <v>-0.776422525901665</v>
      </c>
      <c r="L2025" s="5">
        <v>-0.776422525901665</v>
      </c>
      <c r="M2025" s="5">
        <v>-7.70643376447488</v>
      </c>
      <c r="N2025" s="5">
        <v>-7.70643376447488</v>
      </c>
      <c r="O2025" s="5">
        <v>-7.70643376447488</v>
      </c>
      <c r="P2025" s="5">
        <v>0.0</v>
      </c>
      <c r="Q2025" s="5">
        <v>0.0</v>
      </c>
      <c r="R2025" s="5">
        <v>0.0</v>
      </c>
      <c r="S2025" s="5">
        <v>54.0801477888694</v>
      </c>
    </row>
    <row r="2026">
      <c r="A2026" s="6">
        <v>43294.0</v>
      </c>
      <c r="B2026" s="5">
        <v>62.5378633337613</v>
      </c>
      <c r="C2026" s="5">
        <v>-11.2121757199257</v>
      </c>
      <c r="D2026" s="5">
        <v>117.482668757507</v>
      </c>
      <c r="E2026" s="5">
        <v>62.5378633337613</v>
      </c>
      <c r="F2026" s="5">
        <v>62.5378633337613</v>
      </c>
      <c r="G2026" s="5">
        <v>-9.35075683742501</v>
      </c>
      <c r="H2026" s="5">
        <v>-9.35075683742501</v>
      </c>
      <c r="I2026" s="5">
        <v>-9.35075683742501</v>
      </c>
      <c r="J2026" s="5">
        <v>-1.59155056649239</v>
      </c>
      <c r="K2026" s="5">
        <v>-1.59155056649239</v>
      </c>
      <c r="L2026" s="5">
        <v>-1.59155056649239</v>
      </c>
      <c r="M2026" s="5">
        <v>-7.75920627093261</v>
      </c>
      <c r="N2026" s="5">
        <v>-7.75920627093261</v>
      </c>
      <c r="O2026" s="5">
        <v>-7.75920627093261</v>
      </c>
      <c r="P2026" s="5">
        <v>0.0</v>
      </c>
      <c r="Q2026" s="5">
        <v>0.0</v>
      </c>
      <c r="R2026" s="5">
        <v>0.0</v>
      </c>
      <c r="S2026" s="5">
        <v>53.1871064963363</v>
      </c>
    </row>
    <row r="2027">
      <c r="A2027" s="6">
        <v>43297.0</v>
      </c>
      <c r="B2027" s="5">
        <v>62.4624410973074</v>
      </c>
      <c r="C2027" s="5">
        <v>-10.9706592568544</v>
      </c>
      <c r="D2027" s="5">
        <v>117.276895801822</v>
      </c>
      <c r="E2027" s="5">
        <v>62.4624410973074</v>
      </c>
      <c r="F2027" s="5">
        <v>62.4624410973074</v>
      </c>
      <c r="G2027" s="5">
        <v>-8.22801907688338</v>
      </c>
      <c r="H2027" s="5">
        <v>-8.22801907688338</v>
      </c>
      <c r="I2027" s="5">
        <v>-8.22801907688338</v>
      </c>
      <c r="J2027" s="5">
        <v>0.0905589421205348</v>
      </c>
      <c r="K2027" s="5">
        <v>0.0905589421205348</v>
      </c>
      <c r="L2027" s="5">
        <v>0.0905589421205348</v>
      </c>
      <c r="M2027" s="5">
        <v>-8.31857801900391</v>
      </c>
      <c r="N2027" s="5">
        <v>-8.31857801900391</v>
      </c>
      <c r="O2027" s="5">
        <v>-8.31857801900391</v>
      </c>
      <c r="P2027" s="5">
        <v>0.0</v>
      </c>
      <c r="Q2027" s="5">
        <v>0.0</v>
      </c>
      <c r="R2027" s="5">
        <v>0.0</v>
      </c>
      <c r="S2027" s="5">
        <v>54.234422020424</v>
      </c>
    </row>
    <row r="2028">
      <c r="A2028" s="6">
        <v>43298.0</v>
      </c>
      <c r="B2028" s="5">
        <v>62.4373003518227</v>
      </c>
      <c r="C2028" s="5">
        <v>-7.40172297333954</v>
      </c>
      <c r="D2028" s="5">
        <v>117.58530369048</v>
      </c>
      <c r="E2028" s="5">
        <v>62.4373003518227</v>
      </c>
      <c r="F2028" s="5">
        <v>62.4373003518227</v>
      </c>
      <c r="G2028" s="5">
        <v>-8.75860343881389</v>
      </c>
      <c r="H2028" s="5">
        <v>-8.75860343881389</v>
      </c>
      <c r="I2028" s="5">
        <v>-8.75860343881389</v>
      </c>
      <c r="J2028" s="5">
        <v>-0.144118857245913</v>
      </c>
      <c r="K2028" s="5">
        <v>-0.144118857245913</v>
      </c>
      <c r="L2028" s="5">
        <v>-0.144118857245913</v>
      </c>
      <c r="M2028" s="5">
        <v>-8.61448458156797</v>
      </c>
      <c r="N2028" s="5">
        <v>-8.61448458156797</v>
      </c>
      <c r="O2028" s="5">
        <v>-8.61448458156797</v>
      </c>
      <c r="P2028" s="5">
        <v>0.0</v>
      </c>
      <c r="Q2028" s="5">
        <v>0.0</v>
      </c>
      <c r="R2028" s="5">
        <v>0.0</v>
      </c>
      <c r="S2028" s="5">
        <v>53.6786969130088</v>
      </c>
    </row>
    <row r="2029">
      <c r="A2029" s="6">
        <v>43299.0</v>
      </c>
      <c r="B2029" s="5">
        <v>62.4121596063381</v>
      </c>
      <c r="C2029" s="5">
        <v>-7.16701878098258</v>
      </c>
      <c r="D2029" s="5">
        <v>110.421210668396</v>
      </c>
      <c r="E2029" s="5">
        <v>62.4121596063381</v>
      </c>
      <c r="F2029" s="5">
        <v>62.4121596063381</v>
      </c>
      <c r="G2029" s="5">
        <v>-8.94241855902042</v>
      </c>
      <c r="H2029" s="5">
        <v>-8.94241855902042</v>
      </c>
      <c r="I2029" s="5">
        <v>-8.94241855902042</v>
      </c>
      <c r="J2029" s="5">
        <v>0.0070378052813566</v>
      </c>
      <c r="K2029" s="5">
        <v>0.0070378052813566</v>
      </c>
      <c r="L2029" s="5">
        <v>0.0070378052813566</v>
      </c>
      <c r="M2029" s="5">
        <v>-8.94945636430178</v>
      </c>
      <c r="N2029" s="5">
        <v>-8.94945636430178</v>
      </c>
      <c r="O2029" s="5">
        <v>-8.94945636430178</v>
      </c>
      <c r="P2029" s="5">
        <v>0.0</v>
      </c>
      <c r="Q2029" s="5">
        <v>0.0</v>
      </c>
      <c r="R2029" s="5">
        <v>0.0</v>
      </c>
      <c r="S2029" s="5">
        <v>53.4697410473177</v>
      </c>
    </row>
    <row r="2030">
      <c r="A2030" s="6">
        <v>43300.0</v>
      </c>
      <c r="B2030" s="5">
        <v>62.3870188608534</v>
      </c>
      <c r="C2030" s="5">
        <v>-5.63518222005166</v>
      </c>
      <c r="D2030" s="5">
        <v>112.889864003088</v>
      </c>
      <c r="E2030" s="5">
        <v>62.3870188608534</v>
      </c>
      <c r="F2030" s="5">
        <v>62.3870188608534</v>
      </c>
      <c r="G2030" s="5">
        <v>-10.0889109297065</v>
      </c>
      <c r="H2030" s="5">
        <v>-10.0889109297065</v>
      </c>
      <c r="I2030" s="5">
        <v>-10.0889109297065</v>
      </c>
      <c r="J2030" s="5">
        <v>-0.776422525903762</v>
      </c>
      <c r="K2030" s="5">
        <v>-0.776422525903762</v>
      </c>
      <c r="L2030" s="5">
        <v>-0.776422525903762</v>
      </c>
      <c r="M2030" s="5">
        <v>-9.31248840380274</v>
      </c>
      <c r="N2030" s="5">
        <v>-9.31248840380274</v>
      </c>
      <c r="O2030" s="5">
        <v>-9.31248840380274</v>
      </c>
      <c r="P2030" s="5">
        <v>0.0</v>
      </c>
      <c r="Q2030" s="5">
        <v>0.0</v>
      </c>
      <c r="R2030" s="5">
        <v>0.0</v>
      </c>
      <c r="S2030" s="5">
        <v>52.2981079311469</v>
      </c>
    </row>
    <row r="2031">
      <c r="A2031" s="6">
        <v>43301.0</v>
      </c>
      <c r="B2031" s="5">
        <v>62.3618781153688</v>
      </c>
      <c r="C2031" s="5">
        <v>-8.62885249223592</v>
      </c>
      <c r="D2031" s="5">
        <v>112.21296724327</v>
      </c>
      <c r="E2031" s="5">
        <v>62.3618781153688</v>
      </c>
      <c r="F2031" s="5">
        <v>62.3618781153688</v>
      </c>
      <c r="G2031" s="5">
        <v>-11.2834552637156</v>
      </c>
      <c r="H2031" s="5">
        <v>-11.2834552637156</v>
      </c>
      <c r="I2031" s="5">
        <v>-11.2834552637156</v>
      </c>
      <c r="J2031" s="5">
        <v>-1.59155056649146</v>
      </c>
      <c r="K2031" s="5">
        <v>-1.59155056649146</v>
      </c>
      <c r="L2031" s="5">
        <v>-1.59155056649146</v>
      </c>
      <c r="M2031" s="5">
        <v>-9.69190469722422</v>
      </c>
      <c r="N2031" s="5">
        <v>-9.69190469722422</v>
      </c>
      <c r="O2031" s="5">
        <v>-9.69190469722422</v>
      </c>
      <c r="P2031" s="5">
        <v>0.0</v>
      </c>
      <c r="Q2031" s="5">
        <v>0.0</v>
      </c>
      <c r="R2031" s="5">
        <v>0.0</v>
      </c>
      <c r="S2031" s="5">
        <v>51.0784228516531</v>
      </c>
    </row>
    <row r="2032">
      <c r="A2032" s="6">
        <v>43304.0</v>
      </c>
      <c r="B2032" s="5">
        <v>62.2864558789148</v>
      </c>
      <c r="C2032" s="5">
        <v>-9.26853574968276</v>
      </c>
      <c r="D2032" s="5">
        <v>111.397698137816</v>
      </c>
      <c r="E2032" s="5">
        <v>62.2864558789148</v>
      </c>
      <c r="F2032" s="5">
        <v>62.2864558789148</v>
      </c>
      <c r="G2032" s="5">
        <v>-10.7177285931946</v>
      </c>
      <c r="H2032" s="5">
        <v>-10.7177285931946</v>
      </c>
      <c r="I2032" s="5">
        <v>-10.7177285931946</v>
      </c>
      <c r="J2032" s="5">
        <v>0.0905589421214813</v>
      </c>
      <c r="K2032" s="5">
        <v>0.0905589421214813</v>
      </c>
      <c r="L2032" s="5">
        <v>0.0905589421214813</v>
      </c>
      <c r="M2032" s="5">
        <v>-10.8082875353161</v>
      </c>
      <c r="N2032" s="5">
        <v>-10.8082875353161</v>
      </c>
      <c r="O2032" s="5">
        <v>-10.8082875353161</v>
      </c>
      <c r="P2032" s="5">
        <v>0.0</v>
      </c>
      <c r="Q2032" s="5">
        <v>0.0</v>
      </c>
      <c r="R2032" s="5">
        <v>0.0</v>
      </c>
      <c r="S2032" s="5">
        <v>51.5687272857201</v>
      </c>
    </row>
    <row r="2033">
      <c r="A2033" s="6">
        <v>43305.0</v>
      </c>
      <c r="B2033" s="5">
        <v>62.2613151334302</v>
      </c>
      <c r="C2033" s="5">
        <v>-15.5584311848975</v>
      </c>
      <c r="D2033" s="5">
        <v>112.695976794859</v>
      </c>
      <c r="E2033" s="5">
        <v>62.2613151334302</v>
      </c>
      <c r="F2033" s="5">
        <v>62.2613151334302</v>
      </c>
      <c r="G2033" s="5">
        <v>-11.278302054391</v>
      </c>
      <c r="H2033" s="5">
        <v>-11.278302054391</v>
      </c>
      <c r="I2033" s="5">
        <v>-11.278302054391</v>
      </c>
      <c r="J2033" s="5">
        <v>-0.144118857244825</v>
      </c>
      <c r="K2033" s="5">
        <v>-0.144118857244825</v>
      </c>
      <c r="L2033" s="5">
        <v>-0.144118857244825</v>
      </c>
      <c r="M2033" s="5">
        <v>-11.1341831971462</v>
      </c>
      <c r="N2033" s="5">
        <v>-11.1341831971462</v>
      </c>
      <c r="O2033" s="5">
        <v>-11.1341831971462</v>
      </c>
      <c r="P2033" s="5">
        <v>0.0</v>
      </c>
      <c r="Q2033" s="5">
        <v>0.0</v>
      </c>
      <c r="R2033" s="5">
        <v>0.0</v>
      </c>
      <c r="S2033" s="5">
        <v>50.9830130790391</v>
      </c>
    </row>
    <row r="2034">
      <c r="A2034" s="6">
        <v>43306.0</v>
      </c>
      <c r="B2034" s="5">
        <v>62.2361743879455</v>
      </c>
      <c r="C2034" s="5">
        <v>-11.2107717844025</v>
      </c>
      <c r="D2034" s="5">
        <v>111.062482979952</v>
      </c>
      <c r="E2034" s="5">
        <v>62.2361743879455</v>
      </c>
      <c r="F2034" s="5">
        <v>62.2361743879455</v>
      </c>
      <c r="G2034" s="5">
        <v>-11.4120966624225</v>
      </c>
      <c r="H2034" s="5">
        <v>-11.4120966624225</v>
      </c>
      <c r="I2034" s="5">
        <v>-11.4120966624225</v>
      </c>
      <c r="J2034" s="5">
        <v>0.0070378052826678</v>
      </c>
      <c r="K2034" s="5">
        <v>0.0070378052826678</v>
      </c>
      <c r="L2034" s="5">
        <v>0.0070378052826678</v>
      </c>
      <c r="M2034" s="5">
        <v>-11.4191344677051</v>
      </c>
      <c r="N2034" s="5">
        <v>-11.4191344677051</v>
      </c>
      <c r="O2034" s="5">
        <v>-11.4191344677051</v>
      </c>
      <c r="P2034" s="5">
        <v>0.0</v>
      </c>
      <c r="Q2034" s="5">
        <v>0.0</v>
      </c>
      <c r="R2034" s="5">
        <v>0.0</v>
      </c>
      <c r="S2034" s="5">
        <v>50.824077725523</v>
      </c>
    </row>
    <row r="2035">
      <c r="A2035" s="6">
        <v>43307.0</v>
      </c>
      <c r="B2035" s="5">
        <v>62.2110336424609</v>
      </c>
      <c r="C2035" s="5">
        <v>-12.9908524622731</v>
      </c>
      <c r="D2035" s="5">
        <v>111.919696580309</v>
      </c>
      <c r="E2035" s="5">
        <v>62.2110336424609</v>
      </c>
      <c r="F2035" s="5">
        <v>62.2110336424609</v>
      </c>
      <c r="G2035" s="5">
        <v>-12.4304487393788</v>
      </c>
      <c r="H2035" s="5">
        <v>-12.4304487393788</v>
      </c>
      <c r="I2035" s="5">
        <v>-12.4304487393788</v>
      </c>
      <c r="J2035" s="5">
        <v>-0.776422525901634</v>
      </c>
      <c r="K2035" s="5">
        <v>-0.776422525901634</v>
      </c>
      <c r="L2035" s="5">
        <v>-0.776422525901634</v>
      </c>
      <c r="M2035" s="5">
        <v>-11.6540262134771</v>
      </c>
      <c r="N2035" s="5">
        <v>-11.6540262134771</v>
      </c>
      <c r="O2035" s="5">
        <v>-11.6540262134771</v>
      </c>
      <c r="P2035" s="5">
        <v>0.0</v>
      </c>
      <c r="Q2035" s="5">
        <v>0.0</v>
      </c>
      <c r="R2035" s="5">
        <v>0.0</v>
      </c>
      <c r="S2035" s="5">
        <v>49.7805849030821</v>
      </c>
    </row>
    <row r="2036">
      <c r="A2036" s="6">
        <v>43308.0</v>
      </c>
      <c r="B2036" s="5">
        <v>62.1858928969762</v>
      </c>
      <c r="C2036" s="5">
        <v>-14.2553715672701</v>
      </c>
      <c r="D2036" s="5">
        <v>110.630453560157</v>
      </c>
      <c r="E2036" s="5">
        <v>62.1858928969762</v>
      </c>
      <c r="F2036" s="5">
        <v>62.1858928969762</v>
      </c>
      <c r="G2036" s="5">
        <v>-13.4226889949404</v>
      </c>
      <c r="H2036" s="5">
        <v>-13.4226889949404</v>
      </c>
      <c r="I2036" s="5">
        <v>-13.4226889949404</v>
      </c>
      <c r="J2036" s="5">
        <v>-1.59155056649328</v>
      </c>
      <c r="K2036" s="5">
        <v>-1.59155056649328</v>
      </c>
      <c r="L2036" s="5">
        <v>-1.59155056649328</v>
      </c>
      <c r="M2036" s="5">
        <v>-11.8311384284471</v>
      </c>
      <c r="N2036" s="5">
        <v>-11.8311384284471</v>
      </c>
      <c r="O2036" s="5">
        <v>-11.8311384284471</v>
      </c>
      <c r="P2036" s="5">
        <v>0.0</v>
      </c>
      <c r="Q2036" s="5">
        <v>0.0</v>
      </c>
      <c r="R2036" s="5">
        <v>0.0</v>
      </c>
      <c r="S2036" s="5">
        <v>48.7632039020357</v>
      </c>
    </row>
    <row r="2037">
      <c r="A2037" s="6">
        <v>43311.0</v>
      </c>
      <c r="B2037" s="5">
        <v>62.1104706605223</v>
      </c>
      <c r="C2037" s="5">
        <v>-14.3114301105863</v>
      </c>
      <c r="D2037" s="5">
        <v>109.47446532992</v>
      </c>
      <c r="E2037" s="5">
        <v>62.1104706605223</v>
      </c>
      <c r="F2037" s="5">
        <v>62.1104706605223</v>
      </c>
      <c r="G2037" s="5">
        <v>-11.8726376405604</v>
      </c>
      <c r="H2037" s="5">
        <v>-11.8726376405604</v>
      </c>
      <c r="I2037" s="5">
        <v>-11.8726376405604</v>
      </c>
      <c r="J2037" s="5">
        <v>0.0905589421224277</v>
      </c>
      <c r="K2037" s="5">
        <v>0.0905589421224277</v>
      </c>
      <c r="L2037" s="5">
        <v>0.0905589421224277</v>
      </c>
      <c r="M2037" s="5">
        <v>-11.9631965826828</v>
      </c>
      <c r="N2037" s="5">
        <v>-11.9631965826828</v>
      </c>
      <c r="O2037" s="5">
        <v>-11.9631965826828</v>
      </c>
      <c r="P2037" s="5">
        <v>0.0</v>
      </c>
      <c r="Q2037" s="5">
        <v>0.0</v>
      </c>
      <c r="R2037" s="5">
        <v>0.0</v>
      </c>
      <c r="S2037" s="5">
        <v>50.2378330199618</v>
      </c>
    </row>
    <row r="2038">
      <c r="A2038" s="6">
        <v>43312.0</v>
      </c>
      <c r="B2038" s="5">
        <v>62.0853299150376</v>
      </c>
      <c r="C2038" s="5">
        <v>-9.86059635421789</v>
      </c>
      <c r="D2038" s="5">
        <v>106.953094530383</v>
      </c>
      <c r="E2038" s="5">
        <v>62.0853299150376</v>
      </c>
      <c r="F2038" s="5">
        <v>62.0853299150376</v>
      </c>
      <c r="G2038" s="5">
        <v>-12.0096772573167</v>
      </c>
      <c r="H2038" s="5">
        <v>-12.0096772573167</v>
      </c>
      <c r="I2038" s="5">
        <v>-12.0096772573167</v>
      </c>
      <c r="J2038" s="5">
        <v>-0.144118857243737</v>
      </c>
      <c r="K2038" s="5">
        <v>-0.144118857243737</v>
      </c>
      <c r="L2038" s="5">
        <v>-0.144118857243737</v>
      </c>
      <c r="M2038" s="5">
        <v>-11.865558400073</v>
      </c>
      <c r="N2038" s="5">
        <v>-11.865558400073</v>
      </c>
      <c r="O2038" s="5">
        <v>-11.865558400073</v>
      </c>
      <c r="P2038" s="5">
        <v>0.0</v>
      </c>
      <c r="Q2038" s="5">
        <v>0.0</v>
      </c>
      <c r="R2038" s="5">
        <v>0.0</v>
      </c>
      <c r="S2038" s="5">
        <v>50.0756526577208</v>
      </c>
    </row>
    <row r="2039">
      <c r="A2039" s="6">
        <v>43313.0</v>
      </c>
      <c r="B2039" s="5">
        <v>62.060189169553</v>
      </c>
      <c r="C2039" s="5">
        <v>-16.475284729606</v>
      </c>
      <c r="D2039" s="5">
        <v>113.968589361023</v>
      </c>
      <c r="E2039" s="5">
        <v>62.060189169553</v>
      </c>
      <c r="F2039" s="5">
        <v>62.060189169553</v>
      </c>
      <c r="G2039" s="5">
        <v>-11.6903969918444</v>
      </c>
      <c r="H2039" s="5">
        <v>-11.6903969918444</v>
      </c>
      <c r="I2039" s="5">
        <v>-11.6903969918444</v>
      </c>
      <c r="J2039" s="5">
        <v>0.00703780528064302</v>
      </c>
      <c r="K2039" s="5">
        <v>0.00703780528064302</v>
      </c>
      <c r="L2039" s="5">
        <v>0.00703780528064302</v>
      </c>
      <c r="M2039" s="5">
        <v>-11.6974347971251</v>
      </c>
      <c r="N2039" s="5">
        <v>-11.6974347971251</v>
      </c>
      <c r="O2039" s="5">
        <v>-11.6974347971251</v>
      </c>
      <c r="P2039" s="5">
        <v>0.0</v>
      </c>
      <c r="Q2039" s="5">
        <v>0.0</v>
      </c>
      <c r="R2039" s="5">
        <v>0.0</v>
      </c>
      <c r="S2039" s="5">
        <v>50.3697921777085</v>
      </c>
    </row>
    <row r="2040">
      <c r="A2040" s="6">
        <v>43314.0</v>
      </c>
      <c r="B2040" s="5">
        <v>62.0350484240683</v>
      </c>
      <c r="C2040" s="5">
        <v>-13.8837327460712</v>
      </c>
      <c r="D2040" s="5">
        <v>113.561253085937</v>
      </c>
      <c r="E2040" s="5">
        <v>62.0350484240683</v>
      </c>
      <c r="F2040" s="5">
        <v>62.0350484240683</v>
      </c>
      <c r="G2040" s="5">
        <v>-12.2381656813872</v>
      </c>
      <c r="H2040" s="5">
        <v>-12.2381656813872</v>
      </c>
      <c r="I2040" s="5">
        <v>-12.2381656813872</v>
      </c>
      <c r="J2040" s="5">
        <v>-0.776422525902356</v>
      </c>
      <c r="K2040" s="5">
        <v>-0.776422525902356</v>
      </c>
      <c r="L2040" s="5">
        <v>-0.776422525902356</v>
      </c>
      <c r="M2040" s="5">
        <v>-11.4617431554848</v>
      </c>
      <c r="N2040" s="5">
        <v>-11.4617431554848</v>
      </c>
      <c r="O2040" s="5">
        <v>-11.4617431554848</v>
      </c>
      <c r="P2040" s="5">
        <v>0.0</v>
      </c>
      <c r="Q2040" s="5">
        <v>0.0</v>
      </c>
      <c r="R2040" s="5">
        <v>0.0</v>
      </c>
      <c r="S2040" s="5">
        <v>49.7968827426811</v>
      </c>
    </row>
    <row r="2041">
      <c r="A2041" s="6">
        <v>43315.0</v>
      </c>
      <c r="B2041" s="5">
        <v>62.0099076785837</v>
      </c>
      <c r="C2041" s="5">
        <v>-11.9611900692259</v>
      </c>
      <c r="D2041" s="5">
        <v>111.61905898506</v>
      </c>
      <c r="E2041" s="5">
        <v>62.0099076785837</v>
      </c>
      <c r="F2041" s="5">
        <v>62.0099076785837</v>
      </c>
      <c r="G2041" s="5">
        <v>-12.7546200426573</v>
      </c>
      <c r="H2041" s="5">
        <v>-12.7546200426573</v>
      </c>
      <c r="I2041" s="5">
        <v>-12.7546200426573</v>
      </c>
      <c r="J2041" s="5">
        <v>-1.59155056649204</v>
      </c>
      <c r="K2041" s="5">
        <v>-1.59155056649204</v>
      </c>
      <c r="L2041" s="5">
        <v>-1.59155056649204</v>
      </c>
      <c r="M2041" s="5">
        <v>-11.1630694761652</v>
      </c>
      <c r="N2041" s="5">
        <v>-11.1630694761652</v>
      </c>
      <c r="O2041" s="5">
        <v>-11.1630694761652</v>
      </c>
      <c r="P2041" s="5">
        <v>0.0</v>
      </c>
      <c r="Q2041" s="5">
        <v>0.0</v>
      </c>
      <c r="R2041" s="5">
        <v>0.0</v>
      </c>
      <c r="S2041" s="5">
        <v>49.2552876359263</v>
      </c>
    </row>
    <row r="2042">
      <c r="A2042" s="6">
        <v>43318.0</v>
      </c>
      <c r="B2042" s="5">
        <v>61.9344854421297</v>
      </c>
      <c r="C2042" s="5">
        <v>-8.21592491265478</v>
      </c>
      <c r="D2042" s="5">
        <v>109.928561591038</v>
      </c>
      <c r="E2042" s="5">
        <v>61.9344854421297</v>
      </c>
      <c r="F2042" s="5">
        <v>61.9344854421297</v>
      </c>
      <c r="G2042" s="5">
        <v>-9.86579077264559</v>
      </c>
      <c r="H2042" s="5">
        <v>-9.86579077264559</v>
      </c>
      <c r="I2042" s="5">
        <v>-9.86579077264559</v>
      </c>
      <c r="J2042" s="5">
        <v>0.0905589421234542</v>
      </c>
      <c r="K2042" s="5">
        <v>0.0905589421234542</v>
      </c>
      <c r="L2042" s="5">
        <v>0.0905589421234542</v>
      </c>
      <c r="M2042" s="5">
        <v>-9.95634971476905</v>
      </c>
      <c r="N2042" s="5">
        <v>-9.95634971476905</v>
      </c>
      <c r="O2042" s="5">
        <v>-9.95634971476905</v>
      </c>
      <c r="P2042" s="5">
        <v>0.0</v>
      </c>
      <c r="Q2042" s="5">
        <v>0.0</v>
      </c>
      <c r="R2042" s="5">
        <v>0.0</v>
      </c>
      <c r="S2042" s="5">
        <v>52.0686946694841</v>
      </c>
    </row>
    <row r="2043">
      <c r="A2043" s="6">
        <v>43319.0</v>
      </c>
      <c r="B2043" s="5">
        <v>61.9093446966451</v>
      </c>
      <c r="C2043" s="5">
        <v>-8.30210975881965</v>
      </c>
      <c r="D2043" s="5">
        <v>114.88660119367</v>
      </c>
      <c r="E2043" s="5">
        <v>61.9093446966451</v>
      </c>
      <c r="F2043" s="5">
        <v>61.9093446966451</v>
      </c>
      <c r="G2043" s="5">
        <v>-9.62259099840028</v>
      </c>
      <c r="H2043" s="5">
        <v>-9.62259099840028</v>
      </c>
      <c r="I2043" s="5">
        <v>-9.62259099840028</v>
      </c>
      <c r="J2043" s="5">
        <v>-0.144118857245477</v>
      </c>
      <c r="K2043" s="5">
        <v>-0.144118857245477</v>
      </c>
      <c r="L2043" s="5">
        <v>-0.144118857245477</v>
      </c>
      <c r="M2043" s="5">
        <v>-9.4784721411548</v>
      </c>
      <c r="N2043" s="5">
        <v>-9.4784721411548</v>
      </c>
      <c r="O2043" s="5">
        <v>-9.4784721411548</v>
      </c>
      <c r="P2043" s="5">
        <v>0.0</v>
      </c>
      <c r="Q2043" s="5">
        <v>0.0</v>
      </c>
      <c r="R2043" s="5">
        <v>0.0</v>
      </c>
      <c r="S2043" s="5">
        <v>52.2867536982448</v>
      </c>
    </row>
    <row r="2044">
      <c r="A2044" s="6">
        <v>43320.0</v>
      </c>
      <c r="B2044" s="5">
        <v>61.8842039511604</v>
      </c>
      <c r="C2044" s="5">
        <v>-9.66799837471355</v>
      </c>
      <c r="D2044" s="5">
        <v>114.665680431427</v>
      </c>
      <c r="E2044" s="5">
        <v>61.8842039511604</v>
      </c>
      <c r="F2044" s="5">
        <v>61.8842039511604</v>
      </c>
      <c r="G2044" s="5">
        <v>-8.9715463662982</v>
      </c>
      <c r="H2044" s="5">
        <v>-8.9715463662982</v>
      </c>
      <c r="I2044" s="5">
        <v>-8.9715463662982</v>
      </c>
      <c r="J2044" s="5">
        <v>0.00703780528195402</v>
      </c>
      <c r="K2044" s="5">
        <v>0.00703780528195402</v>
      </c>
      <c r="L2044" s="5">
        <v>0.00703780528195402</v>
      </c>
      <c r="M2044" s="5">
        <v>-8.97858417158016</v>
      </c>
      <c r="N2044" s="5">
        <v>-8.97858417158016</v>
      </c>
      <c r="O2044" s="5">
        <v>-8.97858417158016</v>
      </c>
      <c r="P2044" s="5">
        <v>0.0</v>
      </c>
      <c r="Q2044" s="5">
        <v>0.0</v>
      </c>
      <c r="R2044" s="5">
        <v>0.0</v>
      </c>
      <c r="S2044" s="5">
        <v>52.9126575848622</v>
      </c>
    </row>
    <row r="2045">
      <c r="A2045" s="6">
        <v>43321.0</v>
      </c>
      <c r="B2045" s="5">
        <v>61.8590632056758</v>
      </c>
      <c r="C2045" s="5">
        <v>-16.9207388119704</v>
      </c>
      <c r="D2045" s="5">
        <v>116.303304199814</v>
      </c>
      <c r="E2045" s="5">
        <v>61.8590632056758</v>
      </c>
      <c r="F2045" s="5">
        <v>61.8590632056758</v>
      </c>
      <c r="G2045" s="5">
        <v>-9.24309800322485</v>
      </c>
      <c r="H2045" s="5">
        <v>-9.24309800322485</v>
      </c>
      <c r="I2045" s="5">
        <v>-9.24309800322485</v>
      </c>
      <c r="J2045" s="5">
        <v>-0.776422525903078</v>
      </c>
      <c r="K2045" s="5">
        <v>-0.776422525903078</v>
      </c>
      <c r="L2045" s="5">
        <v>-0.776422525903078</v>
      </c>
      <c r="M2045" s="5">
        <v>-8.46667547732177</v>
      </c>
      <c r="N2045" s="5">
        <v>-8.46667547732177</v>
      </c>
      <c r="O2045" s="5">
        <v>-8.46667547732177</v>
      </c>
      <c r="P2045" s="5">
        <v>0.0</v>
      </c>
      <c r="Q2045" s="5">
        <v>0.0</v>
      </c>
      <c r="R2045" s="5">
        <v>0.0</v>
      </c>
      <c r="S2045" s="5">
        <v>52.6159652024509</v>
      </c>
    </row>
    <row r="2046">
      <c r="A2046" s="6">
        <v>43322.0</v>
      </c>
      <c r="B2046" s="5">
        <v>61.8339224601911</v>
      </c>
      <c r="C2046" s="5">
        <v>-8.03560551284484</v>
      </c>
      <c r="D2046" s="5">
        <v>115.586657196969</v>
      </c>
      <c r="E2046" s="5">
        <v>61.8339224601911</v>
      </c>
      <c r="F2046" s="5">
        <v>61.8339224601911</v>
      </c>
      <c r="G2046" s="5">
        <v>-9.54420983328922</v>
      </c>
      <c r="H2046" s="5">
        <v>-9.54420983328922</v>
      </c>
      <c r="I2046" s="5">
        <v>-9.54420983328922</v>
      </c>
      <c r="J2046" s="5">
        <v>-1.5915505664908</v>
      </c>
      <c r="K2046" s="5">
        <v>-1.5915505664908</v>
      </c>
      <c r="L2046" s="5">
        <v>-1.5915505664908</v>
      </c>
      <c r="M2046" s="5">
        <v>-7.95265926679841</v>
      </c>
      <c r="N2046" s="5">
        <v>-7.95265926679841</v>
      </c>
      <c r="O2046" s="5">
        <v>-7.95265926679841</v>
      </c>
      <c r="P2046" s="5">
        <v>0.0</v>
      </c>
      <c r="Q2046" s="5">
        <v>0.0</v>
      </c>
      <c r="R2046" s="5">
        <v>0.0</v>
      </c>
      <c r="S2046" s="5">
        <v>52.2897126269019</v>
      </c>
    </row>
    <row r="2047">
      <c r="A2047" s="6">
        <v>43325.0</v>
      </c>
      <c r="B2047" s="5">
        <v>61.7585002237372</v>
      </c>
      <c r="C2047" s="5">
        <v>-9.70900283343529</v>
      </c>
      <c r="D2047" s="5">
        <v>122.114012726258</v>
      </c>
      <c r="E2047" s="5">
        <v>61.7585002237372</v>
      </c>
      <c r="F2047" s="5">
        <v>61.7585002237372</v>
      </c>
      <c r="G2047" s="5">
        <v>-6.39947281449491</v>
      </c>
      <c r="H2047" s="5">
        <v>-6.39947281449491</v>
      </c>
      <c r="I2047" s="5">
        <v>-6.39947281449491</v>
      </c>
      <c r="J2047" s="5">
        <v>0.0905589421220168</v>
      </c>
      <c r="K2047" s="5">
        <v>0.0905589421220168</v>
      </c>
      <c r="L2047" s="5">
        <v>0.0905589421220168</v>
      </c>
      <c r="M2047" s="5">
        <v>-6.49003175661693</v>
      </c>
      <c r="N2047" s="5">
        <v>-6.49003175661693</v>
      </c>
      <c r="O2047" s="5">
        <v>-6.49003175661693</v>
      </c>
      <c r="P2047" s="5">
        <v>0.0</v>
      </c>
      <c r="Q2047" s="5">
        <v>0.0</v>
      </c>
      <c r="R2047" s="5">
        <v>0.0</v>
      </c>
      <c r="S2047" s="5">
        <v>55.3590274092423</v>
      </c>
    </row>
    <row r="2048">
      <c r="A2048" s="6">
        <v>43326.0</v>
      </c>
      <c r="B2048" s="5">
        <v>61.7333594782525</v>
      </c>
      <c r="C2048" s="5">
        <v>-4.78684718210689</v>
      </c>
      <c r="D2048" s="5">
        <v>115.692732823796</v>
      </c>
      <c r="E2048" s="5">
        <v>61.7333594782525</v>
      </c>
      <c r="F2048" s="5">
        <v>61.7333594782525</v>
      </c>
      <c r="G2048" s="5">
        <v>-6.19964012461676</v>
      </c>
      <c r="H2048" s="5">
        <v>-6.19964012461676</v>
      </c>
      <c r="I2048" s="5">
        <v>-6.19964012461676</v>
      </c>
      <c r="J2048" s="5">
        <v>-0.144118857244389</v>
      </c>
      <c r="K2048" s="5">
        <v>-0.144118857244389</v>
      </c>
      <c r="L2048" s="5">
        <v>-0.144118857244389</v>
      </c>
      <c r="M2048" s="5">
        <v>-6.05552126737237</v>
      </c>
      <c r="N2048" s="5">
        <v>-6.05552126737237</v>
      </c>
      <c r="O2048" s="5">
        <v>-6.05552126737237</v>
      </c>
      <c r="P2048" s="5">
        <v>0.0</v>
      </c>
      <c r="Q2048" s="5">
        <v>0.0</v>
      </c>
      <c r="R2048" s="5">
        <v>0.0</v>
      </c>
      <c r="S2048" s="5">
        <v>55.5337193536358</v>
      </c>
    </row>
    <row r="2049">
      <c r="A2049" s="6">
        <v>43327.0</v>
      </c>
      <c r="B2049" s="5">
        <v>61.7082187327679</v>
      </c>
      <c r="C2049" s="5">
        <v>-9.52266839410865</v>
      </c>
      <c r="D2049" s="5">
        <v>115.711218051197</v>
      </c>
      <c r="E2049" s="5">
        <v>61.7082187327679</v>
      </c>
      <c r="F2049" s="5">
        <v>61.7082187327679</v>
      </c>
      <c r="G2049" s="5">
        <v>-5.65095925268993</v>
      </c>
      <c r="H2049" s="5">
        <v>-5.65095925268993</v>
      </c>
      <c r="I2049" s="5">
        <v>-5.65095925268993</v>
      </c>
      <c r="J2049" s="5">
        <v>0.00703780528110157</v>
      </c>
      <c r="K2049" s="5">
        <v>0.00703780528110157</v>
      </c>
      <c r="L2049" s="5">
        <v>0.00703780528110157</v>
      </c>
      <c r="M2049" s="5">
        <v>-5.65799705797103</v>
      </c>
      <c r="N2049" s="5">
        <v>-5.65799705797103</v>
      </c>
      <c r="O2049" s="5">
        <v>-5.65799705797103</v>
      </c>
      <c r="P2049" s="5">
        <v>0.0</v>
      </c>
      <c r="Q2049" s="5">
        <v>0.0</v>
      </c>
      <c r="R2049" s="5">
        <v>0.0</v>
      </c>
      <c r="S2049" s="5">
        <v>56.0572594800779</v>
      </c>
    </row>
    <row r="2050">
      <c r="A2050" s="6">
        <v>43328.0</v>
      </c>
      <c r="B2050" s="5">
        <v>61.6830779872832</v>
      </c>
      <c r="C2050" s="5">
        <v>-6.78393331308867</v>
      </c>
      <c r="D2050" s="5">
        <v>117.999370469574</v>
      </c>
      <c r="E2050" s="5">
        <v>61.6830779872832</v>
      </c>
      <c r="F2050" s="5">
        <v>61.6830779872832</v>
      </c>
      <c r="G2050" s="5">
        <v>-6.07814111603035</v>
      </c>
      <c r="H2050" s="5">
        <v>-6.07814111603035</v>
      </c>
      <c r="I2050" s="5">
        <v>-6.07814111603035</v>
      </c>
      <c r="J2050" s="5">
        <v>-0.776422525905175</v>
      </c>
      <c r="K2050" s="5">
        <v>-0.776422525905175</v>
      </c>
      <c r="L2050" s="5">
        <v>-0.776422525905175</v>
      </c>
      <c r="M2050" s="5">
        <v>-5.30171859012517</v>
      </c>
      <c r="N2050" s="5">
        <v>-5.30171859012517</v>
      </c>
      <c r="O2050" s="5">
        <v>-5.30171859012517</v>
      </c>
      <c r="P2050" s="5">
        <v>0.0</v>
      </c>
      <c r="Q2050" s="5">
        <v>0.0</v>
      </c>
      <c r="R2050" s="5">
        <v>0.0</v>
      </c>
      <c r="S2050" s="5">
        <v>55.6049368712529</v>
      </c>
    </row>
    <row r="2051">
      <c r="A2051" s="6">
        <v>43329.0</v>
      </c>
      <c r="B2051" s="5">
        <v>61.6579372417986</v>
      </c>
      <c r="C2051" s="5">
        <v>-12.0109034367015</v>
      </c>
      <c r="D2051" s="5">
        <v>116.698028577999</v>
      </c>
      <c r="E2051" s="5">
        <v>61.6579372417986</v>
      </c>
      <c r="F2051" s="5">
        <v>61.6579372417986</v>
      </c>
      <c r="G2051" s="5">
        <v>-6.58100634218315</v>
      </c>
      <c r="H2051" s="5">
        <v>-6.58100634218315</v>
      </c>
      <c r="I2051" s="5">
        <v>-6.58100634218315</v>
      </c>
      <c r="J2051" s="5">
        <v>-1.59155056649262</v>
      </c>
      <c r="K2051" s="5">
        <v>-1.59155056649262</v>
      </c>
      <c r="L2051" s="5">
        <v>-1.59155056649262</v>
      </c>
      <c r="M2051" s="5">
        <v>-4.98945577569053</v>
      </c>
      <c r="N2051" s="5">
        <v>-4.98945577569053</v>
      </c>
      <c r="O2051" s="5">
        <v>-4.98945577569053</v>
      </c>
      <c r="P2051" s="5">
        <v>0.0</v>
      </c>
      <c r="Q2051" s="5">
        <v>0.0</v>
      </c>
      <c r="R2051" s="5">
        <v>0.0</v>
      </c>
      <c r="S2051" s="5">
        <v>55.0769308996154</v>
      </c>
    </row>
    <row r="2052">
      <c r="A2052" s="6">
        <v>43332.0</v>
      </c>
      <c r="B2052" s="5">
        <v>61.5825150053446</v>
      </c>
      <c r="C2052" s="5">
        <v>-1.50988845621895</v>
      </c>
      <c r="D2052" s="5">
        <v>114.818203087675</v>
      </c>
      <c r="E2052" s="5">
        <v>61.5825150053446</v>
      </c>
      <c r="F2052" s="5">
        <v>61.5825150053446</v>
      </c>
      <c r="G2052" s="5">
        <v>-4.23115449712968</v>
      </c>
      <c r="H2052" s="5">
        <v>-4.23115449712968</v>
      </c>
      <c r="I2052" s="5">
        <v>-4.23115449712968</v>
      </c>
      <c r="J2052" s="5">
        <v>0.0905589421205792</v>
      </c>
      <c r="K2052" s="5">
        <v>0.0905589421205792</v>
      </c>
      <c r="L2052" s="5">
        <v>0.0905589421205792</v>
      </c>
      <c r="M2052" s="5">
        <v>-4.32171343925026</v>
      </c>
      <c r="N2052" s="5">
        <v>-4.32171343925026</v>
      </c>
      <c r="O2052" s="5">
        <v>-4.32171343925026</v>
      </c>
      <c r="P2052" s="5">
        <v>0.0</v>
      </c>
      <c r="Q2052" s="5">
        <v>0.0</v>
      </c>
      <c r="R2052" s="5">
        <v>0.0</v>
      </c>
      <c r="S2052" s="5">
        <v>57.3513605082149</v>
      </c>
    </row>
    <row r="2053">
      <c r="A2053" s="6">
        <v>43333.0</v>
      </c>
      <c r="B2053" s="5">
        <v>61.55737425986</v>
      </c>
      <c r="C2053" s="5">
        <v>-8.34199439747755</v>
      </c>
      <c r="D2053" s="5">
        <v>120.597679905315</v>
      </c>
      <c r="E2053" s="5">
        <v>61.55737425986</v>
      </c>
      <c r="F2053" s="5">
        <v>61.55737425986</v>
      </c>
      <c r="G2053" s="5">
        <v>-4.32732782187979</v>
      </c>
      <c r="H2053" s="5">
        <v>-4.32732782187979</v>
      </c>
      <c r="I2053" s="5">
        <v>-4.32732782187979</v>
      </c>
      <c r="J2053" s="5">
        <v>-0.144118857243301</v>
      </c>
      <c r="K2053" s="5">
        <v>-0.144118857243301</v>
      </c>
      <c r="L2053" s="5">
        <v>-0.144118857243301</v>
      </c>
      <c r="M2053" s="5">
        <v>-4.18320896463649</v>
      </c>
      <c r="N2053" s="5">
        <v>-4.18320896463649</v>
      </c>
      <c r="O2053" s="5">
        <v>-4.18320896463649</v>
      </c>
      <c r="P2053" s="5">
        <v>0.0</v>
      </c>
      <c r="Q2053" s="5">
        <v>0.0</v>
      </c>
      <c r="R2053" s="5">
        <v>0.0</v>
      </c>
      <c r="S2053" s="5">
        <v>57.2300464379802</v>
      </c>
    </row>
    <row r="2054">
      <c r="A2054" s="6">
        <v>43334.0</v>
      </c>
      <c r="B2054" s="5">
        <v>61.5322335143753</v>
      </c>
      <c r="C2054" s="5">
        <v>-2.75053748937872</v>
      </c>
      <c r="D2054" s="5">
        <v>121.27269658161</v>
      </c>
      <c r="E2054" s="5">
        <v>61.5322335143753</v>
      </c>
      <c r="F2054" s="5">
        <v>61.5322335143753</v>
      </c>
      <c r="G2054" s="5">
        <v>-4.07365448557379</v>
      </c>
      <c r="H2054" s="5">
        <v>-4.07365448557379</v>
      </c>
      <c r="I2054" s="5">
        <v>-4.07365448557379</v>
      </c>
      <c r="J2054" s="5">
        <v>0.00703780528340397</v>
      </c>
      <c r="K2054" s="5">
        <v>0.00703780528340397</v>
      </c>
      <c r="L2054" s="5">
        <v>0.00703780528340397</v>
      </c>
      <c r="M2054" s="5">
        <v>-4.0806922908572</v>
      </c>
      <c r="N2054" s="5">
        <v>-4.0806922908572</v>
      </c>
      <c r="O2054" s="5">
        <v>-4.0806922908572</v>
      </c>
      <c r="P2054" s="5">
        <v>0.0</v>
      </c>
      <c r="Q2054" s="5">
        <v>0.0</v>
      </c>
      <c r="R2054" s="5">
        <v>0.0</v>
      </c>
      <c r="S2054" s="5">
        <v>57.4585790288015</v>
      </c>
    </row>
    <row r="2055">
      <c r="A2055" s="6">
        <v>43335.0</v>
      </c>
      <c r="B2055" s="5">
        <v>61.5070927688907</v>
      </c>
      <c r="C2055" s="5">
        <v>-2.53432188923246</v>
      </c>
      <c r="D2055" s="5">
        <v>118.976246871006</v>
      </c>
      <c r="E2055" s="5">
        <v>61.5070927688907</v>
      </c>
      <c r="F2055" s="5">
        <v>61.5070927688907</v>
      </c>
      <c r="G2055" s="5">
        <v>-4.78535237445987</v>
      </c>
      <c r="H2055" s="5">
        <v>-4.78535237445987</v>
      </c>
      <c r="I2055" s="5">
        <v>-4.78535237445987</v>
      </c>
      <c r="J2055" s="5">
        <v>-0.776422525901672</v>
      </c>
      <c r="K2055" s="5">
        <v>-0.776422525901672</v>
      </c>
      <c r="L2055" s="5">
        <v>-0.776422525901672</v>
      </c>
      <c r="M2055" s="5">
        <v>-4.0089298485582</v>
      </c>
      <c r="N2055" s="5">
        <v>-4.0089298485582</v>
      </c>
      <c r="O2055" s="5">
        <v>-4.0089298485582</v>
      </c>
      <c r="P2055" s="5">
        <v>0.0</v>
      </c>
      <c r="Q2055" s="5">
        <v>0.0</v>
      </c>
      <c r="R2055" s="5">
        <v>0.0</v>
      </c>
      <c r="S2055" s="5">
        <v>56.7217403944308</v>
      </c>
    </row>
    <row r="2056">
      <c r="A2056" s="6">
        <v>43336.0</v>
      </c>
      <c r="B2056" s="5">
        <v>61.481952023406</v>
      </c>
      <c r="C2056" s="5">
        <v>-8.4810399886732</v>
      </c>
      <c r="D2056" s="5">
        <v>122.134608046896</v>
      </c>
      <c r="E2056" s="5">
        <v>61.481952023406</v>
      </c>
      <c r="F2056" s="5">
        <v>61.481952023406</v>
      </c>
      <c r="G2056" s="5">
        <v>-5.55346433735735</v>
      </c>
      <c r="H2056" s="5">
        <v>-5.55346433735735</v>
      </c>
      <c r="I2056" s="5">
        <v>-5.55346433735735</v>
      </c>
      <c r="J2056" s="5">
        <v>-1.59155056649507</v>
      </c>
      <c r="K2056" s="5">
        <v>-1.59155056649507</v>
      </c>
      <c r="L2056" s="5">
        <v>-1.59155056649507</v>
      </c>
      <c r="M2056" s="5">
        <v>-3.96191377086228</v>
      </c>
      <c r="N2056" s="5">
        <v>-3.96191377086228</v>
      </c>
      <c r="O2056" s="5">
        <v>-3.96191377086228</v>
      </c>
      <c r="P2056" s="5">
        <v>0.0</v>
      </c>
      <c r="Q2056" s="5">
        <v>0.0</v>
      </c>
      <c r="R2056" s="5">
        <v>0.0</v>
      </c>
      <c r="S2056" s="5">
        <v>55.9284876860487</v>
      </c>
    </row>
    <row r="2057">
      <c r="A2057" s="6">
        <v>43339.0</v>
      </c>
      <c r="B2057" s="5">
        <v>61.4065297869521</v>
      </c>
      <c r="C2057" s="5">
        <v>-7.52208545204353</v>
      </c>
      <c r="D2057" s="5">
        <v>120.653113498471</v>
      </c>
      <c r="E2057" s="5">
        <v>61.4065297869521</v>
      </c>
      <c r="F2057" s="5">
        <v>61.4065297869521</v>
      </c>
      <c r="G2057" s="5">
        <v>-3.81232938714906</v>
      </c>
      <c r="H2057" s="5">
        <v>-3.81232938714906</v>
      </c>
      <c r="I2057" s="5">
        <v>-3.81232938714906</v>
      </c>
      <c r="J2057" s="5">
        <v>0.0905589421215257</v>
      </c>
      <c r="K2057" s="5">
        <v>0.0905589421215257</v>
      </c>
      <c r="L2057" s="5">
        <v>0.0905589421215257</v>
      </c>
      <c r="M2057" s="5">
        <v>-3.90288832927059</v>
      </c>
      <c r="N2057" s="5">
        <v>-3.90288832927059</v>
      </c>
      <c r="O2057" s="5">
        <v>-3.90288832927059</v>
      </c>
      <c r="P2057" s="5">
        <v>0.0</v>
      </c>
      <c r="Q2057" s="5">
        <v>0.0</v>
      </c>
      <c r="R2057" s="5">
        <v>0.0</v>
      </c>
      <c r="S2057" s="5">
        <v>57.594200399803</v>
      </c>
    </row>
    <row r="2058">
      <c r="A2058" s="6">
        <v>43340.0</v>
      </c>
      <c r="B2058" s="5">
        <v>61.3813890414674</v>
      </c>
      <c r="C2058" s="5">
        <v>-0.780538311693292</v>
      </c>
      <c r="D2058" s="5">
        <v>121.687278710895</v>
      </c>
      <c r="E2058" s="5">
        <v>61.3813890414674</v>
      </c>
      <c r="F2058" s="5">
        <v>61.3813890414674</v>
      </c>
      <c r="G2058" s="5">
        <v>-4.03223937439738</v>
      </c>
      <c r="H2058" s="5">
        <v>-4.03223937439738</v>
      </c>
      <c r="I2058" s="5">
        <v>-4.03223937439738</v>
      </c>
      <c r="J2058" s="5">
        <v>-0.144118857246151</v>
      </c>
      <c r="K2058" s="5">
        <v>-0.144118857246151</v>
      </c>
      <c r="L2058" s="5">
        <v>-0.144118857246151</v>
      </c>
      <c r="M2058" s="5">
        <v>-3.88812051715123</v>
      </c>
      <c r="N2058" s="5">
        <v>-3.88812051715123</v>
      </c>
      <c r="O2058" s="5">
        <v>-3.88812051715123</v>
      </c>
      <c r="P2058" s="5">
        <v>0.0</v>
      </c>
      <c r="Q2058" s="5">
        <v>0.0</v>
      </c>
      <c r="R2058" s="5">
        <v>0.0</v>
      </c>
      <c r="S2058" s="5">
        <v>57.34914966707</v>
      </c>
    </row>
    <row r="2059">
      <c r="A2059" s="6">
        <v>43341.0</v>
      </c>
      <c r="B2059" s="5">
        <v>61.3562482959828</v>
      </c>
      <c r="C2059" s="5">
        <v>-9.8354179616289</v>
      </c>
      <c r="D2059" s="5">
        <v>114.058316265508</v>
      </c>
      <c r="E2059" s="5">
        <v>61.3562482959828</v>
      </c>
      <c r="F2059" s="5">
        <v>61.3562482959828</v>
      </c>
      <c r="G2059" s="5">
        <v>-3.85832913993085</v>
      </c>
      <c r="H2059" s="5">
        <v>-3.85832913993085</v>
      </c>
      <c r="I2059" s="5">
        <v>-3.85832913993085</v>
      </c>
      <c r="J2059" s="5">
        <v>0.00703780528255155</v>
      </c>
      <c r="K2059" s="5">
        <v>0.00703780528255155</v>
      </c>
      <c r="L2059" s="5">
        <v>0.00703780528255155</v>
      </c>
      <c r="M2059" s="5">
        <v>-3.8653669452134</v>
      </c>
      <c r="N2059" s="5">
        <v>-3.8653669452134</v>
      </c>
      <c r="O2059" s="5">
        <v>-3.8653669452134</v>
      </c>
      <c r="P2059" s="5">
        <v>0.0</v>
      </c>
      <c r="Q2059" s="5">
        <v>0.0</v>
      </c>
      <c r="R2059" s="5">
        <v>0.0</v>
      </c>
      <c r="S2059" s="5">
        <v>57.4979191560519</v>
      </c>
    </row>
    <row r="2060">
      <c r="A2060" s="6">
        <v>43342.0</v>
      </c>
      <c r="B2060" s="5">
        <v>61.3311075504981</v>
      </c>
      <c r="C2060" s="5">
        <v>-7.21694711864959</v>
      </c>
      <c r="D2060" s="5">
        <v>116.734758030841</v>
      </c>
      <c r="E2060" s="5">
        <v>61.3311075504981</v>
      </c>
      <c r="F2060" s="5">
        <v>61.3311075504981</v>
      </c>
      <c r="G2060" s="5">
        <v>-4.60577028427077</v>
      </c>
      <c r="H2060" s="5">
        <v>-4.60577028427077</v>
      </c>
      <c r="I2060" s="5">
        <v>-4.60577028427077</v>
      </c>
      <c r="J2060" s="5">
        <v>-0.776422525903769</v>
      </c>
      <c r="K2060" s="5">
        <v>-0.776422525903769</v>
      </c>
      <c r="L2060" s="5">
        <v>-0.776422525903769</v>
      </c>
      <c r="M2060" s="5">
        <v>-3.829347758367</v>
      </c>
      <c r="N2060" s="5">
        <v>-3.829347758367</v>
      </c>
      <c r="O2060" s="5">
        <v>-3.829347758367</v>
      </c>
      <c r="P2060" s="5">
        <v>0.0</v>
      </c>
      <c r="Q2060" s="5">
        <v>0.0</v>
      </c>
      <c r="R2060" s="5">
        <v>0.0</v>
      </c>
      <c r="S2060" s="5">
        <v>56.7253372662273</v>
      </c>
    </row>
    <row r="2061">
      <c r="A2061" s="6">
        <v>43343.0</v>
      </c>
      <c r="B2061" s="5">
        <v>61.3059668050135</v>
      </c>
      <c r="C2061" s="5">
        <v>-9.04378009280214</v>
      </c>
      <c r="D2061" s="5">
        <v>115.415452537636</v>
      </c>
      <c r="E2061" s="5">
        <v>61.3059668050135</v>
      </c>
      <c r="F2061" s="5">
        <v>61.3059668050135</v>
      </c>
      <c r="G2061" s="5">
        <v>-5.36729221141122</v>
      </c>
      <c r="H2061" s="5">
        <v>-5.36729221141122</v>
      </c>
      <c r="I2061" s="5">
        <v>-5.36729221141122</v>
      </c>
      <c r="J2061" s="5">
        <v>-1.59155056649383</v>
      </c>
      <c r="K2061" s="5">
        <v>-1.59155056649383</v>
      </c>
      <c r="L2061" s="5">
        <v>-1.59155056649383</v>
      </c>
      <c r="M2061" s="5">
        <v>-3.77574164491738</v>
      </c>
      <c r="N2061" s="5">
        <v>-3.77574164491738</v>
      </c>
      <c r="O2061" s="5">
        <v>-3.77574164491738</v>
      </c>
      <c r="P2061" s="5">
        <v>0.0</v>
      </c>
      <c r="Q2061" s="5">
        <v>0.0</v>
      </c>
      <c r="R2061" s="5">
        <v>0.0</v>
      </c>
      <c r="S2061" s="5">
        <v>55.9386745936023</v>
      </c>
    </row>
    <row r="2062">
      <c r="A2062" s="6">
        <v>43347.0</v>
      </c>
      <c r="B2062" s="5">
        <v>61.2054038230749</v>
      </c>
      <c r="C2062" s="5">
        <v>-7.71718662437536</v>
      </c>
      <c r="D2062" s="5">
        <v>125.11755879287</v>
      </c>
      <c r="E2062" s="5">
        <v>61.2054038230749</v>
      </c>
      <c r="F2062" s="5">
        <v>61.2054038230749</v>
      </c>
      <c r="G2062" s="5">
        <v>-3.48523377102182</v>
      </c>
      <c r="H2062" s="5">
        <v>-3.48523377102182</v>
      </c>
      <c r="I2062" s="5">
        <v>-3.48523377102182</v>
      </c>
      <c r="J2062" s="5">
        <v>-0.144118857242539</v>
      </c>
      <c r="K2062" s="5">
        <v>-0.144118857242539</v>
      </c>
      <c r="L2062" s="5">
        <v>-0.144118857242539</v>
      </c>
      <c r="M2062" s="5">
        <v>-3.34111491377928</v>
      </c>
      <c r="N2062" s="5">
        <v>-3.34111491377928</v>
      </c>
      <c r="O2062" s="5">
        <v>-3.34111491377928</v>
      </c>
      <c r="P2062" s="5">
        <v>0.0</v>
      </c>
      <c r="Q2062" s="5">
        <v>0.0</v>
      </c>
      <c r="R2062" s="5">
        <v>0.0</v>
      </c>
      <c r="S2062" s="5">
        <v>57.7201700520531</v>
      </c>
    </row>
    <row r="2063">
      <c r="A2063" s="6">
        <v>43348.0</v>
      </c>
      <c r="B2063" s="5">
        <v>61.1802630775902</v>
      </c>
      <c r="C2063" s="5">
        <v>-9.46928454928985</v>
      </c>
      <c r="D2063" s="5">
        <v>119.86348642918</v>
      </c>
      <c r="E2063" s="5">
        <v>61.1802630775902</v>
      </c>
      <c r="F2063" s="5">
        <v>61.1802630775902</v>
      </c>
      <c r="G2063" s="5">
        <v>-3.17102792453607</v>
      </c>
      <c r="H2063" s="5">
        <v>-3.17102792453607</v>
      </c>
      <c r="I2063" s="5">
        <v>-3.17102792453607</v>
      </c>
      <c r="J2063" s="5">
        <v>0.00703780528169897</v>
      </c>
      <c r="K2063" s="5">
        <v>0.00703780528169897</v>
      </c>
      <c r="L2063" s="5">
        <v>0.00703780528169897</v>
      </c>
      <c r="M2063" s="5">
        <v>-3.17806572981777</v>
      </c>
      <c r="N2063" s="5">
        <v>-3.17806572981777</v>
      </c>
      <c r="O2063" s="5">
        <v>-3.17806572981777</v>
      </c>
      <c r="P2063" s="5">
        <v>0.0</v>
      </c>
      <c r="Q2063" s="5">
        <v>0.0</v>
      </c>
      <c r="R2063" s="5">
        <v>0.0</v>
      </c>
      <c r="S2063" s="5">
        <v>58.0092351530542</v>
      </c>
    </row>
    <row r="2064">
      <c r="A2064" s="6">
        <v>43349.0</v>
      </c>
      <c r="B2064" s="5">
        <v>61.1551223321056</v>
      </c>
      <c r="C2064" s="5">
        <v>-6.8082315206617</v>
      </c>
      <c r="D2064" s="5">
        <v>124.734280036017</v>
      </c>
      <c r="E2064" s="5">
        <v>61.1551223321056</v>
      </c>
      <c r="F2064" s="5">
        <v>61.1551223321056</v>
      </c>
      <c r="G2064" s="5">
        <v>-3.77472526623587</v>
      </c>
      <c r="H2064" s="5">
        <v>-3.77472526623587</v>
      </c>
      <c r="I2064" s="5">
        <v>-3.77472526623587</v>
      </c>
      <c r="J2064" s="5">
        <v>-0.776422525904491</v>
      </c>
      <c r="K2064" s="5">
        <v>-0.776422525904491</v>
      </c>
      <c r="L2064" s="5">
        <v>-0.776422525904491</v>
      </c>
      <c r="M2064" s="5">
        <v>-2.99830274033138</v>
      </c>
      <c r="N2064" s="5">
        <v>-2.99830274033138</v>
      </c>
      <c r="O2064" s="5">
        <v>-2.99830274033138</v>
      </c>
      <c r="P2064" s="5">
        <v>0.0</v>
      </c>
      <c r="Q2064" s="5">
        <v>0.0</v>
      </c>
      <c r="R2064" s="5">
        <v>0.0</v>
      </c>
      <c r="S2064" s="5">
        <v>57.3803970658697</v>
      </c>
    </row>
    <row r="2065">
      <c r="A2065" s="6">
        <v>43350.0</v>
      </c>
      <c r="B2065" s="5">
        <v>61.1299815866209</v>
      </c>
      <c r="C2065" s="5">
        <v>-7.01110134258483</v>
      </c>
      <c r="D2065" s="5">
        <v>119.381174497361</v>
      </c>
      <c r="E2065" s="5">
        <v>61.1299815866209</v>
      </c>
      <c r="F2065" s="5">
        <v>61.1299815866209</v>
      </c>
      <c r="G2065" s="5">
        <v>-4.39812225819376</v>
      </c>
      <c r="H2065" s="5">
        <v>-4.39812225819376</v>
      </c>
      <c r="I2065" s="5">
        <v>-4.39812225819376</v>
      </c>
      <c r="J2065" s="5">
        <v>-1.59155056649534</v>
      </c>
      <c r="K2065" s="5">
        <v>-1.59155056649534</v>
      </c>
      <c r="L2065" s="5">
        <v>-1.59155056649534</v>
      </c>
      <c r="M2065" s="5">
        <v>-2.80657169169842</v>
      </c>
      <c r="N2065" s="5">
        <v>-2.80657169169842</v>
      </c>
      <c r="O2065" s="5">
        <v>-2.80657169169842</v>
      </c>
      <c r="P2065" s="5">
        <v>0.0</v>
      </c>
      <c r="Q2065" s="5">
        <v>0.0</v>
      </c>
      <c r="R2065" s="5">
        <v>0.0</v>
      </c>
      <c r="S2065" s="5">
        <v>56.7318593284272</v>
      </c>
    </row>
    <row r="2066">
      <c r="A2066" s="6">
        <v>43353.0</v>
      </c>
      <c r="B2066" s="5">
        <v>61.054559350167</v>
      </c>
      <c r="C2066" s="5">
        <v>-4.1511500359957</v>
      </c>
      <c r="D2066" s="5">
        <v>125.035193885935</v>
      </c>
      <c r="E2066" s="5">
        <v>61.054559350167</v>
      </c>
      <c r="F2066" s="5">
        <v>61.054559350167</v>
      </c>
      <c r="G2066" s="5">
        <v>-2.13118978820119</v>
      </c>
      <c r="H2066" s="5">
        <v>-2.13118978820119</v>
      </c>
      <c r="I2066" s="5">
        <v>-2.13118978820119</v>
      </c>
      <c r="J2066" s="5">
        <v>0.0905589421235788</v>
      </c>
      <c r="K2066" s="5">
        <v>0.0905589421235788</v>
      </c>
      <c r="L2066" s="5">
        <v>0.0905589421235788</v>
      </c>
      <c r="M2066" s="5">
        <v>-2.22174873032477</v>
      </c>
      <c r="N2066" s="5">
        <v>-2.22174873032477</v>
      </c>
      <c r="O2066" s="5">
        <v>-2.22174873032477</v>
      </c>
      <c r="P2066" s="5">
        <v>0.0</v>
      </c>
      <c r="Q2066" s="5">
        <v>0.0</v>
      </c>
      <c r="R2066" s="5">
        <v>0.0</v>
      </c>
      <c r="S2066" s="5">
        <v>58.9233695619658</v>
      </c>
    </row>
    <row r="2067">
      <c r="A2067" s="6">
        <v>43354.0</v>
      </c>
      <c r="B2067" s="5">
        <v>61.0294186046823</v>
      </c>
      <c r="C2067" s="5">
        <v>-2.91807903495004</v>
      </c>
      <c r="D2067" s="5">
        <v>121.419096973485</v>
      </c>
      <c r="E2067" s="5">
        <v>61.0294186046823</v>
      </c>
      <c r="F2067" s="5">
        <v>61.0294186046823</v>
      </c>
      <c r="G2067" s="5">
        <v>-2.19182684128152</v>
      </c>
      <c r="H2067" s="5">
        <v>-2.19182684128152</v>
      </c>
      <c r="I2067" s="5">
        <v>-2.19182684128152</v>
      </c>
      <c r="J2067" s="5">
        <v>-0.144118857243975</v>
      </c>
      <c r="K2067" s="5">
        <v>-0.144118857243975</v>
      </c>
      <c r="L2067" s="5">
        <v>-0.144118857243975</v>
      </c>
      <c r="M2067" s="5">
        <v>-2.04770798403754</v>
      </c>
      <c r="N2067" s="5">
        <v>-2.04770798403754</v>
      </c>
      <c r="O2067" s="5">
        <v>-2.04770798403754</v>
      </c>
      <c r="P2067" s="5">
        <v>0.0</v>
      </c>
      <c r="Q2067" s="5">
        <v>0.0</v>
      </c>
      <c r="R2067" s="5">
        <v>0.0</v>
      </c>
      <c r="S2067" s="5">
        <v>58.8375917634008</v>
      </c>
    </row>
    <row r="2068">
      <c r="A2068" s="6">
        <v>43355.0</v>
      </c>
      <c r="B2068" s="5">
        <v>61.0042778591977</v>
      </c>
      <c r="C2068" s="5">
        <v>-2.50627125766637</v>
      </c>
      <c r="D2068" s="5">
        <v>122.713770567504</v>
      </c>
      <c r="E2068" s="5">
        <v>61.0042778591977</v>
      </c>
      <c r="F2068" s="5">
        <v>61.0042778591977</v>
      </c>
      <c r="G2068" s="5">
        <v>-1.88992946418877</v>
      </c>
      <c r="H2068" s="5">
        <v>-1.88992946418877</v>
      </c>
      <c r="I2068" s="5">
        <v>-1.88992946418877</v>
      </c>
      <c r="J2068" s="5">
        <v>0.00703780528084634</v>
      </c>
      <c r="K2068" s="5">
        <v>0.00703780528084634</v>
      </c>
      <c r="L2068" s="5">
        <v>0.00703780528084634</v>
      </c>
      <c r="M2068" s="5">
        <v>-1.89696726946962</v>
      </c>
      <c r="N2068" s="5">
        <v>-1.89696726946962</v>
      </c>
      <c r="O2068" s="5">
        <v>-1.89696726946962</v>
      </c>
      <c r="P2068" s="5">
        <v>0.0</v>
      </c>
      <c r="Q2068" s="5">
        <v>0.0</v>
      </c>
      <c r="R2068" s="5">
        <v>0.0</v>
      </c>
      <c r="S2068" s="5">
        <v>59.1143483950089</v>
      </c>
    </row>
    <row r="2069">
      <c r="A2069" s="6">
        <v>43356.0</v>
      </c>
      <c r="B2069" s="5">
        <v>60.979137113713</v>
      </c>
      <c r="C2069" s="5">
        <v>-3.68993066915559</v>
      </c>
      <c r="D2069" s="5">
        <v>123.322069879902</v>
      </c>
      <c r="E2069" s="5">
        <v>60.979137113713</v>
      </c>
      <c r="F2069" s="5">
        <v>60.979137113713</v>
      </c>
      <c r="G2069" s="5">
        <v>-2.55354474719418</v>
      </c>
      <c r="H2069" s="5">
        <v>-2.55354474719418</v>
      </c>
      <c r="I2069" s="5">
        <v>-2.55354474719418</v>
      </c>
      <c r="J2069" s="5">
        <v>-0.776422525903738</v>
      </c>
      <c r="K2069" s="5">
        <v>-0.776422525903738</v>
      </c>
      <c r="L2069" s="5">
        <v>-0.776422525903738</v>
      </c>
      <c r="M2069" s="5">
        <v>-1.77712222129044</v>
      </c>
      <c r="N2069" s="5">
        <v>-1.77712222129044</v>
      </c>
      <c r="O2069" s="5">
        <v>-1.77712222129044</v>
      </c>
      <c r="P2069" s="5">
        <v>0.0</v>
      </c>
      <c r="Q2069" s="5">
        <v>0.0</v>
      </c>
      <c r="R2069" s="5">
        <v>0.0</v>
      </c>
      <c r="S2069" s="5">
        <v>58.4255923665188</v>
      </c>
    </row>
    <row r="2070">
      <c r="A2070" s="6">
        <v>43357.0</v>
      </c>
      <c r="B2070" s="5">
        <v>60.9539963682284</v>
      </c>
      <c r="C2070" s="5">
        <v>-0.106197589649684</v>
      </c>
      <c r="D2070" s="5">
        <v>124.290816333859</v>
      </c>
      <c r="E2070" s="5">
        <v>60.9539963682284</v>
      </c>
      <c r="F2070" s="5">
        <v>60.9539963682284</v>
      </c>
      <c r="G2070" s="5">
        <v>-3.28683452229724</v>
      </c>
      <c r="H2070" s="5">
        <v>-3.28683452229724</v>
      </c>
      <c r="I2070" s="5">
        <v>-3.28683452229724</v>
      </c>
      <c r="J2070" s="5">
        <v>-1.59155056649441</v>
      </c>
      <c r="K2070" s="5">
        <v>-1.59155056649441</v>
      </c>
      <c r="L2070" s="5">
        <v>-1.59155056649441</v>
      </c>
      <c r="M2070" s="5">
        <v>-1.69528395580283</v>
      </c>
      <c r="N2070" s="5">
        <v>-1.69528395580283</v>
      </c>
      <c r="O2070" s="5">
        <v>-1.69528395580283</v>
      </c>
      <c r="P2070" s="5">
        <v>0.0</v>
      </c>
      <c r="Q2070" s="5">
        <v>0.0</v>
      </c>
      <c r="R2070" s="5">
        <v>0.0</v>
      </c>
      <c r="S2070" s="5">
        <v>57.6671618459311</v>
      </c>
    </row>
    <row r="2071">
      <c r="A2071" s="6">
        <v>43360.0</v>
      </c>
      <c r="B2071" s="5">
        <v>60.8785741317744</v>
      </c>
      <c r="C2071" s="5">
        <v>-2.30113973212863</v>
      </c>
      <c r="D2071" s="5">
        <v>117.767042618241</v>
      </c>
      <c r="E2071" s="5">
        <v>60.8785741317744</v>
      </c>
      <c r="F2071" s="5">
        <v>60.8785741317744</v>
      </c>
      <c r="G2071" s="5">
        <v>-1.64521282099223</v>
      </c>
      <c r="H2071" s="5">
        <v>-1.64521282099223</v>
      </c>
      <c r="I2071" s="5">
        <v>-1.64521282099223</v>
      </c>
      <c r="J2071" s="5">
        <v>0.0905589421197575</v>
      </c>
      <c r="K2071" s="5">
        <v>0.0905589421197575</v>
      </c>
      <c r="L2071" s="5">
        <v>0.0905589421197575</v>
      </c>
      <c r="M2071" s="5">
        <v>-1.73577176311199</v>
      </c>
      <c r="N2071" s="5">
        <v>-1.73577176311199</v>
      </c>
      <c r="O2071" s="5">
        <v>-1.73577176311199</v>
      </c>
      <c r="P2071" s="5">
        <v>0.0</v>
      </c>
      <c r="Q2071" s="5">
        <v>0.0</v>
      </c>
      <c r="R2071" s="5">
        <v>0.0</v>
      </c>
      <c r="S2071" s="5">
        <v>59.2333613107822</v>
      </c>
    </row>
    <row r="2072">
      <c r="A2072" s="6">
        <v>43361.0</v>
      </c>
      <c r="B2072" s="5">
        <v>60.8534333862898</v>
      </c>
      <c r="C2072" s="5">
        <v>-2.85663059373426</v>
      </c>
      <c r="D2072" s="5">
        <v>120.057107226904</v>
      </c>
      <c r="E2072" s="5">
        <v>60.8534333862898</v>
      </c>
      <c r="F2072" s="5">
        <v>60.8534333862898</v>
      </c>
      <c r="G2072" s="5">
        <v>-2.00189621047336</v>
      </c>
      <c r="H2072" s="5">
        <v>-2.00189621047336</v>
      </c>
      <c r="I2072" s="5">
        <v>-2.00189621047336</v>
      </c>
      <c r="J2072" s="5">
        <v>-0.144118857246825</v>
      </c>
      <c r="K2072" s="5">
        <v>-0.144118857246825</v>
      </c>
      <c r="L2072" s="5">
        <v>-0.144118857246825</v>
      </c>
      <c r="M2072" s="5">
        <v>-1.85777735322653</v>
      </c>
      <c r="N2072" s="5">
        <v>-1.85777735322653</v>
      </c>
      <c r="O2072" s="5">
        <v>-1.85777735322653</v>
      </c>
      <c r="P2072" s="5">
        <v>0.0</v>
      </c>
      <c r="Q2072" s="5">
        <v>0.0</v>
      </c>
      <c r="R2072" s="5">
        <v>0.0</v>
      </c>
      <c r="S2072" s="5">
        <v>58.8515371758164</v>
      </c>
    </row>
    <row r="2073">
      <c r="A2073" s="6">
        <v>43362.0</v>
      </c>
      <c r="B2073" s="5">
        <v>60.8282926408051</v>
      </c>
      <c r="C2073" s="5">
        <v>-2.75182099612701</v>
      </c>
      <c r="D2073" s="5">
        <v>122.425267174786</v>
      </c>
      <c r="E2073" s="5">
        <v>60.8282926408051</v>
      </c>
      <c r="F2073" s="5">
        <v>60.8282926408051</v>
      </c>
      <c r="G2073" s="5">
        <v>-2.02978334162978</v>
      </c>
      <c r="H2073" s="5">
        <v>-2.02978334162978</v>
      </c>
      <c r="I2073" s="5">
        <v>-2.02978334162978</v>
      </c>
      <c r="J2073" s="5">
        <v>0.00703780528314888</v>
      </c>
      <c r="K2073" s="5">
        <v>0.00703780528314888</v>
      </c>
      <c r="L2073" s="5">
        <v>0.00703780528314888</v>
      </c>
      <c r="M2073" s="5">
        <v>-2.03682114691293</v>
      </c>
      <c r="N2073" s="5">
        <v>-2.03682114691293</v>
      </c>
      <c r="O2073" s="5">
        <v>-2.03682114691293</v>
      </c>
      <c r="P2073" s="5">
        <v>0.0</v>
      </c>
      <c r="Q2073" s="5">
        <v>0.0</v>
      </c>
      <c r="R2073" s="5">
        <v>0.0</v>
      </c>
      <c r="S2073" s="5">
        <v>58.7985092991753</v>
      </c>
    </row>
    <row r="2074">
      <c r="A2074" s="6">
        <v>43363.0</v>
      </c>
      <c r="B2074" s="5">
        <v>60.8031518953205</v>
      </c>
      <c r="C2074" s="5">
        <v>1.2523963269373</v>
      </c>
      <c r="D2074" s="5">
        <v>123.513687262092</v>
      </c>
      <c r="E2074" s="5">
        <v>60.8031518953205</v>
      </c>
      <c r="F2074" s="5">
        <v>60.8031518953205</v>
      </c>
      <c r="G2074" s="5">
        <v>-3.04838967727476</v>
      </c>
      <c r="H2074" s="5">
        <v>-3.04838967727476</v>
      </c>
      <c r="I2074" s="5">
        <v>-3.04838967727476</v>
      </c>
      <c r="J2074" s="5">
        <v>-0.776422525900235</v>
      </c>
      <c r="K2074" s="5">
        <v>-0.776422525900235</v>
      </c>
      <c r="L2074" s="5">
        <v>-0.776422525900235</v>
      </c>
      <c r="M2074" s="5">
        <v>-2.27196715137452</v>
      </c>
      <c r="N2074" s="5">
        <v>-2.27196715137452</v>
      </c>
      <c r="O2074" s="5">
        <v>-2.27196715137452</v>
      </c>
      <c r="P2074" s="5">
        <v>0.0</v>
      </c>
      <c r="Q2074" s="5">
        <v>0.0</v>
      </c>
      <c r="R2074" s="5">
        <v>0.0</v>
      </c>
      <c r="S2074" s="5">
        <v>57.7547622180457</v>
      </c>
    </row>
    <row r="2075">
      <c r="A2075" s="6">
        <v>43364.0</v>
      </c>
      <c r="B2075" s="5">
        <v>60.7780111498358</v>
      </c>
      <c r="C2075" s="5">
        <v>-9.45613740802509</v>
      </c>
      <c r="D2075" s="5">
        <v>115.641108294555</v>
      </c>
      <c r="E2075" s="5">
        <v>60.7780111498358</v>
      </c>
      <c r="F2075" s="5">
        <v>60.7780111498358</v>
      </c>
      <c r="G2075" s="5">
        <v>-4.1519679695698</v>
      </c>
      <c r="H2075" s="5">
        <v>-4.1519679695698</v>
      </c>
      <c r="I2075" s="5">
        <v>-4.1519679695698</v>
      </c>
      <c r="J2075" s="5">
        <v>-1.59155056649317</v>
      </c>
      <c r="K2075" s="5">
        <v>-1.59155056649317</v>
      </c>
      <c r="L2075" s="5">
        <v>-1.59155056649317</v>
      </c>
      <c r="M2075" s="5">
        <v>-2.56041740307662</v>
      </c>
      <c r="N2075" s="5">
        <v>-2.56041740307662</v>
      </c>
      <c r="O2075" s="5">
        <v>-2.56041740307662</v>
      </c>
      <c r="P2075" s="5">
        <v>0.0</v>
      </c>
      <c r="Q2075" s="5">
        <v>0.0</v>
      </c>
      <c r="R2075" s="5">
        <v>0.0</v>
      </c>
      <c r="S2075" s="5">
        <v>56.626043180266</v>
      </c>
    </row>
    <row r="2076">
      <c r="A2076" s="6">
        <v>43367.0</v>
      </c>
      <c r="B2076" s="5">
        <v>60.7025889133819</v>
      </c>
      <c r="C2076" s="5">
        <v>-8.7014431508017</v>
      </c>
      <c r="D2076" s="5">
        <v>116.034312838372</v>
      </c>
      <c r="E2076" s="5">
        <v>60.7025889133819</v>
      </c>
      <c r="F2076" s="5">
        <v>60.7025889133819</v>
      </c>
      <c r="G2076" s="5">
        <v>-3.59916231071735</v>
      </c>
      <c r="H2076" s="5">
        <v>-3.59916231071735</v>
      </c>
      <c r="I2076" s="5">
        <v>-3.59916231071735</v>
      </c>
      <c r="J2076" s="5">
        <v>0.0905589421231679</v>
      </c>
      <c r="K2076" s="5">
        <v>0.0905589421231679</v>
      </c>
      <c r="L2076" s="5">
        <v>0.0905589421231679</v>
      </c>
      <c r="M2076" s="5">
        <v>-3.68972125284052</v>
      </c>
      <c r="N2076" s="5">
        <v>-3.68972125284052</v>
      </c>
      <c r="O2076" s="5">
        <v>-3.68972125284052</v>
      </c>
      <c r="P2076" s="5">
        <v>0.0</v>
      </c>
      <c r="Q2076" s="5">
        <v>0.0</v>
      </c>
      <c r="R2076" s="5">
        <v>0.0</v>
      </c>
      <c r="S2076" s="5">
        <v>57.1034266026645</v>
      </c>
    </row>
    <row r="2077">
      <c r="A2077" s="6">
        <v>43368.0</v>
      </c>
      <c r="B2077" s="5">
        <v>60.6774481678972</v>
      </c>
      <c r="C2077" s="5">
        <v>-9.6076811650711</v>
      </c>
      <c r="D2077" s="5">
        <v>119.617056938429</v>
      </c>
      <c r="E2077" s="5">
        <v>60.6774481678972</v>
      </c>
      <c r="F2077" s="5">
        <v>60.6774481678972</v>
      </c>
      <c r="G2077" s="5">
        <v>-4.27087605574754</v>
      </c>
      <c r="H2077" s="5">
        <v>-4.27087605574754</v>
      </c>
      <c r="I2077" s="5">
        <v>-4.27087605574754</v>
      </c>
      <c r="J2077" s="5">
        <v>-0.144118857245736</v>
      </c>
      <c r="K2077" s="5">
        <v>-0.144118857245736</v>
      </c>
      <c r="L2077" s="5">
        <v>-0.144118857245736</v>
      </c>
      <c r="M2077" s="5">
        <v>-4.1267571985018</v>
      </c>
      <c r="N2077" s="5">
        <v>-4.1267571985018</v>
      </c>
      <c r="O2077" s="5">
        <v>-4.1267571985018</v>
      </c>
      <c r="P2077" s="5">
        <v>0.0</v>
      </c>
      <c r="Q2077" s="5">
        <v>0.0</v>
      </c>
      <c r="R2077" s="5">
        <v>0.0</v>
      </c>
      <c r="S2077" s="5">
        <v>56.4065721121497</v>
      </c>
    </row>
    <row r="2078">
      <c r="A2078" s="6">
        <v>43369.0</v>
      </c>
      <c r="B2078" s="5">
        <v>60.6523074224126</v>
      </c>
      <c r="C2078" s="5">
        <v>-8.76520607120448</v>
      </c>
      <c r="D2078" s="5">
        <v>120.165507402882</v>
      </c>
      <c r="E2078" s="5">
        <v>60.6523074224126</v>
      </c>
      <c r="F2078" s="5">
        <v>60.6523074224126</v>
      </c>
      <c r="G2078" s="5">
        <v>-4.5695098039682</v>
      </c>
      <c r="H2078" s="5">
        <v>-4.5695098039682</v>
      </c>
      <c r="I2078" s="5">
        <v>-4.5695098039682</v>
      </c>
      <c r="J2078" s="5">
        <v>0.00703780528013274</v>
      </c>
      <c r="K2078" s="5">
        <v>0.00703780528013274</v>
      </c>
      <c r="L2078" s="5">
        <v>0.00703780528013274</v>
      </c>
      <c r="M2078" s="5">
        <v>-4.57654760924833</v>
      </c>
      <c r="N2078" s="5">
        <v>-4.57654760924833</v>
      </c>
      <c r="O2078" s="5">
        <v>-4.57654760924833</v>
      </c>
      <c r="P2078" s="5">
        <v>0.0</v>
      </c>
      <c r="Q2078" s="5">
        <v>0.0</v>
      </c>
      <c r="R2078" s="5">
        <v>0.0</v>
      </c>
      <c r="S2078" s="5">
        <v>56.0827976184444</v>
      </c>
    </row>
    <row r="2079">
      <c r="A2079" s="6">
        <v>43370.0</v>
      </c>
      <c r="B2079" s="5">
        <v>60.6271666769279</v>
      </c>
      <c r="C2079" s="5">
        <v>-8.51935798521827</v>
      </c>
      <c r="D2079" s="5">
        <v>118.599364644653</v>
      </c>
      <c r="E2079" s="5">
        <v>60.6271666769279</v>
      </c>
      <c r="F2079" s="5">
        <v>60.6271666769279</v>
      </c>
      <c r="G2079" s="5">
        <v>-5.80313044941281</v>
      </c>
      <c r="H2079" s="5">
        <v>-5.80313044941281</v>
      </c>
      <c r="I2079" s="5">
        <v>-5.80313044941281</v>
      </c>
      <c r="J2079" s="5">
        <v>-0.776422525900957</v>
      </c>
      <c r="K2079" s="5">
        <v>-0.776422525900957</v>
      </c>
      <c r="L2079" s="5">
        <v>-0.776422525900957</v>
      </c>
      <c r="M2079" s="5">
        <v>-5.02670792351185</v>
      </c>
      <c r="N2079" s="5">
        <v>-5.02670792351185</v>
      </c>
      <c r="O2079" s="5">
        <v>-5.02670792351185</v>
      </c>
      <c r="P2079" s="5">
        <v>0.0</v>
      </c>
      <c r="Q2079" s="5">
        <v>0.0</v>
      </c>
      <c r="R2079" s="5">
        <v>0.0</v>
      </c>
      <c r="S2079" s="5">
        <v>54.8240362275151</v>
      </c>
    </row>
    <row r="2080">
      <c r="A2080" s="6">
        <v>43371.0</v>
      </c>
      <c r="B2080" s="5">
        <v>60.6020259314433</v>
      </c>
      <c r="C2080" s="5">
        <v>-12.6055143113604</v>
      </c>
      <c r="D2080" s="5">
        <v>115.578670398337</v>
      </c>
      <c r="E2080" s="5">
        <v>60.6020259314433</v>
      </c>
      <c r="F2080" s="5">
        <v>60.6020259314433</v>
      </c>
      <c r="G2080" s="5">
        <v>-7.0555515126435</v>
      </c>
      <c r="H2080" s="5">
        <v>-7.0555515126435</v>
      </c>
      <c r="I2080" s="5">
        <v>-7.0555515126435</v>
      </c>
      <c r="J2080" s="5">
        <v>-1.59155056649256</v>
      </c>
      <c r="K2080" s="5">
        <v>-1.59155056649256</v>
      </c>
      <c r="L2080" s="5">
        <v>-1.59155056649256</v>
      </c>
      <c r="M2080" s="5">
        <v>-5.46400094615093</v>
      </c>
      <c r="N2080" s="5">
        <v>-5.46400094615093</v>
      </c>
      <c r="O2080" s="5">
        <v>-5.46400094615093</v>
      </c>
      <c r="P2080" s="5">
        <v>0.0</v>
      </c>
      <c r="Q2080" s="5">
        <v>0.0</v>
      </c>
      <c r="R2080" s="5">
        <v>0.0</v>
      </c>
      <c r="S2080" s="5">
        <v>53.5464744187998</v>
      </c>
    </row>
    <row r="2081">
      <c r="A2081" s="6">
        <v>43374.0</v>
      </c>
      <c r="B2081" s="5">
        <v>60.5266036949893</v>
      </c>
      <c r="C2081" s="5">
        <v>-6.20856818351701</v>
      </c>
      <c r="D2081" s="5">
        <v>117.501741922721</v>
      </c>
      <c r="E2081" s="5">
        <v>60.5266036949893</v>
      </c>
      <c r="F2081" s="5">
        <v>60.5266036949893</v>
      </c>
      <c r="G2081" s="5">
        <v>-6.46985499013066</v>
      </c>
      <c r="H2081" s="5">
        <v>-6.46985499013066</v>
      </c>
      <c r="I2081" s="5">
        <v>-6.46985499013066</v>
      </c>
      <c r="J2081" s="5">
        <v>0.0905589421217304</v>
      </c>
      <c r="K2081" s="5">
        <v>0.0905589421217304</v>
      </c>
      <c r="L2081" s="5">
        <v>0.0905589421217304</v>
      </c>
      <c r="M2081" s="5">
        <v>-6.56041393225239</v>
      </c>
      <c r="N2081" s="5">
        <v>-6.56041393225239</v>
      </c>
      <c r="O2081" s="5">
        <v>-6.56041393225239</v>
      </c>
      <c r="P2081" s="5">
        <v>0.0</v>
      </c>
      <c r="Q2081" s="5">
        <v>0.0</v>
      </c>
      <c r="R2081" s="5">
        <v>0.0</v>
      </c>
      <c r="S2081" s="5">
        <v>54.0567487048587</v>
      </c>
    </row>
    <row r="2082">
      <c r="A2082" s="6">
        <v>43375.0</v>
      </c>
      <c r="B2082" s="5">
        <v>60.4853715022106</v>
      </c>
      <c r="C2082" s="5">
        <v>-9.03458650392927</v>
      </c>
      <c r="D2082" s="5">
        <v>114.924054107818</v>
      </c>
      <c r="E2082" s="5">
        <v>60.4853715022106</v>
      </c>
      <c r="F2082" s="5">
        <v>60.4853715022106</v>
      </c>
      <c r="G2082" s="5">
        <v>-6.95259864475152</v>
      </c>
      <c r="H2082" s="5">
        <v>-6.95259864475152</v>
      </c>
      <c r="I2082" s="5">
        <v>-6.95259864475152</v>
      </c>
      <c r="J2082" s="5">
        <v>-0.144118857247172</v>
      </c>
      <c r="K2082" s="5">
        <v>-0.144118857247172</v>
      </c>
      <c r="L2082" s="5">
        <v>-0.144118857247172</v>
      </c>
      <c r="M2082" s="5">
        <v>-6.80847978750435</v>
      </c>
      <c r="N2082" s="5">
        <v>-6.80847978750435</v>
      </c>
      <c r="O2082" s="5">
        <v>-6.80847978750435</v>
      </c>
      <c r="P2082" s="5">
        <v>0.0</v>
      </c>
      <c r="Q2082" s="5">
        <v>0.0</v>
      </c>
      <c r="R2082" s="5">
        <v>0.0</v>
      </c>
      <c r="S2082" s="5">
        <v>53.532772857459</v>
      </c>
    </row>
    <row r="2083">
      <c r="A2083" s="6">
        <v>43376.0</v>
      </c>
      <c r="B2083" s="5">
        <v>60.4441393094318</v>
      </c>
      <c r="C2083" s="5">
        <v>-11.3334059571875</v>
      </c>
      <c r="D2083" s="5">
        <v>117.504279472002</v>
      </c>
      <c r="E2083" s="5">
        <v>60.4441393094318</v>
      </c>
      <c r="F2083" s="5">
        <v>60.4441393094318</v>
      </c>
      <c r="G2083" s="5">
        <v>-6.96952428262568</v>
      </c>
      <c r="H2083" s="5">
        <v>-6.96952428262568</v>
      </c>
      <c r="I2083" s="5">
        <v>-6.96952428262568</v>
      </c>
      <c r="J2083" s="5">
        <v>0.0070378052814438</v>
      </c>
      <c r="K2083" s="5">
        <v>0.0070378052814438</v>
      </c>
      <c r="L2083" s="5">
        <v>0.0070378052814438</v>
      </c>
      <c r="M2083" s="5">
        <v>-6.97656208790712</v>
      </c>
      <c r="N2083" s="5">
        <v>-6.97656208790712</v>
      </c>
      <c r="O2083" s="5">
        <v>-6.97656208790712</v>
      </c>
      <c r="P2083" s="5">
        <v>0.0</v>
      </c>
      <c r="Q2083" s="5">
        <v>0.0</v>
      </c>
      <c r="R2083" s="5">
        <v>0.0</v>
      </c>
      <c r="S2083" s="5">
        <v>53.4746150268061</v>
      </c>
    </row>
    <row r="2084">
      <c r="A2084" s="6">
        <v>43377.0</v>
      </c>
      <c r="B2084" s="5">
        <v>60.402907116653</v>
      </c>
      <c r="C2084" s="5">
        <v>-8.77350991625476</v>
      </c>
      <c r="D2084" s="5">
        <v>112.287043010185</v>
      </c>
      <c r="E2084" s="5">
        <v>60.402907116653</v>
      </c>
      <c r="F2084" s="5">
        <v>60.402907116653</v>
      </c>
      <c r="G2084" s="5">
        <v>-7.82995395376692</v>
      </c>
      <c r="H2084" s="5">
        <v>-7.82995395376692</v>
      </c>
      <c r="I2084" s="5">
        <v>-7.82995395376692</v>
      </c>
      <c r="J2084" s="5">
        <v>-0.776422525898829</v>
      </c>
      <c r="K2084" s="5">
        <v>-0.776422525898829</v>
      </c>
      <c r="L2084" s="5">
        <v>-0.776422525898829</v>
      </c>
      <c r="M2084" s="5">
        <v>-7.05353142786809</v>
      </c>
      <c r="N2084" s="5">
        <v>-7.05353142786809</v>
      </c>
      <c r="O2084" s="5">
        <v>-7.05353142786809</v>
      </c>
      <c r="P2084" s="5">
        <v>0.0</v>
      </c>
      <c r="Q2084" s="5">
        <v>0.0</v>
      </c>
      <c r="R2084" s="5">
        <v>0.0</v>
      </c>
      <c r="S2084" s="5">
        <v>52.5729531628861</v>
      </c>
    </row>
    <row r="2085">
      <c r="A2085" s="6">
        <v>43378.0</v>
      </c>
      <c r="B2085" s="5">
        <v>60.3616749238743</v>
      </c>
      <c r="C2085" s="5">
        <v>-10.3829101019609</v>
      </c>
      <c r="D2085" s="5">
        <v>112.399005734526</v>
      </c>
      <c r="E2085" s="5">
        <v>60.3616749238743</v>
      </c>
      <c r="F2085" s="5">
        <v>60.3616749238743</v>
      </c>
      <c r="G2085" s="5">
        <v>-8.62135122665282</v>
      </c>
      <c r="H2085" s="5">
        <v>-8.62135122665282</v>
      </c>
      <c r="I2085" s="5">
        <v>-8.62135122665282</v>
      </c>
      <c r="J2085" s="5">
        <v>-1.59155056649407</v>
      </c>
      <c r="K2085" s="5">
        <v>-1.59155056649407</v>
      </c>
      <c r="L2085" s="5">
        <v>-1.59155056649407</v>
      </c>
      <c r="M2085" s="5">
        <v>-7.02980066015875</v>
      </c>
      <c r="N2085" s="5">
        <v>-7.02980066015875</v>
      </c>
      <c r="O2085" s="5">
        <v>-7.02980066015875</v>
      </c>
      <c r="P2085" s="5">
        <v>0.0</v>
      </c>
      <c r="Q2085" s="5">
        <v>0.0</v>
      </c>
      <c r="R2085" s="5">
        <v>0.0</v>
      </c>
      <c r="S2085" s="5">
        <v>51.7403236972215</v>
      </c>
    </row>
    <row r="2086">
      <c r="A2086" s="6">
        <v>43381.0</v>
      </c>
      <c r="B2086" s="5">
        <v>60.237978345538</v>
      </c>
      <c r="C2086" s="5">
        <v>-9.45093487144716</v>
      </c>
      <c r="D2086" s="5">
        <v>117.482452776018</v>
      </c>
      <c r="E2086" s="5">
        <v>60.237978345538</v>
      </c>
      <c r="F2086" s="5">
        <v>60.237978345538</v>
      </c>
      <c r="G2086" s="5">
        <v>-6.19660758953852</v>
      </c>
      <c r="H2086" s="5">
        <v>-6.19660758953852</v>
      </c>
      <c r="I2086" s="5">
        <v>-6.19660758953852</v>
      </c>
      <c r="J2086" s="5">
        <v>0.0905589421202929</v>
      </c>
      <c r="K2086" s="5">
        <v>0.0905589421202929</v>
      </c>
      <c r="L2086" s="5">
        <v>0.0905589421202929</v>
      </c>
      <c r="M2086" s="5">
        <v>-6.28716653165881</v>
      </c>
      <c r="N2086" s="5">
        <v>-6.28716653165881</v>
      </c>
      <c r="O2086" s="5">
        <v>-6.28716653165881</v>
      </c>
      <c r="P2086" s="5">
        <v>0.0</v>
      </c>
      <c r="Q2086" s="5">
        <v>0.0</v>
      </c>
      <c r="R2086" s="5">
        <v>0.0</v>
      </c>
      <c r="S2086" s="5">
        <v>54.0413707559995</v>
      </c>
    </row>
    <row r="2087">
      <c r="A2087" s="6">
        <v>43382.0</v>
      </c>
      <c r="B2087" s="5">
        <v>60.1967461527592</v>
      </c>
      <c r="C2087" s="5">
        <v>-8.74391101315231</v>
      </c>
      <c r="D2087" s="5">
        <v>113.041899101679</v>
      </c>
      <c r="E2087" s="5">
        <v>60.1967461527592</v>
      </c>
      <c r="F2087" s="5">
        <v>60.1967461527592</v>
      </c>
      <c r="G2087" s="5">
        <v>-5.94844031093702</v>
      </c>
      <c r="H2087" s="5">
        <v>-5.94844031093702</v>
      </c>
      <c r="I2087" s="5">
        <v>-5.94844031093702</v>
      </c>
      <c r="J2087" s="5">
        <v>-0.14411885724356</v>
      </c>
      <c r="K2087" s="5">
        <v>-0.14411885724356</v>
      </c>
      <c r="L2087" s="5">
        <v>-0.14411885724356</v>
      </c>
      <c r="M2087" s="5">
        <v>-5.80432145369346</v>
      </c>
      <c r="N2087" s="5">
        <v>-5.80432145369346</v>
      </c>
      <c r="O2087" s="5">
        <v>-5.80432145369346</v>
      </c>
      <c r="P2087" s="5">
        <v>0.0</v>
      </c>
      <c r="Q2087" s="5">
        <v>0.0</v>
      </c>
      <c r="R2087" s="5">
        <v>0.0</v>
      </c>
      <c r="S2087" s="5">
        <v>54.2483058418222</v>
      </c>
    </row>
    <row r="2088">
      <c r="A2088" s="6">
        <v>43383.0</v>
      </c>
      <c r="B2088" s="5">
        <v>60.1555139599805</v>
      </c>
      <c r="C2088" s="5">
        <v>-6.96568423230616</v>
      </c>
      <c r="D2088" s="5">
        <v>112.782384595398</v>
      </c>
      <c r="E2088" s="5">
        <v>60.1555139599805</v>
      </c>
      <c r="F2088" s="5">
        <v>60.1555139599805</v>
      </c>
      <c r="G2088" s="5">
        <v>-5.19694068373382</v>
      </c>
      <c r="H2088" s="5">
        <v>-5.19694068373382</v>
      </c>
      <c r="I2088" s="5">
        <v>-5.19694068373382</v>
      </c>
      <c r="J2088" s="5">
        <v>0.00703780528374614</v>
      </c>
      <c r="K2088" s="5">
        <v>0.00703780528374614</v>
      </c>
      <c r="L2088" s="5">
        <v>0.00703780528374614</v>
      </c>
      <c r="M2088" s="5">
        <v>-5.20397848901757</v>
      </c>
      <c r="N2088" s="5">
        <v>-5.20397848901757</v>
      </c>
      <c r="O2088" s="5">
        <v>-5.20397848901757</v>
      </c>
      <c r="P2088" s="5">
        <v>0.0</v>
      </c>
      <c r="Q2088" s="5">
        <v>0.0</v>
      </c>
      <c r="R2088" s="5">
        <v>0.0</v>
      </c>
      <c r="S2088" s="5">
        <v>54.9585732762466</v>
      </c>
    </row>
    <row r="2089">
      <c r="A2089" s="6">
        <v>43384.0</v>
      </c>
      <c r="B2089" s="5">
        <v>60.1142817672017</v>
      </c>
      <c r="C2089" s="5">
        <v>-11.0008235122965</v>
      </c>
      <c r="D2089" s="5">
        <v>112.706031768677</v>
      </c>
      <c r="E2089" s="5">
        <v>60.1142817672017</v>
      </c>
      <c r="F2089" s="5">
        <v>60.1142817672017</v>
      </c>
      <c r="G2089" s="5">
        <v>-5.26627738250065</v>
      </c>
      <c r="H2089" s="5">
        <v>-5.26627738250065</v>
      </c>
      <c r="I2089" s="5">
        <v>-5.26627738250065</v>
      </c>
      <c r="J2089" s="5">
        <v>-0.776422525900926</v>
      </c>
      <c r="K2089" s="5">
        <v>-0.776422525900926</v>
      </c>
      <c r="L2089" s="5">
        <v>-0.776422525900926</v>
      </c>
      <c r="M2089" s="5">
        <v>-4.48985485659972</v>
      </c>
      <c r="N2089" s="5">
        <v>-4.48985485659972</v>
      </c>
      <c r="O2089" s="5">
        <v>-4.48985485659972</v>
      </c>
      <c r="P2089" s="5">
        <v>0.0</v>
      </c>
      <c r="Q2089" s="5">
        <v>0.0</v>
      </c>
      <c r="R2089" s="5">
        <v>0.0</v>
      </c>
      <c r="S2089" s="5">
        <v>54.848004384701</v>
      </c>
    </row>
    <row r="2090">
      <c r="A2090" s="6">
        <v>43385.0</v>
      </c>
      <c r="B2090" s="5">
        <v>60.0730495744229</v>
      </c>
      <c r="C2090" s="5">
        <v>-11.0699920224982</v>
      </c>
      <c r="D2090" s="5">
        <v>117.455365358672</v>
      </c>
      <c r="E2090" s="5">
        <v>60.0730495744229</v>
      </c>
      <c r="F2090" s="5">
        <v>60.0730495744229</v>
      </c>
      <c r="G2090" s="5">
        <v>-5.25957633579737</v>
      </c>
      <c r="H2090" s="5">
        <v>-5.25957633579737</v>
      </c>
      <c r="I2090" s="5">
        <v>-5.25957633579737</v>
      </c>
      <c r="J2090" s="5">
        <v>-1.59155056649314</v>
      </c>
      <c r="K2090" s="5">
        <v>-1.59155056649314</v>
      </c>
      <c r="L2090" s="5">
        <v>-1.59155056649314</v>
      </c>
      <c r="M2090" s="5">
        <v>-3.66802576930422</v>
      </c>
      <c r="N2090" s="5">
        <v>-3.66802576930422</v>
      </c>
      <c r="O2090" s="5">
        <v>-3.66802576930422</v>
      </c>
      <c r="P2090" s="5">
        <v>0.0</v>
      </c>
      <c r="Q2090" s="5">
        <v>0.0</v>
      </c>
      <c r="R2090" s="5">
        <v>0.0</v>
      </c>
      <c r="S2090" s="5">
        <v>54.8134732386256</v>
      </c>
    </row>
    <row r="2091">
      <c r="A2091" s="6">
        <v>43388.0</v>
      </c>
      <c r="B2091" s="5">
        <v>59.9493529960866</v>
      </c>
      <c r="C2091" s="5">
        <v>-4.12706273278791</v>
      </c>
      <c r="D2091" s="5">
        <v>119.676750547708</v>
      </c>
      <c r="E2091" s="5">
        <v>59.9493529960866</v>
      </c>
      <c r="F2091" s="5">
        <v>59.9493529960866</v>
      </c>
      <c r="G2091" s="5">
        <v>-0.558808096951487</v>
      </c>
      <c r="H2091" s="5">
        <v>-0.558808096951487</v>
      </c>
      <c r="I2091" s="5">
        <v>-0.558808096951487</v>
      </c>
      <c r="J2091" s="5">
        <v>0.0905589421213194</v>
      </c>
      <c r="K2091" s="5">
        <v>0.0905589421213194</v>
      </c>
      <c r="L2091" s="5">
        <v>0.0905589421213194</v>
      </c>
      <c r="M2091" s="5">
        <v>-0.649367039072807</v>
      </c>
      <c r="N2091" s="5">
        <v>-0.649367039072807</v>
      </c>
      <c r="O2091" s="5">
        <v>-0.649367039072807</v>
      </c>
      <c r="P2091" s="5">
        <v>0.0</v>
      </c>
      <c r="Q2091" s="5">
        <v>0.0</v>
      </c>
      <c r="R2091" s="5">
        <v>0.0</v>
      </c>
      <c r="S2091" s="5">
        <v>59.3905448991352</v>
      </c>
    </row>
    <row r="2092">
      <c r="A2092" s="6">
        <v>43389.0</v>
      </c>
      <c r="B2092" s="5">
        <v>59.9081208033079</v>
      </c>
      <c r="C2092" s="5">
        <v>-1.60330085063887</v>
      </c>
      <c r="D2092" s="5">
        <v>126.466335150155</v>
      </c>
      <c r="E2092" s="5">
        <v>59.9081208033079</v>
      </c>
      <c r="F2092" s="5">
        <v>59.9081208033079</v>
      </c>
      <c r="G2092" s="5">
        <v>0.35688232712766</v>
      </c>
      <c r="H2092" s="5">
        <v>0.35688232712766</v>
      </c>
      <c r="I2092" s="5">
        <v>0.35688232712766</v>
      </c>
      <c r="J2092" s="5">
        <v>-0.14411885724641</v>
      </c>
      <c r="K2092" s="5">
        <v>-0.14411885724641</v>
      </c>
      <c r="L2092" s="5">
        <v>-0.14411885724641</v>
      </c>
      <c r="M2092" s="5">
        <v>0.50100118437407</v>
      </c>
      <c r="N2092" s="5">
        <v>0.50100118437407</v>
      </c>
      <c r="O2092" s="5">
        <v>0.50100118437407</v>
      </c>
      <c r="P2092" s="5">
        <v>0.0</v>
      </c>
      <c r="Q2092" s="5">
        <v>0.0</v>
      </c>
      <c r="R2092" s="5">
        <v>0.0</v>
      </c>
      <c r="S2092" s="5">
        <v>60.2650031304355</v>
      </c>
    </row>
    <row r="2093">
      <c r="A2093" s="6">
        <v>43390.0</v>
      </c>
      <c r="B2093" s="5">
        <v>59.8668886105291</v>
      </c>
      <c r="C2093" s="5">
        <v>0.135629114499888</v>
      </c>
      <c r="D2093" s="5">
        <v>124.151032725704</v>
      </c>
      <c r="E2093" s="5">
        <v>59.8668886105291</v>
      </c>
      <c r="F2093" s="5">
        <v>59.8668886105291</v>
      </c>
      <c r="G2093" s="5">
        <v>1.70675219542167</v>
      </c>
      <c r="H2093" s="5">
        <v>1.70675219542167</v>
      </c>
      <c r="I2093" s="5">
        <v>1.70675219542167</v>
      </c>
      <c r="J2093" s="5">
        <v>0.00703780528172137</v>
      </c>
      <c r="K2093" s="5">
        <v>0.00703780528172137</v>
      </c>
      <c r="L2093" s="5">
        <v>0.00703780528172137</v>
      </c>
      <c r="M2093" s="5">
        <v>1.69971439013995</v>
      </c>
      <c r="N2093" s="5">
        <v>1.69971439013995</v>
      </c>
      <c r="O2093" s="5">
        <v>1.69971439013995</v>
      </c>
      <c r="P2093" s="5">
        <v>0.0</v>
      </c>
      <c r="Q2093" s="5">
        <v>0.0</v>
      </c>
      <c r="R2093" s="5">
        <v>0.0</v>
      </c>
      <c r="S2093" s="5">
        <v>61.5736408059508</v>
      </c>
    </row>
    <row r="2094">
      <c r="A2094" s="6">
        <v>43391.0</v>
      </c>
      <c r="B2094" s="5">
        <v>59.8256564177503</v>
      </c>
      <c r="C2094" s="5">
        <v>-0.602191573285093</v>
      </c>
      <c r="D2094" s="5">
        <v>122.308536278717</v>
      </c>
      <c r="E2094" s="5">
        <v>59.8256564177503</v>
      </c>
      <c r="F2094" s="5">
        <v>59.8256564177503</v>
      </c>
      <c r="G2094" s="5">
        <v>2.15465771228941</v>
      </c>
      <c r="H2094" s="5">
        <v>2.15465771228941</v>
      </c>
      <c r="I2094" s="5">
        <v>2.15465771228941</v>
      </c>
      <c r="J2094" s="5">
        <v>-0.776422525901648</v>
      </c>
      <c r="K2094" s="5">
        <v>-0.776422525901648</v>
      </c>
      <c r="L2094" s="5">
        <v>-0.776422525901648</v>
      </c>
      <c r="M2094" s="5">
        <v>2.93108023819105</v>
      </c>
      <c r="N2094" s="5">
        <v>2.93108023819105</v>
      </c>
      <c r="O2094" s="5">
        <v>2.93108023819105</v>
      </c>
      <c r="P2094" s="5">
        <v>0.0</v>
      </c>
      <c r="Q2094" s="5">
        <v>0.0</v>
      </c>
      <c r="R2094" s="5">
        <v>0.0</v>
      </c>
      <c r="S2094" s="5">
        <v>61.9803141300398</v>
      </c>
    </row>
    <row r="2095">
      <c r="A2095" s="6">
        <v>43392.0</v>
      </c>
      <c r="B2095" s="5">
        <v>59.7844242249716</v>
      </c>
      <c r="C2095" s="5">
        <v>-3.67760107795216</v>
      </c>
      <c r="D2095" s="5">
        <v>123.570523737057</v>
      </c>
      <c r="E2095" s="5">
        <v>59.7844242249716</v>
      </c>
      <c r="F2095" s="5">
        <v>59.7844242249716</v>
      </c>
      <c r="G2095" s="5">
        <v>2.58741005704475</v>
      </c>
      <c r="H2095" s="5">
        <v>2.58741005704475</v>
      </c>
      <c r="I2095" s="5">
        <v>2.58741005704475</v>
      </c>
      <c r="J2095" s="5">
        <v>-1.59155056649221</v>
      </c>
      <c r="K2095" s="5">
        <v>-1.59155056649221</v>
      </c>
      <c r="L2095" s="5">
        <v>-1.59155056649221</v>
      </c>
      <c r="M2095" s="5">
        <v>4.17896062353697</v>
      </c>
      <c r="N2095" s="5">
        <v>4.17896062353697</v>
      </c>
      <c r="O2095" s="5">
        <v>4.17896062353697</v>
      </c>
      <c r="P2095" s="5">
        <v>0.0</v>
      </c>
      <c r="Q2095" s="5">
        <v>0.0</v>
      </c>
      <c r="R2095" s="5">
        <v>0.0</v>
      </c>
      <c r="S2095" s="5">
        <v>62.3718342820163</v>
      </c>
    </row>
    <row r="2096">
      <c r="A2096" s="6">
        <v>43395.0</v>
      </c>
      <c r="B2096" s="5">
        <v>59.6607276466353</v>
      </c>
      <c r="C2096" s="5">
        <v>5.27127676605454</v>
      </c>
      <c r="D2096" s="5">
        <v>133.496367910992</v>
      </c>
      <c r="E2096" s="5">
        <v>59.6607276466353</v>
      </c>
      <c r="F2096" s="5">
        <v>59.6607276466353</v>
      </c>
      <c r="G2096" s="5">
        <v>7.95241769588977</v>
      </c>
      <c r="H2096" s="5">
        <v>7.95241769588977</v>
      </c>
      <c r="I2096" s="5">
        <v>7.95241769588977</v>
      </c>
      <c r="J2096" s="5">
        <v>0.0905589421222659</v>
      </c>
      <c r="K2096" s="5">
        <v>0.0905589421222659</v>
      </c>
      <c r="L2096" s="5">
        <v>0.0905589421222659</v>
      </c>
      <c r="M2096" s="5">
        <v>7.86185875376751</v>
      </c>
      <c r="N2096" s="5">
        <v>7.86185875376751</v>
      </c>
      <c r="O2096" s="5">
        <v>7.86185875376751</v>
      </c>
      <c r="P2096" s="5">
        <v>0.0</v>
      </c>
      <c r="Q2096" s="5">
        <v>0.0</v>
      </c>
      <c r="R2096" s="5">
        <v>0.0</v>
      </c>
      <c r="S2096" s="5">
        <v>67.6131453425251</v>
      </c>
    </row>
    <row r="2097">
      <c r="A2097" s="6">
        <v>43396.0</v>
      </c>
      <c r="B2097" s="5">
        <v>59.6194954538565</v>
      </c>
      <c r="C2097" s="5">
        <v>1.61664987729868</v>
      </c>
      <c r="D2097" s="5">
        <v>137.650519856015</v>
      </c>
      <c r="E2097" s="5">
        <v>59.6194954538565</v>
      </c>
      <c r="F2097" s="5">
        <v>59.6194954538565</v>
      </c>
      <c r="G2097" s="5">
        <v>8.87505149535863</v>
      </c>
      <c r="H2097" s="5">
        <v>8.87505149535863</v>
      </c>
      <c r="I2097" s="5">
        <v>8.87505149535863</v>
      </c>
      <c r="J2097" s="5">
        <v>-0.144118857245322</v>
      </c>
      <c r="K2097" s="5">
        <v>-0.144118857245322</v>
      </c>
      <c r="L2097" s="5">
        <v>-0.144118857245322</v>
      </c>
      <c r="M2097" s="5">
        <v>9.01917035260395</v>
      </c>
      <c r="N2097" s="5">
        <v>9.01917035260395</v>
      </c>
      <c r="O2097" s="5">
        <v>9.01917035260395</v>
      </c>
      <c r="P2097" s="5">
        <v>0.0</v>
      </c>
      <c r="Q2097" s="5">
        <v>0.0</v>
      </c>
      <c r="R2097" s="5">
        <v>0.0</v>
      </c>
      <c r="S2097" s="5">
        <v>68.4945469492152</v>
      </c>
    </row>
    <row r="2098">
      <c r="A2098" s="6">
        <v>43397.0</v>
      </c>
      <c r="B2098" s="5">
        <v>59.5782632610778</v>
      </c>
      <c r="C2098" s="5">
        <v>2.90780755081793</v>
      </c>
      <c r="D2098" s="5">
        <v>124.533702586444</v>
      </c>
      <c r="E2098" s="5">
        <v>59.5782632610778</v>
      </c>
      <c r="F2098" s="5">
        <v>59.5782632610778</v>
      </c>
      <c r="G2098" s="5">
        <v>10.1261733022109</v>
      </c>
      <c r="H2098" s="5">
        <v>10.1261733022109</v>
      </c>
      <c r="I2098" s="5">
        <v>10.1261733022109</v>
      </c>
      <c r="J2098" s="5">
        <v>0.0070378052830324</v>
      </c>
      <c r="K2098" s="5">
        <v>0.0070378052830324</v>
      </c>
      <c r="L2098" s="5">
        <v>0.0070378052830324</v>
      </c>
      <c r="M2098" s="5">
        <v>10.1191354969279</v>
      </c>
      <c r="N2098" s="5">
        <v>10.1191354969279</v>
      </c>
      <c r="O2098" s="5">
        <v>10.1191354969279</v>
      </c>
      <c r="P2098" s="5">
        <v>0.0</v>
      </c>
      <c r="Q2098" s="5">
        <v>0.0</v>
      </c>
      <c r="R2098" s="5">
        <v>0.0</v>
      </c>
      <c r="S2098" s="5">
        <v>69.7044365632888</v>
      </c>
    </row>
    <row r="2099">
      <c r="A2099" s="6">
        <v>43398.0</v>
      </c>
      <c r="B2099" s="5">
        <v>59.537031068299</v>
      </c>
      <c r="C2099" s="5">
        <v>7.89805404947876</v>
      </c>
      <c r="D2099" s="5">
        <v>132.221269738857</v>
      </c>
      <c r="E2099" s="5">
        <v>59.537031068299</v>
      </c>
      <c r="F2099" s="5">
        <v>59.537031068299</v>
      </c>
      <c r="G2099" s="5">
        <v>10.3743876377128</v>
      </c>
      <c r="H2099" s="5">
        <v>10.3743876377128</v>
      </c>
      <c r="I2099" s="5">
        <v>10.3743876377128</v>
      </c>
      <c r="J2099" s="5">
        <v>-0.776422525903745</v>
      </c>
      <c r="K2099" s="5">
        <v>-0.776422525903745</v>
      </c>
      <c r="L2099" s="5">
        <v>-0.776422525903745</v>
      </c>
      <c r="M2099" s="5">
        <v>11.1508101636165</v>
      </c>
      <c r="N2099" s="5">
        <v>11.1508101636165</v>
      </c>
      <c r="O2099" s="5">
        <v>11.1508101636165</v>
      </c>
      <c r="P2099" s="5">
        <v>0.0</v>
      </c>
      <c r="Q2099" s="5">
        <v>0.0</v>
      </c>
      <c r="R2099" s="5">
        <v>0.0</v>
      </c>
      <c r="S2099" s="5">
        <v>69.9114187060118</v>
      </c>
    </row>
    <row r="2100">
      <c r="A2100" s="6">
        <v>43399.0</v>
      </c>
      <c r="B2100" s="5">
        <v>59.4957988755202</v>
      </c>
      <c r="C2100" s="5">
        <v>5.51008833220087</v>
      </c>
      <c r="D2100" s="5">
        <v>134.950582191293</v>
      </c>
      <c r="E2100" s="5">
        <v>59.4957988755202</v>
      </c>
      <c r="F2100" s="5">
        <v>59.4957988755202</v>
      </c>
      <c r="G2100" s="5">
        <v>10.5136332175534</v>
      </c>
      <c r="H2100" s="5">
        <v>10.5136332175534</v>
      </c>
      <c r="I2100" s="5">
        <v>10.5136332175534</v>
      </c>
      <c r="J2100" s="5">
        <v>-1.59155056649403</v>
      </c>
      <c r="K2100" s="5">
        <v>-1.59155056649403</v>
      </c>
      <c r="L2100" s="5">
        <v>-1.59155056649403</v>
      </c>
      <c r="M2100" s="5">
        <v>12.1051837840475</v>
      </c>
      <c r="N2100" s="5">
        <v>12.1051837840475</v>
      </c>
      <c r="O2100" s="5">
        <v>12.1051837840475</v>
      </c>
      <c r="P2100" s="5">
        <v>0.0</v>
      </c>
      <c r="Q2100" s="5">
        <v>0.0</v>
      </c>
      <c r="R2100" s="5">
        <v>0.0</v>
      </c>
      <c r="S2100" s="5">
        <v>70.0094320930737</v>
      </c>
    </row>
    <row r="2101">
      <c r="A2101" s="6">
        <v>43402.0</v>
      </c>
      <c r="B2101" s="5">
        <v>59.372102297184</v>
      </c>
      <c r="C2101" s="5">
        <v>13.0203280813537</v>
      </c>
      <c r="D2101" s="5">
        <v>136.164487374781</v>
      </c>
      <c r="E2101" s="5">
        <v>59.372102297184</v>
      </c>
      <c r="F2101" s="5">
        <v>59.372102297184</v>
      </c>
      <c r="G2101" s="5">
        <v>14.537345472084</v>
      </c>
      <c r="H2101" s="5">
        <v>14.537345472084</v>
      </c>
      <c r="I2101" s="5">
        <v>14.537345472084</v>
      </c>
      <c r="J2101" s="5">
        <v>0.0905589421208284</v>
      </c>
      <c r="K2101" s="5">
        <v>0.0905589421208284</v>
      </c>
      <c r="L2101" s="5">
        <v>0.0905589421208284</v>
      </c>
      <c r="M2101" s="5">
        <v>14.4467865299632</v>
      </c>
      <c r="N2101" s="5">
        <v>14.4467865299632</v>
      </c>
      <c r="O2101" s="5">
        <v>14.4467865299632</v>
      </c>
      <c r="P2101" s="5">
        <v>0.0</v>
      </c>
      <c r="Q2101" s="5">
        <v>0.0</v>
      </c>
      <c r="R2101" s="5">
        <v>0.0</v>
      </c>
      <c r="S2101" s="5">
        <v>73.909447769268</v>
      </c>
    </row>
    <row r="2102">
      <c r="A2102" s="6">
        <v>43403.0</v>
      </c>
      <c r="B2102" s="5">
        <v>59.3308701044052</v>
      </c>
      <c r="C2102" s="5">
        <v>13.645627236866</v>
      </c>
      <c r="D2102" s="5">
        <v>133.918563752489</v>
      </c>
      <c r="E2102" s="5">
        <v>59.3308701044052</v>
      </c>
      <c r="F2102" s="5">
        <v>59.3308701044052</v>
      </c>
      <c r="G2102" s="5">
        <v>14.9014716530531</v>
      </c>
      <c r="H2102" s="5">
        <v>14.9014716530531</v>
      </c>
      <c r="I2102" s="5">
        <v>14.9014716530531</v>
      </c>
      <c r="J2102" s="5">
        <v>-0.144118857244234</v>
      </c>
      <c r="K2102" s="5">
        <v>-0.144118857244234</v>
      </c>
      <c r="L2102" s="5">
        <v>-0.144118857244234</v>
      </c>
      <c r="M2102" s="5">
        <v>15.0455905102974</v>
      </c>
      <c r="N2102" s="5">
        <v>15.0455905102974</v>
      </c>
      <c r="O2102" s="5">
        <v>15.0455905102974</v>
      </c>
      <c r="P2102" s="5">
        <v>0.0</v>
      </c>
      <c r="Q2102" s="5">
        <v>0.0</v>
      </c>
      <c r="R2102" s="5">
        <v>0.0</v>
      </c>
      <c r="S2102" s="5">
        <v>74.2323417574584</v>
      </c>
    </row>
    <row r="2103">
      <c r="A2103" s="6">
        <v>43404.0</v>
      </c>
      <c r="B2103" s="5">
        <v>59.2896379116264</v>
      </c>
      <c r="C2103" s="5">
        <v>14.7127235388289</v>
      </c>
      <c r="D2103" s="5">
        <v>140.123854351938</v>
      </c>
      <c r="E2103" s="5">
        <v>59.2896379116264</v>
      </c>
      <c r="F2103" s="5">
        <v>59.2896379116264</v>
      </c>
      <c r="G2103" s="5">
        <v>15.5622670046181</v>
      </c>
      <c r="H2103" s="5">
        <v>15.5622670046181</v>
      </c>
      <c r="I2103" s="5">
        <v>15.5622670046181</v>
      </c>
      <c r="J2103" s="5">
        <v>0.00703780528100773</v>
      </c>
      <c r="K2103" s="5">
        <v>0.00703780528100773</v>
      </c>
      <c r="L2103" s="5">
        <v>0.00703780528100773</v>
      </c>
      <c r="M2103" s="5">
        <v>15.5552291993371</v>
      </c>
      <c r="N2103" s="5">
        <v>15.5552291993371</v>
      </c>
      <c r="O2103" s="5">
        <v>15.5552291993371</v>
      </c>
      <c r="P2103" s="5">
        <v>0.0</v>
      </c>
      <c r="Q2103" s="5">
        <v>0.0</v>
      </c>
      <c r="R2103" s="5">
        <v>0.0</v>
      </c>
      <c r="S2103" s="5">
        <v>74.8519049162446</v>
      </c>
    </row>
    <row r="2104">
      <c r="A2104" s="6">
        <v>43405.0</v>
      </c>
      <c r="B2104" s="5">
        <v>59.2484057188477</v>
      </c>
      <c r="C2104" s="5">
        <v>13.6339332697402</v>
      </c>
      <c r="D2104" s="5">
        <v>136.722800189516</v>
      </c>
      <c r="E2104" s="5">
        <v>59.2484057188477</v>
      </c>
      <c r="F2104" s="5">
        <v>59.2484057188477</v>
      </c>
      <c r="G2104" s="5">
        <v>15.2034910531534</v>
      </c>
      <c r="H2104" s="5">
        <v>15.2034910531534</v>
      </c>
      <c r="I2104" s="5">
        <v>15.2034910531534</v>
      </c>
      <c r="J2104" s="5">
        <v>-0.776422525900242</v>
      </c>
      <c r="K2104" s="5">
        <v>-0.776422525900242</v>
      </c>
      <c r="L2104" s="5">
        <v>-0.776422525900242</v>
      </c>
      <c r="M2104" s="5">
        <v>15.9799135790536</v>
      </c>
      <c r="N2104" s="5">
        <v>15.9799135790536</v>
      </c>
      <c r="O2104" s="5">
        <v>15.9799135790536</v>
      </c>
      <c r="P2104" s="5">
        <v>0.0</v>
      </c>
      <c r="Q2104" s="5">
        <v>0.0</v>
      </c>
      <c r="R2104" s="5">
        <v>0.0</v>
      </c>
      <c r="S2104" s="5">
        <v>74.4518967720011</v>
      </c>
    </row>
    <row r="2105">
      <c r="A2105" s="6">
        <v>43406.0</v>
      </c>
      <c r="B2105" s="5">
        <v>59.2071735260689</v>
      </c>
      <c r="C2105" s="5">
        <v>10.7304748691967</v>
      </c>
      <c r="D2105" s="5">
        <v>136.515065685692</v>
      </c>
      <c r="E2105" s="5">
        <v>59.2071735260689</v>
      </c>
      <c r="F2105" s="5">
        <v>59.2071735260689</v>
      </c>
      <c r="G2105" s="5">
        <v>14.7341880547785</v>
      </c>
      <c r="H2105" s="5">
        <v>14.7341880547785</v>
      </c>
      <c r="I2105" s="5">
        <v>14.7341880547785</v>
      </c>
      <c r="J2105" s="5">
        <v>-1.5915505664928</v>
      </c>
      <c r="K2105" s="5">
        <v>-1.5915505664928</v>
      </c>
      <c r="L2105" s="5">
        <v>-1.5915505664928</v>
      </c>
      <c r="M2105" s="5">
        <v>16.3257386212713</v>
      </c>
      <c r="N2105" s="5">
        <v>16.3257386212713</v>
      </c>
      <c r="O2105" s="5">
        <v>16.3257386212713</v>
      </c>
      <c r="P2105" s="5">
        <v>0.0</v>
      </c>
      <c r="Q2105" s="5">
        <v>0.0</v>
      </c>
      <c r="R2105" s="5">
        <v>0.0</v>
      </c>
      <c r="S2105" s="5">
        <v>73.9413615808475</v>
      </c>
    </row>
    <row r="2106">
      <c r="A2106" s="6">
        <v>43409.0</v>
      </c>
      <c r="B2106" s="5">
        <v>59.0834769477326</v>
      </c>
      <c r="C2106" s="5">
        <v>8.91058881668571</v>
      </c>
      <c r="D2106" s="5">
        <v>137.512306363887</v>
      </c>
      <c r="E2106" s="5">
        <v>59.0834769477326</v>
      </c>
      <c r="F2106" s="5">
        <v>59.0834769477326</v>
      </c>
      <c r="G2106" s="5">
        <v>17.0643658473694</v>
      </c>
      <c r="H2106" s="5">
        <v>17.0643658473694</v>
      </c>
      <c r="I2106" s="5">
        <v>17.0643658473694</v>
      </c>
      <c r="J2106" s="5">
        <v>0.090558942121775</v>
      </c>
      <c r="K2106" s="5">
        <v>0.090558942121775</v>
      </c>
      <c r="L2106" s="5">
        <v>0.090558942121775</v>
      </c>
      <c r="M2106" s="5">
        <v>16.9738069052476</v>
      </c>
      <c r="N2106" s="5">
        <v>16.9738069052476</v>
      </c>
      <c r="O2106" s="5">
        <v>16.9738069052476</v>
      </c>
      <c r="P2106" s="5">
        <v>0.0</v>
      </c>
      <c r="Q2106" s="5">
        <v>0.0</v>
      </c>
      <c r="R2106" s="5">
        <v>0.0</v>
      </c>
      <c r="S2106" s="5">
        <v>76.147842795102</v>
      </c>
    </row>
    <row r="2107">
      <c r="A2107" s="6">
        <v>43410.0</v>
      </c>
      <c r="B2107" s="5">
        <v>59.0422447549538</v>
      </c>
      <c r="C2107" s="5">
        <v>11.9344165689557</v>
      </c>
      <c r="D2107" s="5">
        <v>143.411459916661</v>
      </c>
      <c r="E2107" s="5">
        <v>59.0422447549538</v>
      </c>
      <c r="F2107" s="5">
        <v>59.0422447549538</v>
      </c>
      <c r="G2107" s="5">
        <v>16.9492363628487</v>
      </c>
      <c r="H2107" s="5">
        <v>16.9492363628487</v>
      </c>
      <c r="I2107" s="5">
        <v>16.9492363628487</v>
      </c>
      <c r="J2107" s="5">
        <v>-0.14411885724456</v>
      </c>
      <c r="K2107" s="5">
        <v>-0.14411885724456</v>
      </c>
      <c r="L2107" s="5">
        <v>-0.14411885724456</v>
      </c>
      <c r="M2107" s="5">
        <v>17.0933552200932</v>
      </c>
      <c r="N2107" s="5">
        <v>17.0933552200932</v>
      </c>
      <c r="O2107" s="5">
        <v>17.0933552200932</v>
      </c>
      <c r="P2107" s="5">
        <v>0.0</v>
      </c>
      <c r="Q2107" s="5">
        <v>0.0</v>
      </c>
      <c r="R2107" s="5">
        <v>0.0</v>
      </c>
      <c r="S2107" s="5">
        <v>75.9914811178025</v>
      </c>
    </row>
    <row r="2108">
      <c r="A2108" s="6">
        <v>43411.0</v>
      </c>
      <c r="B2108" s="5">
        <v>59.0010125621751</v>
      </c>
      <c r="C2108" s="5">
        <v>12.1700861711074</v>
      </c>
      <c r="D2108" s="5">
        <v>137.25518067751</v>
      </c>
      <c r="E2108" s="5">
        <v>59.0010125621751</v>
      </c>
      <c r="F2108" s="5">
        <v>59.0010125621751</v>
      </c>
      <c r="G2108" s="5">
        <v>17.1898529816028</v>
      </c>
      <c r="H2108" s="5">
        <v>17.1898529816028</v>
      </c>
      <c r="I2108" s="5">
        <v>17.1898529816028</v>
      </c>
      <c r="J2108" s="5">
        <v>0.0070378052823187</v>
      </c>
      <c r="K2108" s="5">
        <v>0.0070378052823187</v>
      </c>
      <c r="L2108" s="5">
        <v>0.0070378052823187</v>
      </c>
      <c r="M2108" s="5">
        <v>17.1828151763205</v>
      </c>
      <c r="N2108" s="5">
        <v>17.1828151763205</v>
      </c>
      <c r="O2108" s="5">
        <v>17.1828151763205</v>
      </c>
      <c r="P2108" s="5">
        <v>0.0</v>
      </c>
      <c r="Q2108" s="5">
        <v>0.0</v>
      </c>
      <c r="R2108" s="5">
        <v>0.0</v>
      </c>
      <c r="S2108" s="5">
        <v>76.190865543778</v>
      </c>
    </row>
    <row r="2109">
      <c r="A2109" s="6">
        <v>43412.0</v>
      </c>
      <c r="B2109" s="5">
        <v>58.9597803693963</v>
      </c>
      <c r="C2109" s="5">
        <v>10.9713040348213</v>
      </c>
      <c r="D2109" s="5">
        <v>141.122815486875</v>
      </c>
      <c r="E2109" s="5">
        <v>58.9597803693963</v>
      </c>
      <c r="F2109" s="5">
        <v>58.9597803693963</v>
      </c>
      <c r="G2109" s="5">
        <v>16.4767742606012</v>
      </c>
      <c r="H2109" s="5">
        <v>16.4767742606012</v>
      </c>
      <c r="I2109" s="5">
        <v>16.4767742606012</v>
      </c>
      <c r="J2109" s="5">
        <v>-0.776422525902339</v>
      </c>
      <c r="K2109" s="5">
        <v>-0.776422525902339</v>
      </c>
      <c r="L2109" s="5">
        <v>-0.776422525902339</v>
      </c>
      <c r="M2109" s="5">
        <v>17.2531967865036</v>
      </c>
      <c r="N2109" s="5">
        <v>17.2531967865036</v>
      </c>
      <c r="O2109" s="5">
        <v>17.2531967865036</v>
      </c>
      <c r="P2109" s="5">
        <v>0.0</v>
      </c>
      <c r="Q2109" s="5">
        <v>0.0</v>
      </c>
      <c r="R2109" s="5">
        <v>0.0</v>
      </c>
      <c r="S2109" s="5">
        <v>75.4365546299976</v>
      </c>
    </row>
    <row r="2110">
      <c r="A2110" s="6">
        <v>43413.0</v>
      </c>
      <c r="B2110" s="5">
        <v>58.9185481766176</v>
      </c>
      <c r="C2110" s="5">
        <v>11.4029597216227</v>
      </c>
      <c r="D2110" s="5">
        <v>139.673077101541</v>
      </c>
      <c r="E2110" s="5">
        <v>58.9185481766176</v>
      </c>
      <c r="F2110" s="5">
        <v>58.9185481766176</v>
      </c>
      <c r="G2110" s="5">
        <v>15.7235279265406</v>
      </c>
      <c r="H2110" s="5">
        <v>15.7235279265406</v>
      </c>
      <c r="I2110" s="5">
        <v>15.7235279265406</v>
      </c>
      <c r="J2110" s="5">
        <v>-1.59155056649187</v>
      </c>
      <c r="K2110" s="5">
        <v>-1.59155056649187</v>
      </c>
      <c r="L2110" s="5">
        <v>-1.59155056649187</v>
      </c>
      <c r="M2110" s="5">
        <v>17.3150784930325</v>
      </c>
      <c r="N2110" s="5">
        <v>17.3150784930325</v>
      </c>
      <c r="O2110" s="5">
        <v>17.3150784930325</v>
      </c>
      <c r="P2110" s="5">
        <v>0.0</v>
      </c>
      <c r="Q2110" s="5">
        <v>0.0</v>
      </c>
      <c r="R2110" s="5">
        <v>0.0</v>
      </c>
      <c r="S2110" s="5">
        <v>74.6420761031582</v>
      </c>
    </row>
    <row r="2111">
      <c r="A2111" s="6">
        <v>43416.0</v>
      </c>
      <c r="B2111" s="5">
        <v>58.7948515982813</v>
      </c>
      <c r="C2111" s="5">
        <v>12.5735129404459</v>
      </c>
      <c r="D2111" s="5">
        <v>140.619734118584</v>
      </c>
      <c r="E2111" s="5">
        <v>58.7948515982813</v>
      </c>
      <c r="F2111" s="5">
        <v>58.7948515982813</v>
      </c>
      <c r="G2111" s="5">
        <v>17.6325486386354</v>
      </c>
      <c r="H2111" s="5">
        <v>17.6325486386354</v>
      </c>
      <c r="I2111" s="5">
        <v>17.6325486386354</v>
      </c>
      <c r="J2111" s="5">
        <v>0.0905589421204175</v>
      </c>
      <c r="K2111" s="5">
        <v>0.0905589421204175</v>
      </c>
      <c r="L2111" s="5">
        <v>0.0905589421204175</v>
      </c>
      <c r="M2111" s="5">
        <v>17.541989696515</v>
      </c>
      <c r="N2111" s="5">
        <v>17.541989696515</v>
      </c>
      <c r="O2111" s="5">
        <v>17.541989696515</v>
      </c>
      <c r="P2111" s="5">
        <v>0.0</v>
      </c>
      <c r="Q2111" s="5">
        <v>0.0</v>
      </c>
      <c r="R2111" s="5">
        <v>0.0</v>
      </c>
      <c r="S2111" s="5">
        <v>76.4274002369168</v>
      </c>
    </row>
    <row r="2112">
      <c r="A2112" s="6">
        <v>43417.0</v>
      </c>
      <c r="B2112" s="5">
        <v>58.7536194055025</v>
      </c>
      <c r="C2112" s="5">
        <v>15.8476084417811</v>
      </c>
      <c r="D2112" s="5">
        <v>139.787693394478</v>
      </c>
      <c r="E2112" s="5">
        <v>58.7536194055025</v>
      </c>
      <c r="F2112" s="5">
        <v>58.7536194055025</v>
      </c>
      <c r="G2112" s="5">
        <v>17.51148342411</v>
      </c>
      <c r="H2112" s="5">
        <v>17.51148342411</v>
      </c>
      <c r="I2112" s="5">
        <v>17.51148342411</v>
      </c>
      <c r="J2112" s="5">
        <v>-0.144118857245996</v>
      </c>
      <c r="K2112" s="5">
        <v>-0.144118857245996</v>
      </c>
      <c r="L2112" s="5">
        <v>-0.144118857245996</v>
      </c>
      <c r="M2112" s="5">
        <v>17.655602281356</v>
      </c>
      <c r="N2112" s="5">
        <v>17.655602281356</v>
      </c>
      <c r="O2112" s="5">
        <v>17.655602281356</v>
      </c>
      <c r="P2112" s="5">
        <v>0.0</v>
      </c>
      <c r="Q2112" s="5">
        <v>0.0</v>
      </c>
      <c r="R2112" s="5">
        <v>0.0</v>
      </c>
      <c r="S2112" s="5">
        <v>76.2651028296126</v>
      </c>
    </row>
    <row r="2113">
      <c r="A2113" s="6">
        <v>43418.0</v>
      </c>
      <c r="B2113" s="5">
        <v>58.7123872127237</v>
      </c>
      <c r="C2113" s="5">
        <v>10.5646933460318</v>
      </c>
      <c r="D2113" s="5">
        <v>139.889494921217</v>
      </c>
      <c r="E2113" s="5">
        <v>58.7123872127237</v>
      </c>
      <c r="F2113" s="5">
        <v>58.7123872127237</v>
      </c>
      <c r="G2113" s="5">
        <v>17.8032813101737</v>
      </c>
      <c r="H2113" s="5">
        <v>17.8032813101737</v>
      </c>
      <c r="I2113" s="5">
        <v>17.8032813101737</v>
      </c>
      <c r="J2113" s="5">
        <v>0.00703780528146624</v>
      </c>
      <c r="K2113" s="5">
        <v>0.00703780528146624</v>
      </c>
      <c r="L2113" s="5">
        <v>0.00703780528146624</v>
      </c>
      <c r="M2113" s="5">
        <v>17.7962435048922</v>
      </c>
      <c r="N2113" s="5">
        <v>17.7962435048922</v>
      </c>
      <c r="O2113" s="5">
        <v>17.7962435048922</v>
      </c>
      <c r="P2113" s="5">
        <v>0.0</v>
      </c>
      <c r="Q2113" s="5">
        <v>0.0</v>
      </c>
      <c r="R2113" s="5">
        <v>0.0</v>
      </c>
      <c r="S2113" s="5">
        <v>76.5156685228975</v>
      </c>
    </row>
    <row r="2114">
      <c r="A2114" s="6">
        <v>43419.0</v>
      </c>
      <c r="B2114" s="5">
        <v>58.671155019945</v>
      </c>
      <c r="C2114" s="5">
        <v>9.08149063149968</v>
      </c>
      <c r="D2114" s="5">
        <v>136.971227248678</v>
      </c>
      <c r="E2114" s="5">
        <v>58.671155019945</v>
      </c>
      <c r="F2114" s="5">
        <v>58.671155019945</v>
      </c>
      <c r="G2114" s="5">
        <v>17.189545982184</v>
      </c>
      <c r="H2114" s="5">
        <v>17.189545982184</v>
      </c>
      <c r="I2114" s="5">
        <v>17.189545982184</v>
      </c>
      <c r="J2114" s="5">
        <v>-0.776422525904436</v>
      </c>
      <c r="K2114" s="5">
        <v>-0.776422525904436</v>
      </c>
      <c r="L2114" s="5">
        <v>-0.776422525904436</v>
      </c>
      <c r="M2114" s="5">
        <v>17.9659685080884</v>
      </c>
      <c r="N2114" s="5">
        <v>17.9659685080884</v>
      </c>
      <c r="O2114" s="5">
        <v>17.9659685080884</v>
      </c>
      <c r="P2114" s="5">
        <v>0.0</v>
      </c>
      <c r="Q2114" s="5">
        <v>0.0</v>
      </c>
      <c r="R2114" s="5">
        <v>0.0</v>
      </c>
      <c r="S2114" s="5">
        <v>75.860701002129</v>
      </c>
    </row>
    <row r="2115">
      <c r="A2115" s="6">
        <v>43420.0</v>
      </c>
      <c r="B2115" s="5">
        <v>58.6299228271662</v>
      </c>
      <c r="C2115" s="5">
        <v>13.4134793935812</v>
      </c>
      <c r="D2115" s="5">
        <v>135.428979759007</v>
      </c>
      <c r="E2115" s="5">
        <v>58.6299228271662</v>
      </c>
      <c r="F2115" s="5">
        <v>58.6299228271662</v>
      </c>
      <c r="G2115" s="5">
        <v>16.5733312774466</v>
      </c>
      <c r="H2115" s="5">
        <v>16.5733312774466</v>
      </c>
      <c r="I2115" s="5">
        <v>16.5733312774466</v>
      </c>
      <c r="J2115" s="5">
        <v>-1.59155056649063</v>
      </c>
      <c r="K2115" s="5">
        <v>-1.59155056649063</v>
      </c>
      <c r="L2115" s="5">
        <v>-1.59155056649063</v>
      </c>
      <c r="M2115" s="5">
        <v>18.1648818439373</v>
      </c>
      <c r="N2115" s="5">
        <v>18.1648818439373</v>
      </c>
      <c r="O2115" s="5">
        <v>18.1648818439373</v>
      </c>
      <c r="P2115" s="5">
        <v>0.0</v>
      </c>
      <c r="Q2115" s="5">
        <v>0.0</v>
      </c>
      <c r="R2115" s="5">
        <v>0.0</v>
      </c>
      <c r="S2115" s="5">
        <v>75.2032541046129</v>
      </c>
    </row>
    <row r="2116">
      <c r="A2116" s="6">
        <v>43423.0</v>
      </c>
      <c r="B2116" s="5">
        <v>58.5062262488299</v>
      </c>
      <c r="C2116" s="5">
        <v>13.0200717131138</v>
      </c>
      <c r="D2116" s="5">
        <v>139.853113422185</v>
      </c>
      <c r="E2116" s="5">
        <v>58.5062262488299</v>
      </c>
      <c r="F2116" s="5">
        <v>58.5062262488299</v>
      </c>
      <c r="G2116" s="5">
        <v>18.9998010206054</v>
      </c>
      <c r="H2116" s="5">
        <v>18.9998010206054</v>
      </c>
      <c r="I2116" s="5">
        <v>18.9998010206054</v>
      </c>
      <c r="J2116" s="5">
        <v>0.0905589421213639</v>
      </c>
      <c r="K2116" s="5">
        <v>0.0905589421213639</v>
      </c>
      <c r="L2116" s="5">
        <v>0.0905589421213639</v>
      </c>
      <c r="M2116" s="5">
        <v>18.909242078484</v>
      </c>
      <c r="N2116" s="5">
        <v>18.909242078484</v>
      </c>
      <c r="O2116" s="5">
        <v>18.909242078484</v>
      </c>
      <c r="P2116" s="5">
        <v>0.0</v>
      </c>
      <c r="Q2116" s="5">
        <v>0.0</v>
      </c>
      <c r="R2116" s="5">
        <v>0.0</v>
      </c>
      <c r="S2116" s="5">
        <v>77.5060272694354</v>
      </c>
    </row>
    <row r="2117">
      <c r="A2117" s="6">
        <v>43424.0</v>
      </c>
      <c r="B2117" s="5">
        <v>58.4649940560512</v>
      </c>
      <c r="C2117" s="5">
        <v>15.0569310765435</v>
      </c>
      <c r="D2117" s="5">
        <v>148.462861329421</v>
      </c>
      <c r="E2117" s="5">
        <v>58.4649940560512</v>
      </c>
      <c r="F2117" s="5">
        <v>58.4649940560512</v>
      </c>
      <c r="G2117" s="5">
        <v>19.0445918316942</v>
      </c>
      <c r="H2117" s="5">
        <v>19.0445918316942</v>
      </c>
      <c r="I2117" s="5">
        <v>19.0445918316942</v>
      </c>
      <c r="J2117" s="5">
        <v>-0.144118857243798</v>
      </c>
      <c r="K2117" s="5">
        <v>-0.144118857243798</v>
      </c>
      <c r="L2117" s="5">
        <v>-0.144118857243798</v>
      </c>
      <c r="M2117" s="5">
        <v>19.188710688938</v>
      </c>
      <c r="N2117" s="5">
        <v>19.188710688938</v>
      </c>
      <c r="O2117" s="5">
        <v>19.188710688938</v>
      </c>
      <c r="P2117" s="5">
        <v>0.0</v>
      </c>
      <c r="Q2117" s="5">
        <v>0.0</v>
      </c>
      <c r="R2117" s="5">
        <v>0.0</v>
      </c>
      <c r="S2117" s="5">
        <v>77.5095858877454</v>
      </c>
    </row>
    <row r="2118">
      <c r="A2118" s="6">
        <v>43425.0</v>
      </c>
      <c r="B2118" s="5">
        <v>58.4237618632724</v>
      </c>
      <c r="C2118" s="5">
        <v>15.6948661310447</v>
      </c>
      <c r="D2118" s="5">
        <v>137.521352378518</v>
      </c>
      <c r="E2118" s="5">
        <v>58.4237618632724</v>
      </c>
      <c r="F2118" s="5">
        <v>58.4237618632724</v>
      </c>
      <c r="G2118" s="5">
        <v>19.4783097074661</v>
      </c>
      <c r="H2118" s="5">
        <v>19.4783097074661</v>
      </c>
      <c r="I2118" s="5">
        <v>19.4783097074661</v>
      </c>
      <c r="J2118" s="5">
        <v>0.00703780528277731</v>
      </c>
      <c r="K2118" s="5">
        <v>0.00703780528277731</v>
      </c>
      <c r="L2118" s="5">
        <v>0.00703780528277731</v>
      </c>
      <c r="M2118" s="5">
        <v>19.4712719021834</v>
      </c>
      <c r="N2118" s="5">
        <v>19.4712719021834</v>
      </c>
      <c r="O2118" s="5">
        <v>19.4712719021834</v>
      </c>
      <c r="P2118" s="5">
        <v>0.0</v>
      </c>
      <c r="Q2118" s="5">
        <v>0.0</v>
      </c>
      <c r="R2118" s="5">
        <v>0.0</v>
      </c>
      <c r="S2118" s="5">
        <v>77.9020715707386</v>
      </c>
    </row>
    <row r="2119">
      <c r="A2119" s="6">
        <v>43427.0</v>
      </c>
      <c r="B2119" s="5">
        <v>58.3412974777149</v>
      </c>
      <c r="C2119" s="5">
        <v>6.82386418107373</v>
      </c>
      <c r="D2119" s="5">
        <v>135.572895545555</v>
      </c>
      <c r="E2119" s="5">
        <v>58.3412974777149</v>
      </c>
      <c r="F2119" s="5">
        <v>58.3412974777149</v>
      </c>
      <c r="G2119" s="5">
        <v>18.4167621981516</v>
      </c>
      <c r="H2119" s="5">
        <v>18.4167621981516</v>
      </c>
      <c r="I2119" s="5">
        <v>18.4167621981516</v>
      </c>
      <c r="J2119" s="5">
        <v>-1.59155056649276</v>
      </c>
      <c r="K2119" s="5">
        <v>-1.59155056649276</v>
      </c>
      <c r="L2119" s="5">
        <v>-1.59155056649276</v>
      </c>
      <c r="M2119" s="5">
        <v>20.0083127646444</v>
      </c>
      <c r="N2119" s="5">
        <v>20.0083127646444</v>
      </c>
      <c r="O2119" s="5">
        <v>20.0083127646444</v>
      </c>
      <c r="P2119" s="5">
        <v>0.0</v>
      </c>
      <c r="Q2119" s="5">
        <v>0.0</v>
      </c>
      <c r="R2119" s="5">
        <v>0.0</v>
      </c>
      <c r="S2119" s="5">
        <v>76.7580596758665</v>
      </c>
    </row>
    <row r="2120">
      <c r="A2120" s="6">
        <v>43430.0</v>
      </c>
      <c r="B2120" s="5">
        <v>58.2176008993786</v>
      </c>
      <c r="C2120" s="5">
        <v>19.2984567108935</v>
      </c>
      <c r="D2120" s="5">
        <v>138.753723727256</v>
      </c>
      <c r="E2120" s="5">
        <v>58.2176008993786</v>
      </c>
      <c r="F2120" s="5">
        <v>58.2176008993786</v>
      </c>
      <c r="G2120" s="5">
        <v>20.6851014100984</v>
      </c>
      <c r="H2120" s="5">
        <v>20.6851014100984</v>
      </c>
      <c r="I2120" s="5">
        <v>20.6851014100984</v>
      </c>
      <c r="J2120" s="5">
        <v>0.0905589421223104</v>
      </c>
      <c r="K2120" s="5">
        <v>0.0905589421223104</v>
      </c>
      <c r="L2120" s="5">
        <v>0.0905589421223104</v>
      </c>
      <c r="M2120" s="5">
        <v>20.5945424679761</v>
      </c>
      <c r="N2120" s="5">
        <v>20.5945424679761</v>
      </c>
      <c r="O2120" s="5">
        <v>20.5945424679761</v>
      </c>
      <c r="P2120" s="5">
        <v>0.0</v>
      </c>
      <c r="Q2120" s="5">
        <v>0.0</v>
      </c>
      <c r="R2120" s="5">
        <v>0.0</v>
      </c>
      <c r="S2120" s="5">
        <v>78.902702309477</v>
      </c>
    </row>
    <row r="2121">
      <c r="A2121" s="6">
        <v>43431.0</v>
      </c>
      <c r="B2121" s="5">
        <v>58.1763687065998</v>
      </c>
      <c r="C2121" s="5">
        <v>12.5889337842714</v>
      </c>
      <c r="D2121" s="5">
        <v>140.72758067618</v>
      </c>
      <c r="E2121" s="5">
        <v>58.1763687065998</v>
      </c>
      <c r="F2121" s="5">
        <v>58.1763687065998</v>
      </c>
      <c r="G2121" s="5">
        <v>20.5493504681847</v>
      </c>
      <c r="H2121" s="5">
        <v>20.5493504681847</v>
      </c>
      <c r="I2121" s="5">
        <v>20.5493504681847</v>
      </c>
      <c r="J2121" s="5">
        <v>-0.144118857246648</v>
      </c>
      <c r="K2121" s="5">
        <v>-0.144118857246648</v>
      </c>
      <c r="L2121" s="5">
        <v>-0.144118857246648</v>
      </c>
      <c r="M2121" s="5">
        <v>20.6934693254313</v>
      </c>
      <c r="N2121" s="5">
        <v>20.6934693254313</v>
      </c>
      <c r="O2121" s="5">
        <v>20.6934693254313</v>
      </c>
      <c r="P2121" s="5">
        <v>0.0</v>
      </c>
      <c r="Q2121" s="5">
        <v>0.0</v>
      </c>
      <c r="R2121" s="5">
        <v>0.0</v>
      </c>
      <c r="S2121" s="5">
        <v>78.7257191747845</v>
      </c>
    </row>
    <row r="2122">
      <c r="A2122" s="6">
        <v>43432.0</v>
      </c>
      <c r="B2122" s="5">
        <v>58.135136513821</v>
      </c>
      <c r="C2122" s="5">
        <v>15.5628691987844</v>
      </c>
      <c r="D2122" s="5">
        <v>142.843780646423</v>
      </c>
      <c r="E2122" s="5">
        <v>58.135136513821</v>
      </c>
      <c r="F2122" s="5">
        <v>58.135136513821</v>
      </c>
      <c r="G2122" s="5">
        <v>20.7378332858536</v>
      </c>
      <c r="H2122" s="5">
        <v>20.7378332858536</v>
      </c>
      <c r="I2122" s="5">
        <v>20.7378332858536</v>
      </c>
      <c r="J2122" s="5">
        <v>0.00703780528291619</v>
      </c>
      <c r="K2122" s="5">
        <v>0.00703780528291619</v>
      </c>
      <c r="L2122" s="5">
        <v>0.00703780528291619</v>
      </c>
      <c r="M2122" s="5">
        <v>20.7307954805707</v>
      </c>
      <c r="N2122" s="5">
        <v>20.7307954805707</v>
      </c>
      <c r="O2122" s="5">
        <v>20.7307954805707</v>
      </c>
      <c r="P2122" s="5">
        <v>0.0</v>
      </c>
      <c r="Q2122" s="5">
        <v>0.0</v>
      </c>
      <c r="R2122" s="5">
        <v>0.0</v>
      </c>
      <c r="S2122" s="5">
        <v>78.8729697996747</v>
      </c>
    </row>
    <row r="2123">
      <c r="A2123" s="6">
        <v>43433.0</v>
      </c>
      <c r="B2123" s="5">
        <v>58.0939043210423</v>
      </c>
      <c r="C2123" s="5">
        <v>16.8129618359355</v>
      </c>
      <c r="D2123" s="5">
        <v>141.118601108896</v>
      </c>
      <c r="E2123" s="5">
        <v>58.0939043210423</v>
      </c>
      <c r="F2123" s="5">
        <v>58.0939043210423</v>
      </c>
      <c r="G2123" s="5">
        <v>19.9241811045771</v>
      </c>
      <c r="H2123" s="5">
        <v>19.9241811045771</v>
      </c>
      <c r="I2123" s="5">
        <v>19.9241811045771</v>
      </c>
      <c r="J2123" s="5">
        <v>-0.77642252590303</v>
      </c>
      <c r="K2123" s="5">
        <v>-0.77642252590303</v>
      </c>
      <c r="L2123" s="5">
        <v>-0.77642252590303</v>
      </c>
      <c r="M2123" s="5">
        <v>20.7006036304801</v>
      </c>
      <c r="N2123" s="5">
        <v>20.7006036304801</v>
      </c>
      <c r="O2123" s="5">
        <v>20.7006036304801</v>
      </c>
      <c r="P2123" s="5">
        <v>0.0</v>
      </c>
      <c r="Q2123" s="5">
        <v>0.0</v>
      </c>
      <c r="R2123" s="5">
        <v>0.0</v>
      </c>
      <c r="S2123" s="5">
        <v>78.0180854256194</v>
      </c>
    </row>
    <row r="2124">
      <c r="A2124" s="6">
        <v>43434.0</v>
      </c>
      <c r="B2124" s="5">
        <v>58.0526721282635</v>
      </c>
      <c r="C2124" s="5">
        <v>12.8143346927732</v>
      </c>
      <c r="D2124" s="5">
        <v>135.139859091373</v>
      </c>
      <c r="E2124" s="5">
        <v>58.0526721282635</v>
      </c>
      <c r="F2124" s="5">
        <v>58.0526721282635</v>
      </c>
      <c r="G2124" s="5">
        <v>19.0072361240032</v>
      </c>
      <c r="H2124" s="5">
        <v>19.0072361240032</v>
      </c>
      <c r="I2124" s="5">
        <v>19.0072361240032</v>
      </c>
      <c r="J2124" s="5">
        <v>-1.59155056649458</v>
      </c>
      <c r="K2124" s="5">
        <v>-1.59155056649458</v>
      </c>
      <c r="L2124" s="5">
        <v>-1.59155056649458</v>
      </c>
      <c r="M2124" s="5">
        <v>20.5987866904978</v>
      </c>
      <c r="N2124" s="5">
        <v>20.5987866904978</v>
      </c>
      <c r="O2124" s="5">
        <v>20.5987866904978</v>
      </c>
      <c r="P2124" s="5">
        <v>0.0</v>
      </c>
      <c r="Q2124" s="5">
        <v>0.0</v>
      </c>
      <c r="R2124" s="5">
        <v>0.0</v>
      </c>
      <c r="S2124" s="5">
        <v>77.0599082522668</v>
      </c>
    </row>
    <row r="2125">
      <c r="A2125" s="6">
        <v>43437.0</v>
      </c>
      <c r="B2125" s="5">
        <v>57.9289755499272</v>
      </c>
      <c r="C2125" s="5">
        <v>17.2740041799332</v>
      </c>
      <c r="D2125" s="5">
        <v>142.202199915296</v>
      </c>
      <c r="E2125" s="5">
        <v>57.9289755499272</v>
      </c>
      <c r="F2125" s="5">
        <v>57.9289755499272</v>
      </c>
      <c r="G2125" s="5">
        <v>19.9446361052094</v>
      </c>
      <c r="H2125" s="5">
        <v>19.9446361052094</v>
      </c>
      <c r="I2125" s="5">
        <v>19.9446361052094</v>
      </c>
      <c r="J2125" s="5">
        <v>0.090558942120953</v>
      </c>
      <c r="K2125" s="5">
        <v>0.090558942120953</v>
      </c>
      <c r="L2125" s="5">
        <v>0.090558942120953</v>
      </c>
      <c r="M2125" s="5">
        <v>19.8540771630885</v>
      </c>
      <c r="N2125" s="5">
        <v>19.8540771630885</v>
      </c>
      <c r="O2125" s="5">
        <v>19.8540771630885</v>
      </c>
      <c r="P2125" s="5">
        <v>0.0</v>
      </c>
      <c r="Q2125" s="5">
        <v>0.0</v>
      </c>
      <c r="R2125" s="5">
        <v>0.0</v>
      </c>
      <c r="S2125" s="5">
        <v>77.8736116551367</v>
      </c>
    </row>
    <row r="2126">
      <c r="A2126" s="6">
        <v>43438.0</v>
      </c>
      <c r="B2126" s="5">
        <v>57.8877433571485</v>
      </c>
      <c r="C2126" s="5">
        <v>15.3789676315333</v>
      </c>
      <c r="D2126" s="5">
        <v>135.906091244739</v>
      </c>
      <c r="E2126" s="5">
        <v>57.8877433571485</v>
      </c>
      <c r="F2126" s="5">
        <v>57.8877433571485</v>
      </c>
      <c r="G2126" s="5">
        <v>19.3235446404287</v>
      </c>
      <c r="H2126" s="5">
        <v>19.3235446404287</v>
      </c>
      <c r="I2126" s="5">
        <v>19.3235446404287</v>
      </c>
      <c r="J2126" s="5">
        <v>-0.144118857243036</v>
      </c>
      <c r="K2126" s="5">
        <v>-0.144118857243036</v>
      </c>
      <c r="L2126" s="5">
        <v>-0.144118857243036</v>
      </c>
      <c r="M2126" s="5">
        <v>19.4676634976718</v>
      </c>
      <c r="N2126" s="5">
        <v>19.4676634976718</v>
      </c>
      <c r="O2126" s="5">
        <v>19.4676634976718</v>
      </c>
      <c r="P2126" s="5">
        <v>0.0</v>
      </c>
      <c r="Q2126" s="5">
        <v>0.0</v>
      </c>
      <c r="R2126" s="5">
        <v>0.0</v>
      </c>
      <c r="S2126" s="5">
        <v>77.2112879975773</v>
      </c>
    </row>
    <row r="2127">
      <c r="A2127" s="6">
        <v>43440.0</v>
      </c>
      <c r="B2127" s="5">
        <v>57.805278971591</v>
      </c>
      <c r="C2127" s="5">
        <v>14.3709512163983</v>
      </c>
      <c r="D2127" s="5">
        <v>136.256117398674</v>
      </c>
      <c r="E2127" s="5">
        <v>57.805278971591</v>
      </c>
      <c r="F2127" s="5">
        <v>57.805278971591</v>
      </c>
      <c r="G2127" s="5">
        <v>17.7503589246391</v>
      </c>
      <c r="H2127" s="5">
        <v>17.7503589246391</v>
      </c>
      <c r="I2127" s="5">
        <v>17.7503589246391</v>
      </c>
      <c r="J2127" s="5">
        <v>-0.776422525903751</v>
      </c>
      <c r="K2127" s="5">
        <v>-0.776422525903751</v>
      </c>
      <c r="L2127" s="5">
        <v>-0.776422525903751</v>
      </c>
      <c r="M2127" s="5">
        <v>18.5267814505429</v>
      </c>
      <c r="N2127" s="5">
        <v>18.5267814505429</v>
      </c>
      <c r="O2127" s="5">
        <v>18.5267814505429</v>
      </c>
      <c r="P2127" s="5">
        <v>0.0</v>
      </c>
      <c r="Q2127" s="5">
        <v>0.0</v>
      </c>
      <c r="R2127" s="5">
        <v>0.0</v>
      </c>
      <c r="S2127" s="5">
        <v>75.5556378962301</v>
      </c>
    </row>
    <row r="2128">
      <c r="A2128" s="6">
        <v>43441.0</v>
      </c>
      <c r="B2128" s="5">
        <v>57.7640467788122</v>
      </c>
      <c r="C2128" s="5">
        <v>8.45069336199289</v>
      </c>
      <c r="D2128" s="5">
        <v>140.767085765027</v>
      </c>
      <c r="E2128" s="5">
        <v>57.7640467788122</v>
      </c>
      <c r="F2128" s="5">
        <v>57.7640467788122</v>
      </c>
      <c r="G2128" s="5">
        <v>16.4014960468864</v>
      </c>
      <c r="H2128" s="5">
        <v>16.4014960468864</v>
      </c>
      <c r="I2128" s="5">
        <v>16.4014960468864</v>
      </c>
      <c r="J2128" s="5">
        <v>-1.59155056649366</v>
      </c>
      <c r="K2128" s="5">
        <v>-1.59155056649366</v>
      </c>
      <c r="L2128" s="5">
        <v>-1.59155056649366</v>
      </c>
      <c r="M2128" s="5">
        <v>17.9930466133801</v>
      </c>
      <c r="N2128" s="5">
        <v>17.9930466133801</v>
      </c>
      <c r="O2128" s="5">
        <v>17.9930466133801</v>
      </c>
      <c r="P2128" s="5">
        <v>0.0</v>
      </c>
      <c r="Q2128" s="5">
        <v>0.0</v>
      </c>
      <c r="R2128" s="5">
        <v>0.0</v>
      </c>
      <c r="S2128" s="5">
        <v>74.1655428256987</v>
      </c>
    </row>
    <row r="2129">
      <c r="A2129" s="6">
        <v>43444.0</v>
      </c>
      <c r="B2129" s="5">
        <v>57.6403502004759</v>
      </c>
      <c r="C2129" s="5">
        <v>11.7742843417503</v>
      </c>
      <c r="D2129" s="5">
        <v>138.923348162024</v>
      </c>
      <c r="E2129" s="5">
        <v>57.6403502004759</v>
      </c>
      <c r="F2129" s="5">
        <v>57.6403502004759</v>
      </c>
      <c r="G2129" s="5">
        <v>16.3908614472415</v>
      </c>
      <c r="H2129" s="5">
        <v>16.3908614472415</v>
      </c>
      <c r="I2129" s="5">
        <v>16.3908614472415</v>
      </c>
      <c r="J2129" s="5">
        <v>0.0905589421218995</v>
      </c>
      <c r="K2129" s="5">
        <v>0.0905589421218995</v>
      </c>
      <c r="L2129" s="5">
        <v>0.0905589421218995</v>
      </c>
      <c r="M2129" s="5">
        <v>16.3003025051196</v>
      </c>
      <c r="N2129" s="5">
        <v>16.3003025051196</v>
      </c>
      <c r="O2129" s="5">
        <v>16.3003025051196</v>
      </c>
      <c r="P2129" s="5">
        <v>0.0</v>
      </c>
      <c r="Q2129" s="5">
        <v>0.0</v>
      </c>
      <c r="R2129" s="5">
        <v>0.0</v>
      </c>
      <c r="S2129" s="5">
        <v>74.0312116477174</v>
      </c>
    </row>
    <row r="2130">
      <c r="A2130" s="6">
        <v>43445.0</v>
      </c>
      <c r="B2130" s="5">
        <v>57.5991180076971</v>
      </c>
      <c r="C2130" s="5">
        <v>13.8024929463073</v>
      </c>
      <c r="D2130" s="5">
        <v>139.762679709403</v>
      </c>
      <c r="E2130" s="5">
        <v>57.5991180076971</v>
      </c>
      <c r="F2130" s="5">
        <v>57.5991180076971</v>
      </c>
      <c r="G2130" s="5">
        <v>15.6136888358411</v>
      </c>
      <c r="H2130" s="5">
        <v>15.6136888358411</v>
      </c>
      <c r="I2130" s="5">
        <v>15.6136888358411</v>
      </c>
      <c r="J2130" s="5">
        <v>-0.144118857244472</v>
      </c>
      <c r="K2130" s="5">
        <v>-0.144118857244472</v>
      </c>
      <c r="L2130" s="5">
        <v>-0.144118857244472</v>
      </c>
      <c r="M2130" s="5">
        <v>15.7578076930856</v>
      </c>
      <c r="N2130" s="5">
        <v>15.7578076930856</v>
      </c>
      <c r="O2130" s="5">
        <v>15.7578076930856</v>
      </c>
      <c r="P2130" s="5">
        <v>0.0</v>
      </c>
      <c r="Q2130" s="5">
        <v>0.0</v>
      </c>
      <c r="R2130" s="5">
        <v>0.0</v>
      </c>
      <c r="S2130" s="5">
        <v>73.2128068435383</v>
      </c>
    </row>
    <row r="2131">
      <c r="A2131" s="6">
        <v>43446.0</v>
      </c>
      <c r="B2131" s="5">
        <v>57.5578858149184</v>
      </c>
      <c r="C2131" s="5">
        <v>12.6202227677357</v>
      </c>
      <c r="D2131" s="5">
        <v>134.824457037828</v>
      </c>
      <c r="E2131" s="5">
        <v>57.5578858149184</v>
      </c>
      <c r="F2131" s="5">
        <v>57.5578858149184</v>
      </c>
      <c r="G2131" s="5">
        <v>15.2609616645194</v>
      </c>
      <c r="H2131" s="5">
        <v>15.2609616645194</v>
      </c>
      <c r="I2131" s="5">
        <v>15.2609616645194</v>
      </c>
      <c r="J2131" s="5">
        <v>0.00703780528121095</v>
      </c>
      <c r="K2131" s="5">
        <v>0.00703780528121095</v>
      </c>
      <c r="L2131" s="5">
        <v>0.00703780528121095</v>
      </c>
      <c r="M2131" s="5">
        <v>15.2539238592382</v>
      </c>
      <c r="N2131" s="5">
        <v>15.2539238592382</v>
      </c>
      <c r="O2131" s="5">
        <v>15.2539238592382</v>
      </c>
      <c r="P2131" s="5">
        <v>0.0</v>
      </c>
      <c r="Q2131" s="5">
        <v>0.0</v>
      </c>
      <c r="R2131" s="5">
        <v>0.0</v>
      </c>
      <c r="S2131" s="5">
        <v>72.8188474794378</v>
      </c>
    </row>
    <row r="2132">
      <c r="A2132" s="6">
        <v>43447.0</v>
      </c>
      <c r="B2132" s="5">
        <v>57.5166536221396</v>
      </c>
      <c r="C2132" s="5">
        <v>9.33706175701599</v>
      </c>
      <c r="D2132" s="5">
        <v>134.591198771314</v>
      </c>
      <c r="E2132" s="5">
        <v>57.5166536221396</v>
      </c>
      <c r="F2132" s="5">
        <v>57.5166536221396</v>
      </c>
      <c r="G2132" s="5">
        <v>14.0289114219222</v>
      </c>
      <c r="H2132" s="5">
        <v>14.0289114219222</v>
      </c>
      <c r="I2132" s="5">
        <v>14.0289114219222</v>
      </c>
      <c r="J2132" s="5">
        <v>-0.776422525905848</v>
      </c>
      <c r="K2132" s="5">
        <v>-0.776422525905848</v>
      </c>
      <c r="L2132" s="5">
        <v>-0.776422525905848</v>
      </c>
      <c r="M2132" s="5">
        <v>14.8053339478281</v>
      </c>
      <c r="N2132" s="5">
        <v>14.8053339478281</v>
      </c>
      <c r="O2132" s="5">
        <v>14.8053339478281</v>
      </c>
      <c r="P2132" s="5">
        <v>0.0</v>
      </c>
      <c r="Q2132" s="5">
        <v>0.0</v>
      </c>
      <c r="R2132" s="5">
        <v>0.0</v>
      </c>
      <c r="S2132" s="5">
        <v>71.5455650440619</v>
      </c>
    </row>
    <row r="2133">
      <c r="A2133" s="6">
        <v>43448.0</v>
      </c>
      <c r="B2133" s="5">
        <v>57.4754214293608</v>
      </c>
      <c r="C2133" s="5">
        <v>7.70564614811358</v>
      </c>
      <c r="D2133" s="5">
        <v>130.746174531086</v>
      </c>
      <c r="E2133" s="5">
        <v>57.4754214293608</v>
      </c>
      <c r="F2133" s="5">
        <v>57.4754214293608</v>
      </c>
      <c r="G2133" s="5">
        <v>12.8365578533705</v>
      </c>
      <c r="H2133" s="5">
        <v>12.8365578533705</v>
      </c>
      <c r="I2133" s="5">
        <v>12.8365578533705</v>
      </c>
      <c r="J2133" s="5">
        <v>-1.59155056649516</v>
      </c>
      <c r="K2133" s="5">
        <v>-1.59155056649516</v>
      </c>
      <c r="L2133" s="5">
        <v>-1.59155056649516</v>
      </c>
      <c r="M2133" s="5">
        <v>14.4281084198657</v>
      </c>
      <c r="N2133" s="5">
        <v>14.4281084198657</v>
      </c>
      <c r="O2133" s="5">
        <v>14.4281084198657</v>
      </c>
      <c r="P2133" s="5">
        <v>0.0</v>
      </c>
      <c r="Q2133" s="5">
        <v>0.0</v>
      </c>
      <c r="R2133" s="5">
        <v>0.0</v>
      </c>
      <c r="S2133" s="5">
        <v>70.3119792827314</v>
      </c>
    </row>
    <row r="2134">
      <c r="A2134" s="6">
        <v>43451.0</v>
      </c>
      <c r="B2134" s="5">
        <v>57.3517248510245</v>
      </c>
      <c r="C2134" s="5">
        <v>7.07749782218468</v>
      </c>
      <c r="D2134" s="5">
        <v>135.667132944064</v>
      </c>
      <c r="E2134" s="5">
        <v>57.3517248510245</v>
      </c>
      <c r="F2134" s="5">
        <v>57.3517248510245</v>
      </c>
      <c r="G2134" s="5">
        <v>13.9572535715933</v>
      </c>
      <c r="H2134" s="5">
        <v>13.9572535715933</v>
      </c>
      <c r="I2134" s="5">
        <v>13.9572535715933</v>
      </c>
      <c r="J2134" s="5">
        <v>0.0905589421205421</v>
      </c>
      <c r="K2134" s="5">
        <v>0.0905589421205421</v>
      </c>
      <c r="L2134" s="5">
        <v>0.0905589421205421</v>
      </c>
      <c r="M2134" s="5">
        <v>13.8666946294727</v>
      </c>
      <c r="N2134" s="5">
        <v>13.8666946294727</v>
      </c>
      <c r="O2134" s="5">
        <v>13.8666946294727</v>
      </c>
      <c r="P2134" s="5">
        <v>0.0</v>
      </c>
      <c r="Q2134" s="5">
        <v>0.0</v>
      </c>
      <c r="R2134" s="5">
        <v>0.0</v>
      </c>
      <c r="S2134" s="5">
        <v>71.3089784226179</v>
      </c>
    </row>
    <row r="2135">
      <c r="A2135" s="6">
        <v>43452.0</v>
      </c>
      <c r="B2135" s="5">
        <v>57.3104926582458</v>
      </c>
      <c r="C2135" s="5">
        <v>3.69314405999487</v>
      </c>
      <c r="D2135" s="5">
        <v>136.023684664661</v>
      </c>
      <c r="E2135" s="5">
        <v>57.3104926582458</v>
      </c>
      <c r="F2135" s="5">
        <v>57.3104926582458</v>
      </c>
      <c r="G2135" s="5">
        <v>13.7637612413386</v>
      </c>
      <c r="H2135" s="5">
        <v>13.7637612413386</v>
      </c>
      <c r="I2135" s="5">
        <v>13.7637612413386</v>
      </c>
      <c r="J2135" s="5">
        <v>-0.144118857243384</v>
      </c>
      <c r="K2135" s="5">
        <v>-0.144118857243384</v>
      </c>
      <c r="L2135" s="5">
        <v>-0.144118857243384</v>
      </c>
      <c r="M2135" s="5">
        <v>13.9078800985819</v>
      </c>
      <c r="N2135" s="5">
        <v>13.9078800985819</v>
      </c>
      <c r="O2135" s="5">
        <v>13.9078800985819</v>
      </c>
      <c r="P2135" s="5">
        <v>0.0</v>
      </c>
      <c r="Q2135" s="5">
        <v>0.0</v>
      </c>
      <c r="R2135" s="5">
        <v>0.0</v>
      </c>
      <c r="S2135" s="5">
        <v>71.0742538995844</v>
      </c>
    </row>
    <row r="2136">
      <c r="A2136" s="6">
        <v>43453.0</v>
      </c>
      <c r="B2136" s="5">
        <v>57.269260465467</v>
      </c>
      <c r="C2136" s="5">
        <v>6.6796641983819</v>
      </c>
      <c r="D2136" s="5">
        <v>137.370467573711</v>
      </c>
      <c r="E2136" s="5">
        <v>57.269260465467</v>
      </c>
      <c r="F2136" s="5">
        <v>57.269260465467</v>
      </c>
      <c r="G2136" s="5">
        <v>14.0835536736692</v>
      </c>
      <c r="H2136" s="5">
        <v>14.0835536736692</v>
      </c>
      <c r="I2136" s="5">
        <v>14.0835536736692</v>
      </c>
      <c r="J2136" s="5">
        <v>0.00703780528351355</v>
      </c>
      <c r="K2136" s="5">
        <v>0.00703780528351355</v>
      </c>
      <c r="L2136" s="5">
        <v>0.00703780528351355</v>
      </c>
      <c r="M2136" s="5">
        <v>14.0765158683857</v>
      </c>
      <c r="N2136" s="5">
        <v>14.0765158683857</v>
      </c>
      <c r="O2136" s="5">
        <v>14.0765158683857</v>
      </c>
      <c r="P2136" s="5">
        <v>0.0</v>
      </c>
      <c r="Q2136" s="5">
        <v>0.0</v>
      </c>
      <c r="R2136" s="5">
        <v>0.0</v>
      </c>
      <c r="S2136" s="5">
        <v>71.3528141391363</v>
      </c>
    </row>
    <row r="2137">
      <c r="A2137" s="6">
        <v>43454.0</v>
      </c>
      <c r="B2137" s="5">
        <v>57.2280282726883</v>
      </c>
      <c r="C2137" s="5">
        <v>12.1082193944188</v>
      </c>
      <c r="D2137" s="5">
        <v>133.22019300126</v>
      </c>
      <c r="E2137" s="5">
        <v>57.2280282726883</v>
      </c>
      <c r="F2137" s="5">
        <v>57.2280282726883</v>
      </c>
      <c r="G2137" s="5">
        <v>13.6000466295859</v>
      </c>
      <c r="H2137" s="5">
        <v>13.6000466295859</v>
      </c>
      <c r="I2137" s="5">
        <v>13.6000466295859</v>
      </c>
      <c r="J2137" s="5">
        <v>-0.77642252590372</v>
      </c>
      <c r="K2137" s="5">
        <v>-0.77642252590372</v>
      </c>
      <c r="L2137" s="5">
        <v>-0.77642252590372</v>
      </c>
      <c r="M2137" s="5">
        <v>14.3764691554897</v>
      </c>
      <c r="N2137" s="5">
        <v>14.3764691554897</v>
      </c>
      <c r="O2137" s="5">
        <v>14.3764691554897</v>
      </c>
      <c r="P2137" s="5">
        <v>0.0</v>
      </c>
      <c r="Q2137" s="5">
        <v>0.0</v>
      </c>
      <c r="R2137" s="5">
        <v>0.0</v>
      </c>
      <c r="S2137" s="5">
        <v>70.8280749022743</v>
      </c>
    </row>
    <row r="2138">
      <c r="A2138" s="6">
        <v>43455.0</v>
      </c>
      <c r="B2138" s="5">
        <v>57.1867960799095</v>
      </c>
      <c r="C2138" s="5">
        <v>9.1756351083767</v>
      </c>
      <c r="D2138" s="5">
        <v>138.599875044963</v>
      </c>
      <c r="E2138" s="5">
        <v>57.1867960799095</v>
      </c>
      <c r="F2138" s="5">
        <v>57.1867960799095</v>
      </c>
      <c r="G2138" s="5">
        <v>13.2170369972854</v>
      </c>
      <c r="H2138" s="5">
        <v>13.2170369972854</v>
      </c>
      <c r="I2138" s="5">
        <v>13.2170369972854</v>
      </c>
      <c r="J2138" s="5">
        <v>-1.59155056649393</v>
      </c>
      <c r="K2138" s="5">
        <v>-1.59155056649393</v>
      </c>
      <c r="L2138" s="5">
        <v>-1.59155056649393</v>
      </c>
      <c r="M2138" s="5">
        <v>14.8085875637793</v>
      </c>
      <c r="N2138" s="5">
        <v>14.8085875637793</v>
      </c>
      <c r="O2138" s="5">
        <v>14.8085875637793</v>
      </c>
      <c r="P2138" s="5">
        <v>0.0</v>
      </c>
      <c r="Q2138" s="5">
        <v>0.0</v>
      </c>
      <c r="R2138" s="5">
        <v>0.0</v>
      </c>
      <c r="S2138" s="5">
        <v>70.4038330771949</v>
      </c>
    </row>
    <row r="2139">
      <c r="A2139" s="6">
        <v>43458.0</v>
      </c>
      <c r="B2139" s="5">
        <v>57.0630995015732</v>
      </c>
      <c r="C2139" s="5">
        <v>8.95194126477058</v>
      </c>
      <c r="D2139" s="5">
        <v>142.397270471657</v>
      </c>
      <c r="E2139" s="5">
        <v>57.0630995015732</v>
      </c>
      <c r="F2139" s="5">
        <v>57.0630995015732</v>
      </c>
      <c r="G2139" s="5">
        <v>16.9501017873612</v>
      </c>
      <c r="H2139" s="5">
        <v>16.9501017873612</v>
      </c>
      <c r="I2139" s="5">
        <v>16.9501017873612</v>
      </c>
      <c r="J2139" s="5">
        <v>0.0905589421239525</v>
      </c>
      <c r="K2139" s="5">
        <v>0.0905589421239525</v>
      </c>
      <c r="L2139" s="5">
        <v>0.0905589421239525</v>
      </c>
      <c r="M2139" s="5">
        <v>16.8595428452372</v>
      </c>
      <c r="N2139" s="5">
        <v>16.8595428452372</v>
      </c>
      <c r="O2139" s="5">
        <v>16.8595428452372</v>
      </c>
      <c r="P2139" s="5">
        <v>0.0</v>
      </c>
      <c r="Q2139" s="5">
        <v>0.0</v>
      </c>
      <c r="R2139" s="5">
        <v>0.0</v>
      </c>
      <c r="S2139" s="5">
        <v>74.0132012889345</v>
      </c>
    </row>
    <row r="2140">
      <c r="A2140" s="6">
        <v>43460.0</v>
      </c>
      <c r="B2140" s="5">
        <v>56.9806351160157</v>
      </c>
      <c r="C2140" s="5">
        <v>14.5473756937795</v>
      </c>
      <c r="D2140" s="5">
        <v>138.6095993388</v>
      </c>
      <c r="E2140" s="5">
        <v>56.9806351160157</v>
      </c>
      <c r="F2140" s="5">
        <v>56.9806351160157</v>
      </c>
      <c r="G2140" s="5">
        <v>18.7709646412608</v>
      </c>
      <c r="H2140" s="5">
        <v>18.7709646412608</v>
      </c>
      <c r="I2140" s="5">
        <v>18.7709646412608</v>
      </c>
      <c r="J2140" s="5">
        <v>0.00703780528049737</v>
      </c>
      <c r="K2140" s="5">
        <v>0.00703780528049737</v>
      </c>
      <c r="L2140" s="5">
        <v>0.00703780528049737</v>
      </c>
      <c r="M2140" s="5">
        <v>18.7639268359803</v>
      </c>
      <c r="N2140" s="5">
        <v>18.7639268359803</v>
      </c>
      <c r="O2140" s="5">
        <v>18.7639268359803</v>
      </c>
      <c r="P2140" s="5">
        <v>0.0</v>
      </c>
      <c r="Q2140" s="5">
        <v>0.0</v>
      </c>
      <c r="R2140" s="5">
        <v>0.0</v>
      </c>
      <c r="S2140" s="5">
        <v>75.7515997572766</v>
      </c>
    </row>
    <row r="2141">
      <c r="A2141" s="6">
        <v>43461.0</v>
      </c>
      <c r="B2141" s="5">
        <v>56.9394029232369</v>
      </c>
      <c r="C2141" s="5">
        <v>11.219655625931</v>
      </c>
      <c r="D2141" s="5">
        <v>134.953939253161</v>
      </c>
      <c r="E2141" s="5">
        <v>56.9394029232369</v>
      </c>
      <c r="F2141" s="5">
        <v>56.9394029232369</v>
      </c>
      <c r="G2141" s="5">
        <v>19.0586935921255</v>
      </c>
      <c r="H2141" s="5">
        <v>19.0586935921255</v>
      </c>
      <c r="I2141" s="5">
        <v>19.0586935921255</v>
      </c>
      <c r="J2141" s="5">
        <v>-0.776422525904442</v>
      </c>
      <c r="K2141" s="5">
        <v>-0.776422525904442</v>
      </c>
      <c r="L2141" s="5">
        <v>-0.776422525904442</v>
      </c>
      <c r="M2141" s="5">
        <v>19.8351161180299</v>
      </c>
      <c r="N2141" s="5">
        <v>19.8351161180299</v>
      </c>
      <c r="O2141" s="5">
        <v>19.8351161180299</v>
      </c>
      <c r="P2141" s="5">
        <v>0.0</v>
      </c>
      <c r="Q2141" s="5">
        <v>0.0</v>
      </c>
      <c r="R2141" s="5">
        <v>0.0</v>
      </c>
      <c r="S2141" s="5">
        <v>75.9980965153624</v>
      </c>
    </row>
    <row r="2142">
      <c r="A2142" s="6">
        <v>43462.0</v>
      </c>
      <c r="B2142" s="5">
        <v>56.8981707304581</v>
      </c>
      <c r="C2142" s="5">
        <v>11.2790220412253</v>
      </c>
      <c r="D2142" s="5">
        <v>141.554192982923</v>
      </c>
      <c r="E2142" s="5">
        <v>56.8981707304581</v>
      </c>
      <c r="F2142" s="5">
        <v>56.8981707304581</v>
      </c>
      <c r="G2142" s="5">
        <v>19.3699205307166</v>
      </c>
      <c r="H2142" s="5">
        <v>19.3699205307166</v>
      </c>
      <c r="I2142" s="5">
        <v>19.3699205307166</v>
      </c>
      <c r="J2142" s="5">
        <v>-1.59155056649331</v>
      </c>
      <c r="K2142" s="5">
        <v>-1.59155056649331</v>
      </c>
      <c r="L2142" s="5">
        <v>-1.59155056649331</v>
      </c>
      <c r="M2142" s="5">
        <v>20.9614710972099</v>
      </c>
      <c r="N2142" s="5">
        <v>20.9614710972099</v>
      </c>
      <c r="O2142" s="5">
        <v>20.9614710972099</v>
      </c>
      <c r="P2142" s="5">
        <v>0.0</v>
      </c>
      <c r="Q2142" s="5">
        <v>0.0</v>
      </c>
      <c r="R2142" s="5">
        <v>0.0</v>
      </c>
      <c r="S2142" s="5">
        <v>76.2680912611748</v>
      </c>
    </row>
    <row r="2143">
      <c r="A2143" s="6">
        <v>43465.0</v>
      </c>
      <c r="B2143" s="5">
        <v>56.7744741521219</v>
      </c>
      <c r="C2143" s="5">
        <v>17.4793309038006</v>
      </c>
      <c r="D2143" s="5">
        <v>144.305043667209</v>
      </c>
      <c r="E2143" s="5">
        <v>56.7744741521219</v>
      </c>
      <c r="F2143" s="5">
        <v>56.7744741521219</v>
      </c>
      <c r="G2143" s="5">
        <v>24.5538839829149</v>
      </c>
      <c r="H2143" s="5">
        <v>24.5538839829149</v>
      </c>
      <c r="I2143" s="5">
        <v>24.5538839829149</v>
      </c>
      <c r="J2143" s="5">
        <v>0.0905589421225152</v>
      </c>
      <c r="K2143" s="5">
        <v>0.0905589421225152</v>
      </c>
      <c r="L2143" s="5">
        <v>0.0905589421225152</v>
      </c>
      <c r="M2143" s="5">
        <v>24.4633250407923</v>
      </c>
      <c r="N2143" s="5">
        <v>24.4633250407923</v>
      </c>
      <c r="O2143" s="5">
        <v>24.4633250407923</v>
      </c>
      <c r="P2143" s="5">
        <v>0.0</v>
      </c>
      <c r="Q2143" s="5">
        <v>0.0</v>
      </c>
      <c r="R2143" s="5">
        <v>0.0</v>
      </c>
      <c r="S2143" s="5">
        <v>81.3283581350368</v>
      </c>
    </row>
    <row r="2144">
      <c r="A2144" s="6">
        <v>43467.0</v>
      </c>
      <c r="B2144" s="5">
        <v>56.6920097665643</v>
      </c>
      <c r="C2144" s="5">
        <v>22.5368480043562</v>
      </c>
      <c r="D2144" s="5">
        <v>150.178226180203</v>
      </c>
      <c r="E2144" s="5">
        <v>56.6920097665643</v>
      </c>
      <c r="F2144" s="5">
        <v>56.6920097665643</v>
      </c>
      <c r="G2144" s="5">
        <v>26.6873538238637</v>
      </c>
      <c r="H2144" s="5">
        <v>26.6873538238637</v>
      </c>
      <c r="I2144" s="5">
        <v>26.6873538238637</v>
      </c>
      <c r="J2144" s="5">
        <v>0.00703780528180858</v>
      </c>
      <c r="K2144" s="5">
        <v>0.00703780528180858</v>
      </c>
      <c r="L2144" s="5">
        <v>0.00703780528180858</v>
      </c>
      <c r="M2144" s="5">
        <v>26.6803160185819</v>
      </c>
      <c r="N2144" s="5">
        <v>26.6803160185819</v>
      </c>
      <c r="O2144" s="5">
        <v>26.6803160185819</v>
      </c>
      <c r="P2144" s="5">
        <v>0.0</v>
      </c>
      <c r="Q2144" s="5">
        <v>0.0</v>
      </c>
      <c r="R2144" s="5">
        <v>0.0</v>
      </c>
      <c r="S2144" s="5">
        <v>83.3793635904281</v>
      </c>
    </row>
    <row r="2145">
      <c r="A2145" s="6">
        <v>43468.0</v>
      </c>
      <c r="B2145" s="5">
        <v>56.6507775737856</v>
      </c>
      <c r="C2145" s="5">
        <v>19.250842050413</v>
      </c>
      <c r="D2145" s="5">
        <v>148.15856869038</v>
      </c>
      <c r="E2145" s="5">
        <v>56.6507775737856</v>
      </c>
      <c r="F2145" s="5">
        <v>56.6507775737856</v>
      </c>
      <c r="G2145" s="5">
        <v>26.9120039081943</v>
      </c>
      <c r="H2145" s="5">
        <v>26.9120039081943</v>
      </c>
      <c r="I2145" s="5">
        <v>26.9120039081943</v>
      </c>
      <c r="J2145" s="5">
        <v>-0.776422525900939</v>
      </c>
      <c r="K2145" s="5">
        <v>-0.776422525900939</v>
      </c>
      <c r="L2145" s="5">
        <v>-0.776422525900939</v>
      </c>
      <c r="M2145" s="5">
        <v>27.6884264340952</v>
      </c>
      <c r="N2145" s="5">
        <v>27.6884264340952</v>
      </c>
      <c r="O2145" s="5">
        <v>27.6884264340952</v>
      </c>
      <c r="P2145" s="5">
        <v>0.0</v>
      </c>
      <c r="Q2145" s="5">
        <v>0.0</v>
      </c>
      <c r="R2145" s="5">
        <v>0.0</v>
      </c>
      <c r="S2145" s="5">
        <v>83.5627814819799</v>
      </c>
    </row>
    <row r="2146">
      <c r="A2146" s="6">
        <v>43469.0</v>
      </c>
      <c r="B2146" s="5">
        <v>56.6095453810068</v>
      </c>
      <c r="C2146" s="5">
        <v>18.1076187241605</v>
      </c>
      <c r="D2146" s="5">
        <v>146.278988769198</v>
      </c>
      <c r="E2146" s="5">
        <v>56.6095453810068</v>
      </c>
      <c r="F2146" s="5">
        <v>56.6095453810068</v>
      </c>
      <c r="G2146" s="5">
        <v>27.0114464181408</v>
      </c>
      <c r="H2146" s="5">
        <v>27.0114464181408</v>
      </c>
      <c r="I2146" s="5">
        <v>27.0114464181408</v>
      </c>
      <c r="J2146" s="5">
        <v>-1.59155056649482</v>
      </c>
      <c r="K2146" s="5">
        <v>-1.59155056649482</v>
      </c>
      <c r="L2146" s="5">
        <v>-1.59155056649482</v>
      </c>
      <c r="M2146" s="5">
        <v>28.6029969846356</v>
      </c>
      <c r="N2146" s="5">
        <v>28.6029969846356</v>
      </c>
      <c r="O2146" s="5">
        <v>28.6029969846356</v>
      </c>
      <c r="P2146" s="5">
        <v>0.0</v>
      </c>
      <c r="Q2146" s="5">
        <v>0.0</v>
      </c>
      <c r="R2146" s="5">
        <v>0.0</v>
      </c>
      <c r="S2146" s="5">
        <v>83.6209917991476</v>
      </c>
    </row>
    <row r="2147">
      <c r="A2147" s="6">
        <v>43472.0</v>
      </c>
      <c r="B2147" s="5">
        <v>56.4858488026705</v>
      </c>
      <c r="C2147" s="5">
        <v>25.3963706731558</v>
      </c>
      <c r="D2147" s="5">
        <v>155.06682249663</v>
      </c>
      <c r="E2147" s="5">
        <v>56.4858488026705</v>
      </c>
      <c r="F2147" s="5">
        <v>56.4858488026705</v>
      </c>
      <c r="G2147" s="5">
        <v>30.7104793150784</v>
      </c>
      <c r="H2147" s="5">
        <v>30.7104793150784</v>
      </c>
      <c r="I2147" s="5">
        <v>30.7104793150784</v>
      </c>
      <c r="J2147" s="5">
        <v>0.0905589421210778</v>
      </c>
      <c r="K2147" s="5">
        <v>0.0905589421210778</v>
      </c>
      <c r="L2147" s="5">
        <v>0.0905589421210778</v>
      </c>
      <c r="M2147" s="5">
        <v>30.6199203729573</v>
      </c>
      <c r="N2147" s="5">
        <v>30.6199203729573</v>
      </c>
      <c r="O2147" s="5">
        <v>30.6199203729573</v>
      </c>
      <c r="P2147" s="5">
        <v>0.0</v>
      </c>
      <c r="Q2147" s="5">
        <v>0.0</v>
      </c>
      <c r="R2147" s="5">
        <v>0.0</v>
      </c>
      <c r="S2147" s="5">
        <v>87.196328117749</v>
      </c>
    </row>
    <row r="2148">
      <c r="A2148" s="6">
        <v>43473.0</v>
      </c>
      <c r="B2148" s="5">
        <v>56.4446166098917</v>
      </c>
      <c r="C2148" s="5">
        <v>21.1559313581695</v>
      </c>
      <c r="D2148" s="5">
        <v>148.648479960107</v>
      </c>
      <c r="E2148" s="5">
        <v>56.4446166098917</v>
      </c>
      <c r="F2148" s="5">
        <v>56.4446166098917</v>
      </c>
      <c r="G2148" s="5">
        <v>30.8635358321775</v>
      </c>
      <c r="H2148" s="5">
        <v>30.8635358321775</v>
      </c>
      <c r="I2148" s="5">
        <v>30.8635358321775</v>
      </c>
      <c r="J2148" s="5">
        <v>-0.144118857244058</v>
      </c>
      <c r="K2148" s="5">
        <v>-0.144118857244058</v>
      </c>
      <c r="L2148" s="5">
        <v>-0.144118857244058</v>
      </c>
      <c r="M2148" s="5">
        <v>31.0076546894216</v>
      </c>
      <c r="N2148" s="5">
        <v>31.0076546894216</v>
      </c>
      <c r="O2148" s="5">
        <v>31.0076546894216</v>
      </c>
      <c r="P2148" s="5">
        <v>0.0</v>
      </c>
      <c r="Q2148" s="5">
        <v>0.0</v>
      </c>
      <c r="R2148" s="5">
        <v>0.0</v>
      </c>
      <c r="S2148" s="5">
        <v>87.3081524420693</v>
      </c>
    </row>
    <row r="2149">
      <c r="A2149" s="6">
        <v>43474.0</v>
      </c>
      <c r="B2149" s="5">
        <v>56.403384417113</v>
      </c>
      <c r="C2149" s="5">
        <v>28.1175983887016</v>
      </c>
      <c r="D2149" s="5">
        <v>152.143123101655</v>
      </c>
      <c r="E2149" s="5">
        <v>56.403384417113</v>
      </c>
      <c r="F2149" s="5">
        <v>56.403384417113</v>
      </c>
      <c r="G2149" s="5">
        <v>31.2464546326068</v>
      </c>
      <c r="H2149" s="5">
        <v>31.2464546326068</v>
      </c>
      <c r="I2149" s="5">
        <v>31.2464546326068</v>
      </c>
      <c r="J2149" s="5">
        <v>0.00703780528095599</v>
      </c>
      <c r="K2149" s="5">
        <v>0.00703780528095599</v>
      </c>
      <c r="L2149" s="5">
        <v>0.00703780528095599</v>
      </c>
      <c r="M2149" s="5">
        <v>31.2394168273258</v>
      </c>
      <c r="N2149" s="5">
        <v>31.2394168273258</v>
      </c>
      <c r="O2149" s="5">
        <v>31.2394168273258</v>
      </c>
      <c r="P2149" s="5">
        <v>0.0</v>
      </c>
      <c r="Q2149" s="5">
        <v>0.0</v>
      </c>
      <c r="R2149" s="5">
        <v>0.0</v>
      </c>
      <c r="S2149" s="5">
        <v>87.6498390497198</v>
      </c>
    </row>
    <row r="2150">
      <c r="A2150" s="6">
        <v>43475.0</v>
      </c>
      <c r="B2150" s="5">
        <v>56.3621522243342</v>
      </c>
      <c r="C2150" s="5">
        <v>26.434746439884</v>
      </c>
      <c r="D2150" s="5">
        <v>151.477532521047</v>
      </c>
      <c r="E2150" s="5">
        <v>56.3621522243342</v>
      </c>
      <c r="F2150" s="5">
        <v>56.3621522243342</v>
      </c>
      <c r="G2150" s="5">
        <v>30.535461620686</v>
      </c>
      <c r="H2150" s="5">
        <v>30.535461620686</v>
      </c>
      <c r="I2150" s="5">
        <v>30.535461620686</v>
      </c>
      <c r="J2150" s="5">
        <v>-0.776422525900186</v>
      </c>
      <c r="K2150" s="5">
        <v>-0.776422525900186</v>
      </c>
      <c r="L2150" s="5">
        <v>-0.776422525900186</v>
      </c>
      <c r="M2150" s="5">
        <v>31.3118841465862</v>
      </c>
      <c r="N2150" s="5">
        <v>31.3118841465862</v>
      </c>
      <c r="O2150" s="5">
        <v>31.3118841465862</v>
      </c>
      <c r="P2150" s="5">
        <v>0.0</v>
      </c>
      <c r="Q2150" s="5">
        <v>0.0</v>
      </c>
      <c r="R2150" s="5">
        <v>0.0</v>
      </c>
      <c r="S2150" s="5">
        <v>86.8976138450203</v>
      </c>
    </row>
    <row r="2151">
      <c r="A2151" s="6">
        <v>43476.0</v>
      </c>
      <c r="B2151" s="5">
        <v>56.3209200315555</v>
      </c>
      <c r="C2151" s="5">
        <v>23.0062061487981</v>
      </c>
      <c r="D2151" s="5">
        <v>149.389237983486</v>
      </c>
      <c r="E2151" s="5">
        <v>56.3209200315555</v>
      </c>
      <c r="F2151" s="5">
        <v>56.3209200315555</v>
      </c>
      <c r="G2151" s="5">
        <v>29.6335580804101</v>
      </c>
      <c r="H2151" s="5">
        <v>29.6335580804101</v>
      </c>
      <c r="I2151" s="5">
        <v>29.6335580804101</v>
      </c>
      <c r="J2151" s="5">
        <v>-1.59155056649389</v>
      </c>
      <c r="K2151" s="5">
        <v>-1.59155056649389</v>
      </c>
      <c r="L2151" s="5">
        <v>-1.59155056649389</v>
      </c>
      <c r="M2151" s="5">
        <v>31.225108646904</v>
      </c>
      <c r="N2151" s="5">
        <v>31.225108646904</v>
      </c>
      <c r="O2151" s="5">
        <v>31.225108646904</v>
      </c>
      <c r="P2151" s="5">
        <v>0.0</v>
      </c>
      <c r="Q2151" s="5">
        <v>0.0</v>
      </c>
      <c r="R2151" s="5">
        <v>0.0</v>
      </c>
      <c r="S2151" s="5">
        <v>85.9544781119656</v>
      </c>
    </row>
    <row r="2152">
      <c r="A2152" s="6">
        <v>43479.0</v>
      </c>
      <c r="B2152" s="5">
        <v>56.1972234532192</v>
      </c>
      <c r="C2152" s="5">
        <v>23.5230535037924</v>
      </c>
      <c r="D2152" s="5">
        <v>152.751829563135</v>
      </c>
      <c r="E2152" s="5">
        <v>56.1972234532192</v>
      </c>
      <c r="F2152" s="5">
        <v>56.1972234532192</v>
      </c>
      <c r="G2152" s="5">
        <v>30.1497252984432</v>
      </c>
      <c r="H2152" s="5">
        <v>30.1497252984432</v>
      </c>
      <c r="I2152" s="5">
        <v>30.1497252984432</v>
      </c>
      <c r="J2152" s="5">
        <v>0.0905589421196401</v>
      </c>
      <c r="K2152" s="5">
        <v>0.0905589421196401</v>
      </c>
      <c r="L2152" s="5">
        <v>0.0905589421196401</v>
      </c>
      <c r="M2152" s="5">
        <v>30.0591663563235</v>
      </c>
      <c r="N2152" s="5">
        <v>30.0591663563235</v>
      </c>
      <c r="O2152" s="5">
        <v>30.0591663563235</v>
      </c>
      <c r="P2152" s="5">
        <v>0.0</v>
      </c>
      <c r="Q2152" s="5">
        <v>0.0</v>
      </c>
      <c r="R2152" s="5">
        <v>0.0</v>
      </c>
      <c r="S2152" s="5">
        <v>86.3469487516624</v>
      </c>
    </row>
    <row r="2153">
      <c r="A2153" s="6">
        <v>43480.0</v>
      </c>
      <c r="B2153" s="5">
        <v>56.1559912604404</v>
      </c>
      <c r="C2153" s="5">
        <v>21.2596765375231</v>
      </c>
      <c r="D2153" s="5">
        <v>148.037716793236</v>
      </c>
      <c r="E2153" s="5">
        <v>56.1559912604404</v>
      </c>
      <c r="F2153" s="5">
        <v>56.1559912604404</v>
      </c>
      <c r="G2153" s="5">
        <v>29.256361777894</v>
      </c>
      <c r="H2153" s="5">
        <v>29.256361777894</v>
      </c>
      <c r="I2153" s="5">
        <v>29.256361777894</v>
      </c>
      <c r="J2153" s="5">
        <v>-0.144118857246908</v>
      </c>
      <c r="K2153" s="5">
        <v>-0.144118857246908</v>
      </c>
      <c r="L2153" s="5">
        <v>-0.144118857246908</v>
      </c>
      <c r="M2153" s="5">
        <v>29.4004806351409</v>
      </c>
      <c r="N2153" s="5">
        <v>29.4004806351409</v>
      </c>
      <c r="O2153" s="5">
        <v>29.4004806351409</v>
      </c>
      <c r="P2153" s="5">
        <v>0.0</v>
      </c>
      <c r="Q2153" s="5">
        <v>0.0</v>
      </c>
      <c r="R2153" s="5">
        <v>0.0</v>
      </c>
      <c r="S2153" s="5">
        <v>85.4123530383344</v>
      </c>
    </row>
    <row r="2154">
      <c r="A2154" s="6">
        <v>43481.0</v>
      </c>
      <c r="B2154" s="5">
        <v>56.1147590676616</v>
      </c>
      <c r="C2154" s="5">
        <v>19.0475668971804</v>
      </c>
      <c r="D2154" s="5">
        <v>146.389735278687</v>
      </c>
      <c r="E2154" s="5">
        <v>56.1147590676616</v>
      </c>
      <c r="F2154" s="5">
        <v>56.1147590676616</v>
      </c>
      <c r="G2154" s="5">
        <v>28.6363655587476</v>
      </c>
      <c r="H2154" s="5">
        <v>28.6363655587476</v>
      </c>
      <c r="I2154" s="5">
        <v>28.6363655587476</v>
      </c>
      <c r="J2154" s="5">
        <v>0.00703780528325846</v>
      </c>
      <c r="K2154" s="5">
        <v>0.00703780528325846</v>
      </c>
      <c r="L2154" s="5">
        <v>0.00703780528325846</v>
      </c>
      <c r="M2154" s="5">
        <v>28.6293277534643</v>
      </c>
      <c r="N2154" s="5">
        <v>28.6293277534643</v>
      </c>
      <c r="O2154" s="5">
        <v>28.6293277534643</v>
      </c>
      <c r="P2154" s="5">
        <v>0.0</v>
      </c>
      <c r="Q2154" s="5">
        <v>0.0</v>
      </c>
      <c r="R2154" s="5">
        <v>0.0</v>
      </c>
      <c r="S2154" s="5">
        <v>84.7511246264093</v>
      </c>
    </row>
    <row r="2155">
      <c r="A2155" s="6">
        <v>43482.0</v>
      </c>
      <c r="B2155" s="5">
        <v>56.0735268748829</v>
      </c>
      <c r="C2155" s="5">
        <v>21.2894410612222</v>
      </c>
      <c r="D2155" s="5">
        <v>146.540006861405</v>
      </c>
      <c r="E2155" s="5">
        <v>56.0735268748829</v>
      </c>
      <c r="F2155" s="5">
        <v>56.0735268748829</v>
      </c>
      <c r="G2155" s="5">
        <v>26.9860209421266</v>
      </c>
      <c r="H2155" s="5">
        <v>26.9860209421266</v>
      </c>
      <c r="I2155" s="5">
        <v>26.9860209421266</v>
      </c>
      <c r="J2155" s="5">
        <v>-0.776422525900908</v>
      </c>
      <c r="K2155" s="5">
        <v>-0.776422525900908</v>
      </c>
      <c r="L2155" s="5">
        <v>-0.776422525900908</v>
      </c>
      <c r="M2155" s="5">
        <v>27.7624434680275</v>
      </c>
      <c r="N2155" s="5">
        <v>27.7624434680275</v>
      </c>
      <c r="O2155" s="5">
        <v>27.7624434680275</v>
      </c>
      <c r="P2155" s="5">
        <v>0.0</v>
      </c>
      <c r="Q2155" s="5">
        <v>0.0</v>
      </c>
      <c r="R2155" s="5">
        <v>0.0</v>
      </c>
      <c r="S2155" s="5">
        <v>83.0595478170095</v>
      </c>
    </row>
    <row r="2156">
      <c r="A2156" s="6">
        <v>43483.0</v>
      </c>
      <c r="B2156" s="5">
        <v>56.0322946821041</v>
      </c>
      <c r="C2156" s="5">
        <v>21.269829174152</v>
      </c>
      <c r="D2156" s="5">
        <v>146.901647077557</v>
      </c>
      <c r="E2156" s="5">
        <v>56.0322946821041</v>
      </c>
      <c r="F2156" s="5">
        <v>56.0322946821041</v>
      </c>
      <c r="G2156" s="5">
        <v>25.2265275705423</v>
      </c>
      <c r="H2156" s="5">
        <v>25.2265275705423</v>
      </c>
      <c r="I2156" s="5">
        <v>25.2265275705423</v>
      </c>
      <c r="J2156" s="5">
        <v>-1.59155056649297</v>
      </c>
      <c r="K2156" s="5">
        <v>-1.59155056649297</v>
      </c>
      <c r="L2156" s="5">
        <v>-1.59155056649297</v>
      </c>
      <c r="M2156" s="5">
        <v>26.8180781370353</v>
      </c>
      <c r="N2156" s="5">
        <v>26.8180781370353</v>
      </c>
      <c r="O2156" s="5">
        <v>26.8180781370353</v>
      </c>
      <c r="P2156" s="5">
        <v>0.0</v>
      </c>
      <c r="Q2156" s="5">
        <v>0.0</v>
      </c>
      <c r="R2156" s="5">
        <v>0.0</v>
      </c>
      <c r="S2156" s="5">
        <v>81.2588222526465</v>
      </c>
    </row>
    <row r="2157">
      <c r="A2157" s="6">
        <v>43487.0</v>
      </c>
      <c r="B2157" s="5">
        <v>55.8673659109891</v>
      </c>
      <c r="C2157" s="5">
        <v>16.915728513417</v>
      </c>
      <c r="D2157" s="5">
        <v>144.556563535964</v>
      </c>
      <c r="E2157" s="5">
        <v>55.8673659109891</v>
      </c>
      <c r="F2157" s="5">
        <v>55.8673659109891</v>
      </c>
      <c r="G2157" s="5">
        <v>22.5112573691167</v>
      </c>
      <c r="H2157" s="5">
        <v>22.5112573691167</v>
      </c>
      <c r="I2157" s="5">
        <v>22.5112573691167</v>
      </c>
      <c r="J2157" s="5">
        <v>-0.14411885724582</v>
      </c>
      <c r="K2157" s="5">
        <v>-0.14411885724582</v>
      </c>
      <c r="L2157" s="5">
        <v>-0.14411885724582</v>
      </c>
      <c r="M2157" s="5">
        <v>22.6553762263625</v>
      </c>
      <c r="N2157" s="5">
        <v>22.6553762263625</v>
      </c>
      <c r="O2157" s="5">
        <v>22.6553762263625</v>
      </c>
      <c r="P2157" s="5">
        <v>0.0</v>
      </c>
      <c r="Q2157" s="5">
        <v>0.0</v>
      </c>
      <c r="R2157" s="5">
        <v>0.0</v>
      </c>
      <c r="S2157" s="5">
        <v>78.3786232801058</v>
      </c>
    </row>
    <row r="2158">
      <c r="A2158" s="6">
        <v>43488.0</v>
      </c>
      <c r="B2158" s="5">
        <v>55.8261337182103</v>
      </c>
      <c r="C2158" s="5">
        <v>16.410714854177</v>
      </c>
      <c r="D2158" s="5">
        <v>139.599570672271</v>
      </c>
      <c r="E2158" s="5">
        <v>55.8261337182103</v>
      </c>
      <c r="F2158" s="5">
        <v>55.8261337182103</v>
      </c>
      <c r="G2158" s="5">
        <v>21.6216101989596</v>
      </c>
      <c r="H2158" s="5">
        <v>21.6216101989596</v>
      </c>
      <c r="I2158" s="5">
        <v>21.6216101989596</v>
      </c>
      <c r="J2158" s="5">
        <v>0.00703780528456949</v>
      </c>
      <c r="K2158" s="5">
        <v>0.00703780528456949</v>
      </c>
      <c r="L2158" s="5">
        <v>0.00703780528456949</v>
      </c>
      <c r="M2158" s="5">
        <v>21.6145723936751</v>
      </c>
      <c r="N2158" s="5">
        <v>21.6145723936751</v>
      </c>
      <c r="O2158" s="5">
        <v>21.6145723936751</v>
      </c>
      <c r="P2158" s="5">
        <v>0.0</v>
      </c>
      <c r="Q2158" s="5">
        <v>0.0</v>
      </c>
      <c r="R2158" s="5">
        <v>0.0</v>
      </c>
      <c r="S2158" s="5">
        <v>77.44774391717</v>
      </c>
    </row>
    <row r="2159">
      <c r="A2159" s="6">
        <v>43489.0</v>
      </c>
      <c r="B2159" s="5">
        <v>55.7849015254315</v>
      </c>
      <c r="C2159" s="5">
        <v>9.08048103970217</v>
      </c>
      <c r="D2159" s="5">
        <v>139.8599763717</v>
      </c>
      <c r="E2159" s="5">
        <v>55.7849015254315</v>
      </c>
      <c r="F2159" s="5">
        <v>55.7849015254315</v>
      </c>
      <c r="G2159" s="5">
        <v>19.8324173850925</v>
      </c>
      <c r="H2159" s="5">
        <v>19.8324173850925</v>
      </c>
      <c r="I2159" s="5">
        <v>19.8324173850925</v>
      </c>
      <c r="J2159" s="5">
        <v>-0.776422525903005</v>
      </c>
      <c r="K2159" s="5">
        <v>-0.776422525903005</v>
      </c>
      <c r="L2159" s="5">
        <v>-0.776422525903005</v>
      </c>
      <c r="M2159" s="5">
        <v>20.6088399109955</v>
      </c>
      <c r="N2159" s="5">
        <v>20.6088399109955</v>
      </c>
      <c r="O2159" s="5">
        <v>20.6088399109955</v>
      </c>
      <c r="P2159" s="5">
        <v>0.0</v>
      </c>
      <c r="Q2159" s="5">
        <v>0.0</v>
      </c>
      <c r="R2159" s="5">
        <v>0.0</v>
      </c>
      <c r="S2159" s="5">
        <v>75.617318910524</v>
      </c>
    </row>
    <row r="2160">
      <c r="A2160" s="6">
        <v>43490.0</v>
      </c>
      <c r="B2160" s="5">
        <v>55.7436693326528</v>
      </c>
      <c r="C2160" s="5">
        <v>10.8057608586885</v>
      </c>
      <c r="D2160" s="5">
        <v>131.535214962646</v>
      </c>
      <c r="E2160" s="5">
        <v>55.7436693326528</v>
      </c>
      <c r="F2160" s="5">
        <v>55.7436693326528</v>
      </c>
      <c r="G2160" s="5">
        <v>18.0612019860121</v>
      </c>
      <c r="H2160" s="5">
        <v>18.0612019860121</v>
      </c>
      <c r="I2160" s="5">
        <v>18.0612019860121</v>
      </c>
      <c r="J2160" s="5">
        <v>-1.59155056649204</v>
      </c>
      <c r="K2160" s="5">
        <v>-1.59155056649204</v>
      </c>
      <c r="L2160" s="5">
        <v>-1.59155056649204</v>
      </c>
      <c r="M2160" s="5">
        <v>19.6527525525042</v>
      </c>
      <c r="N2160" s="5">
        <v>19.6527525525042</v>
      </c>
      <c r="O2160" s="5">
        <v>19.6527525525042</v>
      </c>
      <c r="P2160" s="5">
        <v>0.0</v>
      </c>
      <c r="Q2160" s="5">
        <v>0.0</v>
      </c>
      <c r="R2160" s="5">
        <v>0.0</v>
      </c>
      <c r="S2160" s="5">
        <v>73.804871318665</v>
      </c>
    </row>
    <row r="2161">
      <c r="A2161" s="6">
        <v>43493.0</v>
      </c>
      <c r="B2161" s="5">
        <v>55.6199727543165</v>
      </c>
      <c r="C2161" s="5">
        <v>8.02824727382331</v>
      </c>
      <c r="D2161" s="5">
        <v>135.436798457183</v>
      </c>
      <c r="E2161" s="5">
        <v>55.6199727543165</v>
      </c>
      <c r="F2161" s="5">
        <v>55.6199727543165</v>
      </c>
      <c r="G2161" s="5">
        <v>17.2817330539628</v>
      </c>
      <c r="H2161" s="5">
        <v>17.2817330539628</v>
      </c>
      <c r="I2161" s="5">
        <v>17.2817330539628</v>
      </c>
      <c r="J2161" s="5">
        <v>0.090558942121613</v>
      </c>
      <c r="K2161" s="5">
        <v>0.090558942121613</v>
      </c>
      <c r="L2161" s="5">
        <v>0.090558942121613</v>
      </c>
      <c r="M2161" s="5">
        <v>17.1911741118412</v>
      </c>
      <c r="N2161" s="5">
        <v>17.1911741118412</v>
      </c>
      <c r="O2161" s="5">
        <v>17.1911741118412</v>
      </c>
      <c r="P2161" s="5">
        <v>0.0</v>
      </c>
      <c r="Q2161" s="5">
        <v>0.0</v>
      </c>
      <c r="R2161" s="5">
        <v>0.0</v>
      </c>
      <c r="S2161" s="5">
        <v>72.9017058082793</v>
      </c>
    </row>
    <row r="2162">
      <c r="A2162" s="6">
        <v>43494.0</v>
      </c>
      <c r="B2162" s="5">
        <v>55.5787405615377</v>
      </c>
      <c r="C2162" s="5">
        <v>10.7710936416708</v>
      </c>
      <c r="D2162" s="5">
        <v>133.531137531158</v>
      </c>
      <c r="E2162" s="5">
        <v>55.5787405615377</v>
      </c>
      <c r="F2162" s="5">
        <v>55.5787405615377</v>
      </c>
      <c r="G2162" s="5">
        <v>16.3842764797923</v>
      </c>
      <c r="H2162" s="5">
        <v>16.3842764797923</v>
      </c>
      <c r="I2162" s="5">
        <v>16.3842764797923</v>
      </c>
      <c r="J2162" s="5">
        <v>-0.144118857244731</v>
      </c>
      <c r="K2162" s="5">
        <v>-0.144118857244731</v>
      </c>
      <c r="L2162" s="5">
        <v>-0.144118857244731</v>
      </c>
      <c r="M2162" s="5">
        <v>16.528395337037</v>
      </c>
      <c r="N2162" s="5">
        <v>16.528395337037</v>
      </c>
      <c r="O2162" s="5">
        <v>16.528395337037</v>
      </c>
      <c r="P2162" s="5">
        <v>0.0</v>
      </c>
      <c r="Q2162" s="5">
        <v>0.0</v>
      </c>
      <c r="R2162" s="5">
        <v>0.0</v>
      </c>
      <c r="S2162" s="5">
        <v>71.9630170413301</v>
      </c>
    </row>
    <row r="2163">
      <c r="A2163" s="6">
        <v>43495.0</v>
      </c>
      <c r="B2163" s="5">
        <v>55.537508368759</v>
      </c>
      <c r="C2163" s="5">
        <v>6.67692444594431</v>
      </c>
      <c r="D2163" s="5">
        <v>135.229491208096</v>
      </c>
      <c r="E2163" s="5">
        <v>55.537508368759</v>
      </c>
      <c r="F2163" s="5">
        <v>55.537508368759</v>
      </c>
      <c r="G2163" s="5">
        <v>15.9550622253843</v>
      </c>
      <c r="H2163" s="5">
        <v>15.9550622253843</v>
      </c>
      <c r="I2163" s="5">
        <v>15.9550622253843</v>
      </c>
      <c r="J2163" s="5">
        <v>0.007037805280381</v>
      </c>
      <c r="K2163" s="5">
        <v>0.007037805280381</v>
      </c>
      <c r="L2163" s="5">
        <v>0.007037805280381</v>
      </c>
      <c r="M2163" s="5">
        <v>15.948024420104</v>
      </c>
      <c r="N2163" s="5">
        <v>15.948024420104</v>
      </c>
      <c r="O2163" s="5">
        <v>15.948024420104</v>
      </c>
      <c r="P2163" s="5">
        <v>0.0</v>
      </c>
      <c r="Q2163" s="5">
        <v>0.0</v>
      </c>
      <c r="R2163" s="5">
        <v>0.0</v>
      </c>
      <c r="S2163" s="5">
        <v>71.4925705941434</v>
      </c>
    </row>
    <row r="2164">
      <c r="A2164" s="6">
        <v>43496.0</v>
      </c>
      <c r="B2164" s="5">
        <v>55.4962761759802</v>
      </c>
      <c r="C2164" s="5">
        <v>8.38136817181217</v>
      </c>
      <c r="D2164" s="5">
        <v>135.367070624925</v>
      </c>
      <c r="E2164" s="5">
        <v>55.4962761759802</v>
      </c>
      <c r="F2164" s="5">
        <v>55.4962761759802</v>
      </c>
      <c r="G2164" s="5">
        <v>14.6711505065903</v>
      </c>
      <c r="H2164" s="5">
        <v>14.6711505065903</v>
      </c>
      <c r="I2164" s="5">
        <v>14.6711505065903</v>
      </c>
      <c r="J2164" s="5">
        <v>-0.776422525899502</v>
      </c>
      <c r="K2164" s="5">
        <v>-0.776422525899502</v>
      </c>
      <c r="L2164" s="5">
        <v>-0.776422525899502</v>
      </c>
      <c r="M2164" s="5">
        <v>15.4475730324898</v>
      </c>
      <c r="N2164" s="5">
        <v>15.4475730324898</v>
      </c>
      <c r="O2164" s="5">
        <v>15.4475730324898</v>
      </c>
      <c r="P2164" s="5">
        <v>0.0</v>
      </c>
      <c r="Q2164" s="5">
        <v>0.0</v>
      </c>
      <c r="R2164" s="5">
        <v>0.0</v>
      </c>
      <c r="S2164" s="5">
        <v>70.1674266825705</v>
      </c>
    </row>
    <row r="2165">
      <c r="A2165" s="6">
        <v>43497.0</v>
      </c>
      <c r="B2165" s="5">
        <v>55.4550439832014</v>
      </c>
      <c r="C2165" s="5">
        <v>8.27858326342262</v>
      </c>
      <c r="D2165" s="5">
        <v>131.843923555485</v>
      </c>
      <c r="E2165" s="5">
        <v>55.4550439832014</v>
      </c>
      <c r="F2165" s="5">
        <v>55.4550439832014</v>
      </c>
      <c r="G2165" s="5">
        <v>13.4300403012584</v>
      </c>
      <c r="H2165" s="5">
        <v>13.4300403012584</v>
      </c>
      <c r="I2165" s="5">
        <v>13.4300403012584</v>
      </c>
      <c r="J2165" s="5">
        <v>-1.59155056649355</v>
      </c>
      <c r="K2165" s="5">
        <v>-1.59155056649355</v>
      </c>
      <c r="L2165" s="5">
        <v>-1.59155056649355</v>
      </c>
      <c r="M2165" s="5">
        <v>15.0215908677519</v>
      </c>
      <c r="N2165" s="5">
        <v>15.0215908677519</v>
      </c>
      <c r="O2165" s="5">
        <v>15.0215908677519</v>
      </c>
      <c r="P2165" s="5">
        <v>0.0</v>
      </c>
      <c r="Q2165" s="5">
        <v>0.0</v>
      </c>
      <c r="R2165" s="5">
        <v>0.0</v>
      </c>
      <c r="S2165" s="5">
        <v>68.8850842844599</v>
      </c>
    </row>
    <row r="2166">
      <c r="A2166" s="6">
        <v>43500.0</v>
      </c>
      <c r="B2166" s="5">
        <v>55.3313474048651</v>
      </c>
      <c r="C2166" s="5">
        <v>5.05999091233247</v>
      </c>
      <c r="D2166" s="5">
        <v>131.182070239092</v>
      </c>
      <c r="E2166" s="5">
        <v>55.3313474048651</v>
      </c>
      <c r="F2166" s="5">
        <v>55.3313474048651</v>
      </c>
      <c r="G2166" s="5">
        <v>14.1865893046733</v>
      </c>
      <c r="H2166" s="5">
        <v>14.1865893046733</v>
      </c>
      <c r="I2166" s="5">
        <v>14.1865893046733</v>
      </c>
      <c r="J2166" s="5">
        <v>0.0905589421225596</v>
      </c>
      <c r="K2166" s="5">
        <v>0.0905589421225596</v>
      </c>
      <c r="L2166" s="5">
        <v>0.0905589421225596</v>
      </c>
      <c r="M2166" s="5">
        <v>14.0960303625507</v>
      </c>
      <c r="N2166" s="5">
        <v>14.0960303625507</v>
      </c>
      <c r="O2166" s="5">
        <v>14.0960303625507</v>
      </c>
      <c r="P2166" s="5">
        <v>0.0</v>
      </c>
      <c r="Q2166" s="5">
        <v>0.0</v>
      </c>
      <c r="R2166" s="5">
        <v>0.0</v>
      </c>
      <c r="S2166" s="5">
        <v>69.5179367095385</v>
      </c>
    </row>
    <row r="2167">
      <c r="A2167" s="6">
        <v>43501.0</v>
      </c>
      <c r="B2167" s="5">
        <v>55.2901152120864</v>
      </c>
      <c r="C2167" s="5">
        <v>6.98477281152369</v>
      </c>
      <c r="D2167" s="5">
        <v>130.255884937344</v>
      </c>
      <c r="E2167" s="5">
        <v>55.2901152120864</v>
      </c>
      <c r="F2167" s="5">
        <v>55.2901152120864</v>
      </c>
      <c r="G2167" s="5">
        <v>13.7182400871806</v>
      </c>
      <c r="H2167" s="5">
        <v>13.7182400871806</v>
      </c>
      <c r="I2167" s="5">
        <v>13.7182400871806</v>
      </c>
      <c r="J2167" s="5">
        <v>-0.144118857243643</v>
      </c>
      <c r="K2167" s="5">
        <v>-0.144118857243643</v>
      </c>
      <c r="L2167" s="5">
        <v>-0.144118857243643</v>
      </c>
      <c r="M2167" s="5">
        <v>13.8623589444243</v>
      </c>
      <c r="N2167" s="5">
        <v>13.8623589444243</v>
      </c>
      <c r="O2167" s="5">
        <v>13.8623589444243</v>
      </c>
      <c r="P2167" s="5">
        <v>0.0</v>
      </c>
      <c r="Q2167" s="5">
        <v>0.0</v>
      </c>
      <c r="R2167" s="5">
        <v>0.0</v>
      </c>
      <c r="S2167" s="5">
        <v>69.0083552992671</v>
      </c>
    </row>
    <row r="2168">
      <c r="A2168" s="6">
        <v>43502.0</v>
      </c>
      <c r="B2168" s="5">
        <v>55.2488830193076</v>
      </c>
      <c r="C2168" s="5">
        <v>8.29966176911788</v>
      </c>
      <c r="D2168" s="5">
        <v>135.441076242284</v>
      </c>
      <c r="E2168" s="5">
        <v>55.2488830193076</v>
      </c>
      <c r="F2168" s="5">
        <v>55.2488830193076</v>
      </c>
      <c r="G2168" s="5">
        <v>13.6476425380751</v>
      </c>
      <c r="H2168" s="5">
        <v>13.6476425380751</v>
      </c>
      <c r="I2168" s="5">
        <v>13.6476425380751</v>
      </c>
      <c r="J2168" s="5">
        <v>0.00703780528051974</v>
      </c>
      <c r="K2168" s="5">
        <v>0.00703780528051974</v>
      </c>
      <c r="L2168" s="5">
        <v>0.00703780528051974</v>
      </c>
      <c r="M2168" s="5">
        <v>13.6406047327945</v>
      </c>
      <c r="N2168" s="5">
        <v>13.6406047327945</v>
      </c>
      <c r="O2168" s="5">
        <v>13.6406047327945</v>
      </c>
      <c r="P2168" s="5">
        <v>0.0</v>
      </c>
      <c r="Q2168" s="5">
        <v>0.0</v>
      </c>
      <c r="R2168" s="5">
        <v>0.0</v>
      </c>
      <c r="S2168" s="5">
        <v>68.8965255573827</v>
      </c>
    </row>
    <row r="2169">
      <c r="A2169" s="6">
        <v>43503.0</v>
      </c>
      <c r="B2169" s="5">
        <v>55.2076508265288</v>
      </c>
      <c r="C2169" s="5">
        <v>3.84491971121551</v>
      </c>
      <c r="D2169" s="5">
        <v>127.650431184657</v>
      </c>
      <c r="E2169" s="5">
        <v>55.2076508265288</v>
      </c>
      <c r="F2169" s="5">
        <v>55.2076508265288</v>
      </c>
      <c r="G2169" s="5">
        <v>12.6374710503569</v>
      </c>
      <c r="H2169" s="5">
        <v>12.6374710503569</v>
      </c>
      <c r="I2169" s="5">
        <v>12.6374710503569</v>
      </c>
      <c r="J2169" s="5">
        <v>-0.776422525901599</v>
      </c>
      <c r="K2169" s="5">
        <v>-0.776422525901599</v>
      </c>
      <c r="L2169" s="5">
        <v>-0.776422525901599</v>
      </c>
      <c r="M2169" s="5">
        <v>13.4138935762585</v>
      </c>
      <c r="N2169" s="5">
        <v>13.4138935762585</v>
      </c>
      <c r="O2169" s="5">
        <v>13.4138935762585</v>
      </c>
      <c r="P2169" s="5">
        <v>0.0</v>
      </c>
      <c r="Q2169" s="5">
        <v>0.0</v>
      </c>
      <c r="R2169" s="5">
        <v>0.0</v>
      </c>
      <c r="S2169" s="5">
        <v>67.8451218768858</v>
      </c>
    </row>
    <row r="2170">
      <c r="A2170" s="6">
        <v>43504.0</v>
      </c>
      <c r="B2170" s="5">
        <v>55.1664186337501</v>
      </c>
      <c r="C2170" s="5">
        <v>1.92143127048503</v>
      </c>
      <c r="D2170" s="5">
        <v>128.203107536302</v>
      </c>
      <c r="E2170" s="5">
        <v>55.1664186337501</v>
      </c>
      <c r="F2170" s="5">
        <v>55.1664186337501</v>
      </c>
      <c r="G2170" s="5">
        <v>11.5734444251474</v>
      </c>
      <c r="H2170" s="5">
        <v>11.5734444251474</v>
      </c>
      <c r="I2170" s="5">
        <v>11.5734444251474</v>
      </c>
      <c r="J2170" s="5">
        <v>-1.59155056649262</v>
      </c>
      <c r="K2170" s="5">
        <v>-1.59155056649262</v>
      </c>
      <c r="L2170" s="5">
        <v>-1.59155056649262</v>
      </c>
      <c r="M2170" s="5">
        <v>13.16499499164</v>
      </c>
      <c r="N2170" s="5">
        <v>13.16499499164</v>
      </c>
      <c r="O2170" s="5">
        <v>13.16499499164</v>
      </c>
      <c r="P2170" s="5">
        <v>0.0</v>
      </c>
      <c r="Q2170" s="5">
        <v>0.0</v>
      </c>
      <c r="R2170" s="5">
        <v>0.0</v>
      </c>
      <c r="S2170" s="5">
        <v>66.7398630588975</v>
      </c>
    </row>
    <row r="2171">
      <c r="A2171" s="6">
        <v>43507.0</v>
      </c>
      <c r="B2171" s="5">
        <v>55.0427220554138</v>
      </c>
      <c r="C2171" s="5">
        <v>-0.4705128682706</v>
      </c>
      <c r="D2171" s="5">
        <v>128.871595156614</v>
      </c>
      <c r="E2171" s="5">
        <v>55.0427220554138</v>
      </c>
      <c r="F2171" s="5">
        <v>55.0427220554138</v>
      </c>
      <c r="G2171" s="5">
        <v>12.208752945029</v>
      </c>
      <c r="H2171" s="5">
        <v>12.208752945029</v>
      </c>
      <c r="I2171" s="5">
        <v>12.208752945029</v>
      </c>
      <c r="J2171" s="5">
        <v>0.0905589421212023</v>
      </c>
      <c r="K2171" s="5">
        <v>0.0905589421212023</v>
      </c>
      <c r="L2171" s="5">
        <v>0.0905589421212023</v>
      </c>
      <c r="M2171" s="5">
        <v>12.1181940029078</v>
      </c>
      <c r="N2171" s="5">
        <v>12.1181940029078</v>
      </c>
      <c r="O2171" s="5">
        <v>12.1181940029078</v>
      </c>
      <c r="P2171" s="5">
        <v>0.0</v>
      </c>
      <c r="Q2171" s="5">
        <v>0.0</v>
      </c>
      <c r="R2171" s="5">
        <v>0.0</v>
      </c>
      <c r="S2171" s="5">
        <v>67.2514750004429</v>
      </c>
    </row>
    <row r="2172">
      <c r="A2172" s="6">
        <v>43508.0</v>
      </c>
      <c r="B2172" s="5">
        <v>55.001489862635</v>
      </c>
      <c r="C2172" s="5">
        <v>2.84479734541118</v>
      </c>
      <c r="D2172" s="5">
        <v>128.287314451501</v>
      </c>
      <c r="E2172" s="5">
        <v>55.001489862635</v>
      </c>
      <c r="F2172" s="5">
        <v>55.001489862635</v>
      </c>
      <c r="G2172" s="5">
        <v>11.474658795003</v>
      </c>
      <c r="H2172" s="5">
        <v>11.474658795003</v>
      </c>
      <c r="I2172" s="5">
        <v>11.474658795003</v>
      </c>
      <c r="J2172" s="5">
        <v>-0.144118857246493</v>
      </c>
      <c r="K2172" s="5">
        <v>-0.144118857246493</v>
      </c>
      <c r="L2172" s="5">
        <v>-0.144118857246493</v>
      </c>
      <c r="M2172" s="5">
        <v>11.6187776522495</v>
      </c>
      <c r="N2172" s="5">
        <v>11.6187776522495</v>
      </c>
      <c r="O2172" s="5">
        <v>11.6187776522495</v>
      </c>
      <c r="P2172" s="5">
        <v>0.0</v>
      </c>
      <c r="Q2172" s="5">
        <v>0.0</v>
      </c>
      <c r="R2172" s="5">
        <v>0.0</v>
      </c>
      <c r="S2172" s="5">
        <v>66.4761486576381</v>
      </c>
    </row>
    <row r="2173">
      <c r="A2173" s="6">
        <v>43509.0</v>
      </c>
      <c r="B2173" s="5">
        <v>54.9602576698563</v>
      </c>
      <c r="C2173" s="5">
        <v>2.03174056205515</v>
      </c>
      <c r="D2173" s="5">
        <v>125.304652999849</v>
      </c>
      <c r="E2173" s="5">
        <v>54.9602576698563</v>
      </c>
      <c r="F2173" s="5">
        <v>54.9602576698563</v>
      </c>
      <c r="G2173" s="5">
        <v>11.0301204179205</v>
      </c>
      <c r="H2173" s="5">
        <v>11.0301204179205</v>
      </c>
      <c r="I2173" s="5">
        <v>11.0301204179205</v>
      </c>
      <c r="J2173" s="5">
        <v>0.00703780528183091</v>
      </c>
      <c r="K2173" s="5">
        <v>0.00703780528183091</v>
      </c>
      <c r="L2173" s="5">
        <v>0.00703780528183091</v>
      </c>
      <c r="M2173" s="5">
        <v>11.0230826126387</v>
      </c>
      <c r="N2173" s="5">
        <v>11.0230826126387</v>
      </c>
      <c r="O2173" s="5">
        <v>11.0230826126387</v>
      </c>
      <c r="P2173" s="5">
        <v>0.0</v>
      </c>
      <c r="Q2173" s="5">
        <v>0.0</v>
      </c>
      <c r="R2173" s="5">
        <v>0.0</v>
      </c>
      <c r="S2173" s="5">
        <v>65.9903780877768</v>
      </c>
    </row>
    <row r="2174">
      <c r="A2174" s="6">
        <v>43510.0</v>
      </c>
      <c r="B2174" s="5">
        <v>54.9190254770775</v>
      </c>
      <c r="C2174" s="5">
        <v>4.07668538532679</v>
      </c>
      <c r="D2174" s="5">
        <v>124.153794404259</v>
      </c>
      <c r="E2174" s="5">
        <v>54.9190254770775</v>
      </c>
      <c r="F2174" s="5">
        <v>54.9190254770775</v>
      </c>
      <c r="G2174" s="5">
        <v>9.54539696529162</v>
      </c>
      <c r="H2174" s="5">
        <v>9.54539696529162</v>
      </c>
      <c r="I2174" s="5">
        <v>9.54539696529162</v>
      </c>
      <c r="J2174" s="5">
        <v>-0.776422525902321</v>
      </c>
      <c r="K2174" s="5">
        <v>-0.776422525902321</v>
      </c>
      <c r="L2174" s="5">
        <v>-0.776422525902321</v>
      </c>
      <c r="M2174" s="5">
        <v>10.3218194911939</v>
      </c>
      <c r="N2174" s="5">
        <v>10.3218194911939</v>
      </c>
      <c r="O2174" s="5">
        <v>10.3218194911939</v>
      </c>
      <c r="P2174" s="5">
        <v>0.0</v>
      </c>
      <c r="Q2174" s="5">
        <v>0.0</v>
      </c>
      <c r="R2174" s="5">
        <v>0.0</v>
      </c>
      <c r="S2174" s="5">
        <v>64.4644224423691</v>
      </c>
    </row>
    <row r="2175">
      <c r="A2175" s="6">
        <v>43511.0</v>
      </c>
      <c r="B2175" s="5">
        <v>54.8777932842987</v>
      </c>
      <c r="C2175" s="5">
        <v>0.108582573010866</v>
      </c>
      <c r="D2175" s="5">
        <v>125.914428470066</v>
      </c>
      <c r="E2175" s="5">
        <v>54.8777932842987</v>
      </c>
      <c r="F2175" s="5">
        <v>54.8777932842987</v>
      </c>
      <c r="G2175" s="5">
        <v>7.91680791639724</v>
      </c>
      <c r="H2175" s="5">
        <v>7.91680791639724</v>
      </c>
      <c r="I2175" s="5">
        <v>7.91680791639724</v>
      </c>
      <c r="J2175" s="5">
        <v>-1.59155056649138</v>
      </c>
      <c r="K2175" s="5">
        <v>-1.59155056649138</v>
      </c>
      <c r="L2175" s="5">
        <v>-1.59155056649138</v>
      </c>
      <c r="M2175" s="5">
        <v>9.50835848288862</v>
      </c>
      <c r="N2175" s="5">
        <v>9.50835848288862</v>
      </c>
      <c r="O2175" s="5">
        <v>9.50835848288862</v>
      </c>
      <c r="P2175" s="5">
        <v>0.0</v>
      </c>
      <c r="Q2175" s="5">
        <v>0.0</v>
      </c>
      <c r="R2175" s="5">
        <v>0.0</v>
      </c>
      <c r="S2175" s="5">
        <v>62.794601200696</v>
      </c>
    </row>
    <row r="2176">
      <c r="A2176" s="6">
        <v>43515.0</v>
      </c>
      <c r="B2176" s="5">
        <v>54.7128645131837</v>
      </c>
      <c r="C2176" s="5">
        <v>-1.70724842193053</v>
      </c>
      <c r="D2176" s="5">
        <v>120.498803875138</v>
      </c>
      <c r="E2176" s="5">
        <v>54.7128645131837</v>
      </c>
      <c r="F2176" s="5">
        <v>54.7128645131837</v>
      </c>
      <c r="G2176" s="5">
        <v>4.95901113260046</v>
      </c>
      <c r="H2176" s="5">
        <v>4.95901113260046</v>
      </c>
      <c r="I2176" s="5">
        <v>4.95901113260046</v>
      </c>
      <c r="J2176" s="5">
        <v>-0.144118857245405</v>
      </c>
      <c r="K2176" s="5">
        <v>-0.144118857245405</v>
      </c>
      <c r="L2176" s="5">
        <v>-0.144118857245405</v>
      </c>
      <c r="M2176" s="5">
        <v>5.10312998984586</v>
      </c>
      <c r="N2176" s="5">
        <v>5.10312998984586</v>
      </c>
      <c r="O2176" s="5">
        <v>5.10312998984586</v>
      </c>
      <c r="P2176" s="5">
        <v>0.0</v>
      </c>
      <c r="Q2176" s="5">
        <v>0.0</v>
      </c>
      <c r="R2176" s="5">
        <v>0.0</v>
      </c>
      <c r="S2176" s="5">
        <v>59.6718756457842</v>
      </c>
    </row>
    <row r="2177">
      <c r="A2177" s="6">
        <v>43516.0</v>
      </c>
      <c r="B2177" s="5">
        <v>54.6716323191793</v>
      </c>
      <c r="C2177" s="5">
        <v>-9.42712180032096</v>
      </c>
      <c r="D2177" s="5">
        <v>119.418026786817</v>
      </c>
      <c r="E2177" s="5">
        <v>54.6716323191793</v>
      </c>
      <c r="F2177" s="5">
        <v>54.6716323191793</v>
      </c>
      <c r="G2177" s="5">
        <v>3.74031455110329</v>
      </c>
      <c r="H2177" s="5">
        <v>3.74031455110329</v>
      </c>
      <c r="I2177" s="5">
        <v>3.74031455110329</v>
      </c>
      <c r="J2177" s="5">
        <v>0.00703780528314198</v>
      </c>
      <c r="K2177" s="5">
        <v>0.00703780528314198</v>
      </c>
      <c r="L2177" s="5">
        <v>0.00703780528314198</v>
      </c>
      <c r="M2177" s="5">
        <v>3.73327674582015</v>
      </c>
      <c r="N2177" s="5">
        <v>3.73327674582015</v>
      </c>
      <c r="O2177" s="5">
        <v>3.73327674582015</v>
      </c>
      <c r="P2177" s="5">
        <v>0.0</v>
      </c>
      <c r="Q2177" s="5">
        <v>0.0</v>
      </c>
      <c r="R2177" s="5">
        <v>0.0</v>
      </c>
      <c r="S2177" s="5">
        <v>58.4119468702826</v>
      </c>
    </row>
    <row r="2178">
      <c r="A2178" s="6">
        <v>43517.0</v>
      </c>
      <c r="B2178" s="5">
        <v>54.6304001251749</v>
      </c>
      <c r="C2178" s="5">
        <v>-4.16251869513915</v>
      </c>
      <c r="D2178" s="5">
        <v>120.08804080946</v>
      </c>
      <c r="E2178" s="5">
        <v>54.6304001251749</v>
      </c>
      <c r="F2178" s="5">
        <v>54.6304001251749</v>
      </c>
      <c r="G2178" s="5">
        <v>1.49762520254051</v>
      </c>
      <c r="H2178" s="5">
        <v>1.49762520254051</v>
      </c>
      <c r="I2178" s="5">
        <v>1.49762520254051</v>
      </c>
      <c r="J2178" s="5">
        <v>-0.776422525903043</v>
      </c>
      <c r="K2178" s="5">
        <v>-0.776422525903043</v>
      </c>
      <c r="L2178" s="5">
        <v>-0.776422525903043</v>
      </c>
      <c r="M2178" s="5">
        <v>2.27404772844355</v>
      </c>
      <c r="N2178" s="5">
        <v>2.27404772844355</v>
      </c>
      <c r="O2178" s="5">
        <v>2.27404772844355</v>
      </c>
      <c r="P2178" s="5">
        <v>0.0</v>
      </c>
      <c r="Q2178" s="5">
        <v>0.0</v>
      </c>
      <c r="R2178" s="5">
        <v>0.0</v>
      </c>
      <c r="S2178" s="5">
        <v>56.1280253277154</v>
      </c>
    </row>
    <row r="2179">
      <c r="A2179" s="6">
        <v>43518.0</v>
      </c>
      <c r="B2179" s="5">
        <v>54.5891679311705</v>
      </c>
      <c r="C2179" s="5">
        <v>-11.1242615184901</v>
      </c>
      <c r="D2179" s="5">
        <v>115.930276874254</v>
      </c>
      <c r="E2179" s="5">
        <v>54.5891679311705</v>
      </c>
      <c r="F2179" s="5">
        <v>54.5891679311705</v>
      </c>
      <c r="G2179" s="5">
        <v>-0.852420546914324</v>
      </c>
      <c r="H2179" s="5">
        <v>-0.852420546914324</v>
      </c>
      <c r="I2179" s="5">
        <v>-0.852420546914324</v>
      </c>
      <c r="J2179" s="5">
        <v>-1.59155056649352</v>
      </c>
      <c r="K2179" s="5">
        <v>-1.59155056649352</v>
      </c>
      <c r="L2179" s="5">
        <v>-1.59155056649352</v>
      </c>
      <c r="M2179" s="5">
        <v>0.739130019579197</v>
      </c>
      <c r="N2179" s="5">
        <v>0.739130019579197</v>
      </c>
      <c r="O2179" s="5">
        <v>0.739130019579197</v>
      </c>
      <c r="P2179" s="5">
        <v>0.0</v>
      </c>
      <c r="Q2179" s="5">
        <v>0.0</v>
      </c>
      <c r="R2179" s="5">
        <v>0.0</v>
      </c>
      <c r="S2179" s="5">
        <v>53.7367473842562</v>
      </c>
    </row>
    <row r="2180">
      <c r="A2180" s="6">
        <v>43521.0</v>
      </c>
      <c r="B2180" s="5">
        <v>54.4654713491573</v>
      </c>
      <c r="C2180" s="5">
        <v>-9.39569997289771</v>
      </c>
      <c r="D2180" s="5">
        <v>113.850826149337</v>
      </c>
      <c r="E2180" s="5">
        <v>54.4654713491573</v>
      </c>
      <c r="F2180" s="5">
        <v>54.4654713491573</v>
      </c>
      <c r="G2180" s="5">
        <v>-4.06139882827161</v>
      </c>
      <c r="H2180" s="5">
        <v>-4.06139882827161</v>
      </c>
      <c r="I2180" s="5">
        <v>-4.06139882827161</v>
      </c>
      <c r="J2180" s="5">
        <v>0.0905589421207113</v>
      </c>
      <c r="K2180" s="5">
        <v>0.0905589421207113</v>
      </c>
      <c r="L2180" s="5">
        <v>0.0905589421207113</v>
      </c>
      <c r="M2180" s="5">
        <v>-4.15195777039232</v>
      </c>
      <c r="N2180" s="5">
        <v>-4.15195777039232</v>
      </c>
      <c r="O2180" s="5">
        <v>-4.15195777039232</v>
      </c>
      <c r="P2180" s="5">
        <v>0.0</v>
      </c>
      <c r="Q2180" s="5">
        <v>0.0</v>
      </c>
      <c r="R2180" s="5">
        <v>0.0</v>
      </c>
      <c r="S2180" s="5">
        <v>50.4040725208856</v>
      </c>
    </row>
    <row r="2181">
      <c r="A2181" s="6">
        <v>43522.0</v>
      </c>
      <c r="B2181" s="5">
        <v>54.4242391551529</v>
      </c>
      <c r="C2181" s="5">
        <v>-12.9601138322974</v>
      </c>
      <c r="D2181" s="5">
        <v>114.310724450677</v>
      </c>
      <c r="E2181" s="5">
        <v>54.4242391551529</v>
      </c>
      <c r="F2181" s="5">
        <v>54.4242391551529</v>
      </c>
      <c r="G2181" s="5">
        <v>-5.95844815329097</v>
      </c>
      <c r="H2181" s="5">
        <v>-5.95844815329097</v>
      </c>
      <c r="I2181" s="5">
        <v>-5.95844815329097</v>
      </c>
      <c r="J2181" s="5">
        <v>-0.144118857246841</v>
      </c>
      <c r="K2181" s="5">
        <v>-0.144118857246841</v>
      </c>
      <c r="L2181" s="5">
        <v>-0.144118857246841</v>
      </c>
      <c r="M2181" s="5">
        <v>-5.81432929604413</v>
      </c>
      <c r="N2181" s="5">
        <v>-5.81432929604413</v>
      </c>
      <c r="O2181" s="5">
        <v>-5.81432929604413</v>
      </c>
      <c r="P2181" s="5">
        <v>0.0</v>
      </c>
      <c r="Q2181" s="5">
        <v>0.0</v>
      </c>
      <c r="R2181" s="5">
        <v>0.0</v>
      </c>
      <c r="S2181" s="5">
        <v>48.4657910018619</v>
      </c>
    </row>
    <row r="2182">
      <c r="A2182" s="6">
        <v>43523.0</v>
      </c>
      <c r="B2182" s="5">
        <v>54.3830069611485</v>
      </c>
      <c r="C2182" s="5">
        <v>-11.8815871189536</v>
      </c>
      <c r="D2182" s="5">
        <v>106.330785090101</v>
      </c>
      <c r="E2182" s="5">
        <v>54.3830069611485</v>
      </c>
      <c r="F2182" s="5">
        <v>54.3830069611485</v>
      </c>
      <c r="G2182" s="5">
        <v>-7.45176540963812</v>
      </c>
      <c r="H2182" s="5">
        <v>-7.45176540963812</v>
      </c>
      <c r="I2182" s="5">
        <v>-7.45176540963812</v>
      </c>
      <c r="J2182" s="5">
        <v>0.0070378052832809</v>
      </c>
      <c r="K2182" s="5">
        <v>0.0070378052832809</v>
      </c>
      <c r="L2182" s="5">
        <v>0.0070378052832809</v>
      </c>
      <c r="M2182" s="5">
        <v>-7.4588032149214</v>
      </c>
      <c r="N2182" s="5">
        <v>-7.4588032149214</v>
      </c>
      <c r="O2182" s="5">
        <v>-7.4588032149214</v>
      </c>
      <c r="P2182" s="5">
        <v>0.0</v>
      </c>
      <c r="Q2182" s="5">
        <v>0.0</v>
      </c>
      <c r="R2182" s="5">
        <v>0.0</v>
      </c>
      <c r="S2182" s="5">
        <v>46.9312415515103</v>
      </c>
    </row>
    <row r="2183">
      <c r="A2183" s="6">
        <v>43524.0</v>
      </c>
      <c r="B2183" s="5">
        <v>54.341774767144</v>
      </c>
      <c r="C2183" s="5">
        <v>-16.8980876708676</v>
      </c>
      <c r="D2183" s="5">
        <v>110.875603221631</v>
      </c>
      <c r="E2183" s="5">
        <v>54.341774767144</v>
      </c>
      <c r="F2183" s="5">
        <v>54.341774767144</v>
      </c>
      <c r="G2183" s="5">
        <v>-9.84114569558395</v>
      </c>
      <c r="H2183" s="5">
        <v>-9.84114569558395</v>
      </c>
      <c r="I2183" s="5">
        <v>-9.84114569558395</v>
      </c>
      <c r="J2183" s="5">
        <v>-0.776422525900915</v>
      </c>
      <c r="K2183" s="5">
        <v>-0.776422525900915</v>
      </c>
      <c r="L2183" s="5">
        <v>-0.776422525900915</v>
      </c>
      <c r="M2183" s="5">
        <v>-9.06472316968303</v>
      </c>
      <c r="N2183" s="5">
        <v>-9.06472316968303</v>
      </c>
      <c r="O2183" s="5">
        <v>-9.06472316968303</v>
      </c>
      <c r="P2183" s="5">
        <v>0.0</v>
      </c>
      <c r="Q2183" s="5">
        <v>0.0</v>
      </c>
      <c r="R2183" s="5">
        <v>0.0</v>
      </c>
      <c r="S2183" s="5">
        <v>44.5006290715601</v>
      </c>
    </row>
    <row r="2184">
      <c r="A2184" s="6">
        <v>43525.0</v>
      </c>
      <c r="B2184" s="5">
        <v>54.3005425731396</v>
      </c>
      <c r="C2184" s="5">
        <v>-19.5177769624918</v>
      </c>
      <c r="D2184" s="5">
        <v>105.202260788434</v>
      </c>
      <c r="E2184" s="5">
        <v>54.3005425731396</v>
      </c>
      <c r="F2184" s="5">
        <v>54.3005425731396</v>
      </c>
      <c r="G2184" s="5">
        <v>-12.2034426827216</v>
      </c>
      <c r="H2184" s="5">
        <v>-12.2034426827216</v>
      </c>
      <c r="I2184" s="5">
        <v>-12.2034426827216</v>
      </c>
      <c r="J2184" s="5">
        <v>-1.59155056649228</v>
      </c>
      <c r="K2184" s="5">
        <v>-1.59155056649228</v>
      </c>
      <c r="L2184" s="5">
        <v>-1.59155056649228</v>
      </c>
      <c r="M2184" s="5">
        <v>-10.6118921162293</v>
      </c>
      <c r="N2184" s="5">
        <v>-10.6118921162293</v>
      </c>
      <c r="O2184" s="5">
        <v>-10.6118921162293</v>
      </c>
      <c r="P2184" s="5">
        <v>0.0</v>
      </c>
      <c r="Q2184" s="5">
        <v>0.0</v>
      </c>
      <c r="R2184" s="5">
        <v>0.0</v>
      </c>
      <c r="S2184" s="5">
        <v>42.097099890418</v>
      </c>
    </row>
    <row r="2185">
      <c r="A2185" s="6">
        <v>43528.0</v>
      </c>
      <c r="B2185" s="5">
        <v>54.1768459911264</v>
      </c>
      <c r="C2185" s="5">
        <v>-23.2061571469632</v>
      </c>
      <c r="D2185" s="5">
        <v>98.3908330177945</v>
      </c>
      <c r="E2185" s="5">
        <v>54.1768459911264</v>
      </c>
      <c r="F2185" s="5">
        <v>54.1768459911264</v>
      </c>
      <c r="G2185" s="5">
        <v>-14.6247099450913</v>
      </c>
      <c r="H2185" s="5">
        <v>-14.6247099450913</v>
      </c>
      <c r="I2185" s="5">
        <v>-14.6247099450913</v>
      </c>
      <c r="J2185" s="5">
        <v>0.0905589421192737</v>
      </c>
      <c r="K2185" s="5">
        <v>0.0905589421192737</v>
      </c>
      <c r="L2185" s="5">
        <v>0.0905589421192737</v>
      </c>
      <c r="M2185" s="5">
        <v>-14.7152688872106</v>
      </c>
      <c r="N2185" s="5">
        <v>-14.7152688872106</v>
      </c>
      <c r="O2185" s="5">
        <v>-14.7152688872106</v>
      </c>
      <c r="P2185" s="5">
        <v>0.0</v>
      </c>
      <c r="Q2185" s="5">
        <v>0.0</v>
      </c>
      <c r="R2185" s="5">
        <v>0.0</v>
      </c>
      <c r="S2185" s="5">
        <v>39.5521360460351</v>
      </c>
    </row>
    <row r="2186">
      <c r="A2186" s="6">
        <v>43529.0</v>
      </c>
      <c r="B2186" s="5">
        <v>54.135613797122</v>
      </c>
      <c r="C2186" s="5">
        <v>-27.6243820330831</v>
      </c>
      <c r="D2186" s="5">
        <v>98.8207356409156</v>
      </c>
      <c r="E2186" s="5">
        <v>54.135613797122</v>
      </c>
      <c r="F2186" s="5">
        <v>54.135613797122</v>
      </c>
      <c r="G2186" s="5">
        <v>-15.994202628522</v>
      </c>
      <c r="H2186" s="5">
        <v>-15.994202628522</v>
      </c>
      <c r="I2186" s="5">
        <v>-15.994202628522</v>
      </c>
      <c r="J2186" s="5">
        <v>-0.144118857243534</v>
      </c>
      <c r="K2186" s="5">
        <v>-0.144118857243534</v>
      </c>
      <c r="L2186" s="5">
        <v>-0.144118857243534</v>
      </c>
      <c r="M2186" s="5">
        <v>-15.8500837712785</v>
      </c>
      <c r="N2186" s="5">
        <v>-15.8500837712785</v>
      </c>
      <c r="O2186" s="5">
        <v>-15.8500837712785</v>
      </c>
      <c r="P2186" s="5">
        <v>0.0</v>
      </c>
      <c r="Q2186" s="5">
        <v>0.0</v>
      </c>
      <c r="R2186" s="5">
        <v>0.0</v>
      </c>
      <c r="S2186" s="5">
        <v>38.1414111686</v>
      </c>
    </row>
    <row r="2187">
      <c r="A2187" s="6">
        <v>43530.0</v>
      </c>
      <c r="B2187" s="5">
        <v>54.0943816031176</v>
      </c>
      <c r="C2187" s="5">
        <v>-24.0025828802556</v>
      </c>
      <c r="D2187" s="5">
        <v>103.590257759392</v>
      </c>
      <c r="E2187" s="5">
        <v>54.0943816031176</v>
      </c>
      <c r="F2187" s="5">
        <v>54.0943816031176</v>
      </c>
      <c r="G2187" s="5">
        <v>-16.8398975258061</v>
      </c>
      <c r="H2187" s="5">
        <v>-16.8398975258061</v>
      </c>
      <c r="I2187" s="5">
        <v>-16.8398975258061</v>
      </c>
      <c r="J2187" s="5">
        <v>0.00703780528242837</v>
      </c>
      <c r="K2187" s="5">
        <v>0.00703780528242837</v>
      </c>
      <c r="L2187" s="5">
        <v>0.00703780528242837</v>
      </c>
      <c r="M2187" s="5">
        <v>-16.8469353310885</v>
      </c>
      <c r="N2187" s="5">
        <v>-16.8469353310885</v>
      </c>
      <c r="O2187" s="5">
        <v>-16.8469353310885</v>
      </c>
      <c r="P2187" s="5">
        <v>0.0</v>
      </c>
      <c r="Q2187" s="5">
        <v>0.0</v>
      </c>
      <c r="R2187" s="5">
        <v>0.0</v>
      </c>
      <c r="S2187" s="5">
        <v>37.2544840773115</v>
      </c>
    </row>
    <row r="2188">
      <c r="A2188" s="6">
        <v>43531.0</v>
      </c>
      <c r="B2188" s="5">
        <v>54.0531494091132</v>
      </c>
      <c r="C2188" s="5">
        <v>-25.9809478264759</v>
      </c>
      <c r="D2188" s="5">
        <v>99.8696548831183</v>
      </c>
      <c r="E2188" s="5">
        <v>54.0531494091132</v>
      </c>
      <c r="F2188" s="5">
        <v>54.0531494091132</v>
      </c>
      <c r="G2188" s="5">
        <v>-18.4731060497868</v>
      </c>
      <c r="H2188" s="5">
        <v>-18.4731060497868</v>
      </c>
      <c r="I2188" s="5">
        <v>-18.4731060497868</v>
      </c>
      <c r="J2188" s="5">
        <v>-0.776422525903012</v>
      </c>
      <c r="K2188" s="5">
        <v>-0.776422525903012</v>
      </c>
      <c r="L2188" s="5">
        <v>-0.776422525903012</v>
      </c>
      <c r="M2188" s="5">
        <v>-17.6966835238838</v>
      </c>
      <c r="N2188" s="5">
        <v>-17.6966835238838</v>
      </c>
      <c r="O2188" s="5">
        <v>-17.6966835238838</v>
      </c>
      <c r="P2188" s="5">
        <v>0.0</v>
      </c>
      <c r="Q2188" s="5">
        <v>0.0</v>
      </c>
      <c r="R2188" s="5">
        <v>0.0</v>
      </c>
      <c r="S2188" s="5">
        <v>35.5800433593263</v>
      </c>
    </row>
    <row r="2189">
      <c r="A2189" s="6">
        <v>43532.0</v>
      </c>
      <c r="B2189" s="5">
        <v>54.0119172151088</v>
      </c>
      <c r="C2189" s="5">
        <v>-31.0265461565159</v>
      </c>
      <c r="D2189" s="5">
        <v>93.9734056975284</v>
      </c>
      <c r="E2189" s="5">
        <v>54.0119172151088</v>
      </c>
      <c r="F2189" s="5">
        <v>54.0119172151088</v>
      </c>
      <c r="G2189" s="5">
        <v>-19.9844777866691</v>
      </c>
      <c r="H2189" s="5">
        <v>-19.9844777866691</v>
      </c>
      <c r="I2189" s="5">
        <v>-19.9844777866691</v>
      </c>
      <c r="J2189" s="5">
        <v>-1.59155056649135</v>
      </c>
      <c r="K2189" s="5">
        <v>-1.59155056649135</v>
      </c>
      <c r="L2189" s="5">
        <v>-1.59155056649135</v>
      </c>
      <c r="M2189" s="5">
        <v>-18.3929272201778</v>
      </c>
      <c r="N2189" s="5">
        <v>-18.3929272201778</v>
      </c>
      <c r="O2189" s="5">
        <v>-18.3929272201778</v>
      </c>
      <c r="P2189" s="5">
        <v>0.0</v>
      </c>
      <c r="Q2189" s="5">
        <v>0.0</v>
      </c>
      <c r="R2189" s="5">
        <v>0.0</v>
      </c>
      <c r="S2189" s="5">
        <v>34.0274394284396</v>
      </c>
    </row>
    <row r="2190">
      <c r="A2190" s="6">
        <v>43535.0</v>
      </c>
      <c r="B2190" s="5">
        <v>53.8882206330956</v>
      </c>
      <c r="C2190" s="5">
        <v>-25.6592472895333</v>
      </c>
      <c r="D2190" s="5">
        <v>95.9925910708992</v>
      </c>
      <c r="E2190" s="5">
        <v>53.8882206330956</v>
      </c>
      <c r="F2190" s="5">
        <v>53.8882206330956</v>
      </c>
      <c r="G2190" s="5">
        <v>-19.4482867552739</v>
      </c>
      <c r="H2190" s="5">
        <v>-19.4482867552739</v>
      </c>
      <c r="I2190" s="5">
        <v>-19.4482867552739</v>
      </c>
      <c r="J2190" s="5">
        <v>0.0905589421203003</v>
      </c>
      <c r="K2190" s="5">
        <v>0.0905589421203003</v>
      </c>
      <c r="L2190" s="5">
        <v>0.0905589421203003</v>
      </c>
      <c r="M2190" s="5">
        <v>-19.5388456973942</v>
      </c>
      <c r="N2190" s="5">
        <v>-19.5388456973942</v>
      </c>
      <c r="O2190" s="5">
        <v>-19.5388456973942</v>
      </c>
      <c r="P2190" s="5">
        <v>0.0</v>
      </c>
      <c r="Q2190" s="5">
        <v>0.0</v>
      </c>
      <c r="R2190" s="5">
        <v>0.0</v>
      </c>
      <c r="S2190" s="5">
        <v>34.4399338778216</v>
      </c>
    </row>
    <row r="2191">
      <c r="A2191" s="6">
        <v>43536.0</v>
      </c>
      <c r="B2191" s="5">
        <v>53.8469884390912</v>
      </c>
      <c r="C2191" s="5">
        <v>-28.1574198832373</v>
      </c>
      <c r="D2191" s="5">
        <v>99.7914566977322</v>
      </c>
      <c r="E2191" s="5">
        <v>53.8469884390912</v>
      </c>
      <c r="F2191" s="5">
        <v>53.8469884390912</v>
      </c>
      <c r="G2191" s="5">
        <v>-19.7571935708397</v>
      </c>
      <c r="H2191" s="5">
        <v>-19.7571935708397</v>
      </c>
      <c r="I2191" s="5">
        <v>-19.7571935708397</v>
      </c>
      <c r="J2191" s="5">
        <v>-0.144118857244969</v>
      </c>
      <c r="K2191" s="5">
        <v>-0.144118857244969</v>
      </c>
      <c r="L2191" s="5">
        <v>-0.144118857244969</v>
      </c>
      <c r="M2191" s="5">
        <v>-19.6130747135947</v>
      </c>
      <c r="N2191" s="5">
        <v>-19.6130747135947</v>
      </c>
      <c r="O2191" s="5">
        <v>-19.6130747135947</v>
      </c>
      <c r="P2191" s="5">
        <v>0.0</v>
      </c>
      <c r="Q2191" s="5">
        <v>0.0</v>
      </c>
      <c r="R2191" s="5">
        <v>0.0</v>
      </c>
      <c r="S2191" s="5">
        <v>34.0897948682514</v>
      </c>
    </row>
    <row r="2192">
      <c r="A2192" s="6">
        <v>43537.0</v>
      </c>
      <c r="B2192" s="5">
        <v>53.8057562450868</v>
      </c>
      <c r="C2192" s="5">
        <v>-29.3860798255575</v>
      </c>
      <c r="D2192" s="5">
        <v>96.603762973037</v>
      </c>
      <c r="E2192" s="5">
        <v>53.8057562450868</v>
      </c>
      <c r="F2192" s="5">
        <v>53.8057562450868</v>
      </c>
      <c r="G2192" s="5">
        <v>-19.5360925616582</v>
      </c>
      <c r="H2192" s="5">
        <v>-19.5360925616582</v>
      </c>
      <c r="I2192" s="5">
        <v>-19.5360925616582</v>
      </c>
      <c r="J2192" s="5">
        <v>0.00703780528157569</v>
      </c>
      <c r="K2192" s="5">
        <v>0.00703780528157569</v>
      </c>
      <c r="L2192" s="5">
        <v>0.00703780528157569</v>
      </c>
      <c r="M2192" s="5">
        <v>-19.5431303669398</v>
      </c>
      <c r="N2192" s="5">
        <v>-19.5431303669398</v>
      </c>
      <c r="O2192" s="5">
        <v>-19.5431303669398</v>
      </c>
      <c r="P2192" s="5">
        <v>0.0</v>
      </c>
      <c r="Q2192" s="5">
        <v>0.0</v>
      </c>
      <c r="R2192" s="5">
        <v>0.0</v>
      </c>
      <c r="S2192" s="5">
        <v>34.2696636834285</v>
      </c>
    </row>
    <row r="2193">
      <c r="A2193" s="6">
        <v>43538.0</v>
      </c>
      <c r="B2193" s="5">
        <v>53.7645240510824</v>
      </c>
      <c r="C2193" s="5">
        <v>-27.6457918274786</v>
      </c>
      <c r="D2193" s="5">
        <v>95.2277879656678</v>
      </c>
      <c r="E2193" s="5">
        <v>53.7645240510824</v>
      </c>
      <c r="F2193" s="5">
        <v>53.7645240510824</v>
      </c>
      <c r="G2193" s="5">
        <v>-20.11466841934</v>
      </c>
      <c r="H2193" s="5">
        <v>-20.11466841934</v>
      </c>
      <c r="I2193" s="5">
        <v>-20.11466841934</v>
      </c>
      <c r="J2193" s="5">
        <v>-0.776422525905109</v>
      </c>
      <c r="K2193" s="5">
        <v>-0.776422525905109</v>
      </c>
      <c r="L2193" s="5">
        <v>-0.776422525905109</v>
      </c>
      <c r="M2193" s="5">
        <v>-19.3382458934349</v>
      </c>
      <c r="N2193" s="5">
        <v>-19.3382458934349</v>
      </c>
      <c r="O2193" s="5">
        <v>-19.3382458934349</v>
      </c>
      <c r="P2193" s="5">
        <v>0.0</v>
      </c>
      <c r="Q2193" s="5">
        <v>0.0</v>
      </c>
      <c r="R2193" s="5">
        <v>0.0</v>
      </c>
      <c r="S2193" s="5">
        <v>33.6498556317423</v>
      </c>
    </row>
    <row r="2194">
      <c r="A2194" s="6">
        <v>43539.0</v>
      </c>
      <c r="B2194" s="5">
        <v>53.7232918570779</v>
      </c>
      <c r="C2194" s="5">
        <v>-27.6940793519068</v>
      </c>
      <c r="D2194" s="5">
        <v>96.4524284360729</v>
      </c>
      <c r="E2194" s="5">
        <v>53.7232918570779</v>
      </c>
      <c r="F2194" s="5">
        <v>53.7232918570779</v>
      </c>
      <c r="G2194" s="5">
        <v>-20.6010863478796</v>
      </c>
      <c r="H2194" s="5">
        <v>-20.6010863478796</v>
      </c>
      <c r="I2194" s="5">
        <v>-20.6010863478796</v>
      </c>
      <c r="J2194" s="5">
        <v>-1.59155056649592</v>
      </c>
      <c r="K2194" s="5">
        <v>-1.59155056649592</v>
      </c>
      <c r="L2194" s="5">
        <v>-1.59155056649592</v>
      </c>
      <c r="M2194" s="5">
        <v>-19.0095357813837</v>
      </c>
      <c r="N2194" s="5">
        <v>-19.0095357813837</v>
      </c>
      <c r="O2194" s="5">
        <v>-19.0095357813837</v>
      </c>
      <c r="P2194" s="5">
        <v>0.0</v>
      </c>
      <c r="Q2194" s="5">
        <v>0.0</v>
      </c>
      <c r="R2194" s="5">
        <v>0.0</v>
      </c>
      <c r="S2194" s="5">
        <v>33.1222055091983</v>
      </c>
    </row>
    <row r="2195">
      <c r="A2195" s="6">
        <v>43542.0</v>
      </c>
      <c r="B2195" s="5">
        <v>53.5995952750647</v>
      </c>
      <c r="C2195" s="5">
        <v>-29.3121046756818</v>
      </c>
      <c r="D2195" s="5">
        <v>97.6751503475063</v>
      </c>
      <c r="E2195" s="5">
        <v>53.5995952750647</v>
      </c>
      <c r="F2195" s="5">
        <v>53.5995952750647</v>
      </c>
      <c r="G2195" s="5">
        <v>-17.3220187655724</v>
      </c>
      <c r="H2195" s="5">
        <v>-17.3220187655724</v>
      </c>
      <c r="I2195" s="5">
        <v>-17.3220187655724</v>
      </c>
      <c r="J2195" s="5">
        <v>0.0905589421212465</v>
      </c>
      <c r="K2195" s="5">
        <v>0.0905589421212465</v>
      </c>
      <c r="L2195" s="5">
        <v>0.0905589421212465</v>
      </c>
      <c r="M2195" s="5">
        <v>-17.4125777076936</v>
      </c>
      <c r="N2195" s="5">
        <v>-17.4125777076936</v>
      </c>
      <c r="O2195" s="5">
        <v>-17.4125777076936</v>
      </c>
      <c r="P2195" s="5">
        <v>0.0</v>
      </c>
      <c r="Q2195" s="5">
        <v>0.0</v>
      </c>
      <c r="R2195" s="5">
        <v>0.0</v>
      </c>
      <c r="S2195" s="5">
        <v>36.2775765094923</v>
      </c>
    </row>
    <row r="2196">
      <c r="A2196" s="6">
        <v>43543.0</v>
      </c>
      <c r="B2196" s="5">
        <v>53.5583630810603</v>
      </c>
      <c r="C2196" s="5">
        <v>-21.9164807647661</v>
      </c>
      <c r="D2196" s="5">
        <v>99.6281383098768</v>
      </c>
      <c r="E2196" s="5">
        <v>53.5583630810603</v>
      </c>
      <c r="F2196" s="5">
        <v>53.5583630810603</v>
      </c>
      <c r="G2196" s="5">
        <v>-16.8691934645378</v>
      </c>
      <c r="H2196" s="5">
        <v>-16.8691934645378</v>
      </c>
      <c r="I2196" s="5">
        <v>-16.8691934645378</v>
      </c>
      <c r="J2196" s="5">
        <v>-0.144118857243881</v>
      </c>
      <c r="K2196" s="5">
        <v>-0.144118857243881</v>
      </c>
      <c r="L2196" s="5">
        <v>-0.144118857243881</v>
      </c>
      <c r="M2196" s="5">
        <v>-16.7250746072939</v>
      </c>
      <c r="N2196" s="5">
        <v>-16.7250746072939</v>
      </c>
      <c r="O2196" s="5">
        <v>-16.7250746072939</v>
      </c>
      <c r="P2196" s="5">
        <v>0.0</v>
      </c>
      <c r="Q2196" s="5">
        <v>0.0</v>
      </c>
      <c r="R2196" s="5">
        <v>0.0</v>
      </c>
      <c r="S2196" s="5">
        <v>36.6891696165225</v>
      </c>
    </row>
    <row r="2197">
      <c r="A2197" s="6">
        <v>43544.0</v>
      </c>
      <c r="B2197" s="5">
        <v>53.5171308870559</v>
      </c>
      <c r="C2197" s="5">
        <v>-25.88007113888</v>
      </c>
      <c r="D2197" s="5">
        <v>98.3045950905855</v>
      </c>
      <c r="E2197" s="5">
        <v>53.5171308870559</v>
      </c>
      <c r="F2197" s="5">
        <v>53.5171308870559</v>
      </c>
      <c r="G2197" s="5">
        <v>-15.9780087084202</v>
      </c>
      <c r="H2197" s="5">
        <v>-15.9780087084202</v>
      </c>
      <c r="I2197" s="5">
        <v>-15.9780087084202</v>
      </c>
      <c r="J2197" s="5">
        <v>0.00703780528288692</v>
      </c>
      <c r="K2197" s="5">
        <v>0.00703780528288692</v>
      </c>
      <c r="L2197" s="5">
        <v>0.00703780528288692</v>
      </c>
      <c r="M2197" s="5">
        <v>-15.9850465137031</v>
      </c>
      <c r="N2197" s="5">
        <v>-15.9850465137031</v>
      </c>
      <c r="O2197" s="5">
        <v>-15.9850465137031</v>
      </c>
      <c r="P2197" s="5">
        <v>0.0</v>
      </c>
      <c r="Q2197" s="5">
        <v>0.0</v>
      </c>
      <c r="R2197" s="5">
        <v>0.0</v>
      </c>
      <c r="S2197" s="5">
        <v>37.5391221786357</v>
      </c>
    </row>
    <row r="2198">
      <c r="A2198" s="6">
        <v>43545.0</v>
      </c>
      <c r="B2198" s="5">
        <v>53.4758986930515</v>
      </c>
      <c r="C2198" s="5">
        <v>-26.9167903510999</v>
      </c>
      <c r="D2198" s="5">
        <v>103.843959367362</v>
      </c>
      <c r="E2198" s="5">
        <v>53.4758986930515</v>
      </c>
      <c r="F2198" s="5">
        <v>53.4758986930515</v>
      </c>
      <c r="G2198" s="5">
        <v>-15.9836861194835</v>
      </c>
      <c r="H2198" s="5">
        <v>-15.9836861194835</v>
      </c>
      <c r="I2198" s="5">
        <v>-15.9836861194835</v>
      </c>
      <c r="J2198" s="5">
        <v>-0.776422525902981</v>
      </c>
      <c r="K2198" s="5">
        <v>-0.776422525902981</v>
      </c>
      <c r="L2198" s="5">
        <v>-0.776422525902981</v>
      </c>
      <c r="M2198" s="5">
        <v>-15.2072635935805</v>
      </c>
      <c r="N2198" s="5">
        <v>-15.2072635935805</v>
      </c>
      <c r="O2198" s="5">
        <v>-15.2072635935805</v>
      </c>
      <c r="P2198" s="5">
        <v>0.0</v>
      </c>
      <c r="Q2198" s="5">
        <v>0.0</v>
      </c>
      <c r="R2198" s="5">
        <v>0.0</v>
      </c>
      <c r="S2198" s="5">
        <v>37.492212573568</v>
      </c>
    </row>
    <row r="2199">
      <c r="A2199" s="6">
        <v>43546.0</v>
      </c>
      <c r="B2199" s="5">
        <v>53.4346664990471</v>
      </c>
      <c r="C2199" s="5">
        <v>-25.0512683378712</v>
      </c>
      <c r="D2199" s="5">
        <v>101.640428703846</v>
      </c>
      <c r="E2199" s="5">
        <v>53.4346664990471</v>
      </c>
      <c r="F2199" s="5">
        <v>53.4346664990471</v>
      </c>
      <c r="G2199" s="5">
        <v>-15.9973834898909</v>
      </c>
      <c r="H2199" s="5">
        <v>-15.9973834898909</v>
      </c>
      <c r="I2199" s="5">
        <v>-15.9973834898909</v>
      </c>
      <c r="J2199" s="5">
        <v>-1.59155056649499</v>
      </c>
      <c r="K2199" s="5">
        <v>-1.59155056649499</v>
      </c>
      <c r="L2199" s="5">
        <v>-1.59155056649499</v>
      </c>
      <c r="M2199" s="5">
        <v>-14.4058329233959</v>
      </c>
      <c r="N2199" s="5">
        <v>-14.4058329233959</v>
      </c>
      <c r="O2199" s="5">
        <v>-14.4058329233959</v>
      </c>
      <c r="P2199" s="5">
        <v>0.0</v>
      </c>
      <c r="Q2199" s="5">
        <v>0.0</v>
      </c>
      <c r="R2199" s="5">
        <v>0.0</v>
      </c>
      <c r="S2199" s="5">
        <v>37.4372830091562</v>
      </c>
    </row>
    <row r="2200">
      <c r="A2200" s="6">
        <v>43549.0</v>
      </c>
      <c r="B2200" s="5">
        <v>53.3109699170339</v>
      </c>
      <c r="C2200" s="5">
        <v>-23.4767065340476</v>
      </c>
      <c r="D2200" s="5">
        <v>101.030927079553</v>
      </c>
      <c r="E2200" s="5">
        <v>53.3109699170339</v>
      </c>
      <c r="F2200" s="5">
        <v>53.3109699170339</v>
      </c>
      <c r="G2200" s="5">
        <v>-11.8941984893384</v>
      </c>
      <c r="H2200" s="5">
        <v>-11.8941984893384</v>
      </c>
      <c r="I2200" s="5">
        <v>-11.8941984893384</v>
      </c>
      <c r="J2200" s="5">
        <v>0.0905589421221931</v>
      </c>
      <c r="K2200" s="5">
        <v>0.0905589421221931</v>
      </c>
      <c r="L2200" s="5">
        <v>0.0905589421221931</v>
      </c>
      <c r="M2200" s="5">
        <v>-11.9847574314606</v>
      </c>
      <c r="N2200" s="5">
        <v>-11.9847574314606</v>
      </c>
      <c r="O2200" s="5">
        <v>-11.9847574314606</v>
      </c>
      <c r="P2200" s="5">
        <v>0.0</v>
      </c>
      <c r="Q2200" s="5">
        <v>0.0</v>
      </c>
      <c r="R2200" s="5">
        <v>0.0</v>
      </c>
      <c r="S2200" s="5">
        <v>41.4167714276955</v>
      </c>
    </row>
    <row r="2201">
      <c r="A2201" s="6">
        <v>43550.0</v>
      </c>
      <c r="B2201" s="5">
        <v>53.2697377230295</v>
      </c>
      <c r="C2201" s="5">
        <v>-16.2787025633641</v>
      </c>
      <c r="D2201" s="5">
        <v>106.317187232897</v>
      </c>
      <c r="E2201" s="5">
        <v>53.2697377230295</v>
      </c>
      <c r="F2201" s="5">
        <v>53.2697377230295</v>
      </c>
      <c r="G2201" s="5">
        <v>-11.3510617708373</v>
      </c>
      <c r="H2201" s="5">
        <v>-11.3510617708373</v>
      </c>
      <c r="I2201" s="5">
        <v>-11.3510617708373</v>
      </c>
      <c r="J2201" s="5">
        <v>-0.144118857246731</v>
      </c>
      <c r="K2201" s="5">
        <v>-0.144118857246731</v>
      </c>
      <c r="L2201" s="5">
        <v>-0.144118857246731</v>
      </c>
      <c r="M2201" s="5">
        <v>-11.2069429135905</v>
      </c>
      <c r="N2201" s="5">
        <v>-11.2069429135905</v>
      </c>
      <c r="O2201" s="5">
        <v>-11.2069429135905</v>
      </c>
      <c r="P2201" s="5">
        <v>0.0</v>
      </c>
      <c r="Q2201" s="5">
        <v>0.0</v>
      </c>
      <c r="R2201" s="5">
        <v>0.0</v>
      </c>
      <c r="S2201" s="5">
        <v>41.9186759521922</v>
      </c>
    </row>
    <row r="2202">
      <c r="A2202" s="6">
        <v>43551.0</v>
      </c>
      <c r="B2202" s="5">
        <v>53.2285055290251</v>
      </c>
      <c r="C2202" s="5">
        <v>-20.6653249945535</v>
      </c>
      <c r="D2202" s="5">
        <v>102.269197391571</v>
      </c>
      <c r="E2202" s="5">
        <v>53.2285055290251</v>
      </c>
      <c r="F2202" s="5">
        <v>53.2285055290251</v>
      </c>
      <c r="G2202" s="5">
        <v>-10.4501109596557</v>
      </c>
      <c r="H2202" s="5">
        <v>-10.4501109596557</v>
      </c>
      <c r="I2202" s="5">
        <v>-10.4501109596557</v>
      </c>
      <c r="J2202" s="5">
        <v>0.00703780528086211</v>
      </c>
      <c r="K2202" s="5">
        <v>0.00703780528086211</v>
      </c>
      <c r="L2202" s="5">
        <v>0.00703780528086211</v>
      </c>
      <c r="M2202" s="5">
        <v>-10.4571487649366</v>
      </c>
      <c r="N2202" s="5">
        <v>-10.4571487649366</v>
      </c>
      <c r="O2202" s="5">
        <v>-10.4571487649366</v>
      </c>
      <c r="P2202" s="5">
        <v>0.0</v>
      </c>
      <c r="Q2202" s="5">
        <v>0.0</v>
      </c>
      <c r="R2202" s="5">
        <v>0.0</v>
      </c>
      <c r="S2202" s="5">
        <v>42.7783945693693</v>
      </c>
    </row>
    <row r="2203">
      <c r="A2203" s="6">
        <v>43552.0</v>
      </c>
      <c r="B2203" s="5">
        <v>53.1872733350207</v>
      </c>
      <c r="C2203" s="5">
        <v>-21.0241265184041</v>
      </c>
      <c r="D2203" s="5">
        <v>101.229798793134</v>
      </c>
      <c r="E2203" s="5">
        <v>53.1872733350207</v>
      </c>
      <c r="F2203" s="5">
        <v>53.1872733350207</v>
      </c>
      <c r="G2203" s="5">
        <v>-10.517288879877</v>
      </c>
      <c r="H2203" s="5">
        <v>-10.517288879877</v>
      </c>
      <c r="I2203" s="5">
        <v>-10.517288879877</v>
      </c>
      <c r="J2203" s="5">
        <v>-0.776422525903703</v>
      </c>
      <c r="K2203" s="5">
        <v>-0.776422525903703</v>
      </c>
      <c r="L2203" s="5">
        <v>-0.776422525903703</v>
      </c>
      <c r="M2203" s="5">
        <v>-9.74086635397337</v>
      </c>
      <c r="N2203" s="5">
        <v>-9.74086635397337</v>
      </c>
      <c r="O2203" s="5">
        <v>-9.74086635397337</v>
      </c>
      <c r="P2203" s="5">
        <v>0.0</v>
      </c>
      <c r="Q2203" s="5">
        <v>0.0</v>
      </c>
      <c r="R2203" s="5">
        <v>0.0</v>
      </c>
      <c r="S2203" s="5">
        <v>42.6699844551436</v>
      </c>
    </row>
    <row r="2204">
      <c r="A2204" s="6">
        <v>43553.0</v>
      </c>
      <c r="B2204" s="5">
        <v>53.1460411410163</v>
      </c>
      <c r="C2204" s="5">
        <v>-17.3866096292988</v>
      </c>
      <c r="D2204" s="5">
        <v>106.218755290675</v>
      </c>
      <c r="E2204" s="5">
        <v>53.1460411410163</v>
      </c>
      <c r="F2204" s="5">
        <v>53.1460411410163</v>
      </c>
      <c r="G2204" s="5">
        <v>-10.6534297209099</v>
      </c>
      <c r="H2204" s="5">
        <v>-10.6534297209099</v>
      </c>
      <c r="I2204" s="5">
        <v>-10.6534297209099</v>
      </c>
      <c r="J2204" s="5">
        <v>-1.59155056649407</v>
      </c>
      <c r="K2204" s="5">
        <v>-1.59155056649407</v>
      </c>
      <c r="L2204" s="5">
        <v>-1.59155056649407</v>
      </c>
      <c r="M2204" s="5">
        <v>-9.06187915441589</v>
      </c>
      <c r="N2204" s="5">
        <v>-9.06187915441589</v>
      </c>
      <c r="O2204" s="5">
        <v>-9.06187915441589</v>
      </c>
      <c r="P2204" s="5">
        <v>0.0</v>
      </c>
      <c r="Q2204" s="5">
        <v>0.0</v>
      </c>
      <c r="R2204" s="5">
        <v>0.0</v>
      </c>
      <c r="S2204" s="5">
        <v>42.4926114201063</v>
      </c>
    </row>
    <row r="2205">
      <c r="A2205" s="6">
        <v>43556.0</v>
      </c>
      <c r="B2205" s="5">
        <v>53.022344559003</v>
      </c>
      <c r="C2205" s="5">
        <v>-13.9100304064063</v>
      </c>
      <c r="D2205" s="5">
        <v>109.112558634525</v>
      </c>
      <c r="E2205" s="5">
        <v>53.022344559003</v>
      </c>
      <c r="F2205" s="5">
        <v>53.022344559003</v>
      </c>
      <c r="G2205" s="5">
        <v>-7.17220711354773</v>
      </c>
      <c r="H2205" s="5">
        <v>-7.17220711354773</v>
      </c>
      <c r="I2205" s="5">
        <v>-7.17220711354773</v>
      </c>
      <c r="J2205" s="5">
        <v>0.0905589421232998</v>
      </c>
      <c r="K2205" s="5">
        <v>0.0905589421232998</v>
      </c>
      <c r="L2205" s="5">
        <v>0.0905589421232998</v>
      </c>
      <c r="M2205" s="5">
        <v>-7.26276605567103</v>
      </c>
      <c r="N2205" s="5">
        <v>-7.26276605567103</v>
      </c>
      <c r="O2205" s="5">
        <v>-7.26276605567103</v>
      </c>
      <c r="P2205" s="5">
        <v>0.0</v>
      </c>
      <c r="Q2205" s="5">
        <v>0.0</v>
      </c>
      <c r="R2205" s="5">
        <v>0.0</v>
      </c>
      <c r="S2205" s="5">
        <v>45.8501374454553</v>
      </c>
    </row>
    <row r="2206">
      <c r="A2206" s="6">
        <v>43557.0</v>
      </c>
      <c r="B2206" s="5">
        <v>52.9811123649986</v>
      </c>
      <c r="C2206" s="5">
        <v>-18.8578307687794</v>
      </c>
      <c r="D2206" s="5">
        <v>110.558840459264</v>
      </c>
      <c r="E2206" s="5">
        <v>52.9811123649986</v>
      </c>
      <c r="F2206" s="5">
        <v>52.9811123649986</v>
      </c>
      <c r="G2206" s="5">
        <v>-6.88429929847969</v>
      </c>
      <c r="H2206" s="5">
        <v>-6.88429929847969</v>
      </c>
      <c r="I2206" s="5">
        <v>-6.88429929847969</v>
      </c>
      <c r="J2206" s="5">
        <v>-0.144118857245643</v>
      </c>
      <c r="K2206" s="5">
        <v>-0.144118857245643</v>
      </c>
      <c r="L2206" s="5">
        <v>-0.144118857245643</v>
      </c>
      <c r="M2206" s="5">
        <v>-6.74018044123405</v>
      </c>
      <c r="N2206" s="5">
        <v>-6.74018044123405</v>
      </c>
      <c r="O2206" s="5">
        <v>-6.74018044123405</v>
      </c>
      <c r="P2206" s="5">
        <v>0.0</v>
      </c>
      <c r="Q2206" s="5">
        <v>0.0</v>
      </c>
      <c r="R2206" s="5">
        <v>0.0</v>
      </c>
      <c r="S2206" s="5">
        <v>46.0968130665189</v>
      </c>
    </row>
    <row r="2207">
      <c r="A2207" s="6">
        <v>43558.0</v>
      </c>
      <c r="B2207" s="5">
        <v>52.9398801709942</v>
      </c>
      <c r="C2207" s="5">
        <v>-18.9261459900588</v>
      </c>
      <c r="D2207" s="5">
        <v>109.368932559605</v>
      </c>
      <c r="E2207" s="5">
        <v>52.9398801709942</v>
      </c>
      <c r="F2207" s="5">
        <v>52.9398801709942</v>
      </c>
      <c r="G2207" s="5">
        <v>-6.24531938802199</v>
      </c>
      <c r="H2207" s="5">
        <v>-6.24531938802199</v>
      </c>
      <c r="I2207" s="5">
        <v>-6.24531938802199</v>
      </c>
      <c r="J2207" s="5">
        <v>0.00703780528217315</v>
      </c>
      <c r="K2207" s="5">
        <v>0.00703780528217315</v>
      </c>
      <c r="L2207" s="5">
        <v>0.00703780528217315</v>
      </c>
      <c r="M2207" s="5">
        <v>-6.25235719330416</v>
      </c>
      <c r="N2207" s="5">
        <v>-6.25235719330416</v>
      </c>
      <c r="O2207" s="5">
        <v>-6.25235719330416</v>
      </c>
      <c r="P2207" s="5">
        <v>0.0</v>
      </c>
      <c r="Q2207" s="5">
        <v>0.0</v>
      </c>
      <c r="R2207" s="5">
        <v>0.0</v>
      </c>
      <c r="S2207" s="5">
        <v>46.6945607829722</v>
      </c>
    </row>
    <row r="2208">
      <c r="A2208" s="6">
        <v>43559.0</v>
      </c>
      <c r="B2208" s="5">
        <v>52.8986479769898</v>
      </c>
      <c r="C2208" s="5">
        <v>-17.8798400716118</v>
      </c>
      <c r="D2208" s="5">
        <v>109.50257647675</v>
      </c>
      <c r="E2208" s="5">
        <v>52.8986479769898</v>
      </c>
      <c r="F2208" s="5">
        <v>52.8986479769898</v>
      </c>
      <c r="G2208" s="5">
        <v>-6.57232030282742</v>
      </c>
      <c r="H2208" s="5">
        <v>-6.57232030282742</v>
      </c>
      <c r="I2208" s="5">
        <v>-6.57232030282742</v>
      </c>
      <c r="J2208" s="5">
        <v>-0.776422525904425</v>
      </c>
      <c r="K2208" s="5">
        <v>-0.776422525904425</v>
      </c>
      <c r="L2208" s="5">
        <v>-0.776422525904425</v>
      </c>
      <c r="M2208" s="5">
        <v>-5.795897776923</v>
      </c>
      <c r="N2208" s="5">
        <v>-5.795897776923</v>
      </c>
      <c r="O2208" s="5">
        <v>-5.795897776923</v>
      </c>
      <c r="P2208" s="5">
        <v>0.0</v>
      </c>
      <c r="Q2208" s="5">
        <v>0.0</v>
      </c>
      <c r="R2208" s="5">
        <v>0.0</v>
      </c>
      <c r="S2208" s="5">
        <v>46.3263276741624</v>
      </c>
    </row>
    <row r="2209">
      <c r="A2209" s="6">
        <v>43560.0</v>
      </c>
      <c r="B2209" s="5">
        <v>52.8574157829854</v>
      </c>
      <c r="C2209" s="5">
        <v>-19.6864748973946</v>
      </c>
      <c r="D2209" s="5">
        <v>109.818794828123</v>
      </c>
      <c r="E2209" s="5">
        <v>52.8574157829854</v>
      </c>
      <c r="F2209" s="5">
        <v>52.8574157829854</v>
      </c>
      <c r="G2209" s="5">
        <v>-6.9585789067325</v>
      </c>
      <c r="H2209" s="5">
        <v>-6.9585789067325</v>
      </c>
      <c r="I2209" s="5">
        <v>-6.9585789067325</v>
      </c>
      <c r="J2209" s="5">
        <v>-1.59155056649314</v>
      </c>
      <c r="K2209" s="5">
        <v>-1.59155056649314</v>
      </c>
      <c r="L2209" s="5">
        <v>-1.59155056649314</v>
      </c>
      <c r="M2209" s="5">
        <v>-5.36702834023936</v>
      </c>
      <c r="N2209" s="5">
        <v>-5.36702834023936</v>
      </c>
      <c r="O2209" s="5">
        <v>-5.36702834023936</v>
      </c>
      <c r="P2209" s="5">
        <v>0.0</v>
      </c>
      <c r="Q2209" s="5">
        <v>0.0</v>
      </c>
      <c r="R2209" s="5">
        <v>0.0</v>
      </c>
      <c r="S2209" s="5">
        <v>45.8988368762529</v>
      </c>
    </row>
    <row r="2210">
      <c r="A2210" s="6">
        <v>43563.0</v>
      </c>
      <c r="B2210" s="5">
        <v>52.7337192009722</v>
      </c>
      <c r="C2210" s="5">
        <v>-15.6398501509379</v>
      </c>
      <c r="D2210" s="5">
        <v>110.233119409734</v>
      </c>
      <c r="E2210" s="5">
        <v>52.7337192009722</v>
      </c>
      <c r="F2210" s="5">
        <v>52.7337192009722</v>
      </c>
      <c r="G2210" s="5">
        <v>-4.1176962558977</v>
      </c>
      <c r="H2210" s="5">
        <v>-4.1176962558977</v>
      </c>
      <c r="I2210" s="5">
        <v>-4.1176962558977</v>
      </c>
      <c r="J2210" s="5">
        <v>0.0905589421194785</v>
      </c>
      <c r="K2210" s="5">
        <v>0.0905589421194785</v>
      </c>
      <c r="L2210" s="5">
        <v>0.0905589421194785</v>
      </c>
      <c r="M2210" s="5">
        <v>-4.20825519801718</v>
      </c>
      <c r="N2210" s="5">
        <v>-4.20825519801718</v>
      </c>
      <c r="O2210" s="5">
        <v>-4.20825519801718</v>
      </c>
      <c r="P2210" s="5">
        <v>0.0</v>
      </c>
      <c r="Q2210" s="5">
        <v>0.0</v>
      </c>
      <c r="R2210" s="5">
        <v>0.0</v>
      </c>
      <c r="S2210" s="5">
        <v>48.6160229450745</v>
      </c>
    </row>
    <row r="2211">
      <c r="A2211" s="6">
        <v>43564.0</v>
      </c>
      <c r="B2211" s="5">
        <v>52.6924870069678</v>
      </c>
      <c r="C2211" s="5">
        <v>-14.7868310199221</v>
      </c>
      <c r="D2211" s="5">
        <v>109.033991945764</v>
      </c>
      <c r="E2211" s="5">
        <v>52.6924870069678</v>
      </c>
      <c r="F2211" s="5">
        <v>52.6924870069678</v>
      </c>
      <c r="G2211" s="5">
        <v>-3.99794603536319</v>
      </c>
      <c r="H2211" s="5">
        <v>-3.99794603536319</v>
      </c>
      <c r="I2211" s="5">
        <v>-3.99794603536319</v>
      </c>
      <c r="J2211" s="5">
        <v>-0.144118857244555</v>
      </c>
      <c r="K2211" s="5">
        <v>-0.144118857244555</v>
      </c>
      <c r="L2211" s="5">
        <v>-0.144118857244555</v>
      </c>
      <c r="M2211" s="5">
        <v>-3.85382717811863</v>
      </c>
      <c r="N2211" s="5">
        <v>-3.85382717811863</v>
      </c>
      <c r="O2211" s="5">
        <v>-3.85382717811863</v>
      </c>
      <c r="P2211" s="5">
        <v>0.0</v>
      </c>
      <c r="Q2211" s="5">
        <v>0.0</v>
      </c>
      <c r="R2211" s="5">
        <v>0.0</v>
      </c>
      <c r="S2211" s="5">
        <v>48.6945409716046</v>
      </c>
    </row>
    <row r="2212">
      <c r="A2212" s="6">
        <v>43565.0</v>
      </c>
      <c r="B2212" s="5">
        <v>52.6512548129634</v>
      </c>
      <c r="C2212" s="5">
        <v>-14.3758029647207</v>
      </c>
      <c r="D2212" s="5">
        <v>111.208459859436</v>
      </c>
      <c r="E2212" s="5">
        <v>52.6512548129634</v>
      </c>
      <c r="F2212" s="5">
        <v>52.6512548129634</v>
      </c>
      <c r="G2212" s="5">
        <v>-3.50455764605747</v>
      </c>
      <c r="H2212" s="5">
        <v>-3.50455764605747</v>
      </c>
      <c r="I2212" s="5">
        <v>-3.50455764605747</v>
      </c>
      <c r="J2212" s="5">
        <v>0.00703780528132066</v>
      </c>
      <c r="K2212" s="5">
        <v>0.00703780528132066</v>
      </c>
      <c r="L2212" s="5">
        <v>0.00703780528132066</v>
      </c>
      <c r="M2212" s="5">
        <v>-3.51159545133879</v>
      </c>
      <c r="N2212" s="5">
        <v>-3.51159545133879</v>
      </c>
      <c r="O2212" s="5">
        <v>-3.51159545133879</v>
      </c>
      <c r="P2212" s="5">
        <v>0.0</v>
      </c>
      <c r="Q2212" s="5">
        <v>0.0</v>
      </c>
      <c r="R2212" s="5">
        <v>0.0</v>
      </c>
      <c r="S2212" s="5">
        <v>49.1466971669059</v>
      </c>
    </row>
    <row r="2213">
      <c r="A2213" s="6">
        <v>43566.0</v>
      </c>
      <c r="B2213" s="5">
        <v>52.610022618959</v>
      </c>
      <c r="C2213" s="5">
        <v>-15.6457316353417</v>
      </c>
      <c r="D2213" s="5">
        <v>111.975342064079</v>
      </c>
      <c r="E2213" s="5">
        <v>52.610022618959</v>
      </c>
      <c r="F2213" s="5">
        <v>52.610022618959</v>
      </c>
      <c r="G2213" s="5">
        <v>-3.95713055620902</v>
      </c>
      <c r="H2213" s="5">
        <v>-3.95713055620902</v>
      </c>
      <c r="I2213" s="5">
        <v>-3.95713055620902</v>
      </c>
      <c r="J2213" s="5">
        <v>-0.776422525906521</v>
      </c>
      <c r="K2213" s="5">
        <v>-0.776422525906521</v>
      </c>
      <c r="L2213" s="5">
        <v>-0.776422525906521</v>
      </c>
      <c r="M2213" s="5">
        <v>-3.1807080303025</v>
      </c>
      <c r="N2213" s="5">
        <v>-3.1807080303025</v>
      </c>
      <c r="O2213" s="5">
        <v>-3.1807080303025</v>
      </c>
      <c r="P2213" s="5">
        <v>0.0</v>
      </c>
      <c r="Q2213" s="5">
        <v>0.0</v>
      </c>
      <c r="R2213" s="5">
        <v>0.0</v>
      </c>
      <c r="S2213" s="5">
        <v>48.65289206275</v>
      </c>
    </row>
    <row r="2214">
      <c r="A2214" s="6">
        <v>43567.0</v>
      </c>
      <c r="B2214" s="5">
        <v>52.5687904249546</v>
      </c>
      <c r="C2214" s="5">
        <v>-15.8911009695005</v>
      </c>
      <c r="D2214" s="5">
        <v>114.398331526515</v>
      </c>
      <c r="E2214" s="5">
        <v>52.5687904249546</v>
      </c>
      <c r="F2214" s="5">
        <v>52.5687904249546</v>
      </c>
      <c r="G2214" s="5">
        <v>-4.45295747244116</v>
      </c>
      <c r="H2214" s="5">
        <v>-4.45295747244116</v>
      </c>
      <c r="I2214" s="5">
        <v>-4.45295747244116</v>
      </c>
      <c r="J2214" s="5">
        <v>-1.59155056649465</v>
      </c>
      <c r="K2214" s="5">
        <v>-1.59155056649465</v>
      </c>
      <c r="L2214" s="5">
        <v>-1.59155056649465</v>
      </c>
      <c r="M2214" s="5">
        <v>-2.8614069059465</v>
      </c>
      <c r="N2214" s="5">
        <v>-2.8614069059465</v>
      </c>
      <c r="O2214" s="5">
        <v>-2.8614069059465</v>
      </c>
      <c r="P2214" s="5">
        <v>0.0</v>
      </c>
      <c r="Q2214" s="5">
        <v>0.0</v>
      </c>
      <c r="R2214" s="5">
        <v>0.0</v>
      </c>
      <c r="S2214" s="5">
        <v>48.1158329525134</v>
      </c>
    </row>
    <row r="2215">
      <c r="A2215" s="6">
        <v>43570.0</v>
      </c>
      <c r="B2215" s="5">
        <v>52.4450938429413</v>
      </c>
      <c r="C2215" s="5">
        <v>-10.6061401192214</v>
      </c>
      <c r="D2215" s="5">
        <v>110.664076202197</v>
      </c>
      <c r="E2215" s="5">
        <v>52.4450938429413</v>
      </c>
      <c r="F2215" s="5">
        <v>52.4450938429413</v>
      </c>
      <c r="G2215" s="5">
        <v>-1.90226829877935</v>
      </c>
      <c r="H2215" s="5">
        <v>-1.90226829877935</v>
      </c>
      <c r="I2215" s="5">
        <v>-1.90226829877935</v>
      </c>
      <c r="J2215" s="5">
        <v>0.0905589421204248</v>
      </c>
      <c r="K2215" s="5">
        <v>0.0905589421204248</v>
      </c>
      <c r="L2215" s="5">
        <v>0.0905589421204248</v>
      </c>
      <c r="M2215" s="5">
        <v>-1.99282724089978</v>
      </c>
      <c r="N2215" s="5">
        <v>-1.99282724089978</v>
      </c>
      <c r="O2215" s="5">
        <v>-1.99282724089978</v>
      </c>
      <c r="P2215" s="5">
        <v>0.0</v>
      </c>
      <c r="Q2215" s="5">
        <v>0.0</v>
      </c>
      <c r="R2215" s="5">
        <v>0.0</v>
      </c>
      <c r="S2215" s="5">
        <v>50.542825544162</v>
      </c>
    </row>
    <row r="2216">
      <c r="A2216" s="6">
        <v>43571.0</v>
      </c>
      <c r="B2216" s="5">
        <v>52.4038616489369</v>
      </c>
      <c r="C2216" s="5">
        <v>-18.4854910403837</v>
      </c>
      <c r="D2216" s="5">
        <v>113.804317519531</v>
      </c>
      <c r="E2216" s="5">
        <v>52.4038616489369</v>
      </c>
      <c r="F2216" s="5">
        <v>52.4038616489369</v>
      </c>
      <c r="G2216" s="5">
        <v>-1.88945516649592</v>
      </c>
      <c r="H2216" s="5">
        <v>-1.88945516649592</v>
      </c>
      <c r="I2216" s="5">
        <v>-1.88945516649592</v>
      </c>
      <c r="J2216" s="5">
        <v>-0.144118857243467</v>
      </c>
      <c r="K2216" s="5">
        <v>-0.144118857243467</v>
      </c>
      <c r="L2216" s="5">
        <v>-0.144118857243467</v>
      </c>
      <c r="M2216" s="5">
        <v>-1.74533630925245</v>
      </c>
      <c r="N2216" s="5">
        <v>-1.74533630925245</v>
      </c>
      <c r="O2216" s="5">
        <v>-1.74533630925245</v>
      </c>
      <c r="P2216" s="5">
        <v>0.0</v>
      </c>
      <c r="Q2216" s="5">
        <v>0.0</v>
      </c>
      <c r="R2216" s="5">
        <v>0.0</v>
      </c>
      <c r="S2216" s="5">
        <v>50.514406482441</v>
      </c>
    </row>
    <row r="2217">
      <c r="A2217" s="6">
        <v>43572.0</v>
      </c>
      <c r="B2217" s="5">
        <v>52.3626294549325</v>
      </c>
      <c r="C2217" s="5">
        <v>-19.6443350399219</v>
      </c>
      <c r="D2217" s="5">
        <v>114.309496455606</v>
      </c>
      <c r="E2217" s="5">
        <v>52.3626294549325</v>
      </c>
      <c r="F2217" s="5">
        <v>52.3626294549325</v>
      </c>
      <c r="G2217" s="5">
        <v>-1.52049137690757</v>
      </c>
      <c r="H2217" s="5">
        <v>-1.52049137690757</v>
      </c>
      <c r="I2217" s="5">
        <v>-1.52049137690757</v>
      </c>
      <c r="J2217" s="5">
        <v>0.00703780528362306</v>
      </c>
      <c r="K2217" s="5">
        <v>0.00703780528362306</v>
      </c>
      <c r="L2217" s="5">
        <v>0.00703780528362306</v>
      </c>
      <c r="M2217" s="5">
        <v>-1.52752918219119</v>
      </c>
      <c r="N2217" s="5">
        <v>-1.52752918219119</v>
      </c>
      <c r="O2217" s="5">
        <v>-1.52752918219119</v>
      </c>
      <c r="P2217" s="5">
        <v>0.0</v>
      </c>
      <c r="Q2217" s="5">
        <v>0.0</v>
      </c>
      <c r="R2217" s="5">
        <v>0.0</v>
      </c>
      <c r="S2217" s="5">
        <v>50.842138078025</v>
      </c>
    </row>
    <row r="2218">
      <c r="A2218" s="6">
        <v>43573.0</v>
      </c>
      <c r="B2218" s="5">
        <v>52.3213972609281</v>
      </c>
      <c r="C2218" s="5">
        <v>-16.0880116426371</v>
      </c>
      <c r="D2218" s="5">
        <v>113.628683420872</v>
      </c>
      <c r="E2218" s="5">
        <v>52.3213972609281</v>
      </c>
      <c r="F2218" s="5">
        <v>52.3213972609281</v>
      </c>
      <c r="G2218" s="5">
        <v>-2.12224736694445</v>
      </c>
      <c r="H2218" s="5">
        <v>-2.12224736694445</v>
      </c>
      <c r="I2218" s="5">
        <v>-2.12224736694445</v>
      </c>
      <c r="J2218" s="5">
        <v>-0.776422525900169</v>
      </c>
      <c r="K2218" s="5">
        <v>-0.776422525900169</v>
      </c>
      <c r="L2218" s="5">
        <v>-0.776422525900169</v>
      </c>
      <c r="M2218" s="5">
        <v>-1.34582484104428</v>
      </c>
      <c r="N2218" s="5">
        <v>-1.34582484104428</v>
      </c>
      <c r="O2218" s="5">
        <v>-1.34582484104428</v>
      </c>
      <c r="P2218" s="5">
        <v>0.0</v>
      </c>
      <c r="Q2218" s="5">
        <v>0.0</v>
      </c>
      <c r="R2218" s="5">
        <v>0.0</v>
      </c>
      <c r="S2218" s="5">
        <v>50.1991498939837</v>
      </c>
    </row>
    <row r="2219">
      <c r="A2219" s="6">
        <v>43577.0</v>
      </c>
      <c r="B2219" s="5">
        <v>52.1564684849105</v>
      </c>
      <c r="C2219" s="5">
        <v>-17.5323452752118</v>
      </c>
      <c r="D2219" s="5">
        <v>112.400840448587</v>
      </c>
      <c r="E2219" s="5">
        <v>52.1564684849105</v>
      </c>
      <c r="F2219" s="5">
        <v>52.1564684849105</v>
      </c>
      <c r="G2219" s="5">
        <v>-1.03162253807222</v>
      </c>
      <c r="H2219" s="5">
        <v>-1.03162253807222</v>
      </c>
      <c r="I2219" s="5">
        <v>-1.03162253807222</v>
      </c>
      <c r="J2219" s="5">
        <v>0.0905589421238352</v>
      </c>
      <c r="K2219" s="5">
        <v>0.0905589421238352</v>
      </c>
      <c r="L2219" s="5">
        <v>0.0905589421238352</v>
      </c>
      <c r="M2219" s="5">
        <v>-1.12218148019606</v>
      </c>
      <c r="N2219" s="5">
        <v>-1.12218148019606</v>
      </c>
      <c r="O2219" s="5">
        <v>-1.12218148019606</v>
      </c>
      <c r="P2219" s="5">
        <v>0.0</v>
      </c>
      <c r="Q2219" s="5">
        <v>0.0</v>
      </c>
      <c r="R2219" s="5">
        <v>0.0</v>
      </c>
      <c r="S2219" s="5">
        <v>51.1248459468383</v>
      </c>
    </row>
    <row r="2220">
      <c r="A2220" s="6">
        <v>43578.0</v>
      </c>
      <c r="B2220" s="5">
        <v>52.1152362909061</v>
      </c>
      <c r="C2220" s="5">
        <v>-11.02889628292</v>
      </c>
      <c r="D2220" s="5">
        <v>109.611640771679</v>
      </c>
      <c r="E2220" s="5">
        <v>52.1152362909061</v>
      </c>
      <c r="F2220" s="5">
        <v>52.1152362909061</v>
      </c>
      <c r="G2220" s="5">
        <v>-1.37160746423926</v>
      </c>
      <c r="H2220" s="5">
        <v>-1.37160746423926</v>
      </c>
      <c r="I2220" s="5">
        <v>-1.37160746423926</v>
      </c>
      <c r="J2220" s="5">
        <v>-0.144118857246317</v>
      </c>
      <c r="K2220" s="5">
        <v>-0.144118857246317</v>
      </c>
      <c r="L2220" s="5">
        <v>-0.144118857246317</v>
      </c>
      <c r="M2220" s="5">
        <v>-1.22748860699294</v>
      </c>
      <c r="N2220" s="5">
        <v>-1.22748860699294</v>
      </c>
      <c r="O2220" s="5">
        <v>-1.22748860699294</v>
      </c>
      <c r="P2220" s="5">
        <v>0.0</v>
      </c>
      <c r="Q2220" s="5">
        <v>0.0</v>
      </c>
      <c r="R2220" s="5">
        <v>0.0</v>
      </c>
      <c r="S2220" s="5">
        <v>50.7436288266668</v>
      </c>
    </row>
    <row r="2221">
      <c r="A2221" s="6">
        <v>43579.0</v>
      </c>
      <c r="B2221" s="5">
        <v>52.0740040969017</v>
      </c>
      <c r="C2221" s="5">
        <v>-13.5027880074522</v>
      </c>
      <c r="D2221" s="5">
        <v>109.059093607006</v>
      </c>
      <c r="E2221" s="5">
        <v>52.0740040969017</v>
      </c>
      <c r="F2221" s="5">
        <v>52.0740040969017</v>
      </c>
      <c r="G2221" s="5">
        <v>-1.40286646953898</v>
      </c>
      <c r="H2221" s="5">
        <v>-1.40286646953898</v>
      </c>
      <c r="I2221" s="5">
        <v>-1.40286646953898</v>
      </c>
      <c r="J2221" s="5">
        <v>0.00703780528277051</v>
      </c>
      <c r="K2221" s="5">
        <v>0.00703780528277051</v>
      </c>
      <c r="L2221" s="5">
        <v>0.00703780528277051</v>
      </c>
      <c r="M2221" s="5">
        <v>-1.40990427482175</v>
      </c>
      <c r="N2221" s="5">
        <v>-1.40990427482175</v>
      </c>
      <c r="O2221" s="5">
        <v>-1.40990427482175</v>
      </c>
      <c r="P2221" s="5">
        <v>0.0</v>
      </c>
      <c r="Q2221" s="5">
        <v>0.0</v>
      </c>
      <c r="R2221" s="5">
        <v>0.0</v>
      </c>
      <c r="S2221" s="5">
        <v>50.6711376273627</v>
      </c>
    </row>
    <row r="2222">
      <c r="A2222" s="6">
        <v>43580.0</v>
      </c>
      <c r="B2222" s="5">
        <v>52.0327719028973</v>
      </c>
      <c r="C2222" s="5">
        <v>-13.8212422284749</v>
      </c>
      <c r="D2222" s="5">
        <v>116.557938407507</v>
      </c>
      <c r="E2222" s="5">
        <v>52.0327719028973</v>
      </c>
      <c r="F2222" s="5">
        <v>52.0327719028973</v>
      </c>
      <c r="G2222" s="5">
        <v>-2.45064835695653</v>
      </c>
      <c r="H2222" s="5">
        <v>-2.45064835695653</v>
      </c>
      <c r="I2222" s="5">
        <v>-2.45064835695653</v>
      </c>
      <c r="J2222" s="5">
        <v>-0.776422525902266</v>
      </c>
      <c r="K2222" s="5">
        <v>-0.776422525902266</v>
      </c>
      <c r="L2222" s="5">
        <v>-0.776422525902266</v>
      </c>
      <c r="M2222" s="5">
        <v>-1.67422583105427</v>
      </c>
      <c r="N2222" s="5">
        <v>-1.67422583105427</v>
      </c>
      <c r="O2222" s="5">
        <v>-1.67422583105427</v>
      </c>
      <c r="P2222" s="5">
        <v>0.0</v>
      </c>
      <c r="Q2222" s="5">
        <v>0.0</v>
      </c>
      <c r="R2222" s="5">
        <v>0.0</v>
      </c>
      <c r="S2222" s="5">
        <v>49.5821235459408</v>
      </c>
    </row>
    <row r="2223">
      <c r="A2223" s="6">
        <v>43581.0</v>
      </c>
      <c r="B2223" s="5">
        <v>51.9915397088929</v>
      </c>
      <c r="C2223" s="5">
        <v>-16.2945988283729</v>
      </c>
      <c r="D2223" s="5">
        <v>111.336274958818</v>
      </c>
      <c r="E2223" s="5">
        <v>51.9915397088929</v>
      </c>
      <c r="F2223" s="5">
        <v>51.9915397088929</v>
      </c>
      <c r="G2223" s="5">
        <v>-3.61555187430911</v>
      </c>
      <c r="H2223" s="5">
        <v>-3.61555187430911</v>
      </c>
      <c r="I2223" s="5">
        <v>-3.61555187430911</v>
      </c>
      <c r="J2223" s="5">
        <v>-1.5915505664928</v>
      </c>
      <c r="K2223" s="5">
        <v>-1.5915505664928</v>
      </c>
      <c r="L2223" s="5">
        <v>-1.5915505664928</v>
      </c>
      <c r="M2223" s="5">
        <v>-2.02400130781631</v>
      </c>
      <c r="N2223" s="5">
        <v>-2.02400130781631</v>
      </c>
      <c r="O2223" s="5">
        <v>-2.02400130781631</v>
      </c>
      <c r="P2223" s="5">
        <v>0.0</v>
      </c>
      <c r="Q2223" s="5">
        <v>0.0</v>
      </c>
      <c r="R2223" s="5">
        <v>0.0</v>
      </c>
      <c r="S2223" s="5">
        <v>48.3759878345838</v>
      </c>
    </row>
    <row r="2224">
      <c r="A2224" s="6">
        <v>43584.0</v>
      </c>
      <c r="B2224" s="5">
        <v>51.8678431268797</v>
      </c>
      <c r="C2224" s="5">
        <v>-12.9801397209723</v>
      </c>
      <c r="D2224" s="5">
        <v>111.12289256167</v>
      </c>
      <c r="E2224" s="5">
        <v>51.8678431268797</v>
      </c>
      <c r="F2224" s="5">
        <v>51.8678431268797</v>
      </c>
      <c r="G2224" s="5">
        <v>-3.50832969434881</v>
      </c>
      <c r="H2224" s="5">
        <v>-3.50832969434881</v>
      </c>
      <c r="I2224" s="5">
        <v>-3.50832969434881</v>
      </c>
      <c r="J2224" s="5">
        <v>0.0905589421223976</v>
      </c>
      <c r="K2224" s="5">
        <v>0.0905589421223976</v>
      </c>
      <c r="L2224" s="5">
        <v>0.0905589421223976</v>
      </c>
      <c r="M2224" s="5">
        <v>-3.59888863647121</v>
      </c>
      <c r="N2224" s="5">
        <v>-3.59888863647121</v>
      </c>
      <c r="O2224" s="5">
        <v>-3.59888863647121</v>
      </c>
      <c r="P2224" s="5">
        <v>0.0</v>
      </c>
      <c r="Q2224" s="5">
        <v>0.0</v>
      </c>
      <c r="R2224" s="5">
        <v>0.0</v>
      </c>
      <c r="S2224" s="5">
        <v>48.3595134325308</v>
      </c>
    </row>
    <row r="2225">
      <c r="A2225" s="6">
        <v>43585.0</v>
      </c>
      <c r="B2225" s="5">
        <v>51.8266109328753</v>
      </c>
      <c r="C2225" s="5">
        <v>-12.1049415606766</v>
      </c>
      <c r="D2225" s="5">
        <v>108.197594587917</v>
      </c>
      <c r="E2225" s="5">
        <v>51.8266109328753</v>
      </c>
      <c r="F2225" s="5">
        <v>51.8266109328753</v>
      </c>
      <c r="G2225" s="5">
        <v>-4.43897253810666</v>
      </c>
      <c r="H2225" s="5">
        <v>-4.43897253810666</v>
      </c>
      <c r="I2225" s="5">
        <v>-4.43897253810666</v>
      </c>
      <c r="J2225" s="5">
        <v>-0.144118857242705</v>
      </c>
      <c r="K2225" s="5">
        <v>-0.144118857242705</v>
      </c>
      <c r="L2225" s="5">
        <v>-0.144118857242705</v>
      </c>
      <c r="M2225" s="5">
        <v>-4.29485368086396</v>
      </c>
      <c r="N2225" s="5">
        <v>-4.29485368086396</v>
      </c>
      <c r="O2225" s="5">
        <v>-4.29485368086396</v>
      </c>
      <c r="P2225" s="5">
        <v>0.0</v>
      </c>
      <c r="Q2225" s="5">
        <v>0.0</v>
      </c>
      <c r="R2225" s="5">
        <v>0.0</v>
      </c>
      <c r="S2225" s="5">
        <v>47.3876383947686</v>
      </c>
    </row>
    <row r="2226">
      <c r="A2226" s="6">
        <v>43586.0</v>
      </c>
      <c r="B2226" s="5">
        <v>51.7853787388709</v>
      </c>
      <c r="C2226" s="5">
        <v>-12.7110757189985</v>
      </c>
      <c r="D2226" s="5">
        <v>115.786803077335</v>
      </c>
      <c r="E2226" s="5">
        <v>51.7853787388709</v>
      </c>
      <c r="F2226" s="5">
        <v>51.7853787388709</v>
      </c>
      <c r="G2226" s="5">
        <v>-5.06272174283103</v>
      </c>
      <c r="H2226" s="5">
        <v>-5.06272174283103</v>
      </c>
      <c r="I2226" s="5">
        <v>-5.06272174283103</v>
      </c>
      <c r="J2226" s="5">
        <v>0.00703780528191795</v>
      </c>
      <c r="K2226" s="5">
        <v>0.00703780528191795</v>
      </c>
      <c r="L2226" s="5">
        <v>0.00703780528191795</v>
      </c>
      <c r="M2226" s="5">
        <v>-5.06975954811295</v>
      </c>
      <c r="N2226" s="5">
        <v>-5.06975954811295</v>
      </c>
      <c r="O2226" s="5">
        <v>-5.06975954811295</v>
      </c>
      <c r="P2226" s="5">
        <v>0.0</v>
      </c>
      <c r="Q2226" s="5">
        <v>0.0</v>
      </c>
      <c r="R2226" s="5">
        <v>0.0</v>
      </c>
      <c r="S2226" s="5">
        <v>46.7226569960398</v>
      </c>
    </row>
    <row r="2227">
      <c r="A2227" s="6">
        <v>43587.0</v>
      </c>
      <c r="B2227" s="5">
        <v>51.7441465448664</v>
      </c>
      <c r="C2227" s="5">
        <v>-16.3888085652385</v>
      </c>
      <c r="D2227" s="5">
        <v>102.843557785172</v>
      </c>
      <c r="E2227" s="5">
        <v>51.7441465448664</v>
      </c>
      <c r="F2227" s="5">
        <v>51.7441465448664</v>
      </c>
      <c r="G2227" s="5">
        <v>-6.69341311311997</v>
      </c>
      <c r="H2227" s="5">
        <v>-6.69341311311997</v>
      </c>
      <c r="I2227" s="5">
        <v>-6.69341311311997</v>
      </c>
      <c r="J2227" s="5">
        <v>-0.776422525901613</v>
      </c>
      <c r="K2227" s="5">
        <v>-0.776422525901613</v>
      </c>
      <c r="L2227" s="5">
        <v>-0.776422525901613</v>
      </c>
      <c r="M2227" s="5">
        <v>-5.91699058721836</v>
      </c>
      <c r="N2227" s="5">
        <v>-5.91699058721836</v>
      </c>
      <c r="O2227" s="5">
        <v>-5.91699058721836</v>
      </c>
      <c r="P2227" s="5">
        <v>0.0</v>
      </c>
      <c r="Q2227" s="5">
        <v>0.0</v>
      </c>
      <c r="R2227" s="5">
        <v>0.0</v>
      </c>
      <c r="S2227" s="5">
        <v>45.0507334317465</v>
      </c>
    </row>
    <row r="2228">
      <c r="A2228" s="6">
        <v>43588.0</v>
      </c>
      <c r="B2228" s="5">
        <v>51.702914350862</v>
      </c>
      <c r="C2228" s="5">
        <v>-18.5591937411424</v>
      </c>
      <c r="D2228" s="5">
        <v>106.000721877559</v>
      </c>
      <c r="E2228" s="5">
        <v>51.702914350862</v>
      </c>
      <c r="F2228" s="5">
        <v>51.702914350862</v>
      </c>
      <c r="G2228" s="5">
        <v>-8.41979468223292</v>
      </c>
      <c r="H2228" s="5">
        <v>-8.41979468223292</v>
      </c>
      <c r="I2228" s="5">
        <v>-8.41979468223292</v>
      </c>
      <c r="J2228" s="5">
        <v>-1.5915505664943</v>
      </c>
      <c r="K2228" s="5">
        <v>-1.5915505664943</v>
      </c>
      <c r="L2228" s="5">
        <v>-1.5915505664943</v>
      </c>
      <c r="M2228" s="5">
        <v>-6.82824411573861</v>
      </c>
      <c r="N2228" s="5">
        <v>-6.82824411573861</v>
      </c>
      <c r="O2228" s="5">
        <v>-6.82824411573861</v>
      </c>
      <c r="P2228" s="5">
        <v>0.0</v>
      </c>
      <c r="Q2228" s="5">
        <v>0.0</v>
      </c>
      <c r="R2228" s="5">
        <v>0.0</v>
      </c>
      <c r="S2228" s="5">
        <v>43.2831196686291</v>
      </c>
    </row>
    <row r="2229">
      <c r="A2229" s="6">
        <v>43591.0</v>
      </c>
      <c r="B2229" s="5">
        <v>51.5792177688488</v>
      </c>
      <c r="C2229" s="5">
        <v>-20.4717312231337</v>
      </c>
      <c r="D2229" s="5">
        <v>106.298532888218</v>
      </c>
      <c r="E2229" s="5">
        <v>51.5792177688488</v>
      </c>
      <c r="F2229" s="5">
        <v>51.5792177688488</v>
      </c>
      <c r="G2229" s="5">
        <v>-9.75049964057084</v>
      </c>
      <c r="H2229" s="5">
        <v>-9.75049964057084</v>
      </c>
      <c r="I2229" s="5">
        <v>-9.75049964057084</v>
      </c>
      <c r="J2229" s="5">
        <v>0.0905589421233442</v>
      </c>
      <c r="K2229" s="5">
        <v>0.0905589421233442</v>
      </c>
      <c r="L2229" s="5">
        <v>0.0905589421233442</v>
      </c>
      <c r="M2229" s="5">
        <v>-9.84105858269419</v>
      </c>
      <c r="N2229" s="5">
        <v>-9.84105858269419</v>
      </c>
      <c r="O2229" s="5">
        <v>-9.84105858269419</v>
      </c>
      <c r="P2229" s="5">
        <v>0.0</v>
      </c>
      <c r="Q2229" s="5">
        <v>0.0</v>
      </c>
      <c r="R2229" s="5">
        <v>0.0</v>
      </c>
      <c r="S2229" s="5">
        <v>41.828718128278</v>
      </c>
    </row>
    <row r="2230">
      <c r="A2230" s="6">
        <v>43592.0</v>
      </c>
      <c r="B2230" s="5">
        <v>51.5379855748444</v>
      </c>
      <c r="C2230" s="5">
        <v>-25.6027681602375</v>
      </c>
      <c r="D2230" s="5">
        <v>109.452065577737</v>
      </c>
      <c r="E2230" s="5">
        <v>51.5379855748444</v>
      </c>
      <c r="F2230" s="5">
        <v>51.5379855748444</v>
      </c>
      <c r="G2230" s="5">
        <v>-11.0415876583038</v>
      </c>
      <c r="H2230" s="5">
        <v>-11.0415876583038</v>
      </c>
      <c r="I2230" s="5">
        <v>-11.0415876583038</v>
      </c>
      <c r="J2230" s="5">
        <v>-0.144118857244141</v>
      </c>
      <c r="K2230" s="5">
        <v>-0.144118857244141</v>
      </c>
      <c r="L2230" s="5">
        <v>-0.144118857244141</v>
      </c>
      <c r="M2230" s="5">
        <v>-10.8974688010597</v>
      </c>
      <c r="N2230" s="5">
        <v>-10.8974688010597</v>
      </c>
      <c r="O2230" s="5">
        <v>-10.8974688010597</v>
      </c>
      <c r="P2230" s="5">
        <v>0.0</v>
      </c>
      <c r="Q2230" s="5">
        <v>0.0</v>
      </c>
      <c r="R2230" s="5">
        <v>0.0</v>
      </c>
      <c r="S2230" s="5">
        <v>40.4963979165405</v>
      </c>
    </row>
    <row r="2231">
      <c r="A2231" s="6">
        <v>43593.0</v>
      </c>
      <c r="B2231" s="5">
        <v>51.49675338084</v>
      </c>
      <c r="C2231" s="5">
        <v>-22.8646299333882</v>
      </c>
      <c r="D2231" s="5">
        <v>100.686550785666</v>
      </c>
      <c r="E2231" s="5">
        <v>51.49675338084</v>
      </c>
      <c r="F2231" s="5">
        <v>51.49675338084</v>
      </c>
      <c r="G2231" s="5">
        <v>-11.9504672035637</v>
      </c>
      <c r="H2231" s="5">
        <v>-11.9504672035637</v>
      </c>
      <c r="I2231" s="5">
        <v>-11.9504672035637</v>
      </c>
      <c r="J2231" s="5">
        <v>0.00703780528106553</v>
      </c>
      <c r="K2231" s="5">
        <v>0.00703780528106553</v>
      </c>
      <c r="L2231" s="5">
        <v>0.00703780528106553</v>
      </c>
      <c r="M2231" s="5">
        <v>-11.9575050088448</v>
      </c>
      <c r="N2231" s="5">
        <v>-11.9575050088448</v>
      </c>
      <c r="O2231" s="5">
        <v>-11.9575050088448</v>
      </c>
      <c r="P2231" s="5">
        <v>0.0</v>
      </c>
      <c r="Q2231" s="5">
        <v>0.0</v>
      </c>
      <c r="R2231" s="5">
        <v>0.0</v>
      </c>
      <c r="S2231" s="5">
        <v>39.5462861772763</v>
      </c>
    </row>
    <row r="2232">
      <c r="A2232" s="6">
        <v>43594.0</v>
      </c>
      <c r="B2232" s="5">
        <v>51.4555211868356</v>
      </c>
      <c r="C2232" s="5">
        <v>-26.2699609956261</v>
      </c>
      <c r="D2232" s="5">
        <v>102.481694335433</v>
      </c>
      <c r="E2232" s="5">
        <v>51.4555211868356</v>
      </c>
      <c r="F2232" s="5">
        <v>51.4555211868356</v>
      </c>
      <c r="G2232" s="5">
        <v>-13.7835523034806</v>
      </c>
      <c r="H2232" s="5">
        <v>-13.7835523034806</v>
      </c>
      <c r="I2232" s="5">
        <v>-13.7835523034806</v>
      </c>
      <c r="J2232" s="5">
        <v>-0.77642252590086</v>
      </c>
      <c r="K2232" s="5">
        <v>-0.77642252590086</v>
      </c>
      <c r="L2232" s="5">
        <v>-0.77642252590086</v>
      </c>
      <c r="M2232" s="5">
        <v>-13.0071297775797</v>
      </c>
      <c r="N2232" s="5">
        <v>-13.0071297775797</v>
      </c>
      <c r="O2232" s="5">
        <v>-13.0071297775797</v>
      </c>
      <c r="P2232" s="5">
        <v>0.0</v>
      </c>
      <c r="Q2232" s="5">
        <v>0.0</v>
      </c>
      <c r="R2232" s="5">
        <v>0.0</v>
      </c>
      <c r="S2232" s="5">
        <v>37.671968883355</v>
      </c>
    </row>
    <row r="2233">
      <c r="A2233" s="6">
        <v>43595.0</v>
      </c>
      <c r="B2233" s="5">
        <v>51.4142889928312</v>
      </c>
      <c r="C2233" s="5">
        <v>-28.4688609053848</v>
      </c>
      <c r="D2233" s="5">
        <v>100.508310601799</v>
      </c>
      <c r="E2233" s="5">
        <v>51.4142889928312</v>
      </c>
      <c r="F2233" s="5">
        <v>51.4142889928312</v>
      </c>
      <c r="G2233" s="5">
        <v>-15.6239273563539</v>
      </c>
      <c r="H2233" s="5">
        <v>-15.6239273563539</v>
      </c>
      <c r="I2233" s="5">
        <v>-15.6239273563539</v>
      </c>
      <c r="J2233" s="5">
        <v>-1.59155056649338</v>
      </c>
      <c r="K2233" s="5">
        <v>-1.59155056649338</v>
      </c>
      <c r="L2233" s="5">
        <v>-1.59155056649338</v>
      </c>
      <c r="M2233" s="5">
        <v>-14.0323767898606</v>
      </c>
      <c r="N2233" s="5">
        <v>-14.0323767898606</v>
      </c>
      <c r="O2233" s="5">
        <v>-14.0323767898606</v>
      </c>
      <c r="P2233" s="5">
        <v>0.0</v>
      </c>
      <c r="Q2233" s="5">
        <v>0.0</v>
      </c>
      <c r="R2233" s="5">
        <v>0.0</v>
      </c>
      <c r="S2233" s="5">
        <v>35.7903616364772</v>
      </c>
    </row>
    <row r="2234">
      <c r="A2234" s="6">
        <v>43598.0</v>
      </c>
      <c r="B2234" s="5">
        <v>51.290592410818</v>
      </c>
      <c r="C2234" s="5">
        <v>-32.8374342022528</v>
      </c>
      <c r="D2234" s="5">
        <v>96.4693528137884</v>
      </c>
      <c r="E2234" s="5">
        <v>51.290592410818</v>
      </c>
      <c r="F2234" s="5">
        <v>51.290592410818</v>
      </c>
      <c r="G2234" s="5">
        <v>-16.7395614464059</v>
      </c>
      <c r="H2234" s="5">
        <v>-16.7395614464059</v>
      </c>
      <c r="I2234" s="5">
        <v>-16.7395614464059</v>
      </c>
      <c r="J2234" s="5">
        <v>0.0905589421195229</v>
      </c>
      <c r="K2234" s="5">
        <v>0.0905589421195229</v>
      </c>
      <c r="L2234" s="5">
        <v>0.0905589421195229</v>
      </c>
      <c r="M2234" s="5">
        <v>-16.8301203885254</v>
      </c>
      <c r="N2234" s="5">
        <v>-16.8301203885254</v>
      </c>
      <c r="O2234" s="5">
        <v>-16.8301203885254</v>
      </c>
      <c r="P2234" s="5">
        <v>0.0</v>
      </c>
      <c r="Q2234" s="5">
        <v>0.0</v>
      </c>
      <c r="R2234" s="5">
        <v>0.0</v>
      </c>
      <c r="S2234" s="5">
        <v>34.551030964412</v>
      </c>
    </row>
    <row r="2235">
      <c r="A2235" s="6">
        <v>43599.0</v>
      </c>
      <c r="B2235" s="5">
        <v>51.2493602168136</v>
      </c>
      <c r="C2235" s="5">
        <v>-29.5177465206533</v>
      </c>
      <c r="D2235" s="5">
        <v>96.3027023054593</v>
      </c>
      <c r="E2235" s="5">
        <v>51.2493602168136</v>
      </c>
      <c r="F2235" s="5">
        <v>51.2493602168136</v>
      </c>
      <c r="G2235" s="5">
        <v>-17.7750620155734</v>
      </c>
      <c r="H2235" s="5">
        <v>-17.7750620155734</v>
      </c>
      <c r="I2235" s="5">
        <v>-17.7750620155734</v>
      </c>
      <c r="J2235" s="5">
        <v>-0.144118857246991</v>
      </c>
      <c r="K2235" s="5">
        <v>-0.144118857246991</v>
      </c>
      <c r="L2235" s="5">
        <v>-0.144118857246991</v>
      </c>
      <c r="M2235" s="5">
        <v>-17.6309431583264</v>
      </c>
      <c r="N2235" s="5">
        <v>-17.6309431583264</v>
      </c>
      <c r="O2235" s="5">
        <v>-17.6309431583264</v>
      </c>
      <c r="P2235" s="5">
        <v>0.0</v>
      </c>
      <c r="Q2235" s="5">
        <v>0.0</v>
      </c>
      <c r="R2235" s="5">
        <v>0.0</v>
      </c>
      <c r="S2235" s="5">
        <v>33.4742982012402</v>
      </c>
    </row>
    <row r="2236">
      <c r="A2236" s="6">
        <v>43600.0</v>
      </c>
      <c r="B2236" s="5">
        <v>51.2081280228092</v>
      </c>
      <c r="C2236" s="5">
        <v>-28.7420062258527</v>
      </c>
      <c r="D2236" s="5">
        <v>96.4083996707384</v>
      </c>
      <c r="E2236" s="5">
        <v>51.2081280228092</v>
      </c>
      <c r="F2236" s="5">
        <v>51.2081280228092</v>
      </c>
      <c r="G2236" s="5">
        <v>-18.3426869782756</v>
      </c>
      <c r="H2236" s="5">
        <v>-18.3426869782756</v>
      </c>
      <c r="I2236" s="5">
        <v>-18.3426869782756</v>
      </c>
      <c r="J2236" s="5">
        <v>0.00703780528219568</v>
      </c>
      <c r="K2236" s="5">
        <v>0.00703780528219568</v>
      </c>
      <c r="L2236" s="5">
        <v>0.00703780528219568</v>
      </c>
      <c r="M2236" s="5">
        <v>-18.3497247835578</v>
      </c>
      <c r="N2236" s="5">
        <v>-18.3497247835578</v>
      </c>
      <c r="O2236" s="5">
        <v>-18.3497247835578</v>
      </c>
      <c r="P2236" s="5">
        <v>0.0</v>
      </c>
      <c r="Q2236" s="5">
        <v>0.0</v>
      </c>
      <c r="R2236" s="5">
        <v>0.0</v>
      </c>
      <c r="S2236" s="5">
        <v>32.8654410445335</v>
      </c>
    </row>
    <row r="2237">
      <c r="A2237" s="6">
        <v>43601.0</v>
      </c>
      <c r="B2237" s="5">
        <v>51.1668958288048</v>
      </c>
      <c r="C2237" s="5">
        <v>-31.1084595376925</v>
      </c>
      <c r="D2237" s="5">
        <v>88.6905222488026</v>
      </c>
      <c r="E2237" s="5">
        <v>51.1668958288048</v>
      </c>
      <c r="F2237" s="5">
        <v>51.1668958288048</v>
      </c>
      <c r="G2237" s="5">
        <v>-19.7557105698605</v>
      </c>
      <c r="H2237" s="5">
        <v>-19.7557105698605</v>
      </c>
      <c r="I2237" s="5">
        <v>-19.7557105698605</v>
      </c>
      <c r="J2237" s="5">
        <v>-0.776422525901582</v>
      </c>
      <c r="K2237" s="5">
        <v>-0.776422525901582</v>
      </c>
      <c r="L2237" s="5">
        <v>-0.776422525901582</v>
      </c>
      <c r="M2237" s="5">
        <v>-18.9792880439589</v>
      </c>
      <c r="N2237" s="5">
        <v>-18.9792880439589</v>
      </c>
      <c r="O2237" s="5">
        <v>-18.9792880439589</v>
      </c>
      <c r="P2237" s="5">
        <v>0.0</v>
      </c>
      <c r="Q2237" s="5">
        <v>0.0</v>
      </c>
      <c r="R2237" s="5">
        <v>0.0</v>
      </c>
      <c r="S2237" s="5">
        <v>31.4111852589442</v>
      </c>
    </row>
    <row r="2238">
      <c r="A2238" s="6">
        <v>43602.0</v>
      </c>
      <c r="B2238" s="5">
        <v>51.1256636348003</v>
      </c>
      <c r="C2238" s="5">
        <v>-26.7932785269897</v>
      </c>
      <c r="D2238" s="5">
        <v>91.7557607127001</v>
      </c>
      <c r="E2238" s="5">
        <v>51.1256636348003</v>
      </c>
      <c r="F2238" s="5">
        <v>51.1256636348003</v>
      </c>
      <c r="G2238" s="5">
        <v>-21.1059318472852</v>
      </c>
      <c r="H2238" s="5">
        <v>-21.1059318472852</v>
      </c>
      <c r="I2238" s="5">
        <v>-21.1059318472852</v>
      </c>
      <c r="J2238" s="5">
        <v>-1.59155056649214</v>
      </c>
      <c r="K2238" s="5">
        <v>-1.59155056649214</v>
      </c>
      <c r="L2238" s="5">
        <v>-1.59155056649214</v>
      </c>
      <c r="M2238" s="5">
        <v>-19.514381280793</v>
      </c>
      <c r="N2238" s="5">
        <v>-19.514381280793</v>
      </c>
      <c r="O2238" s="5">
        <v>-19.514381280793</v>
      </c>
      <c r="P2238" s="5">
        <v>0.0</v>
      </c>
      <c r="Q2238" s="5">
        <v>0.0</v>
      </c>
      <c r="R2238" s="5">
        <v>0.0</v>
      </c>
      <c r="S2238" s="5">
        <v>30.0197317875151</v>
      </c>
    </row>
    <row r="2239">
      <c r="A2239" s="6">
        <v>43605.0</v>
      </c>
      <c r="B2239" s="5">
        <v>51.0019670527871</v>
      </c>
      <c r="C2239" s="5">
        <v>-30.5858349784133</v>
      </c>
      <c r="D2239" s="5">
        <v>89.9281797902804</v>
      </c>
      <c r="E2239" s="5">
        <v>51.0019670527871</v>
      </c>
      <c r="F2239" s="5">
        <v>51.0019670527871</v>
      </c>
      <c r="G2239" s="5">
        <v>-20.440545423209</v>
      </c>
      <c r="H2239" s="5">
        <v>-20.440545423209</v>
      </c>
      <c r="I2239" s="5">
        <v>-20.440545423209</v>
      </c>
      <c r="J2239" s="5">
        <v>0.0905589421229333</v>
      </c>
      <c r="K2239" s="5">
        <v>0.0905589421229333</v>
      </c>
      <c r="L2239" s="5">
        <v>0.0905589421229333</v>
      </c>
      <c r="M2239" s="5">
        <v>-20.5311043653319</v>
      </c>
      <c r="N2239" s="5">
        <v>-20.5311043653319</v>
      </c>
      <c r="O2239" s="5">
        <v>-20.5311043653319</v>
      </c>
      <c r="P2239" s="5">
        <v>0.0</v>
      </c>
      <c r="Q2239" s="5">
        <v>0.0</v>
      </c>
      <c r="R2239" s="5">
        <v>0.0</v>
      </c>
      <c r="S2239" s="5">
        <v>30.5614216295781</v>
      </c>
    </row>
    <row r="2240">
      <c r="A2240" s="6">
        <v>43606.0</v>
      </c>
      <c r="B2240" s="5">
        <v>50.9607348587827</v>
      </c>
      <c r="C2240" s="5">
        <v>-32.9638418570532</v>
      </c>
      <c r="D2240" s="5">
        <v>96.9968940131022</v>
      </c>
      <c r="E2240" s="5">
        <v>50.9607348587827</v>
      </c>
      <c r="F2240" s="5">
        <v>50.9607348587827</v>
      </c>
      <c r="G2240" s="5">
        <v>-20.8210744745748</v>
      </c>
      <c r="H2240" s="5">
        <v>-20.8210744745748</v>
      </c>
      <c r="I2240" s="5">
        <v>-20.8210744745748</v>
      </c>
      <c r="J2240" s="5">
        <v>-0.144118857245903</v>
      </c>
      <c r="K2240" s="5">
        <v>-0.144118857245903</v>
      </c>
      <c r="L2240" s="5">
        <v>-0.144118857245903</v>
      </c>
      <c r="M2240" s="5">
        <v>-20.6769556173289</v>
      </c>
      <c r="N2240" s="5">
        <v>-20.6769556173289</v>
      </c>
      <c r="O2240" s="5">
        <v>-20.6769556173289</v>
      </c>
      <c r="P2240" s="5">
        <v>0.0</v>
      </c>
      <c r="Q2240" s="5">
        <v>0.0</v>
      </c>
      <c r="R2240" s="5">
        <v>0.0</v>
      </c>
      <c r="S2240" s="5">
        <v>30.1396603842078</v>
      </c>
    </row>
    <row r="2241">
      <c r="A2241" s="6">
        <v>43607.0</v>
      </c>
      <c r="B2241" s="5">
        <v>50.9195026647783</v>
      </c>
      <c r="C2241" s="5">
        <v>-33.5042388286352</v>
      </c>
      <c r="D2241" s="5">
        <v>95.5301156585833</v>
      </c>
      <c r="E2241" s="5">
        <v>50.9195026647783</v>
      </c>
      <c r="F2241" s="5">
        <v>50.9195026647783</v>
      </c>
      <c r="G2241" s="5">
        <v>-20.7257888235452</v>
      </c>
      <c r="H2241" s="5">
        <v>-20.7257888235452</v>
      </c>
      <c r="I2241" s="5">
        <v>-20.7257888235452</v>
      </c>
      <c r="J2241" s="5">
        <v>0.00703780528134309</v>
      </c>
      <c r="K2241" s="5">
        <v>0.00703780528134309</v>
      </c>
      <c r="L2241" s="5">
        <v>0.00703780528134309</v>
      </c>
      <c r="M2241" s="5">
        <v>-20.7328266288265</v>
      </c>
      <c r="N2241" s="5">
        <v>-20.7328266288265</v>
      </c>
      <c r="O2241" s="5">
        <v>-20.7328266288265</v>
      </c>
      <c r="P2241" s="5">
        <v>0.0</v>
      </c>
      <c r="Q2241" s="5">
        <v>0.0</v>
      </c>
      <c r="R2241" s="5">
        <v>0.0</v>
      </c>
      <c r="S2241" s="5">
        <v>30.1937138412331</v>
      </c>
    </row>
    <row r="2242">
      <c r="A2242" s="6">
        <v>43608.0</v>
      </c>
      <c r="B2242" s="5">
        <v>50.8782704707739</v>
      </c>
      <c r="C2242" s="5">
        <v>-31.2569572330937</v>
      </c>
      <c r="D2242" s="5">
        <v>92.5042273176294</v>
      </c>
      <c r="E2242" s="5">
        <v>50.8782704707739</v>
      </c>
      <c r="F2242" s="5">
        <v>50.8782704707739</v>
      </c>
      <c r="G2242" s="5">
        <v>-21.4817857548996</v>
      </c>
      <c r="H2242" s="5">
        <v>-21.4817857548996</v>
      </c>
      <c r="I2242" s="5">
        <v>-21.4817857548996</v>
      </c>
      <c r="J2242" s="5">
        <v>-0.776422525902303</v>
      </c>
      <c r="K2242" s="5">
        <v>-0.776422525902303</v>
      </c>
      <c r="L2242" s="5">
        <v>-0.776422525902303</v>
      </c>
      <c r="M2242" s="5">
        <v>-20.7053632289973</v>
      </c>
      <c r="N2242" s="5">
        <v>-20.7053632289973</v>
      </c>
      <c r="O2242" s="5">
        <v>-20.7053632289973</v>
      </c>
      <c r="P2242" s="5">
        <v>0.0</v>
      </c>
      <c r="Q2242" s="5">
        <v>0.0</v>
      </c>
      <c r="R2242" s="5">
        <v>0.0</v>
      </c>
      <c r="S2242" s="5">
        <v>29.3964847158743</v>
      </c>
    </row>
    <row r="2243">
      <c r="A2243" s="6">
        <v>43609.0</v>
      </c>
      <c r="B2243" s="5">
        <v>50.8370382767695</v>
      </c>
      <c r="C2243" s="5">
        <v>-31.8686605513841</v>
      </c>
      <c r="D2243" s="5">
        <v>90.0359921521987</v>
      </c>
      <c r="E2243" s="5">
        <v>50.8370382767695</v>
      </c>
      <c r="F2243" s="5">
        <v>50.8370382767695</v>
      </c>
      <c r="G2243" s="5">
        <v>-22.1942994318561</v>
      </c>
      <c r="H2243" s="5">
        <v>-22.1942994318561</v>
      </c>
      <c r="I2243" s="5">
        <v>-22.1942994318561</v>
      </c>
      <c r="J2243" s="5">
        <v>-1.59155056649153</v>
      </c>
      <c r="K2243" s="5">
        <v>-1.59155056649153</v>
      </c>
      <c r="L2243" s="5">
        <v>-1.59155056649153</v>
      </c>
      <c r="M2243" s="5">
        <v>-20.6027488653645</v>
      </c>
      <c r="N2243" s="5">
        <v>-20.6027488653645</v>
      </c>
      <c r="O2243" s="5">
        <v>-20.6027488653645</v>
      </c>
      <c r="P2243" s="5">
        <v>0.0</v>
      </c>
      <c r="Q2243" s="5">
        <v>0.0</v>
      </c>
      <c r="R2243" s="5">
        <v>0.0</v>
      </c>
      <c r="S2243" s="5">
        <v>28.6427388449134</v>
      </c>
    </row>
    <row r="2244">
      <c r="A2244" s="6">
        <v>43613.0</v>
      </c>
      <c r="B2244" s="5">
        <v>50.6721095007519</v>
      </c>
      <c r="C2244" s="5">
        <v>-32.3275970250092</v>
      </c>
      <c r="D2244" s="5">
        <v>89.9790969034559</v>
      </c>
      <c r="E2244" s="5">
        <v>50.6721095007519</v>
      </c>
      <c r="F2244" s="5">
        <v>50.6721095007519</v>
      </c>
      <c r="G2244" s="5">
        <v>-19.7874321806978</v>
      </c>
      <c r="H2244" s="5">
        <v>-19.7874321806978</v>
      </c>
      <c r="I2244" s="5">
        <v>-19.7874321806978</v>
      </c>
      <c r="J2244" s="5">
        <v>-0.144118857247338</v>
      </c>
      <c r="K2244" s="5">
        <v>-0.144118857247338</v>
      </c>
      <c r="L2244" s="5">
        <v>-0.144118857247338</v>
      </c>
      <c r="M2244" s="5">
        <v>-19.6433133234505</v>
      </c>
      <c r="N2244" s="5">
        <v>-19.6433133234505</v>
      </c>
      <c r="O2244" s="5">
        <v>-19.6433133234505</v>
      </c>
      <c r="P2244" s="5">
        <v>0.0</v>
      </c>
      <c r="Q2244" s="5">
        <v>0.0</v>
      </c>
      <c r="R2244" s="5">
        <v>0.0</v>
      </c>
      <c r="S2244" s="5">
        <v>30.884677320054</v>
      </c>
    </row>
    <row r="2245">
      <c r="A2245" s="6">
        <v>43614.0</v>
      </c>
      <c r="B2245" s="5">
        <v>50.6308773067475</v>
      </c>
      <c r="C2245" s="5">
        <v>-32.6572177762824</v>
      </c>
      <c r="D2245" s="5">
        <v>98.4230745853582</v>
      </c>
      <c r="E2245" s="5">
        <v>50.6308773067475</v>
      </c>
      <c r="F2245" s="5">
        <v>50.6308773067475</v>
      </c>
      <c r="G2245" s="5">
        <v>-19.3152415423192</v>
      </c>
      <c r="H2245" s="5">
        <v>-19.3152415423192</v>
      </c>
      <c r="I2245" s="5">
        <v>-19.3152415423192</v>
      </c>
      <c r="J2245" s="5">
        <v>0.00703780528265416</v>
      </c>
      <c r="K2245" s="5">
        <v>0.00703780528265416</v>
      </c>
      <c r="L2245" s="5">
        <v>0.00703780528265416</v>
      </c>
      <c r="M2245" s="5">
        <v>-19.3222793476019</v>
      </c>
      <c r="N2245" s="5">
        <v>-19.3222793476019</v>
      </c>
      <c r="O2245" s="5">
        <v>-19.3222793476019</v>
      </c>
      <c r="P2245" s="5">
        <v>0.0</v>
      </c>
      <c r="Q2245" s="5">
        <v>0.0</v>
      </c>
      <c r="R2245" s="5">
        <v>0.0</v>
      </c>
      <c r="S2245" s="5">
        <v>31.3156357644282</v>
      </c>
    </row>
    <row r="2246">
      <c r="A2246" s="6">
        <v>43615.0</v>
      </c>
      <c r="B2246" s="5">
        <v>50.5896451127431</v>
      </c>
      <c r="C2246" s="5">
        <v>-28.9404595704183</v>
      </c>
      <c r="D2246" s="5">
        <v>93.9008956204136</v>
      </c>
      <c r="E2246" s="5">
        <v>50.5896451127431</v>
      </c>
      <c r="F2246" s="5">
        <v>50.5896451127431</v>
      </c>
      <c r="G2246" s="5">
        <v>-19.7679801304053</v>
      </c>
      <c r="H2246" s="5">
        <v>-19.7679801304053</v>
      </c>
      <c r="I2246" s="5">
        <v>-19.7679801304053</v>
      </c>
      <c r="J2246" s="5">
        <v>-0.776422525900176</v>
      </c>
      <c r="K2246" s="5">
        <v>-0.776422525900176</v>
      </c>
      <c r="L2246" s="5">
        <v>-0.776422525900176</v>
      </c>
      <c r="M2246" s="5">
        <v>-18.9915576045051</v>
      </c>
      <c r="N2246" s="5">
        <v>-18.9915576045051</v>
      </c>
      <c r="O2246" s="5">
        <v>-18.9915576045051</v>
      </c>
      <c r="P2246" s="5">
        <v>0.0</v>
      </c>
      <c r="Q2246" s="5">
        <v>0.0</v>
      </c>
      <c r="R2246" s="5">
        <v>0.0</v>
      </c>
      <c r="S2246" s="5">
        <v>30.8216649823377</v>
      </c>
    </row>
    <row r="2247">
      <c r="A2247" s="6">
        <v>43616.0</v>
      </c>
      <c r="B2247" s="5">
        <v>50.5484129187387</v>
      </c>
      <c r="C2247" s="5">
        <v>-33.4663385040702</v>
      </c>
      <c r="D2247" s="5">
        <v>94.1122194833467</v>
      </c>
      <c r="E2247" s="5">
        <v>50.5484129187387</v>
      </c>
      <c r="F2247" s="5">
        <v>50.5484129187387</v>
      </c>
      <c r="G2247" s="5">
        <v>-20.2533595620858</v>
      </c>
      <c r="H2247" s="5">
        <v>-20.2533595620858</v>
      </c>
      <c r="I2247" s="5">
        <v>-20.2533595620858</v>
      </c>
      <c r="J2247" s="5">
        <v>-1.59155056649303</v>
      </c>
      <c r="K2247" s="5">
        <v>-1.59155056649303</v>
      </c>
      <c r="L2247" s="5">
        <v>-1.59155056649303</v>
      </c>
      <c r="M2247" s="5">
        <v>-18.6618089955928</v>
      </c>
      <c r="N2247" s="5">
        <v>-18.6618089955928</v>
      </c>
      <c r="O2247" s="5">
        <v>-18.6618089955928</v>
      </c>
      <c r="P2247" s="5">
        <v>0.0</v>
      </c>
      <c r="Q2247" s="5">
        <v>0.0</v>
      </c>
      <c r="R2247" s="5">
        <v>0.0</v>
      </c>
      <c r="S2247" s="5">
        <v>30.2950533566528</v>
      </c>
    </row>
    <row r="2248">
      <c r="A2248" s="6">
        <v>43619.0</v>
      </c>
      <c r="B2248" s="5">
        <v>50.4247163367254</v>
      </c>
      <c r="C2248" s="5">
        <v>-35.9139520129287</v>
      </c>
      <c r="D2248" s="5">
        <v>95.8072242970193</v>
      </c>
      <c r="E2248" s="5">
        <v>50.4247163367254</v>
      </c>
      <c r="F2248" s="5">
        <v>50.4247163367254</v>
      </c>
      <c r="G2248" s="5">
        <v>-17.6793841723544</v>
      </c>
      <c r="H2248" s="5">
        <v>-17.6793841723544</v>
      </c>
      <c r="I2248" s="5">
        <v>-17.6793841723544</v>
      </c>
      <c r="J2248" s="5">
        <v>0.0905589421200583</v>
      </c>
      <c r="K2248" s="5">
        <v>0.0905589421200583</v>
      </c>
      <c r="L2248" s="5">
        <v>0.0905589421200583</v>
      </c>
      <c r="M2248" s="5">
        <v>-17.7699431144744</v>
      </c>
      <c r="N2248" s="5">
        <v>-17.7699431144744</v>
      </c>
      <c r="O2248" s="5">
        <v>-17.7699431144744</v>
      </c>
      <c r="P2248" s="5">
        <v>0.0</v>
      </c>
      <c r="Q2248" s="5">
        <v>0.0</v>
      </c>
      <c r="R2248" s="5">
        <v>0.0</v>
      </c>
      <c r="S2248" s="5">
        <v>32.745332164371</v>
      </c>
    </row>
    <row r="2249">
      <c r="A2249" s="6">
        <v>43620.0</v>
      </c>
      <c r="B2249" s="5">
        <v>50.383484142721</v>
      </c>
      <c r="C2249" s="5">
        <v>-30.9876967844391</v>
      </c>
      <c r="D2249" s="5">
        <v>93.3120242458186</v>
      </c>
      <c r="E2249" s="5">
        <v>50.383484142721</v>
      </c>
      <c r="F2249" s="5">
        <v>50.383484142721</v>
      </c>
      <c r="G2249" s="5">
        <v>-17.6730695977288</v>
      </c>
      <c r="H2249" s="5">
        <v>-17.6730695977288</v>
      </c>
      <c r="I2249" s="5">
        <v>-17.6730695977288</v>
      </c>
      <c r="J2249" s="5">
        <v>-0.144118857243726</v>
      </c>
      <c r="K2249" s="5">
        <v>-0.144118857243726</v>
      </c>
      <c r="L2249" s="5">
        <v>-0.144118857243726</v>
      </c>
      <c r="M2249" s="5">
        <v>-17.5289507404851</v>
      </c>
      <c r="N2249" s="5">
        <v>-17.5289507404851</v>
      </c>
      <c r="O2249" s="5">
        <v>-17.5289507404851</v>
      </c>
      <c r="P2249" s="5">
        <v>0.0</v>
      </c>
      <c r="Q2249" s="5">
        <v>0.0</v>
      </c>
      <c r="R2249" s="5">
        <v>0.0</v>
      </c>
      <c r="S2249" s="5">
        <v>32.7104145449922</v>
      </c>
    </row>
    <row r="2250">
      <c r="A2250" s="6">
        <v>43621.0</v>
      </c>
      <c r="B2250" s="5">
        <v>50.3422519487166</v>
      </c>
      <c r="C2250" s="5">
        <v>-32.0903398648282</v>
      </c>
      <c r="D2250" s="5">
        <v>88.3311064289867</v>
      </c>
      <c r="E2250" s="5">
        <v>50.3422519487166</v>
      </c>
      <c r="F2250" s="5">
        <v>50.3422519487166</v>
      </c>
      <c r="G2250" s="5">
        <v>-17.317022685829</v>
      </c>
      <c r="H2250" s="5">
        <v>-17.317022685829</v>
      </c>
      <c r="I2250" s="5">
        <v>-17.317022685829</v>
      </c>
      <c r="J2250" s="5">
        <v>0.00703780528062939</v>
      </c>
      <c r="K2250" s="5">
        <v>0.00703780528062939</v>
      </c>
      <c r="L2250" s="5">
        <v>0.00703780528062939</v>
      </c>
      <c r="M2250" s="5">
        <v>-17.3240604911096</v>
      </c>
      <c r="N2250" s="5">
        <v>-17.3240604911096</v>
      </c>
      <c r="O2250" s="5">
        <v>-17.3240604911096</v>
      </c>
      <c r="P2250" s="5">
        <v>0.0</v>
      </c>
      <c r="Q2250" s="5">
        <v>0.0</v>
      </c>
      <c r="R2250" s="5">
        <v>0.0</v>
      </c>
      <c r="S2250" s="5">
        <v>33.0252292628876</v>
      </c>
    </row>
    <row r="2251">
      <c r="A2251" s="6">
        <v>43622.0</v>
      </c>
      <c r="B2251" s="5">
        <v>50.3010197547122</v>
      </c>
      <c r="C2251" s="5">
        <v>-26.9059349890519</v>
      </c>
      <c r="D2251" s="5">
        <v>97.2506269774122</v>
      </c>
      <c r="E2251" s="5">
        <v>50.3010197547122</v>
      </c>
      <c r="F2251" s="5">
        <v>50.3010197547122</v>
      </c>
      <c r="G2251" s="5">
        <v>-17.9338528783112</v>
      </c>
      <c r="H2251" s="5">
        <v>-17.9338528783112</v>
      </c>
      <c r="I2251" s="5">
        <v>-17.9338528783112</v>
      </c>
      <c r="J2251" s="5">
        <v>-0.776422525902272</v>
      </c>
      <c r="K2251" s="5">
        <v>-0.776422525902272</v>
      </c>
      <c r="L2251" s="5">
        <v>-0.776422525902272</v>
      </c>
      <c r="M2251" s="5">
        <v>-17.1574303524089</v>
      </c>
      <c r="N2251" s="5">
        <v>-17.1574303524089</v>
      </c>
      <c r="O2251" s="5">
        <v>-17.1574303524089</v>
      </c>
      <c r="P2251" s="5">
        <v>0.0</v>
      </c>
      <c r="Q2251" s="5">
        <v>0.0</v>
      </c>
      <c r="R2251" s="5">
        <v>0.0</v>
      </c>
      <c r="S2251" s="5">
        <v>32.367166876401</v>
      </c>
    </row>
    <row r="2252">
      <c r="A2252" s="6">
        <v>43623.0</v>
      </c>
      <c r="B2252" s="5">
        <v>50.2597875607078</v>
      </c>
      <c r="C2252" s="5">
        <v>-26.6954071496786</v>
      </c>
      <c r="D2252" s="5">
        <v>97.3782749588181</v>
      </c>
      <c r="E2252" s="5">
        <v>50.2597875607078</v>
      </c>
      <c r="F2252" s="5">
        <v>50.2597875607078</v>
      </c>
      <c r="G2252" s="5">
        <v>-18.6209691578612</v>
      </c>
      <c r="H2252" s="5">
        <v>-18.6209691578612</v>
      </c>
      <c r="I2252" s="5">
        <v>-18.6209691578612</v>
      </c>
      <c r="J2252" s="5">
        <v>-1.59155056649211</v>
      </c>
      <c r="K2252" s="5">
        <v>-1.59155056649211</v>
      </c>
      <c r="L2252" s="5">
        <v>-1.59155056649211</v>
      </c>
      <c r="M2252" s="5">
        <v>-17.0294185913691</v>
      </c>
      <c r="N2252" s="5">
        <v>-17.0294185913691</v>
      </c>
      <c r="O2252" s="5">
        <v>-17.0294185913691</v>
      </c>
      <c r="P2252" s="5">
        <v>0.0</v>
      </c>
      <c r="Q2252" s="5">
        <v>0.0</v>
      </c>
      <c r="R2252" s="5">
        <v>0.0</v>
      </c>
      <c r="S2252" s="5">
        <v>31.6388184028465</v>
      </c>
    </row>
    <row r="2253">
      <c r="A2253" s="6">
        <v>43626.0</v>
      </c>
      <c r="B2253" s="5">
        <v>50.1360909786946</v>
      </c>
      <c r="C2253" s="5">
        <v>-28.167361556739</v>
      </c>
      <c r="D2253" s="5">
        <v>100.267479071551</v>
      </c>
      <c r="E2253" s="5">
        <v>50.1360909786946</v>
      </c>
      <c r="F2253" s="5">
        <v>50.1360909786946</v>
      </c>
      <c r="G2253" s="5">
        <v>-16.7641965819791</v>
      </c>
      <c r="H2253" s="5">
        <v>-16.7641965819791</v>
      </c>
      <c r="I2253" s="5">
        <v>-16.7641965819791</v>
      </c>
      <c r="J2253" s="5">
        <v>0.0905589421210849</v>
      </c>
      <c r="K2253" s="5">
        <v>0.0905589421210849</v>
      </c>
      <c r="L2253" s="5">
        <v>0.0905589421210849</v>
      </c>
      <c r="M2253" s="5">
        <v>-16.8547555241002</v>
      </c>
      <c r="N2253" s="5">
        <v>-16.8547555241002</v>
      </c>
      <c r="O2253" s="5">
        <v>-16.8547555241002</v>
      </c>
      <c r="P2253" s="5">
        <v>0.0</v>
      </c>
      <c r="Q2253" s="5">
        <v>0.0</v>
      </c>
      <c r="R2253" s="5">
        <v>0.0</v>
      </c>
      <c r="S2253" s="5">
        <v>33.3718943967155</v>
      </c>
    </row>
    <row r="2254">
      <c r="A2254" s="6">
        <v>43627.0</v>
      </c>
      <c r="B2254" s="5">
        <v>50.0948587846902</v>
      </c>
      <c r="C2254" s="5">
        <v>-31.6312470618769</v>
      </c>
      <c r="D2254" s="5">
        <v>92.9173531119202</v>
      </c>
      <c r="E2254" s="5">
        <v>50.0948587846902</v>
      </c>
      <c r="F2254" s="5">
        <v>50.0948587846902</v>
      </c>
      <c r="G2254" s="5">
        <v>-16.9952052584995</v>
      </c>
      <c r="H2254" s="5">
        <v>-16.9952052584995</v>
      </c>
      <c r="I2254" s="5">
        <v>-16.9952052584995</v>
      </c>
      <c r="J2254" s="5">
        <v>-0.144118857245467</v>
      </c>
      <c r="K2254" s="5">
        <v>-0.144118857245467</v>
      </c>
      <c r="L2254" s="5">
        <v>-0.144118857245467</v>
      </c>
      <c r="M2254" s="5">
        <v>-16.851086401254</v>
      </c>
      <c r="N2254" s="5">
        <v>-16.851086401254</v>
      </c>
      <c r="O2254" s="5">
        <v>-16.851086401254</v>
      </c>
      <c r="P2254" s="5">
        <v>0.0</v>
      </c>
      <c r="Q2254" s="5">
        <v>0.0</v>
      </c>
      <c r="R2254" s="5">
        <v>0.0</v>
      </c>
      <c r="S2254" s="5">
        <v>33.0996535261907</v>
      </c>
    </row>
    <row r="2255">
      <c r="A2255" s="6">
        <v>43628.0</v>
      </c>
      <c r="B2255" s="5">
        <v>50.0536265906858</v>
      </c>
      <c r="C2255" s="5">
        <v>-31.7070117252185</v>
      </c>
      <c r="D2255" s="5">
        <v>93.7306918629425</v>
      </c>
      <c r="E2255" s="5">
        <v>50.0536265906858</v>
      </c>
      <c r="F2255" s="5">
        <v>50.0536265906858</v>
      </c>
      <c r="G2255" s="5">
        <v>-16.8567836408828</v>
      </c>
      <c r="H2255" s="5">
        <v>-16.8567836408828</v>
      </c>
      <c r="I2255" s="5">
        <v>-16.8567836408828</v>
      </c>
      <c r="J2255" s="5">
        <v>0.00703780528194049</v>
      </c>
      <c r="K2255" s="5">
        <v>0.00703780528194049</v>
      </c>
      <c r="L2255" s="5">
        <v>0.00703780528194049</v>
      </c>
      <c r="M2255" s="5">
        <v>-16.8638214461648</v>
      </c>
      <c r="N2255" s="5">
        <v>-16.8638214461648</v>
      </c>
      <c r="O2255" s="5">
        <v>-16.8638214461648</v>
      </c>
      <c r="P2255" s="5">
        <v>0.0</v>
      </c>
      <c r="Q2255" s="5">
        <v>0.0</v>
      </c>
      <c r="R2255" s="5">
        <v>0.0</v>
      </c>
      <c r="S2255" s="5">
        <v>33.1968429498029</v>
      </c>
    </row>
    <row r="2256">
      <c r="A2256" s="6">
        <v>43629.0</v>
      </c>
      <c r="B2256" s="5">
        <v>50.0123943966814</v>
      </c>
      <c r="C2256" s="5">
        <v>-32.6400993492136</v>
      </c>
      <c r="D2256" s="5">
        <v>92.2171952220733</v>
      </c>
      <c r="E2256" s="5">
        <v>50.0123943966814</v>
      </c>
      <c r="F2256" s="5">
        <v>50.0123943966814</v>
      </c>
      <c r="G2256" s="5">
        <v>-17.6614065259719</v>
      </c>
      <c r="H2256" s="5">
        <v>-17.6614065259719</v>
      </c>
      <c r="I2256" s="5">
        <v>-17.6614065259719</v>
      </c>
      <c r="J2256" s="5">
        <v>-0.776422525902994</v>
      </c>
      <c r="K2256" s="5">
        <v>-0.776422525902994</v>
      </c>
      <c r="L2256" s="5">
        <v>-0.776422525902994</v>
      </c>
      <c r="M2256" s="5">
        <v>-16.8849840000689</v>
      </c>
      <c r="N2256" s="5">
        <v>-16.8849840000689</v>
      </c>
      <c r="O2256" s="5">
        <v>-16.8849840000689</v>
      </c>
      <c r="P2256" s="5">
        <v>0.0</v>
      </c>
      <c r="Q2256" s="5">
        <v>0.0</v>
      </c>
      <c r="R2256" s="5">
        <v>0.0</v>
      </c>
      <c r="S2256" s="5">
        <v>32.3509878707094</v>
      </c>
    </row>
    <row r="2257">
      <c r="A2257" s="6">
        <v>43630.0</v>
      </c>
      <c r="B2257" s="5">
        <v>49.971162202677</v>
      </c>
      <c r="C2257" s="5">
        <v>-30.4876707173724</v>
      </c>
      <c r="D2257" s="5">
        <v>93.0353864030932</v>
      </c>
      <c r="E2257" s="5">
        <v>49.971162202677</v>
      </c>
      <c r="F2257" s="5">
        <v>49.971162202677</v>
      </c>
      <c r="G2257" s="5">
        <v>-18.4975676363007</v>
      </c>
      <c r="H2257" s="5">
        <v>-18.4975676363007</v>
      </c>
      <c r="I2257" s="5">
        <v>-18.4975676363007</v>
      </c>
      <c r="J2257" s="5">
        <v>-1.59155056649118</v>
      </c>
      <c r="K2257" s="5">
        <v>-1.59155056649118</v>
      </c>
      <c r="L2257" s="5">
        <v>-1.59155056649118</v>
      </c>
      <c r="M2257" s="5">
        <v>-16.9060170698095</v>
      </c>
      <c r="N2257" s="5">
        <v>-16.9060170698095</v>
      </c>
      <c r="O2257" s="5">
        <v>-16.9060170698095</v>
      </c>
      <c r="P2257" s="5">
        <v>0.0</v>
      </c>
      <c r="Q2257" s="5">
        <v>0.0</v>
      </c>
      <c r="R2257" s="5">
        <v>0.0</v>
      </c>
      <c r="S2257" s="5">
        <v>31.4735945663762</v>
      </c>
    </row>
    <row r="2258">
      <c r="A2258" s="6">
        <v>43633.0</v>
      </c>
      <c r="B2258" s="5">
        <v>49.8474656206638</v>
      </c>
      <c r="C2258" s="5">
        <v>-31.3492516504294</v>
      </c>
      <c r="D2258" s="5">
        <v>95.2233180111853</v>
      </c>
      <c r="E2258" s="5">
        <v>49.8474656206638</v>
      </c>
      <c r="F2258" s="5">
        <v>49.8474656206638</v>
      </c>
      <c r="G2258" s="5">
        <v>-16.7899314168442</v>
      </c>
      <c r="H2258" s="5">
        <v>-16.7899314168442</v>
      </c>
      <c r="I2258" s="5">
        <v>-16.7899314168442</v>
      </c>
      <c r="J2258" s="5">
        <v>0.0905589421220312</v>
      </c>
      <c r="K2258" s="5">
        <v>0.0905589421220312</v>
      </c>
      <c r="L2258" s="5">
        <v>0.0905589421220312</v>
      </c>
      <c r="M2258" s="5">
        <v>-16.8804903589662</v>
      </c>
      <c r="N2258" s="5">
        <v>-16.8804903589662</v>
      </c>
      <c r="O2258" s="5">
        <v>-16.8804903589662</v>
      </c>
      <c r="P2258" s="5">
        <v>0.0</v>
      </c>
      <c r="Q2258" s="5">
        <v>0.0</v>
      </c>
      <c r="R2258" s="5">
        <v>0.0</v>
      </c>
      <c r="S2258" s="5">
        <v>33.0575342038195</v>
      </c>
    </row>
    <row r="2259">
      <c r="A2259" s="6">
        <v>43634.0</v>
      </c>
      <c r="B2259" s="5">
        <v>49.8062334266593</v>
      </c>
      <c r="C2259" s="5">
        <v>-33.7235233301733</v>
      </c>
      <c r="D2259" s="5">
        <v>90.5446272774369</v>
      </c>
      <c r="E2259" s="5">
        <v>49.8062334266593</v>
      </c>
      <c r="F2259" s="5">
        <v>49.8062334266593</v>
      </c>
      <c r="G2259" s="5">
        <v>-16.9586799121555</v>
      </c>
      <c r="H2259" s="5">
        <v>-16.9586799121555</v>
      </c>
      <c r="I2259" s="5">
        <v>-16.9586799121555</v>
      </c>
      <c r="J2259" s="5">
        <v>-0.144118857244379</v>
      </c>
      <c r="K2259" s="5">
        <v>-0.144118857244379</v>
      </c>
      <c r="L2259" s="5">
        <v>-0.144118857244379</v>
      </c>
      <c r="M2259" s="5">
        <v>-16.8145610549111</v>
      </c>
      <c r="N2259" s="5">
        <v>-16.8145610549111</v>
      </c>
      <c r="O2259" s="5">
        <v>-16.8145610549111</v>
      </c>
      <c r="P2259" s="5">
        <v>0.0</v>
      </c>
      <c r="Q2259" s="5">
        <v>0.0</v>
      </c>
      <c r="R2259" s="5">
        <v>0.0</v>
      </c>
      <c r="S2259" s="5">
        <v>32.8475535145038</v>
      </c>
    </row>
    <row r="2260">
      <c r="A2260" s="6">
        <v>43635.0</v>
      </c>
      <c r="B2260" s="5">
        <v>49.7650012326549</v>
      </c>
      <c r="C2260" s="5">
        <v>-32.6245068499935</v>
      </c>
      <c r="D2260" s="5">
        <v>95.8611302747876</v>
      </c>
      <c r="E2260" s="5">
        <v>49.7650012326549</v>
      </c>
      <c r="F2260" s="5">
        <v>49.7650012326549</v>
      </c>
      <c r="G2260" s="5">
        <v>-16.7006834678164</v>
      </c>
      <c r="H2260" s="5">
        <v>-16.7006834678164</v>
      </c>
      <c r="I2260" s="5">
        <v>-16.7006834678164</v>
      </c>
      <c r="J2260" s="5">
        <v>0.00703780528325153</v>
      </c>
      <c r="K2260" s="5">
        <v>0.00703780528325153</v>
      </c>
      <c r="L2260" s="5">
        <v>0.00703780528325153</v>
      </c>
      <c r="M2260" s="5">
        <v>-16.7077212730997</v>
      </c>
      <c r="N2260" s="5">
        <v>-16.7077212730997</v>
      </c>
      <c r="O2260" s="5">
        <v>-16.7077212730997</v>
      </c>
      <c r="P2260" s="5">
        <v>0.0</v>
      </c>
      <c r="Q2260" s="5">
        <v>0.0</v>
      </c>
      <c r="R2260" s="5">
        <v>0.0</v>
      </c>
      <c r="S2260" s="5">
        <v>33.0643177648385</v>
      </c>
    </row>
    <row r="2261">
      <c r="A2261" s="6">
        <v>43636.0</v>
      </c>
      <c r="B2261" s="5">
        <v>49.7237690386505</v>
      </c>
      <c r="C2261" s="5">
        <v>-31.5624286614357</v>
      </c>
      <c r="D2261" s="5">
        <v>93.9535574637443</v>
      </c>
      <c r="E2261" s="5">
        <v>49.7237690386505</v>
      </c>
      <c r="F2261" s="5">
        <v>49.7237690386505</v>
      </c>
      <c r="G2261" s="5">
        <v>-17.3306788572964</v>
      </c>
      <c r="H2261" s="5">
        <v>-17.3306788572964</v>
      </c>
      <c r="I2261" s="5">
        <v>-17.3306788572964</v>
      </c>
      <c r="J2261" s="5">
        <v>-0.776422525905091</v>
      </c>
      <c r="K2261" s="5">
        <v>-0.776422525905091</v>
      </c>
      <c r="L2261" s="5">
        <v>-0.776422525905091</v>
      </c>
      <c r="M2261" s="5">
        <v>-16.5542563313913</v>
      </c>
      <c r="N2261" s="5">
        <v>-16.5542563313913</v>
      </c>
      <c r="O2261" s="5">
        <v>-16.5542563313913</v>
      </c>
      <c r="P2261" s="5">
        <v>0.0</v>
      </c>
      <c r="Q2261" s="5">
        <v>0.0</v>
      </c>
      <c r="R2261" s="5">
        <v>0.0</v>
      </c>
      <c r="S2261" s="5">
        <v>32.393090181354</v>
      </c>
    </row>
    <row r="2262">
      <c r="A2262" s="6">
        <v>43637.0</v>
      </c>
      <c r="B2262" s="5">
        <v>49.6825368446461</v>
      </c>
      <c r="C2262" s="5">
        <v>-31.3223677076757</v>
      </c>
      <c r="D2262" s="5">
        <v>95.4627740659847</v>
      </c>
      <c r="E2262" s="5">
        <v>49.6825368446461</v>
      </c>
      <c r="F2262" s="5">
        <v>49.6825368446461</v>
      </c>
      <c r="G2262" s="5">
        <v>-17.9413874916044</v>
      </c>
      <c r="H2262" s="5">
        <v>-17.9413874916044</v>
      </c>
      <c r="I2262" s="5">
        <v>-17.9413874916044</v>
      </c>
      <c r="J2262" s="5">
        <v>-1.591550566493</v>
      </c>
      <c r="K2262" s="5">
        <v>-1.591550566493</v>
      </c>
      <c r="L2262" s="5">
        <v>-1.591550566493</v>
      </c>
      <c r="M2262" s="5">
        <v>-16.3498369251114</v>
      </c>
      <c r="N2262" s="5">
        <v>-16.3498369251114</v>
      </c>
      <c r="O2262" s="5">
        <v>-16.3498369251114</v>
      </c>
      <c r="P2262" s="5">
        <v>0.0</v>
      </c>
      <c r="Q2262" s="5">
        <v>0.0</v>
      </c>
      <c r="R2262" s="5">
        <v>0.0</v>
      </c>
      <c r="S2262" s="5">
        <v>31.7411493530417</v>
      </c>
    </row>
    <row r="2263">
      <c r="A2263" s="6">
        <v>43640.0</v>
      </c>
      <c r="B2263" s="5">
        <v>49.5588402626329</v>
      </c>
      <c r="C2263" s="5">
        <v>-26.6111657881228</v>
      </c>
      <c r="D2263" s="5">
        <v>95.8633288089843</v>
      </c>
      <c r="E2263" s="5">
        <v>49.5588402626329</v>
      </c>
      <c r="F2263" s="5">
        <v>49.5588402626329</v>
      </c>
      <c r="G2263" s="5">
        <v>-15.3210156457565</v>
      </c>
      <c r="H2263" s="5">
        <v>-15.3210156457565</v>
      </c>
      <c r="I2263" s="5">
        <v>-15.3210156457565</v>
      </c>
      <c r="J2263" s="5">
        <v>0.0905589421205938</v>
      </c>
      <c r="K2263" s="5">
        <v>0.0905589421205938</v>
      </c>
      <c r="L2263" s="5">
        <v>0.0905589421205938</v>
      </c>
      <c r="M2263" s="5">
        <v>-15.4115745878771</v>
      </c>
      <c r="N2263" s="5">
        <v>-15.4115745878771</v>
      </c>
      <c r="O2263" s="5">
        <v>-15.4115745878771</v>
      </c>
      <c r="P2263" s="5">
        <v>0.0</v>
      </c>
      <c r="Q2263" s="5">
        <v>0.0</v>
      </c>
      <c r="R2263" s="5">
        <v>0.0</v>
      </c>
      <c r="S2263" s="5">
        <v>34.2378246168764</v>
      </c>
    </row>
    <row r="2264">
      <c r="A2264" s="6">
        <v>43641.0</v>
      </c>
      <c r="B2264" s="5">
        <v>49.5176080686285</v>
      </c>
      <c r="C2264" s="5">
        <v>-26.275902410694</v>
      </c>
      <c r="D2264" s="5">
        <v>99.507335942635</v>
      </c>
      <c r="E2264" s="5">
        <v>49.5176080686285</v>
      </c>
      <c r="F2264" s="5">
        <v>49.5176080686285</v>
      </c>
      <c r="G2264" s="5">
        <v>-15.1367939933429</v>
      </c>
      <c r="H2264" s="5">
        <v>-15.1367939933429</v>
      </c>
      <c r="I2264" s="5">
        <v>-15.1367939933429</v>
      </c>
      <c r="J2264" s="5">
        <v>-0.144118857245814</v>
      </c>
      <c r="K2264" s="5">
        <v>-0.144118857245814</v>
      </c>
      <c r="L2264" s="5">
        <v>-0.144118857245814</v>
      </c>
      <c r="M2264" s="5">
        <v>-14.9926751360971</v>
      </c>
      <c r="N2264" s="5">
        <v>-14.9926751360971</v>
      </c>
      <c r="O2264" s="5">
        <v>-14.9926751360971</v>
      </c>
      <c r="P2264" s="5">
        <v>0.0</v>
      </c>
      <c r="Q2264" s="5">
        <v>0.0</v>
      </c>
      <c r="R2264" s="5">
        <v>0.0</v>
      </c>
      <c r="S2264" s="5">
        <v>34.3808140752855</v>
      </c>
    </row>
    <row r="2265">
      <c r="A2265" s="6">
        <v>43642.0</v>
      </c>
      <c r="B2265" s="5">
        <v>49.4763758746241</v>
      </c>
      <c r="C2265" s="5">
        <v>-24.8485356068857</v>
      </c>
      <c r="D2265" s="5">
        <v>96.1324989212891</v>
      </c>
      <c r="E2265" s="5">
        <v>49.4763758746241</v>
      </c>
      <c r="F2265" s="5">
        <v>49.4763758746241</v>
      </c>
      <c r="G2265" s="5">
        <v>-14.5191225962461</v>
      </c>
      <c r="H2265" s="5">
        <v>-14.5191225962461</v>
      </c>
      <c r="I2265" s="5">
        <v>-14.5191225962461</v>
      </c>
      <c r="J2265" s="5">
        <v>0.00703780528122672</v>
      </c>
      <c r="K2265" s="5">
        <v>0.00703780528122672</v>
      </c>
      <c r="L2265" s="5">
        <v>0.00703780528122672</v>
      </c>
      <c r="M2265" s="5">
        <v>-14.5261604015274</v>
      </c>
      <c r="N2265" s="5">
        <v>-14.5261604015274</v>
      </c>
      <c r="O2265" s="5">
        <v>-14.5261604015274</v>
      </c>
      <c r="P2265" s="5">
        <v>0.0</v>
      </c>
      <c r="Q2265" s="5">
        <v>0.0</v>
      </c>
      <c r="R2265" s="5">
        <v>0.0</v>
      </c>
      <c r="S2265" s="5">
        <v>34.9572532783779</v>
      </c>
    </row>
    <row r="2266">
      <c r="A2266" s="6">
        <v>43643.0</v>
      </c>
      <c r="B2266" s="5">
        <v>49.4351436806197</v>
      </c>
      <c r="C2266" s="5">
        <v>-25.2849766573092</v>
      </c>
      <c r="D2266" s="5">
        <v>99.0245995556721</v>
      </c>
      <c r="E2266" s="5">
        <v>49.4351436806197</v>
      </c>
      <c r="F2266" s="5">
        <v>49.4351436806197</v>
      </c>
      <c r="G2266" s="5">
        <v>-14.7942260401772</v>
      </c>
      <c r="H2266" s="5">
        <v>-14.7942260401772</v>
      </c>
      <c r="I2266" s="5">
        <v>-14.7942260401772</v>
      </c>
      <c r="J2266" s="5">
        <v>-0.776422525901588</v>
      </c>
      <c r="K2266" s="5">
        <v>-0.776422525901588</v>
      </c>
      <c r="L2266" s="5">
        <v>-0.776422525901588</v>
      </c>
      <c r="M2266" s="5">
        <v>-14.0178035142756</v>
      </c>
      <c r="N2266" s="5">
        <v>-14.0178035142756</v>
      </c>
      <c r="O2266" s="5">
        <v>-14.0178035142756</v>
      </c>
      <c r="P2266" s="5">
        <v>0.0</v>
      </c>
      <c r="Q2266" s="5">
        <v>0.0</v>
      </c>
      <c r="R2266" s="5">
        <v>0.0</v>
      </c>
      <c r="S2266" s="5">
        <v>34.6409176404424</v>
      </c>
    </row>
    <row r="2267">
      <c r="A2267" s="6">
        <v>43644.0</v>
      </c>
      <c r="B2267" s="5">
        <v>49.3939114866153</v>
      </c>
      <c r="C2267" s="5">
        <v>-31.6596995312976</v>
      </c>
      <c r="D2267" s="5">
        <v>100.860392729184</v>
      </c>
      <c r="E2267" s="5">
        <v>49.3939114866153</v>
      </c>
      <c r="F2267" s="5">
        <v>49.3939114866153</v>
      </c>
      <c r="G2267" s="5">
        <v>-15.0664168376313</v>
      </c>
      <c r="H2267" s="5">
        <v>-15.0664168376313</v>
      </c>
      <c r="I2267" s="5">
        <v>-15.0664168376313</v>
      </c>
      <c r="J2267" s="5">
        <v>-1.59155056649482</v>
      </c>
      <c r="K2267" s="5">
        <v>-1.59155056649482</v>
      </c>
      <c r="L2267" s="5">
        <v>-1.59155056649482</v>
      </c>
      <c r="M2267" s="5">
        <v>-13.4748662711364</v>
      </c>
      <c r="N2267" s="5">
        <v>-13.4748662711364</v>
      </c>
      <c r="O2267" s="5">
        <v>-13.4748662711364</v>
      </c>
      <c r="P2267" s="5">
        <v>0.0</v>
      </c>
      <c r="Q2267" s="5">
        <v>0.0</v>
      </c>
      <c r="R2267" s="5">
        <v>0.0</v>
      </c>
      <c r="S2267" s="5">
        <v>34.327494648984</v>
      </c>
    </row>
    <row r="2268">
      <c r="A2268" s="6">
        <v>43647.0</v>
      </c>
      <c r="B2268" s="5">
        <v>49.2702149046021</v>
      </c>
      <c r="C2268" s="5">
        <v>-27.021581417688</v>
      </c>
      <c r="D2268" s="5">
        <v>97.8344453377147</v>
      </c>
      <c r="E2268" s="5">
        <v>49.2702149046021</v>
      </c>
      <c r="F2268" s="5">
        <v>49.2702149046021</v>
      </c>
      <c r="G2268" s="5">
        <v>-11.6386781382832</v>
      </c>
      <c r="H2268" s="5">
        <v>-11.6386781382832</v>
      </c>
      <c r="I2268" s="5">
        <v>-11.6386781382832</v>
      </c>
      <c r="J2268" s="5">
        <v>0.0905589421215403</v>
      </c>
      <c r="K2268" s="5">
        <v>0.0905589421215403</v>
      </c>
      <c r="L2268" s="5">
        <v>0.0905589421215403</v>
      </c>
      <c r="M2268" s="5">
        <v>-11.7292370804047</v>
      </c>
      <c r="N2268" s="5">
        <v>-11.7292370804047</v>
      </c>
      <c r="O2268" s="5">
        <v>-11.7292370804047</v>
      </c>
      <c r="P2268" s="5">
        <v>0.0</v>
      </c>
      <c r="Q2268" s="5">
        <v>0.0</v>
      </c>
      <c r="R2268" s="5">
        <v>0.0</v>
      </c>
      <c r="S2268" s="5">
        <v>37.6315367663188</v>
      </c>
    </row>
    <row r="2269">
      <c r="A2269" s="6">
        <v>43648.0</v>
      </c>
      <c r="B2269" s="5">
        <v>49.2289827105977</v>
      </c>
      <c r="C2269" s="5">
        <v>-22.3709426548056</v>
      </c>
      <c r="D2269" s="5">
        <v>104.436333270906</v>
      </c>
      <c r="E2269" s="5">
        <v>49.2289827105977</v>
      </c>
      <c r="F2269" s="5">
        <v>49.2289827105977</v>
      </c>
      <c r="G2269" s="5">
        <v>-11.2870022046111</v>
      </c>
      <c r="H2269" s="5">
        <v>-11.2870022046111</v>
      </c>
      <c r="I2269" s="5">
        <v>-11.2870022046111</v>
      </c>
      <c r="J2269" s="5">
        <v>-0.144118857246141</v>
      </c>
      <c r="K2269" s="5">
        <v>-0.144118857246141</v>
      </c>
      <c r="L2269" s="5">
        <v>-0.144118857246141</v>
      </c>
      <c r="M2269" s="5">
        <v>-11.142883347365</v>
      </c>
      <c r="N2269" s="5">
        <v>-11.142883347365</v>
      </c>
      <c r="O2269" s="5">
        <v>-11.142883347365</v>
      </c>
      <c r="P2269" s="5">
        <v>0.0</v>
      </c>
      <c r="Q2269" s="5">
        <v>0.0</v>
      </c>
      <c r="R2269" s="5">
        <v>0.0</v>
      </c>
      <c r="S2269" s="5">
        <v>37.9419805059865</v>
      </c>
    </row>
    <row r="2270">
      <c r="A2270" s="6">
        <v>43649.0</v>
      </c>
      <c r="B2270" s="5">
        <v>49.1877505165932</v>
      </c>
      <c r="C2270" s="5">
        <v>-26.8975788997155</v>
      </c>
      <c r="D2270" s="5">
        <v>99.7138550417839</v>
      </c>
      <c r="E2270" s="5">
        <v>49.1877505165932</v>
      </c>
      <c r="F2270" s="5">
        <v>49.1877505165932</v>
      </c>
      <c r="G2270" s="5">
        <v>-10.5655882433019</v>
      </c>
      <c r="H2270" s="5">
        <v>-10.5655882433019</v>
      </c>
      <c r="I2270" s="5">
        <v>-10.5655882433019</v>
      </c>
      <c r="J2270" s="5">
        <v>0.00703780528253789</v>
      </c>
      <c r="K2270" s="5">
        <v>0.00703780528253789</v>
      </c>
      <c r="L2270" s="5">
        <v>0.00703780528253789</v>
      </c>
      <c r="M2270" s="5">
        <v>-10.5726260485844</v>
      </c>
      <c r="N2270" s="5">
        <v>-10.5726260485844</v>
      </c>
      <c r="O2270" s="5">
        <v>-10.5726260485844</v>
      </c>
      <c r="P2270" s="5">
        <v>0.0</v>
      </c>
      <c r="Q2270" s="5">
        <v>0.0</v>
      </c>
      <c r="R2270" s="5">
        <v>0.0</v>
      </c>
      <c r="S2270" s="5">
        <v>38.6221622732912</v>
      </c>
    </row>
    <row r="2271">
      <c r="A2271" s="6">
        <v>43651.0</v>
      </c>
      <c r="B2271" s="5">
        <v>49.1052862211674</v>
      </c>
      <c r="C2271" s="5">
        <v>-25.5530767434577</v>
      </c>
      <c r="D2271" s="5">
        <v>99.2170064289425</v>
      </c>
      <c r="E2271" s="5">
        <v>49.1052862211674</v>
      </c>
      <c r="F2271" s="5">
        <v>49.1052862211674</v>
      </c>
      <c r="G2271" s="5">
        <v>-11.1155425390374</v>
      </c>
      <c r="H2271" s="5">
        <v>-11.1155425390374</v>
      </c>
      <c r="I2271" s="5">
        <v>-11.1155425390374</v>
      </c>
      <c r="J2271" s="5">
        <v>-1.59155056649389</v>
      </c>
      <c r="K2271" s="5">
        <v>-1.59155056649389</v>
      </c>
      <c r="L2271" s="5">
        <v>-1.59155056649389</v>
      </c>
      <c r="M2271" s="5">
        <v>-9.52399197254359</v>
      </c>
      <c r="N2271" s="5">
        <v>-9.52399197254359</v>
      </c>
      <c r="O2271" s="5">
        <v>-9.52399197254359</v>
      </c>
      <c r="P2271" s="5">
        <v>0.0</v>
      </c>
      <c r="Q2271" s="5">
        <v>0.0</v>
      </c>
      <c r="R2271" s="5">
        <v>0.0</v>
      </c>
      <c r="S2271" s="5">
        <v>37.9897436821299</v>
      </c>
    </row>
    <row r="2272">
      <c r="A2272" s="6">
        <v>43654.0</v>
      </c>
      <c r="B2272" s="5">
        <v>48.9815897780287</v>
      </c>
      <c r="C2272" s="5">
        <v>-21.1525169177702</v>
      </c>
      <c r="D2272" s="5">
        <v>104.304121699071</v>
      </c>
      <c r="E2272" s="5">
        <v>48.9815897780287</v>
      </c>
      <c r="F2272" s="5">
        <v>48.9815897780287</v>
      </c>
      <c r="G2272" s="5">
        <v>-8.23575161875977</v>
      </c>
      <c r="H2272" s="5">
        <v>-8.23575161875977</v>
      </c>
      <c r="I2272" s="5">
        <v>-8.23575161875977</v>
      </c>
      <c r="J2272" s="5">
        <v>0.0905589421201829</v>
      </c>
      <c r="K2272" s="5">
        <v>0.0905589421201829</v>
      </c>
      <c r="L2272" s="5">
        <v>0.0905589421201829</v>
      </c>
      <c r="M2272" s="5">
        <v>-8.32631056087995</v>
      </c>
      <c r="N2272" s="5">
        <v>-8.32631056087995</v>
      </c>
      <c r="O2272" s="5">
        <v>-8.32631056087995</v>
      </c>
      <c r="P2272" s="5">
        <v>0.0</v>
      </c>
      <c r="Q2272" s="5">
        <v>0.0</v>
      </c>
      <c r="R2272" s="5">
        <v>0.0</v>
      </c>
      <c r="S2272" s="5">
        <v>40.7458381592689</v>
      </c>
    </row>
    <row r="2273">
      <c r="A2273" s="6">
        <v>43655.0</v>
      </c>
      <c r="B2273" s="5">
        <v>48.9403576303158</v>
      </c>
      <c r="C2273" s="5">
        <v>-20.2158837261896</v>
      </c>
      <c r="D2273" s="5">
        <v>102.628877789719</v>
      </c>
      <c r="E2273" s="5">
        <v>48.9403576303158</v>
      </c>
      <c r="F2273" s="5">
        <v>48.9403576303158</v>
      </c>
      <c r="G2273" s="5">
        <v>-8.20217246143839</v>
      </c>
      <c r="H2273" s="5">
        <v>-8.20217246143839</v>
      </c>
      <c r="I2273" s="5">
        <v>-8.20217246143839</v>
      </c>
      <c r="J2273" s="5">
        <v>-0.144118857245052</v>
      </c>
      <c r="K2273" s="5">
        <v>-0.144118857245052</v>
      </c>
      <c r="L2273" s="5">
        <v>-0.144118857245052</v>
      </c>
      <c r="M2273" s="5">
        <v>-8.05805360419334</v>
      </c>
      <c r="N2273" s="5">
        <v>-8.05805360419334</v>
      </c>
      <c r="O2273" s="5">
        <v>-8.05805360419334</v>
      </c>
      <c r="P2273" s="5">
        <v>0.0</v>
      </c>
      <c r="Q2273" s="5">
        <v>0.0</v>
      </c>
      <c r="R2273" s="5">
        <v>0.0</v>
      </c>
      <c r="S2273" s="5">
        <v>40.7381851688774</v>
      </c>
    </row>
    <row r="2274">
      <c r="A2274" s="6">
        <v>43656.0</v>
      </c>
      <c r="B2274" s="5">
        <v>48.8991254826029</v>
      </c>
      <c r="C2274" s="5">
        <v>-21.8155381114889</v>
      </c>
      <c r="D2274" s="5">
        <v>96.1986085828577</v>
      </c>
      <c r="E2274" s="5">
        <v>48.8991254826029</v>
      </c>
      <c r="F2274" s="5">
        <v>48.8991254826029</v>
      </c>
      <c r="G2274" s="5">
        <v>-7.85672444480506</v>
      </c>
      <c r="H2274" s="5">
        <v>-7.85672444480506</v>
      </c>
      <c r="I2274" s="5">
        <v>-7.85672444480506</v>
      </c>
      <c r="J2274" s="5">
        <v>0.00703780528168523</v>
      </c>
      <c r="K2274" s="5">
        <v>0.00703780528168523</v>
      </c>
      <c r="L2274" s="5">
        <v>0.00703780528168523</v>
      </c>
      <c r="M2274" s="5">
        <v>-7.86376225008675</v>
      </c>
      <c r="N2274" s="5">
        <v>-7.86376225008675</v>
      </c>
      <c r="O2274" s="5">
        <v>-7.86376225008675</v>
      </c>
      <c r="P2274" s="5">
        <v>0.0</v>
      </c>
      <c r="Q2274" s="5">
        <v>0.0</v>
      </c>
      <c r="R2274" s="5">
        <v>0.0</v>
      </c>
      <c r="S2274" s="5">
        <v>41.0424010377978</v>
      </c>
    </row>
    <row r="2275">
      <c r="A2275" s="6">
        <v>43657.0</v>
      </c>
      <c r="B2275" s="5">
        <v>48.85789333489</v>
      </c>
      <c r="C2275" s="5">
        <v>-21.1850273797071</v>
      </c>
      <c r="D2275" s="5">
        <v>105.784340966094</v>
      </c>
      <c r="E2275" s="5">
        <v>48.85789333489</v>
      </c>
      <c r="F2275" s="5">
        <v>48.85789333489</v>
      </c>
      <c r="G2275" s="5">
        <v>-8.52227315465123</v>
      </c>
      <c r="H2275" s="5">
        <v>-8.52227315465123</v>
      </c>
      <c r="I2275" s="5">
        <v>-8.52227315465123</v>
      </c>
      <c r="J2275" s="5">
        <v>-0.776422525905782</v>
      </c>
      <c r="K2275" s="5">
        <v>-0.776422525905782</v>
      </c>
      <c r="L2275" s="5">
        <v>-0.776422525905782</v>
      </c>
      <c r="M2275" s="5">
        <v>-7.74585062874544</v>
      </c>
      <c r="N2275" s="5">
        <v>-7.74585062874544</v>
      </c>
      <c r="O2275" s="5">
        <v>-7.74585062874544</v>
      </c>
      <c r="P2275" s="5">
        <v>0.0</v>
      </c>
      <c r="Q2275" s="5">
        <v>0.0</v>
      </c>
      <c r="R2275" s="5">
        <v>0.0</v>
      </c>
      <c r="S2275" s="5">
        <v>40.3356201802388</v>
      </c>
    </row>
    <row r="2276">
      <c r="A2276" s="6">
        <v>43658.0</v>
      </c>
      <c r="B2276" s="5">
        <v>48.8166611871771</v>
      </c>
      <c r="C2276" s="5">
        <v>-23.3363917329141</v>
      </c>
      <c r="D2276" s="5">
        <v>102.247087772572</v>
      </c>
      <c r="E2276" s="5">
        <v>48.8166611871771</v>
      </c>
      <c r="F2276" s="5">
        <v>48.8166611871771</v>
      </c>
      <c r="G2276" s="5">
        <v>-9.29636128929188</v>
      </c>
      <c r="H2276" s="5">
        <v>-9.29636128929188</v>
      </c>
      <c r="I2276" s="5">
        <v>-9.29636128929188</v>
      </c>
      <c r="J2276" s="5">
        <v>-1.5915505664954</v>
      </c>
      <c r="K2276" s="5">
        <v>-1.5915505664954</v>
      </c>
      <c r="L2276" s="5">
        <v>-1.5915505664954</v>
      </c>
      <c r="M2276" s="5">
        <v>-7.70481072279648</v>
      </c>
      <c r="N2276" s="5">
        <v>-7.70481072279648</v>
      </c>
      <c r="O2276" s="5">
        <v>-7.70481072279648</v>
      </c>
      <c r="P2276" s="5">
        <v>0.0</v>
      </c>
      <c r="Q2276" s="5">
        <v>0.0</v>
      </c>
      <c r="R2276" s="5">
        <v>0.0</v>
      </c>
      <c r="S2276" s="5">
        <v>39.5202998978852</v>
      </c>
    </row>
    <row r="2277">
      <c r="A2277" s="6">
        <v>43661.0</v>
      </c>
      <c r="B2277" s="5">
        <v>48.6929647440384</v>
      </c>
      <c r="C2277" s="5">
        <v>-17.0351524485613</v>
      </c>
      <c r="D2277" s="5">
        <v>105.711045268904</v>
      </c>
      <c r="E2277" s="5">
        <v>48.6929647440384</v>
      </c>
      <c r="F2277" s="5">
        <v>48.6929647440384</v>
      </c>
      <c r="G2277" s="5">
        <v>-7.92824879181648</v>
      </c>
      <c r="H2277" s="5">
        <v>-7.92824879181648</v>
      </c>
      <c r="I2277" s="5">
        <v>-7.92824879181648</v>
      </c>
      <c r="J2277" s="5">
        <v>0.0905589421212094</v>
      </c>
      <c r="K2277" s="5">
        <v>0.0905589421212094</v>
      </c>
      <c r="L2277" s="5">
        <v>0.0905589421212094</v>
      </c>
      <c r="M2277" s="5">
        <v>-8.01880773393769</v>
      </c>
      <c r="N2277" s="5">
        <v>-8.01880773393769</v>
      </c>
      <c r="O2277" s="5">
        <v>-8.01880773393769</v>
      </c>
      <c r="P2277" s="5">
        <v>0.0</v>
      </c>
      <c r="Q2277" s="5">
        <v>0.0</v>
      </c>
      <c r="R2277" s="5">
        <v>0.0</v>
      </c>
      <c r="S2277" s="5">
        <v>40.7647159522219</v>
      </c>
    </row>
    <row r="2278">
      <c r="A2278" s="6">
        <v>43662.0</v>
      </c>
      <c r="B2278" s="5">
        <v>48.6517325963255</v>
      </c>
      <c r="C2278" s="5">
        <v>-22.3231073414601</v>
      </c>
      <c r="D2278" s="5">
        <v>105.160811988938</v>
      </c>
      <c r="E2278" s="5">
        <v>48.6517325963255</v>
      </c>
      <c r="F2278" s="5">
        <v>48.6517325963255</v>
      </c>
      <c r="G2278" s="5">
        <v>-8.39602569865836</v>
      </c>
      <c r="H2278" s="5">
        <v>-8.39602569865836</v>
      </c>
      <c r="I2278" s="5">
        <v>-8.39602569865836</v>
      </c>
      <c r="J2278" s="5">
        <v>-0.144118857243964</v>
      </c>
      <c r="K2278" s="5">
        <v>-0.144118857243964</v>
      </c>
      <c r="L2278" s="5">
        <v>-0.144118857243964</v>
      </c>
      <c r="M2278" s="5">
        <v>-8.2519068414144</v>
      </c>
      <c r="N2278" s="5">
        <v>-8.2519068414144</v>
      </c>
      <c r="O2278" s="5">
        <v>-8.2519068414144</v>
      </c>
      <c r="P2278" s="5">
        <v>0.0</v>
      </c>
      <c r="Q2278" s="5">
        <v>0.0</v>
      </c>
      <c r="R2278" s="5">
        <v>0.0</v>
      </c>
      <c r="S2278" s="5">
        <v>40.2557068976671</v>
      </c>
    </row>
    <row r="2279">
      <c r="A2279" s="6">
        <v>43663.0</v>
      </c>
      <c r="B2279" s="5">
        <v>48.6105004486126</v>
      </c>
      <c r="C2279" s="5">
        <v>-22.1203043886859</v>
      </c>
      <c r="D2279" s="5">
        <v>102.274706853067</v>
      </c>
      <c r="E2279" s="5">
        <v>48.6105004486126</v>
      </c>
      <c r="F2279" s="5">
        <v>48.6105004486126</v>
      </c>
      <c r="G2279" s="5">
        <v>-8.52939696368282</v>
      </c>
      <c r="H2279" s="5">
        <v>-8.52939696368282</v>
      </c>
      <c r="I2279" s="5">
        <v>-8.52939696368282</v>
      </c>
      <c r="J2279" s="5">
        <v>0.0070378052829963</v>
      </c>
      <c r="K2279" s="5">
        <v>0.0070378052829963</v>
      </c>
      <c r="L2279" s="5">
        <v>0.0070378052829963</v>
      </c>
      <c r="M2279" s="5">
        <v>-8.53643476896582</v>
      </c>
      <c r="N2279" s="5">
        <v>-8.53643476896582</v>
      </c>
      <c r="O2279" s="5">
        <v>-8.53643476896582</v>
      </c>
      <c r="P2279" s="5">
        <v>0.0</v>
      </c>
      <c r="Q2279" s="5">
        <v>0.0</v>
      </c>
      <c r="R2279" s="5">
        <v>0.0</v>
      </c>
      <c r="S2279" s="5">
        <v>40.0811034849298</v>
      </c>
    </row>
    <row r="2280">
      <c r="A2280" s="6">
        <v>43664.0</v>
      </c>
      <c r="B2280" s="5">
        <v>48.5692683008997</v>
      </c>
      <c r="C2280" s="5">
        <v>-21.428917235546</v>
      </c>
      <c r="D2280" s="5">
        <v>100.577995383358</v>
      </c>
      <c r="E2280" s="5">
        <v>48.5692683008997</v>
      </c>
      <c r="F2280" s="5">
        <v>48.5692683008997</v>
      </c>
      <c r="G2280" s="5">
        <v>-9.63906158926273</v>
      </c>
      <c r="H2280" s="5">
        <v>-9.63906158926273</v>
      </c>
      <c r="I2280" s="5">
        <v>-9.63906158926273</v>
      </c>
      <c r="J2280" s="5">
        <v>-0.776422525902279</v>
      </c>
      <c r="K2280" s="5">
        <v>-0.776422525902279</v>
      </c>
      <c r="L2280" s="5">
        <v>-0.776422525902279</v>
      </c>
      <c r="M2280" s="5">
        <v>-8.86263906336045</v>
      </c>
      <c r="N2280" s="5">
        <v>-8.86263906336045</v>
      </c>
      <c r="O2280" s="5">
        <v>-8.86263906336045</v>
      </c>
      <c r="P2280" s="5">
        <v>0.0</v>
      </c>
      <c r="Q2280" s="5">
        <v>0.0</v>
      </c>
      <c r="R2280" s="5">
        <v>0.0</v>
      </c>
      <c r="S2280" s="5">
        <v>38.930206711637</v>
      </c>
    </row>
    <row r="2281">
      <c r="A2281" s="6">
        <v>43665.0</v>
      </c>
      <c r="B2281" s="5">
        <v>48.5280361531868</v>
      </c>
      <c r="C2281" s="5">
        <v>-28.0084277634753</v>
      </c>
      <c r="D2281" s="5">
        <v>105.215438116703</v>
      </c>
      <c r="E2281" s="5">
        <v>48.5280361531868</v>
      </c>
      <c r="F2281" s="5">
        <v>48.5280361531868</v>
      </c>
      <c r="G2281" s="5">
        <v>-10.8112802827735</v>
      </c>
      <c r="H2281" s="5">
        <v>-10.8112802827735</v>
      </c>
      <c r="I2281" s="5">
        <v>-10.8112802827735</v>
      </c>
      <c r="J2281" s="5">
        <v>-1.59155056649479</v>
      </c>
      <c r="K2281" s="5">
        <v>-1.59155056649479</v>
      </c>
      <c r="L2281" s="5">
        <v>-1.59155056649479</v>
      </c>
      <c r="M2281" s="5">
        <v>-9.21972971627875</v>
      </c>
      <c r="N2281" s="5">
        <v>-9.21972971627875</v>
      </c>
      <c r="O2281" s="5">
        <v>-9.21972971627875</v>
      </c>
      <c r="P2281" s="5">
        <v>0.0</v>
      </c>
      <c r="Q2281" s="5">
        <v>0.0</v>
      </c>
      <c r="R2281" s="5">
        <v>0.0</v>
      </c>
      <c r="S2281" s="5">
        <v>37.7167558704132</v>
      </c>
    </row>
    <row r="2282">
      <c r="A2282" s="6">
        <v>43668.0</v>
      </c>
      <c r="B2282" s="5">
        <v>48.4043397100481</v>
      </c>
      <c r="C2282" s="5">
        <v>-25.0699661027039</v>
      </c>
      <c r="D2282" s="5">
        <v>101.699722252215</v>
      </c>
      <c r="E2282" s="5">
        <v>48.4043397100481</v>
      </c>
      <c r="F2282" s="5">
        <v>48.4043397100481</v>
      </c>
      <c r="G2282" s="5">
        <v>-10.2685287539827</v>
      </c>
      <c r="H2282" s="5">
        <v>-10.2685287539827</v>
      </c>
      <c r="I2282" s="5">
        <v>-10.2685287539827</v>
      </c>
      <c r="J2282" s="5">
        <v>0.0905589421197722</v>
      </c>
      <c r="K2282" s="5">
        <v>0.0905589421197722</v>
      </c>
      <c r="L2282" s="5">
        <v>0.0905589421197722</v>
      </c>
      <c r="M2282" s="5">
        <v>-10.3590876961024</v>
      </c>
      <c r="N2282" s="5">
        <v>-10.3590876961024</v>
      </c>
      <c r="O2282" s="5">
        <v>-10.3590876961024</v>
      </c>
      <c r="P2282" s="5">
        <v>0.0</v>
      </c>
      <c r="Q2282" s="5">
        <v>0.0</v>
      </c>
      <c r="R2282" s="5">
        <v>0.0</v>
      </c>
      <c r="S2282" s="5">
        <v>38.1358109560654</v>
      </c>
    </row>
    <row r="2283">
      <c r="A2283" s="6">
        <v>43669.0</v>
      </c>
      <c r="B2283" s="5">
        <v>48.3631075623352</v>
      </c>
      <c r="C2283" s="5">
        <v>-31.0566166508992</v>
      </c>
      <c r="D2283" s="5">
        <v>100.987871842823</v>
      </c>
      <c r="E2283" s="5">
        <v>48.3631075623352</v>
      </c>
      <c r="F2283" s="5">
        <v>48.3631075623352</v>
      </c>
      <c r="G2283" s="5">
        <v>-10.8657175297555</v>
      </c>
      <c r="H2283" s="5">
        <v>-10.8657175297555</v>
      </c>
      <c r="I2283" s="5">
        <v>-10.8657175297555</v>
      </c>
      <c r="J2283" s="5">
        <v>-0.144118857246814</v>
      </c>
      <c r="K2283" s="5">
        <v>-0.144118857246814</v>
      </c>
      <c r="L2283" s="5">
        <v>-0.144118857246814</v>
      </c>
      <c r="M2283" s="5">
        <v>-10.7215986725087</v>
      </c>
      <c r="N2283" s="5">
        <v>-10.7215986725087</v>
      </c>
      <c r="O2283" s="5">
        <v>-10.7215986725087</v>
      </c>
      <c r="P2283" s="5">
        <v>0.0</v>
      </c>
      <c r="Q2283" s="5">
        <v>0.0</v>
      </c>
      <c r="R2283" s="5">
        <v>0.0</v>
      </c>
      <c r="S2283" s="5">
        <v>37.4973900325796</v>
      </c>
    </row>
    <row r="2284">
      <c r="A2284" s="6">
        <v>43670.0</v>
      </c>
      <c r="B2284" s="5">
        <v>48.3218754146223</v>
      </c>
      <c r="C2284" s="5">
        <v>-30.9932325768176</v>
      </c>
      <c r="D2284" s="5">
        <v>100.072392517274</v>
      </c>
      <c r="E2284" s="5">
        <v>48.3218754146223</v>
      </c>
      <c r="F2284" s="5">
        <v>48.3218754146223</v>
      </c>
      <c r="G2284" s="5">
        <v>-11.0491264546607</v>
      </c>
      <c r="H2284" s="5">
        <v>-11.0491264546607</v>
      </c>
      <c r="I2284" s="5">
        <v>-11.0491264546607</v>
      </c>
      <c r="J2284" s="5">
        <v>0.00703780528313525</v>
      </c>
      <c r="K2284" s="5">
        <v>0.00703780528313525</v>
      </c>
      <c r="L2284" s="5">
        <v>0.00703780528313525</v>
      </c>
      <c r="M2284" s="5">
        <v>-11.0561642599438</v>
      </c>
      <c r="N2284" s="5">
        <v>-11.0561642599438</v>
      </c>
      <c r="O2284" s="5">
        <v>-11.0561642599438</v>
      </c>
      <c r="P2284" s="5">
        <v>0.0</v>
      </c>
      <c r="Q2284" s="5">
        <v>0.0</v>
      </c>
      <c r="R2284" s="5">
        <v>0.0</v>
      </c>
      <c r="S2284" s="5">
        <v>37.2727489599616</v>
      </c>
    </row>
    <row r="2285">
      <c r="A2285" s="6">
        <v>43671.0</v>
      </c>
      <c r="B2285" s="5">
        <v>48.2806432669094</v>
      </c>
      <c r="C2285" s="5">
        <v>-26.5719146040262</v>
      </c>
      <c r="D2285" s="5">
        <v>94.6626368846064</v>
      </c>
      <c r="E2285" s="5">
        <v>48.2806432669094</v>
      </c>
      <c r="F2285" s="5">
        <v>48.2806432669094</v>
      </c>
      <c r="G2285" s="5">
        <v>-12.1286783911761</v>
      </c>
      <c r="H2285" s="5">
        <v>-12.1286783911761</v>
      </c>
      <c r="I2285" s="5">
        <v>-12.1286783911761</v>
      </c>
      <c r="J2285" s="5">
        <v>-0.776422525901526</v>
      </c>
      <c r="K2285" s="5">
        <v>-0.776422525901526</v>
      </c>
      <c r="L2285" s="5">
        <v>-0.776422525901526</v>
      </c>
      <c r="M2285" s="5">
        <v>-11.3522558652746</v>
      </c>
      <c r="N2285" s="5">
        <v>-11.3522558652746</v>
      </c>
      <c r="O2285" s="5">
        <v>-11.3522558652746</v>
      </c>
      <c r="P2285" s="5">
        <v>0.0</v>
      </c>
      <c r="Q2285" s="5">
        <v>0.0</v>
      </c>
      <c r="R2285" s="5">
        <v>0.0</v>
      </c>
      <c r="S2285" s="5">
        <v>36.1519648757332</v>
      </c>
    </row>
    <row r="2286">
      <c r="A2286" s="6">
        <v>43672.0</v>
      </c>
      <c r="B2286" s="5">
        <v>48.2394111191965</v>
      </c>
      <c r="C2286" s="5">
        <v>-28.1673222016145</v>
      </c>
      <c r="D2286" s="5">
        <v>98.7170073545147</v>
      </c>
      <c r="E2286" s="5">
        <v>48.2394111191965</v>
      </c>
      <c r="F2286" s="5">
        <v>48.2394111191965</v>
      </c>
      <c r="G2286" s="5">
        <v>-13.1919949025511</v>
      </c>
      <c r="H2286" s="5">
        <v>-13.1919949025511</v>
      </c>
      <c r="I2286" s="5">
        <v>-13.1919949025511</v>
      </c>
      <c r="J2286" s="5">
        <v>-1.59155056649355</v>
      </c>
      <c r="K2286" s="5">
        <v>-1.59155056649355</v>
      </c>
      <c r="L2286" s="5">
        <v>-1.59155056649355</v>
      </c>
      <c r="M2286" s="5">
        <v>-11.6004443360576</v>
      </c>
      <c r="N2286" s="5">
        <v>-11.6004443360576</v>
      </c>
      <c r="O2286" s="5">
        <v>-11.6004443360576</v>
      </c>
      <c r="P2286" s="5">
        <v>0.0</v>
      </c>
      <c r="Q2286" s="5">
        <v>0.0</v>
      </c>
      <c r="R2286" s="5">
        <v>0.0</v>
      </c>
      <c r="S2286" s="5">
        <v>35.0474162166453</v>
      </c>
    </row>
    <row r="2287">
      <c r="A2287" s="6">
        <v>43675.0</v>
      </c>
      <c r="B2287" s="5">
        <v>48.1157146760578</v>
      </c>
      <c r="C2287" s="5">
        <v>-28.1380386339061</v>
      </c>
      <c r="D2287" s="5">
        <v>99.6613255860007</v>
      </c>
      <c r="E2287" s="5">
        <v>48.1157146760578</v>
      </c>
      <c r="F2287" s="5">
        <v>48.1157146760578</v>
      </c>
      <c r="G2287" s="5">
        <v>-11.8940155764521</v>
      </c>
      <c r="H2287" s="5">
        <v>-11.8940155764521</v>
      </c>
      <c r="I2287" s="5">
        <v>-11.8940155764521</v>
      </c>
      <c r="J2287" s="5">
        <v>0.0905589421231822</v>
      </c>
      <c r="K2287" s="5">
        <v>0.0905589421231822</v>
      </c>
      <c r="L2287" s="5">
        <v>0.0905589421231822</v>
      </c>
      <c r="M2287" s="5">
        <v>-11.9845745185753</v>
      </c>
      <c r="N2287" s="5">
        <v>-11.9845745185753</v>
      </c>
      <c r="O2287" s="5">
        <v>-11.9845745185753</v>
      </c>
      <c r="P2287" s="5">
        <v>0.0</v>
      </c>
      <c r="Q2287" s="5">
        <v>0.0</v>
      </c>
      <c r="R2287" s="5">
        <v>0.0</v>
      </c>
      <c r="S2287" s="5">
        <v>36.2216990996057</v>
      </c>
    </row>
    <row r="2288">
      <c r="A2288" s="6">
        <v>43676.0</v>
      </c>
      <c r="B2288" s="5">
        <v>48.0744825283449</v>
      </c>
      <c r="C2288" s="5">
        <v>-27.7709497373186</v>
      </c>
      <c r="D2288" s="5">
        <v>98.9409015869654</v>
      </c>
      <c r="E2288" s="5">
        <v>48.0744825283449</v>
      </c>
      <c r="F2288" s="5">
        <v>48.0744825283449</v>
      </c>
      <c r="G2288" s="5">
        <v>-12.1205385375429</v>
      </c>
      <c r="H2288" s="5">
        <v>-12.1205385375429</v>
      </c>
      <c r="I2288" s="5">
        <v>-12.1205385375429</v>
      </c>
      <c r="J2288" s="5">
        <v>-0.144118857243203</v>
      </c>
      <c r="K2288" s="5">
        <v>-0.144118857243203</v>
      </c>
      <c r="L2288" s="5">
        <v>-0.144118857243203</v>
      </c>
      <c r="M2288" s="5">
        <v>-11.9764196802997</v>
      </c>
      <c r="N2288" s="5">
        <v>-11.9764196802997</v>
      </c>
      <c r="O2288" s="5">
        <v>-11.9764196802997</v>
      </c>
      <c r="P2288" s="5">
        <v>0.0</v>
      </c>
      <c r="Q2288" s="5">
        <v>0.0</v>
      </c>
      <c r="R2288" s="5">
        <v>0.0</v>
      </c>
      <c r="S2288" s="5">
        <v>35.9539439908019</v>
      </c>
    </row>
    <row r="2289">
      <c r="A2289" s="6">
        <v>43677.0</v>
      </c>
      <c r="B2289" s="5">
        <v>48.033250380632</v>
      </c>
      <c r="C2289" s="5">
        <v>-23.9295711687839</v>
      </c>
      <c r="D2289" s="5">
        <v>104.364570963358</v>
      </c>
      <c r="E2289" s="5">
        <v>48.033250380632</v>
      </c>
      <c r="F2289" s="5">
        <v>48.033250380632</v>
      </c>
      <c r="G2289" s="5">
        <v>-11.8896135813571</v>
      </c>
      <c r="H2289" s="5">
        <v>-11.8896135813571</v>
      </c>
      <c r="I2289" s="5">
        <v>-11.8896135813571</v>
      </c>
      <c r="J2289" s="5">
        <v>0.00703780528228273</v>
      </c>
      <c r="K2289" s="5">
        <v>0.00703780528228273</v>
      </c>
      <c r="L2289" s="5">
        <v>0.00703780528228273</v>
      </c>
      <c r="M2289" s="5">
        <v>-11.8966513866394</v>
      </c>
      <c r="N2289" s="5">
        <v>-11.8966513866394</v>
      </c>
      <c r="O2289" s="5">
        <v>-11.8966513866394</v>
      </c>
      <c r="P2289" s="5">
        <v>0.0</v>
      </c>
      <c r="Q2289" s="5">
        <v>0.0</v>
      </c>
      <c r="R2289" s="5">
        <v>0.0</v>
      </c>
      <c r="S2289" s="5">
        <v>36.1436367992748</v>
      </c>
    </row>
    <row r="2290">
      <c r="A2290" s="6">
        <v>43678.0</v>
      </c>
      <c r="B2290" s="5">
        <v>47.9920182329191</v>
      </c>
      <c r="C2290" s="5">
        <v>-28.670071636083</v>
      </c>
      <c r="D2290" s="5">
        <v>100.143437939187</v>
      </c>
      <c r="E2290" s="5">
        <v>47.9920182329191</v>
      </c>
      <c r="F2290" s="5">
        <v>47.9920182329191</v>
      </c>
      <c r="G2290" s="5">
        <v>-12.5223662684703</v>
      </c>
      <c r="H2290" s="5">
        <v>-12.5223662684703</v>
      </c>
      <c r="I2290" s="5">
        <v>-12.5223662684703</v>
      </c>
      <c r="J2290" s="5">
        <v>-0.776422525900873</v>
      </c>
      <c r="K2290" s="5">
        <v>-0.776422525900873</v>
      </c>
      <c r="L2290" s="5">
        <v>-0.776422525900873</v>
      </c>
      <c r="M2290" s="5">
        <v>-11.7459437425694</v>
      </c>
      <c r="N2290" s="5">
        <v>-11.7459437425694</v>
      </c>
      <c r="O2290" s="5">
        <v>-11.7459437425694</v>
      </c>
      <c r="P2290" s="5">
        <v>0.0</v>
      </c>
      <c r="Q2290" s="5">
        <v>0.0</v>
      </c>
      <c r="R2290" s="5">
        <v>0.0</v>
      </c>
      <c r="S2290" s="5">
        <v>35.4696519644487</v>
      </c>
    </row>
    <row r="2291">
      <c r="A2291" s="6">
        <v>43679.0</v>
      </c>
      <c r="B2291" s="5">
        <v>47.9507860852062</v>
      </c>
      <c r="C2291" s="5">
        <v>-28.8892078738901</v>
      </c>
      <c r="D2291" s="5">
        <v>102.517521926409</v>
      </c>
      <c r="E2291" s="5">
        <v>47.9507860852062</v>
      </c>
      <c r="F2291" s="5">
        <v>47.9507860852062</v>
      </c>
      <c r="G2291" s="5">
        <v>-13.1183274820301</v>
      </c>
      <c r="H2291" s="5">
        <v>-13.1183274820301</v>
      </c>
      <c r="I2291" s="5">
        <v>-13.1183274820301</v>
      </c>
      <c r="J2291" s="5">
        <v>-1.59155056649262</v>
      </c>
      <c r="K2291" s="5">
        <v>-1.59155056649262</v>
      </c>
      <c r="L2291" s="5">
        <v>-1.59155056649262</v>
      </c>
      <c r="M2291" s="5">
        <v>-11.5267769155375</v>
      </c>
      <c r="N2291" s="5">
        <v>-11.5267769155375</v>
      </c>
      <c r="O2291" s="5">
        <v>-11.5267769155375</v>
      </c>
      <c r="P2291" s="5">
        <v>0.0</v>
      </c>
      <c r="Q2291" s="5">
        <v>0.0</v>
      </c>
      <c r="R2291" s="5">
        <v>0.0</v>
      </c>
      <c r="S2291" s="5">
        <v>34.8324586031761</v>
      </c>
    </row>
    <row r="2292">
      <c r="A2292" s="6">
        <v>43682.0</v>
      </c>
      <c r="B2292" s="5">
        <v>47.8270896420675</v>
      </c>
      <c r="C2292" s="5">
        <v>-25.4065284262264</v>
      </c>
      <c r="D2292" s="5">
        <v>100.135391316697</v>
      </c>
      <c r="E2292" s="5">
        <v>47.8270896420675</v>
      </c>
      <c r="F2292" s="5">
        <v>47.8270896420675</v>
      </c>
      <c r="G2292" s="5">
        <v>-10.4173457765852</v>
      </c>
      <c r="H2292" s="5">
        <v>-10.4173457765852</v>
      </c>
      <c r="I2292" s="5">
        <v>-10.4173457765852</v>
      </c>
      <c r="J2292" s="5">
        <v>0.0905589421241288</v>
      </c>
      <c r="K2292" s="5">
        <v>0.0905589421241288</v>
      </c>
      <c r="L2292" s="5">
        <v>0.0905589421241288</v>
      </c>
      <c r="M2292" s="5">
        <v>-10.5079047187094</v>
      </c>
      <c r="N2292" s="5">
        <v>-10.5079047187094</v>
      </c>
      <c r="O2292" s="5">
        <v>-10.5079047187094</v>
      </c>
      <c r="P2292" s="5">
        <v>0.0</v>
      </c>
      <c r="Q2292" s="5">
        <v>0.0</v>
      </c>
      <c r="R2292" s="5">
        <v>0.0</v>
      </c>
      <c r="S2292" s="5">
        <v>37.4097438654822</v>
      </c>
    </row>
    <row r="2293">
      <c r="A2293" s="6">
        <v>43683.0</v>
      </c>
      <c r="B2293" s="5">
        <v>47.7858574943546</v>
      </c>
      <c r="C2293" s="5">
        <v>-28.0162177395003</v>
      </c>
      <c r="D2293" s="5">
        <v>100.015156219676</v>
      </c>
      <c r="E2293" s="5">
        <v>47.7858574943546</v>
      </c>
      <c r="F2293" s="5">
        <v>47.7858574943546</v>
      </c>
      <c r="G2293" s="5">
        <v>-10.2153448160904</v>
      </c>
      <c r="H2293" s="5">
        <v>-10.2153448160904</v>
      </c>
      <c r="I2293" s="5">
        <v>-10.2153448160904</v>
      </c>
      <c r="J2293" s="5">
        <v>-0.144118857244638</v>
      </c>
      <c r="K2293" s="5">
        <v>-0.144118857244638</v>
      </c>
      <c r="L2293" s="5">
        <v>-0.144118857244638</v>
      </c>
      <c r="M2293" s="5">
        <v>-10.0712259588458</v>
      </c>
      <c r="N2293" s="5">
        <v>-10.0712259588458</v>
      </c>
      <c r="O2293" s="5">
        <v>-10.0712259588458</v>
      </c>
      <c r="P2293" s="5">
        <v>0.0</v>
      </c>
      <c r="Q2293" s="5">
        <v>0.0</v>
      </c>
      <c r="R2293" s="5">
        <v>0.0</v>
      </c>
      <c r="S2293" s="5">
        <v>37.5705126782642</v>
      </c>
    </row>
    <row r="2294">
      <c r="A2294" s="6">
        <v>43684.0</v>
      </c>
      <c r="B2294" s="5">
        <v>47.7446253466417</v>
      </c>
      <c r="C2294" s="5">
        <v>-22.6825938535737</v>
      </c>
      <c r="D2294" s="5">
        <v>100.558145963115</v>
      </c>
      <c r="E2294" s="5">
        <v>47.7446253466417</v>
      </c>
      <c r="F2294" s="5">
        <v>47.7446253466417</v>
      </c>
      <c r="G2294" s="5">
        <v>-9.59335489255195</v>
      </c>
      <c r="H2294" s="5">
        <v>-9.59335489255195</v>
      </c>
      <c r="I2294" s="5">
        <v>-9.59335489255195</v>
      </c>
      <c r="J2294" s="5">
        <v>0.0070378052814303</v>
      </c>
      <c r="K2294" s="5">
        <v>0.0070378052814303</v>
      </c>
      <c r="L2294" s="5">
        <v>0.0070378052814303</v>
      </c>
      <c r="M2294" s="5">
        <v>-9.60039269783338</v>
      </c>
      <c r="N2294" s="5">
        <v>-9.60039269783338</v>
      </c>
      <c r="O2294" s="5">
        <v>-9.60039269783338</v>
      </c>
      <c r="P2294" s="5">
        <v>0.0</v>
      </c>
      <c r="Q2294" s="5">
        <v>0.0</v>
      </c>
      <c r="R2294" s="5">
        <v>0.0</v>
      </c>
      <c r="S2294" s="5">
        <v>38.1512704540898</v>
      </c>
    </row>
    <row r="2295">
      <c r="A2295" s="6">
        <v>43685.0</v>
      </c>
      <c r="B2295" s="5">
        <v>47.7033931989288</v>
      </c>
      <c r="C2295" s="5">
        <v>-29.3345042162014</v>
      </c>
      <c r="D2295" s="5">
        <v>100.993941897495</v>
      </c>
      <c r="E2295" s="5">
        <v>47.7033931989288</v>
      </c>
      <c r="F2295" s="5">
        <v>47.7033931989288</v>
      </c>
      <c r="G2295" s="5">
        <v>-9.88149680838967</v>
      </c>
      <c r="H2295" s="5">
        <v>-9.88149680838967</v>
      </c>
      <c r="I2295" s="5">
        <v>-9.88149680838967</v>
      </c>
      <c r="J2295" s="5">
        <v>-0.77642252590012</v>
      </c>
      <c r="K2295" s="5">
        <v>-0.77642252590012</v>
      </c>
      <c r="L2295" s="5">
        <v>-0.77642252590012</v>
      </c>
      <c r="M2295" s="5">
        <v>-9.10507428248955</v>
      </c>
      <c r="N2295" s="5">
        <v>-9.10507428248955</v>
      </c>
      <c r="O2295" s="5">
        <v>-9.10507428248955</v>
      </c>
      <c r="P2295" s="5">
        <v>0.0</v>
      </c>
      <c r="Q2295" s="5">
        <v>0.0</v>
      </c>
      <c r="R2295" s="5">
        <v>0.0</v>
      </c>
      <c r="S2295" s="5">
        <v>37.8218963905391</v>
      </c>
    </row>
    <row r="2296">
      <c r="A2296" s="6">
        <v>43686.0</v>
      </c>
      <c r="B2296" s="5">
        <v>47.6621610512159</v>
      </c>
      <c r="C2296" s="5">
        <v>-25.2958201256271</v>
      </c>
      <c r="D2296" s="5">
        <v>103.893836024985</v>
      </c>
      <c r="E2296" s="5">
        <v>47.6621610512159</v>
      </c>
      <c r="F2296" s="5">
        <v>47.6621610512159</v>
      </c>
      <c r="G2296" s="5">
        <v>-10.1867839752969</v>
      </c>
      <c r="H2296" s="5">
        <v>-10.1867839752969</v>
      </c>
      <c r="I2296" s="5">
        <v>-10.1867839752969</v>
      </c>
      <c r="J2296" s="5">
        <v>-1.59155056649413</v>
      </c>
      <c r="K2296" s="5">
        <v>-1.59155056649413</v>
      </c>
      <c r="L2296" s="5">
        <v>-1.59155056649413</v>
      </c>
      <c r="M2296" s="5">
        <v>-8.59523340880282</v>
      </c>
      <c r="N2296" s="5">
        <v>-8.59523340880282</v>
      </c>
      <c r="O2296" s="5">
        <v>-8.59523340880282</v>
      </c>
      <c r="P2296" s="5">
        <v>0.0</v>
      </c>
      <c r="Q2296" s="5">
        <v>0.0</v>
      </c>
      <c r="R2296" s="5">
        <v>0.0</v>
      </c>
      <c r="S2296" s="5">
        <v>37.475377075919</v>
      </c>
    </row>
    <row r="2297">
      <c r="A2297" s="6">
        <v>43689.0</v>
      </c>
      <c r="B2297" s="5">
        <v>47.5384646080772</v>
      </c>
      <c r="C2297" s="5">
        <v>-19.8642029097687</v>
      </c>
      <c r="D2297" s="5">
        <v>103.505978436363</v>
      </c>
      <c r="E2297" s="5">
        <v>47.5384646080772</v>
      </c>
      <c r="F2297" s="5">
        <v>47.5384646080772</v>
      </c>
      <c r="G2297" s="5">
        <v>-6.98587100923886</v>
      </c>
      <c r="H2297" s="5">
        <v>-6.98587100923886</v>
      </c>
      <c r="I2297" s="5">
        <v>-6.98587100923886</v>
      </c>
      <c r="J2297" s="5">
        <v>0.0905589421203075</v>
      </c>
      <c r="K2297" s="5">
        <v>0.0905589421203075</v>
      </c>
      <c r="L2297" s="5">
        <v>0.0905589421203075</v>
      </c>
      <c r="M2297" s="5">
        <v>-7.07642995135917</v>
      </c>
      <c r="N2297" s="5">
        <v>-7.07642995135917</v>
      </c>
      <c r="O2297" s="5">
        <v>-7.07642995135917</v>
      </c>
      <c r="P2297" s="5">
        <v>0.0</v>
      </c>
      <c r="Q2297" s="5">
        <v>0.0</v>
      </c>
      <c r="R2297" s="5">
        <v>0.0</v>
      </c>
      <c r="S2297" s="5">
        <v>40.5525935988384</v>
      </c>
    </row>
    <row r="2298">
      <c r="A2298" s="6">
        <v>43690.0</v>
      </c>
      <c r="B2298" s="5">
        <v>47.4972324603643</v>
      </c>
      <c r="C2298" s="5">
        <v>-21.1624364661401</v>
      </c>
      <c r="D2298" s="5">
        <v>103.361511675515</v>
      </c>
      <c r="E2298" s="5">
        <v>47.4972324603643</v>
      </c>
      <c r="F2298" s="5">
        <v>47.4972324603643</v>
      </c>
      <c r="G2298" s="5">
        <v>-6.74792277172565</v>
      </c>
      <c r="H2298" s="5">
        <v>-6.74792277172565</v>
      </c>
      <c r="I2298" s="5">
        <v>-6.74792277172565</v>
      </c>
      <c r="J2298" s="5">
        <v>-0.14411885724355</v>
      </c>
      <c r="K2298" s="5">
        <v>-0.14411885724355</v>
      </c>
      <c r="L2298" s="5">
        <v>-0.14411885724355</v>
      </c>
      <c r="M2298" s="5">
        <v>-6.6038039144821</v>
      </c>
      <c r="N2298" s="5">
        <v>-6.6038039144821</v>
      </c>
      <c r="O2298" s="5">
        <v>-6.6038039144821</v>
      </c>
      <c r="P2298" s="5">
        <v>0.0</v>
      </c>
      <c r="Q2298" s="5">
        <v>0.0</v>
      </c>
      <c r="R2298" s="5">
        <v>0.0</v>
      </c>
      <c r="S2298" s="5">
        <v>40.7493096886386</v>
      </c>
    </row>
    <row r="2299">
      <c r="A2299" s="6">
        <v>43691.0</v>
      </c>
      <c r="B2299" s="5">
        <v>47.4560003126514</v>
      </c>
      <c r="C2299" s="5">
        <v>-21.2474605166277</v>
      </c>
      <c r="D2299" s="5">
        <v>103.885206997548</v>
      </c>
      <c r="E2299" s="5">
        <v>47.4560003126514</v>
      </c>
      <c r="F2299" s="5">
        <v>47.4560003126514</v>
      </c>
      <c r="G2299" s="5">
        <v>-6.15384171946225</v>
      </c>
      <c r="H2299" s="5">
        <v>-6.15384171946225</v>
      </c>
      <c r="I2299" s="5">
        <v>-6.15384171946225</v>
      </c>
      <c r="J2299" s="5">
        <v>0.00703780528373264</v>
      </c>
      <c r="K2299" s="5">
        <v>0.00703780528373264</v>
      </c>
      <c r="L2299" s="5">
        <v>0.00703780528373264</v>
      </c>
      <c r="M2299" s="5">
        <v>-6.16087952474599</v>
      </c>
      <c r="N2299" s="5">
        <v>-6.16087952474599</v>
      </c>
      <c r="O2299" s="5">
        <v>-6.16087952474599</v>
      </c>
      <c r="P2299" s="5">
        <v>0.0</v>
      </c>
      <c r="Q2299" s="5">
        <v>0.0</v>
      </c>
      <c r="R2299" s="5">
        <v>0.0</v>
      </c>
      <c r="S2299" s="5">
        <v>41.3021585931891</v>
      </c>
    </row>
    <row r="2300">
      <c r="A2300" s="6">
        <v>43692.0</v>
      </c>
      <c r="B2300" s="5">
        <v>47.4147681649385</v>
      </c>
      <c r="C2300" s="5">
        <v>-23.3829572399421</v>
      </c>
      <c r="D2300" s="5">
        <v>98.7370719565725</v>
      </c>
      <c r="E2300" s="5">
        <v>47.4147681649385</v>
      </c>
      <c r="F2300" s="5">
        <v>47.4147681649385</v>
      </c>
      <c r="G2300" s="5">
        <v>-6.53007526082234</v>
      </c>
      <c r="H2300" s="5">
        <v>-6.53007526082234</v>
      </c>
      <c r="I2300" s="5">
        <v>-6.53007526082234</v>
      </c>
      <c r="J2300" s="5">
        <v>-0.776422525900842</v>
      </c>
      <c r="K2300" s="5">
        <v>-0.776422525900842</v>
      </c>
      <c r="L2300" s="5">
        <v>-0.776422525900842</v>
      </c>
      <c r="M2300" s="5">
        <v>-5.7536527349215</v>
      </c>
      <c r="N2300" s="5">
        <v>-5.7536527349215</v>
      </c>
      <c r="O2300" s="5">
        <v>-5.7536527349215</v>
      </c>
      <c r="P2300" s="5">
        <v>0.0</v>
      </c>
      <c r="Q2300" s="5">
        <v>0.0</v>
      </c>
      <c r="R2300" s="5">
        <v>0.0</v>
      </c>
      <c r="S2300" s="5">
        <v>40.8846929041162</v>
      </c>
    </row>
    <row r="2301">
      <c r="A2301" s="6">
        <v>43693.0</v>
      </c>
      <c r="B2301" s="5">
        <v>47.3735360172256</v>
      </c>
      <c r="C2301" s="5">
        <v>-20.5305102527852</v>
      </c>
      <c r="D2301" s="5">
        <v>107.041814274948</v>
      </c>
      <c r="E2301" s="5">
        <v>47.3735360172256</v>
      </c>
      <c r="F2301" s="5">
        <v>47.3735360172256</v>
      </c>
      <c r="G2301" s="5">
        <v>-6.97829453612054</v>
      </c>
      <c r="H2301" s="5">
        <v>-6.97829453612054</v>
      </c>
      <c r="I2301" s="5">
        <v>-6.97829453612054</v>
      </c>
      <c r="J2301" s="5">
        <v>-1.59155056649289</v>
      </c>
      <c r="K2301" s="5">
        <v>-1.59155056649289</v>
      </c>
      <c r="L2301" s="5">
        <v>-1.59155056649289</v>
      </c>
      <c r="M2301" s="5">
        <v>-5.38674396962765</v>
      </c>
      <c r="N2301" s="5">
        <v>-5.38674396962765</v>
      </c>
      <c r="O2301" s="5">
        <v>-5.38674396962765</v>
      </c>
      <c r="P2301" s="5">
        <v>0.0</v>
      </c>
      <c r="Q2301" s="5">
        <v>0.0</v>
      </c>
      <c r="R2301" s="5">
        <v>0.0</v>
      </c>
      <c r="S2301" s="5">
        <v>40.3952414811051</v>
      </c>
    </row>
    <row r="2302">
      <c r="A2302" s="6">
        <v>43696.0</v>
      </c>
      <c r="B2302" s="5">
        <v>47.2498395740869</v>
      </c>
      <c r="C2302" s="5">
        <v>-21.0624006147248</v>
      </c>
      <c r="D2302" s="5">
        <v>104.824625678402</v>
      </c>
      <c r="E2302" s="5">
        <v>47.2498395740869</v>
      </c>
      <c r="F2302" s="5">
        <v>47.2498395740869</v>
      </c>
      <c r="G2302" s="5">
        <v>-4.46123903703536</v>
      </c>
      <c r="H2302" s="5">
        <v>-4.46123903703536</v>
      </c>
      <c r="I2302" s="5">
        <v>-4.46123903703536</v>
      </c>
      <c r="J2302" s="5">
        <v>0.0905589421237179</v>
      </c>
      <c r="K2302" s="5">
        <v>0.0905589421237179</v>
      </c>
      <c r="L2302" s="5">
        <v>0.0905589421237179</v>
      </c>
      <c r="M2302" s="5">
        <v>-4.55179797915908</v>
      </c>
      <c r="N2302" s="5">
        <v>-4.55179797915908</v>
      </c>
      <c r="O2302" s="5">
        <v>-4.55179797915908</v>
      </c>
      <c r="P2302" s="5">
        <v>0.0</v>
      </c>
      <c r="Q2302" s="5">
        <v>0.0</v>
      </c>
      <c r="R2302" s="5">
        <v>0.0</v>
      </c>
      <c r="S2302" s="5">
        <v>42.7886005370515</v>
      </c>
    </row>
    <row r="2303">
      <c r="A2303" s="6">
        <v>43697.0</v>
      </c>
      <c r="B2303" s="5">
        <v>47.208607426374</v>
      </c>
      <c r="C2303" s="5">
        <v>-22.7275833481739</v>
      </c>
      <c r="D2303" s="5">
        <v>106.362471058159</v>
      </c>
      <c r="E2303" s="5">
        <v>47.208607426374</v>
      </c>
      <c r="F2303" s="5">
        <v>47.208607426374</v>
      </c>
      <c r="G2303" s="5">
        <v>-4.5066029044008</v>
      </c>
      <c r="H2303" s="5">
        <v>-4.5066029044008</v>
      </c>
      <c r="I2303" s="5">
        <v>-4.5066029044008</v>
      </c>
      <c r="J2303" s="5">
        <v>-0.1441188572464</v>
      </c>
      <c r="K2303" s="5">
        <v>-0.1441188572464</v>
      </c>
      <c r="L2303" s="5">
        <v>-0.1441188572464</v>
      </c>
      <c r="M2303" s="5">
        <v>-4.3624840471544</v>
      </c>
      <c r="N2303" s="5">
        <v>-4.3624840471544</v>
      </c>
      <c r="O2303" s="5">
        <v>-4.3624840471544</v>
      </c>
      <c r="P2303" s="5">
        <v>0.0</v>
      </c>
      <c r="Q2303" s="5">
        <v>0.0</v>
      </c>
      <c r="R2303" s="5">
        <v>0.0</v>
      </c>
      <c r="S2303" s="5">
        <v>42.7020045219732</v>
      </c>
    </row>
    <row r="2304">
      <c r="A2304" s="6">
        <v>43698.0</v>
      </c>
      <c r="B2304" s="5">
        <v>47.1673752786611</v>
      </c>
      <c r="C2304" s="5">
        <v>-25.4307586961858</v>
      </c>
      <c r="D2304" s="5">
        <v>104.605910277085</v>
      </c>
      <c r="E2304" s="5">
        <v>47.1673752786611</v>
      </c>
      <c r="F2304" s="5">
        <v>47.1673752786611</v>
      </c>
      <c r="G2304" s="5">
        <v>-4.20723927406027</v>
      </c>
      <c r="H2304" s="5">
        <v>-4.20723927406027</v>
      </c>
      <c r="I2304" s="5">
        <v>-4.20723927406027</v>
      </c>
      <c r="J2304" s="5">
        <v>0.00703780528071646</v>
      </c>
      <c r="K2304" s="5">
        <v>0.00703780528071646</v>
      </c>
      <c r="L2304" s="5">
        <v>0.00703780528071646</v>
      </c>
      <c r="M2304" s="5">
        <v>-4.21427707934098</v>
      </c>
      <c r="N2304" s="5">
        <v>-4.21427707934098</v>
      </c>
      <c r="O2304" s="5">
        <v>-4.21427707934098</v>
      </c>
      <c r="P2304" s="5">
        <v>0.0</v>
      </c>
      <c r="Q2304" s="5">
        <v>0.0</v>
      </c>
      <c r="R2304" s="5">
        <v>0.0</v>
      </c>
      <c r="S2304" s="5">
        <v>42.9601360046008</v>
      </c>
    </row>
    <row r="2305">
      <c r="A2305" s="6">
        <v>43699.0</v>
      </c>
      <c r="B2305" s="5">
        <v>47.1261431309482</v>
      </c>
      <c r="C2305" s="5">
        <v>-16.9262470281169</v>
      </c>
      <c r="D2305" s="5">
        <v>109.43327438174</v>
      </c>
      <c r="E2305" s="5">
        <v>47.1261431309482</v>
      </c>
      <c r="F2305" s="5">
        <v>47.1261431309482</v>
      </c>
      <c r="G2305" s="5">
        <v>-4.87964131091841</v>
      </c>
      <c r="H2305" s="5">
        <v>-4.87964131091841</v>
      </c>
      <c r="I2305" s="5">
        <v>-4.87964131091841</v>
      </c>
      <c r="J2305" s="5">
        <v>-0.776422525901564</v>
      </c>
      <c r="K2305" s="5">
        <v>-0.776422525901564</v>
      </c>
      <c r="L2305" s="5">
        <v>-0.776422525901564</v>
      </c>
      <c r="M2305" s="5">
        <v>-4.10321878501684</v>
      </c>
      <c r="N2305" s="5">
        <v>-4.10321878501684</v>
      </c>
      <c r="O2305" s="5">
        <v>-4.10321878501684</v>
      </c>
      <c r="P2305" s="5">
        <v>0.0</v>
      </c>
      <c r="Q2305" s="5">
        <v>0.0</v>
      </c>
      <c r="R2305" s="5">
        <v>0.0</v>
      </c>
      <c r="S2305" s="5">
        <v>42.2465018200298</v>
      </c>
    </row>
    <row r="2306">
      <c r="A2306" s="6">
        <v>43700.0</v>
      </c>
      <c r="B2306" s="5">
        <v>47.0849109832353</v>
      </c>
      <c r="C2306" s="5">
        <v>-26.0376023027223</v>
      </c>
      <c r="D2306" s="5">
        <v>102.045132586865</v>
      </c>
      <c r="E2306" s="5">
        <v>47.0849109832353</v>
      </c>
      <c r="F2306" s="5">
        <v>47.0849109832353</v>
      </c>
      <c r="G2306" s="5">
        <v>-5.61585537059392</v>
      </c>
      <c r="H2306" s="5">
        <v>-5.61585537059392</v>
      </c>
      <c r="I2306" s="5">
        <v>-5.61585537059392</v>
      </c>
      <c r="J2306" s="5">
        <v>-1.59155056649228</v>
      </c>
      <c r="K2306" s="5">
        <v>-1.59155056649228</v>
      </c>
      <c r="L2306" s="5">
        <v>-1.59155056649228</v>
      </c>
      <c r="M2306" s="5">
        <v>-4.02430480410163</v>
      </c>
      <c r="N2306" s="5">
        <v>-4.02430480410163</v>
      </c>
      <c r="O2306" s="5">
        <v>-4.02430480410163</v>
      </c>
      <c r="P2306" s="5">
        <v>0.0</v>
      </c>
      <c r="Q2306" s="5">
        <v>0.0</v>
      </c>
      <c r="R2306" s="5">
        <v>0.0</v>
      </c>
      <c r="S2306" s="5">
        <v>41.4690556126414</v>
      </c>
    </row>
    <row r="2307">
      <c r="A2307" s="6">
        <v>43703.0</v>
      </c>
      <c r="B2307" s="5">
        <v>46.9612145400966</v>
      </c>
      <c r="C2307" s="5">
        <v>-16.2871292514784</v>
      </c>
      <c r="D2307" s="5">
        <v>105.385770791375</v>
      </c>
      <c r="E2307" s="5">
        <v>46.9612145400966</v>
      </c>
      <c r="F2307" s="5">
        <v>46.9612145400966</v>
      </c>
      <c r="G2307" s="5">
        <v>-3.8287995934212</v>
      </c>
      <c r="H2307" s="5">
        <v>-3.8287995934212</v>
      </c>
      <c r="I2307" s="5">
        <v>-3.8287995934212</v>
      </c>
      <c r="J2307" s="5">
        <v>0.0905589421222805</v>
      </c>
      <c r="K2307" s="5">
        <v>0.0905589421222805</v>
      </c>
      <c r="L2307" s="5">
        <v>0.0905589421222805</v>
      </c>
      <c r="M2307" s="5">
        <v>-3.91935853554348</v>
      </c>
      <c r="N2307" s="5">
        <v>-3.91935853554348</v>
      </c>
      <c r="O2307" s="5">
        <v>-3.91935853554348</v>
      </c>
      <c r="P2307" s="5">
        <v>0.0</v>
      </c>
      <c r="Q2307" s="5">
        <v>0.0</v>
      </c>
      <c r="R2307" s="5">
        <v>0.0</v>
      </c>
      <c r="S2307" s="5">
        <v>43.1324149466754</v>
      </c>
    </row>
    <row r="2308">
      <c r="A2308" s="6">
        <v>43704.0</v>
      </c>
      <c r="B2308" s="5">
        <v>46.9199823923837</v>
      </c>
      <c r="C2308" s="5">
        <v>-20.4689252676496</v>
      </c>
      <c r="D2308" s="5">
        <v>104.17525017703</v>
      </c>
      <c r="E2308" s="5">
        <v>46.9199823923837</v>
      </c>
      <c r="F2308" s="5">
        <v>46.9199823923837</v>
      </c>
      <c r="G2308" s="5">
        <v>-4.05014486532951</v>
      </c>
      <c r="H2308" s="5">
        <v>-4.05014486532951</v>
      </c>
      <c r="I2308" s="5">
        <v>-4.05014486532951</v>
      </c>
      <c r="J2308" s="5">
        <v>-0.144118857247835</v>
      </c>
      <c r="K2308" s="5">
        <v>-0.144118857247835</v>
      </c>
      <c r="L2308" s="5">
        <v>-0.144118857247835</v>
      </c>
      <c r="M2308" s="5">
        <v>-3.90602600808167</v>
      </c>
      <c r="N2308" s="5">
        <v>-3.90602600808167</v>
      </c>
      <c r="O2308" s="5">
        <v>-3.90602600808167</v>
      </c>
      <c r="P2308" s="5">
        <v>0.0</v>
      </c>
      <c r="Q2308" s="5">
        <v>0.0</v>
      </c>
      <c r="R2308" s="5">
        <v>0.0</v>
      </c>
      <c r="S2308" s="5">
        <v>42.8698375270542</v>
      </c>
    </row>
    <row r="2309">
      <c r="A2309" s="6">
        <v>43705.0</v>
      </c>
      <c r="B2309" s="5">
        <v>46.8787502446708</v>
      </c>
      <c r="C2309" s="5">
        <v>-16.387096247096</v>
      </c>
      <c r="D2309" s="5">
        <v>106.252681718463</v>
      </c>
      <c r="E2309" s="5">
        <v>46.8787502446708</v>
      </c>
      <c r="F2309" s="5">
        <v>46.8787502446708</v>
      </c>
      <c r="G2309" s="5">
        <v>-3.88529886189916</v>
      </c>
      <c r="H2309" s="5">
        <v>-3.88529886189916</v>
      </c>
      <c r="I2309" s="5">
        <v>-3.88529886189916</v>
      </c>
      <c r="J2309" s="5">
        <v>0.0070378052830188</v>
      </c>
      <c r="K2309" s="5">
        <v>0.0070378052830188</v>
      </c>
      <c r="L2309" s="5">
        <v>0.0070378052830188</v>
      </c>
      <c r="M2309" s="5">
        <v>-3.89233666718218</v>
      </c>
      <c r="N2309" s="5">
        <v>-3.89233666718218</v>
      </c>
      <c r="O2309" s="5">
        <v>-3.89233666718218</v>
      </c>
      <c r="P2309" s="5">
        <v>0.0</v>
      </c>
      <c r="Q2309" s="5">
        <v>0.0</v>
      </c>
      <c r="R2309" s="5">
        <v>0.0</v>
      </c>
      <c r="S2309" s="5">
        <v>42.9934513827716</v>
      </c>
    </row>
    <row r="2310">
      <c r="A2310" s="6">
        <v>43706.0</v>
      </c>
      <c r="B2310" s="5">
        <v>46.8375180969579</v>
      </c>
      <c r="C2310" s="5">
        <v>-19.2988618317786</v>
      </c>
      <c r="D2310" s="5">
        <v>102.270834829499</v>
      </c>
      <c r="E2310" s="5">
        <v>46.8375180969579</v>
      </c>
      <c r="F2310" s="5">
        <v>46.8375180969579</v>
      </c>
      <c r="G2310" s="5">
        <v>-4.64853016652853</v>
      </c>
      <c r="H2310" s="5">
        <v>-4.64853016652853</v>
      </c>
      <c r="I2310" s="5">
        <v>-4.64853016652853</v>
      </c>
      <c r="J2310" s="5">
        <v>-0.776422525902286</v>
      </c>
      <c r="K2310" s="5">
        <v>-0.776422525902286</v>
      </c>
      <c r="L2310" s="5">
        <v>-0.776422525902286</v>
      </c>
      <c r="M2310" s="5">
        <v>-3.87210764062624</v>
      </c>
      <c r="N2310" s="5">
        <v>-3.87210764062624</v>
      </c>
      <c r="O2310" s="5">
        <v>-3.87210764062624</v>
      </c>
      <c r="P2310" s="5">
        <v>0.0</v>
      </c>
      <c r="Q2310" s="5">
        <v>0.0</v>
      </c>
      <c r="R2310" s="5">
        <v>0.0</v>
      </c>
      <c r="S2310" s="5">
        <v>42.1889879304294</v>
      </c>
    </row>
    <row r="2311">
      <c r="A2311" s="6">
        <v>43707.0</v>
      </c>
      <c r="B2311" s="5">
        <v>46.796285949245</v>
      </c>
      <c r="C2311" s="5">
        <v>-21.8316025635659</v>
      </c>
      <c r="D2311" s="5">
        <v>104.3888158128</v>
      </c>
      <c r="E2311" s="5">
        <v>46.796285949245</v>
      </c>
      <c r="F2311" s="5">
        <v>46.796285949245</v>
      </c>
      <c r="G2311" s="5">
        <v>-5.43140123768322</v>
      </c>
      <c r="H2311" s="5">
        <v>-5.43140123768322</v>
      </c>
      <c r="I2311" s="5">
        <v>-5.43140123768322</v>
      </c>
      <c r="J2311" s="5">
        <v>-1.59155056649378</v>
      </c>
      <c r="K2311" s="5">
        <v>-1.59155056649378</v>
      </c>
      <c r="L2311" s="5">
        <v>-1.59155056649378</v>
      </c>
      <c r="M2311" s="5">
        <v>-3.83985067118943</v>
      </c>
      <c r="N2311" s="5">
        <v>-3.83985067118943</v>
      </c>
      <c r="O2311" s="5">
        <v>-3.83985067118943</v>
      </c>
      <c r="P2311" s="5">
        <v>0.0</v>
      </c>
      <c r="Q2311" s="5">
        <v>0.0</v>
      </c>
      <c r="R2311" s="5">
        <v>0.0</v>
      </c>
      <c r="S2311" s="5">
        <v>41.3648847115618</v>
      </c>
    </row>
    <row r="2312">
      <c r="A2312" s="6">
        <v>43711.0</v>
      </c>
      <c r="B2312" s="5">
        <v>46.6313573583934</v>
      </c>
      <c r="C2312" s="5">
        <v>-23.7743756262973</v>
      </c>
      <c r="D2312" s="5">
        <v>101.330756940861</v>
      </c>
      <c r="E2312" s="5">
        <v>46.6313573583934</v>
      </c>
      <c r="F2312" s="5">
        <v>46.6313573583934</v>
      </c>
      <c r="G2312" s="5">
        <v>-3.66028867446392</v>
      </c>
      <c r="H2312" s="5">
        <v>-3.66028867446392</v>
      </c>
      <c r="I2312" s="5">
        <v>-3.66028867446392</v>
      </c>
      <c r="J2312" s="5">
        <v>-0.144118857244224</v>
      </c>
      <c r="K2312" s="5">
        <v>-0.144118857244224</v>
      </c>
      <c r="L2312" s="5">
        <v>-0.144118857244224</v>
      </c>
      <c r="M2312" s="5">
        <v>-3.5161698172197</v>
      </c>
      <c r="N2312" s="5">
        <v>-3.5161698172197</v>
      </c>
      <c r="O2312" s="5">
        <v>-3.5161698172197</v>
      </c>
      <c r="P2312" s="5">
        <v>0.0</v>
      </c>
      <c r="Q2312" s="5">
        <v>0.0</v>
      </c>
      <c r="R2312" s="5">
        <v>0.0</v>
      </c>
      <c r="S2312" s="5">
        <v>42.9710686839295</v>
      </c>
    </row>
    <row r="2313">
      <c r="A2313" s="6">
        <v>43712.0</v>
      </c>
      <c r="B2313" s="5">
        <v>46.5901252106805</v>
      </c>
      <c r="C2313" s="5">
        <v>-18.5663999598458</v>
      </c>
      <c r="D2313" s="5">
        <v>108.550600638872</v>
      </c>
      <c r="E2313" s="5">
        <v>46.5901252106805</v>
      </c>
      <c r="F2313" s="5">
        <v>46.5901252106805</v>
      </c>
      <c r="G2313" s="5">
        <v>-3.37178573751331</v>
      </c>
      <c r="H2313" s="5">
        <v>-3.37178573751331</v>
      </c>
      <c r="I2313" s="5">
        <v>-3.37178573751331</v>
      </c>
      <c r="J2313" s="5">
        <v>0.00703780528099406</v>
      </c>
      <c r="K2313" s="5">
        <v>0.00703780528099406</v>
      </c>
      <c r="L2313" s="5">
        <v>0.00703780528099406</v>
      </c>
      <c r="M2313" s="5">
        <v>-3.37882354279431</v>
      </c>
      <c r="N2313" s="5">
        <v>-3.37882354279431</v>
      </c>
      <c r="O2313" s="5">
        <v>-3.37882354279431</v>
      </c>
      <c r="P2313" s="5">
        <v>0.0</v>
      </c>
      <c r="Q2313" s="5">
        <v>0.0</v>
      </c>
      <c r="R2313" s="5">
        <v>0.0</v>
      </c>
      <c r="S2313" s="5">
        <v>43.2183394731672</v>
      </c>
    </row>
    <row r="2314">
      <c r="A2314" s="6">
        <v>43713.0</v>
      </c>
      <c r="B2314" s="5">
        <v>46.5488930629676</v>
      </c>
      <c r="C2314" s="5">
        <v>-19.4207378662276</v>
      </c>
      <c r="D2314" s="5">
        <v>100.139780913257</v>
      </c>
      <c r="E2314" s="5">
        <v>46.5488930629676</v>
      </c>
      <c r="F2314" s="5">
        <v>46.5488930629676</v>
      </c>
      <c r="G2314" s="5">
        <v>-3.99697713929049</v>
      </c>
      <c r="H2314" s="5">
        <v>-3.99697713929049</v>
      </c>
      <c r="I2314" s="5">
        <v>-3.99697713929049</v>
      </c>
      <c r="J2314" s="5">
        <v>-0.776422525901533</v>
      </c>
      <c r="K2314" s="5">
        <v>-0.776422525901533</v>
      </c>
      <c r="L2314" s="5">
        <v>-0.776422525901533</v>
      </c>
      <c r="M2314" s="5">
        <v>-3.22055461338896</v>
      </c>
      <c r="N2314" s="5">
        <v>-3.22055461338896</v>
      </c>
      <c r="O2314" s="5">
        <v>-3.22055461338896</v>
      </c>
      <c r="P2314" s="5">
        <v>0.0</v>
      </c>
      <c r="Q2314" s="5">
        <v>0.0</v>
      </c>
      <c r="R2314" s="5">
        <v>0.0</v>
      </c>
      <c r="S2314" s="5">
        <v>42.5519159236771</v>
      </c>
    </row>
    <row r="2315">
      <c r="A2315" s="6">
        <v>43714.0</v>
      </c>
      <c r="B2315" s="5">
        <v>46.5076609152547</v>
      </c>
      <c r="C2315" s="5">
        <v>-18.2332312350755</v>
      </c>
      <c r="D2315" s="5">
        <v>106.43732548639</v>
      </c>
      <c r="E2315" s="5">
        <v>46.5076609152547</v>
      </c>
      <c r="F2315" s="5">
        <v>46.5076609152547</v>
      </c>
      <c r="G2315" s="5">
        <v>-4.63612092322302</v>
      </c>
      <c r="H2315" s="5">
        <v>-4.63612092322302</v>
      </c>
      <c r="I2315" s="5">
        <v>-4.63612092322302</v>
      </c>
      <c r="J2315" s="5">
        <v>-1.59155056649286</v>
      </c>
      <c r="K2315" s="5">
        <v>-1.59155056649286</v>
      </c>
      <c r="L2315" s="5">
        <v>-1.59155056649286</v>
      </c>
      <c r="M2315" s="5">
        <v>-3.04457035673016</v>
      </c>
      <c r="N2315" s="5">
        <v>-3.04457035673016</v>
      </c>
      <c r="O2315" s="5">
        <v>-3.04457035673016</v>
      </c>
      <c r="P2315" s="5">
        <v>0.0</v>
      </c>
      <c r="Q2315" s="5">
        <v>0.0</v>
      </c>
      <c r="R2315" s="5">
        <v>0.0</v>
      </c>
      <c r="S2315" s="5">
        <v>41.8715399920317</v>
      </c>
    </row>
    <row r="2316">
      <c r="A2316" s="6">
        <v>43717.0</v>
      </c>
      <c r="B2316" s="5">
        <v>46.383964472116</v>
      </c>
      <c r="C2316" s="5">
        <v>-19.2549777195361</v>
      </c>
      <c r="D2316" s="5">
        <v>106.827902047012</v>
      </c>
      <c r="E2316" s="5">
        <v>46.383964472116</v>
      </c>
      <c r="F2316" s="5">
        <v>46.383964472116</v>
      </c>
      <c r="G2316" s="5">
        <v>-2.36964833453959</v>
      </c>
      <c r="H2316" s="5">
        <v>-2.36964833453959</v>
      </c>
      <c r="I2316" s="5">
        <v>-2.36964833453959</v>
      </c>
      <c r="J2316" s="5">
        <v>0.0905589421194057</v>
      </c>
      <c r="K2316" s="5">
        <v>0.0905589421194057</v>
      </c>
      <c r="L2316" s="5">
        <v>0.0905589421194057</v>
      </c>
      <c r="M2316" s="5">
        <v>-2.46020727665899</v>
      </c>
      <c r="N2316" s="5">
        <v>-2.46020727665899</v>
      </c>
      <c r="O2316" s="5">
        <v>-2.46020727665899</v>
      </c>
      <c r="P2316" s="5">
        <v>0.0</v>
      </c>
      <c r="Q2316" s="5">
        <v>0.0</v>
      </c>
      <c r="R2316" s="5">
        <v>0.0</v>
      </c>
      <c r="S2316" s="5">
        <v>44.0143161375764</v>
      </c>
    </row>
    <row r="2317">
      <c r="A2317" s="6">
        <v>43718.0</v>
      </c>
      <c r="B2317" s="5">
        <v>46.3427323244031</v>
      </c>
      <c r="C2317" s="5">
        <v>-19.8233937326864</v>
      </c>
      <c r="D2317" s="5">
        <v>107.425403557416</v>
      </c>
      <c r="E2317" s="5">
        <v>46.3427323244031</v>
      </c>
      <c r="F2317" s="5">
        <v>46.3427323244031</v>
      </c>
      <c r="G2317" s="5">
        <v>-2.41210586205439</v>
      </c>
      <c r="H2317" s="5">
        <v>-2.41210586205439</v>
      </c>
      <c r="I2317" s="5">
        <v>-2.41210586205439</v>
      </c>
      <c r="J2317" s="5">
        <v>-0.144118857247074</v>
      </c>
      <c r="K2317" s="5">
        <v>-0.144118857247074</v>
      </c>
      <c r="L2317" s="5">
        <v>-0.144118857247074</v>
      </c>
      <c r="M2317" s="5">
        <v>-2.26798700480732</v>
      </c>
      <c r="N2317" s="5">
        <v>-2.26798700480732</v>
      </c>
      <c r="O2317" s="5">
        <v>-2.26798700480732</v>
      </c>
      <c r="P2317" s="5">
        <v>0.0</v>
      </c>
      <c r="Q2317" s="5">
        <v>0.0</v>
      </c>
      <c r="R2317" s="5">
        <v>0.0</v>
      </c>
      <c r="S2317" s="5">
        <v>43.9306264623487</v>
      </c>
    </row>
    <row r="2318">
      <c r="A2318" s="6">
        <v>43719.0</v>
      </c>
      <c r="B2318" s="5">
        <v>46.3015001766902</v>
      </c>
      <c r="C2318" s="5">
        <v>-24.625767126351</v>
      </c>
      <c r="D2318" s="5">
        <v>107.292373829597</v>
      </c>
      <c r="E2318" s="5">
        <v>46.3015001766902</v>
      </c>
      <c r="F2318" s="5">
        <v>46.3015001766902</v>
      </c>
      <c r="G2318" s="5">
        <v>-2.08229916022161</v>
      </c>
      <c r="H2318" s="5">
        <v>-2.08229916022161</v>
      </c>
      <c r="I2318" s="5">
        <v>-2.08229916022161</v>
      </c>
      <c r="J2318" s="5">
        <v>0.00703780528230509</v>
      </c>
      <c r="K2318" s="5">
        <v>0.00703780528230509</v>
      </c>
      <c r="L2318" s="5">
        <v>0.00703780528230509</v>
      </c>
      <c r="M2318" s="5">
        <v>-2.08933696550391</v>
      </c>
      <c r="N2318" s="5">
        <v>-2.08933696550391</v>
      </c>
      <c r="O2318" s="5">
        <v>-2.08933696550391</v>
      </c>
      <c r="P2318" s="5">
        <v>0.0</v>
      </c>
      <c r="Q2318" s="5">
        <v>0.0</v>
      </c>
      <c r="R2318" s="5">
        <v>0.0</v>
      </c>
      <c r="S2318" s="5">
        <v>44.2192010164686</v>
      </c>
    </row>
    <row r="2319">
      <c r="A2319" s="6">
        <v>43720.0</v>
      </c>
      <c r="B2319" s="5">
        <v>46.2602680289773</v>
      </c>
      <c r="C2319" s="5">
        <v>-22.6496408517988</v>
      </c>
      <c r="D2319" s="5">
        <v>102.951041285017</v>
      </c>
      <c r="E2319" s="5">
        <v>46.2602680289773</v>
      </c>
      <c r="F2319" s="5">
        <v>46.2602680289773</v>
      </c>
      <c r="G2319" s="5">
        <v>-2.70846917262209</v>
      </c>
      <c r="H2319" s="5">
        <v>-2.70846917262209</v>
      </c>
      <c r="I2319" s="5">
        <v>-2.70846917262209</v>
      </c>
      <c r="J2319" s="5">
        <v>-0.776422525902255</v>
      </c>
      <c r="K2319" s="5">
        <v>-0.776422525902255</v>
      </c>
      <c r="L2319" s="5">
        <v>-0.776422525902255</v>
      </c>
      <c r="M2319" s="5">
        <v>-1.93204664671983</v>
      </c>
      <c r="N2319" s="5">
        <v>-1.93204664671983</v>
      </c>
      <c r="O2319" s="5">
        <v>-1.93204664671983</v>
      </c>
      <c r="P2319" s="5">
        <v>0.0</v>
      </c>
      <c r="Q2319" s="5">
        <v>0.0</v>
      </c>
      <c r="R2319" s="5">
        <v>0.0</v>
      </c>
      <c r="S2319" s="5">
        <v>43.5517988563552</v>
      </c>
    </row>
    <row r="2320">
      <c r="A2320" s="6">
        <v>43721.0</v>
      </c>
      <c r="B2320" s="5">
        <v>46.2190358812644</v>
      </c>
      <c r="C2320" s="5">
        <v>-21.1198544775607</v>
      </c>
      <c r="D2320" s="5">
        <v>103.888166957757</v>
      </c>
      <c r="E2320" s="5">
        <v>46.2190358812644</v>
      </c>
      <c r="F2320" s="5">
        <v>46.2190358812644</v>
      </c>
      <c r="G2320" s="5">
        <v>-3.39533768190876</v>
      </c>
      <c r="H2320" s="5">
        <v>-3.39533768190876</v>
      </c>
      <c r="I2320" s="5">
        <v>-3.39533768190876</v>
      </c>
      <c r="J2320" s="5">
        <v>-1.59155056649193</v>
      </c>
      <c r="K2320" s="5">
        <v>-1.59155056649193</v>
      </c>
      <c r="L2320" s="5">
        <v>-1.59155056649193</v>
      </c>
      <c r="M2320" s="5">
        <v>-1.80378711541682</v>
      </c>
      <c r="N2320" s="5">
        <v>-1.80378711541682</v>
      </c>
      <c r="O2320" s="5">
        <v>-1.80378711541682</v>
      </c>
      <c r="P2320" s="5">
        <v>0.0</v>
      </c>
      <c r="Q2320" s="5">
        <v>0.0</v>
      </c>
      <c r="R2320" s="5">
        <v>0.0</v>
      </c>
      <c r="S2320" s="5">
        <v>42.8236981993557</v>
      </c>
    </row>
    <row r="2321">
      <c r="A2321" s="6">
        <v>43724.0</v>
      </c>
      <c r="B2321" s="5">
        <v>46.0953394381257</v>
      </c>
      <c r="C2321" s="5">
        <v>-17.9643223281914</v>
      </c>
      <c r="D2321" s="5">
        <v>106.732749758292</v>
      </c>
      <c r="E2321" s="5">
        <v>46.0953394381257</v>
      </c>
      <c r="F2321" s="5">
        <v>46.0953394381257</v>
      </c>
      <c r="G2321" s="5">
        <v>-1.57145397309783</v>
      </c>
      <c r="H2321" s="5">
        <v>-1.57145397309783</v>
      </c>
      <c r="I2321" s="5">
        <v>-1.57145397309783</v>
      </c>
      <c r="J2321" s="5">
        <v>0.090558942122816</v>
      </c>
      <c r="K2321" s="5">
        <v>0.090558942122816</v>
      </c>
      <c r="L2321" s="5">
        <v>0.090558942122816</v>
      </c>
      <c r="M2321" s="5">
        <v>-1.66201291522065</v>
      </c>
      <c r="N2321" s="5">
        <v>-1.66201291522065</v>
      </c>
      <c r="O2321" s="5">
        <v>-1.66201291522065</v>
      </c>
      <c r="P2321" s="5">
        <v>0.0</v>
      </c>
      <c r="Q2321" s="5">
        <v>0.0</v>
      </c>
      <c r="R2321" s="5">
        <v>0.0</v>
      </c>
      <c r="S2321" s="5">
        <v>44.5238854650279</v>
      </c>
    </row>
    <row r="2322">
      <c r="A2322" s="6">
        <v>43725.0</v>
      </c>
      <c r="B2322" s="5">
        <v>46.0541072904128</v>
      </c>
      <c r="C2322" s="5">
        <v>-17.9498399697374</v>
      </c>
      <c r="D2322" s="5">
        <v>105.919535637086</v>
      </c>
      <c r="E2322" s="5">
        <v>46.0541072904128</v>
      </c>
      <c r="F2322" s="5">
        <v>46.0541072904128</v>
      </c>
      <c r="G2322" s="5">
        <v>-1.85823913842292</v>
      </c>
      <c r="H2322" s="5">
        <v>-1.85823913842292</v>
      </c>
      <c r="I2322" s="5">
        <v>-1.85823913842292</v>
      </c>
      <c r="J2322" s="5">
        <v>-0.144118857245985</v>
      </c>
      <c r="K2322" s="5">
        <v>-0.144118857245985</v>
      </c>
      <c r="L2322" s="5">
        <v>-0.144118857245985</v>
      </c>
      <c r="M2322" s="5">
        <v>-1.71412028117693</v>
      </c>
      <c r="N2322" s="5">
        <v>-1.71412028117693</v>
      </c>
      <c r="O2322" s="5">
        <v>-1.71412028117693</v>
      </c>
      <c r="P2322" s="5">
        <v>0.0</v>
      </c>
      <c r="Q2322" s="5">
        <v>0.0</v>
      </c>
      <c r="R2322" s="5">
        <v>0.0</v>
      </c>
      <c r="S2322" s="5">
        <v>44.1958681519899</v>
      </c>
    </row>
    <row r="2323">
      <c r="A2323" s="6">
        <v>43726.0</v>
      </c>
      <c r="B2323" s="5">
        <v>46.0128751426999</v>
      </c>
      <c r="C2323" s="5">
        <v>-20.3541697681346</v>
      </c>
      <c r="D2323" s="5">
        <v>102.189989137389</v>
      </c>
      <c r="E2323" s="5">
        <v>46.0128751426999</v>
      </c>
      <c r="F2323" s="5">
        <v>46.0128751426999</v>
      </c>
      <c r="G2323" s="5">
        <v>-1.81489436204048</v>
      </c>
      <c r="H2323" s="5">
        <v>-1.81489436204048</v>
      </c>
      <c r="I2323" s="5">
        <v>-1.81489436204048</v>
      </c>
      <c r="J2323" s="5">
        <v>0.00703780528145271</v>
      </c>
      <c r="K2323" s="5">
        <v>0.00703780528145271</v>
      </c>
      <c r="L2323" s="5">
        <v>0.00703780528145271</v>
      </c>
      <c r="M2323" s="5">
        <v>-1.82193216732193</v>
      </c>
      <c r="N2323" s="5">
        <v>-1.82193216732193</v>
      </c>
      <c r="O2323" s="5">
        <v>-1.82193216732193</v>
      </c>
      <c r="P2323" s="5">
        <v>0.0</v>
      </c>
      <c r="Q2323" s="5">
        <v>0.0</v>
      </c>
      <c r="R2323" s="5">
        <v>0.0</v>
      </c>
      <c r="S2323" s="5">
        <v>44.1979807806594</v>
      </c>
    </row>
    <row r="2324">
      <c r="A2324" s="6">
        <v>43727.0</v>
      </c>
      <c r="B2324" s="5">
        <v>45.971642994987</v>
      </c>
      <c r="C2324" s="5">
        <v>-21.8970298834623</v>
      </c>
      <c r="D2324" s="5">
        <v>104.021605056866</v>
      </c>
      <c r="E2324" s="5">
        <v>45.971642994987</v>
      </c>
      <c r="F2324" s="5">
        <v>45.971642994987</v>
      </c>
      <c r="G2324" s="5">
        <v>-2.76315512370047</v>
      </c>
      <c r="H2324" s="5">
        <v>-2.76315512370047</v>
      </c>
      <c r="I2324" s="5">
        <v>-2.76315512370047</v>
      </c>
      <c r="J2324" s="5">
        <v>-0.776422525904352</v>
      </c>
      <c r="K2324" s="5">
        <v>-0.776422525904352</v>
      </c>
      <c r="L2324" s="5">
        <v>-0.776422525904352</v>
      </c>
      <c r="M2324" s="5">
        <v>-1.98673259779612</v>
      </c>
      <c r="N2324" s="5">
        <v>-1.98673259779612</v>
      </c>
      <c r="O2324" s="5">
        <v>-1.98673259779612</v>
      </c>
      <c r="P2324" s="5">
        <v>0.0</v>
      </c>
      <c r="Q2324" s="5">
        <v>0.0</v>
      </c>
      <c r="R2324" s="5">
        <v>0.0</v>
      </c>
      <c r="S2324" s="5">
        <v>43.2084878712865</v>
      </c>
    </row>
    <row r="2325">
      <c r="A2325" s="6">
        <v>43728.0</v>
      </c>
      <c r="B2325" s="5">
        <v>45.9304108472741</v>
      </c>
      <c r="C2325" s="5">
        <v>-19.3842101675799</v>
      </c>
      <c r="D2325" s="5">
        <v>104.890513866172</v>
      </c>
      <c r="E2325" s="5">
        <v>45.9304108472741</v>
      </c>
      <c r="F2325" s="5">
        <v>45.9304108472741</v>
      </c>
      <c r="G2325" s="5">
        <v>-3.79959246845793</v>
      </c>
      <c r="H2325" s="5">
        <v>-3.79959246845793</v>
      </c>
      <c r="I2325" s="5">
        <v>-3.79959246845793</v>
      </c>
      <c r="J2325" s="5">
        <v>-1.59155056649101</v>
      </c>
      <c r="K2325" s="5">
        <v>-1.59155056649101</v>
      </c>
      <c r="L2325" s="5">
        <v>-1.59155056649101</v>
      </c>
      <c r="M2325" s="5">
        <v>-2.20804190196692</v>
      </c>
      <c r="N2325" s="5">
        <v>-2.20804190196692</v>
      </c>
      <c r="O2325" s="5">
        <v>-2.20804190196692</v>
      </c>
      <c r="P2325" s="5">
        <v>0.0</v>
      </c>
      <c r="Q2325" s="5">
        <v>0.0</v>
      </c>
      <c r="R2325" s="5">
        <v>0.0</v>
      </c>
      <c r="S2325" s="5">
        <v>42.1308183788162</v>
      </c>
    </row>
    <row r="2326">
      <c r="A2326" s="6">
        <v>43731.0</v>
      </c>
      <c r="B2326" s="5">
        <v>45.8067144041354</v>
      </c>
      <c r="C2326" s="5">
        <v>-20.8802435286061</v>
      </c>
      <c r="D2326" s="5">
        <v>103.567827118431</v>
      </c>
      <c r="E2326" s="5">
        <v>45.8067144041354</v>
      </c>
      <c r="F2326" s="5">
        <v>45.8067144041354</v>
      </c>
      <c r="G2326" s="5">
        <v>-3.08780221963094</v>
      </c>
      <c r="H2326" s="5">
        <v>-3.08780221963094</v>
      </c>
      <c r="I2326" s="5">
        <v>-3.08780221963094</v>
      </c>
      <c r="J2326" s="5">
        <v>0.0905589421213784</v>
      </c>
      <c r="K2326" s="5">
        <v>0.0905589421213784</v>
      </c>
      <c r="L2326" s="5">
        <v>0.0905589421213784</v>
      </c>
      <c r="M2326" s="5">
        <v>-3.17836116175232</v>
      </c>
      <c r="N2326" s="5">
        <v>-3.17836116175232</v>
      </c>
      <c r="O2326" s="5">
        <v>-3.17836116175232</v>
      </c>
      <c r="P2326" s="5">
        <v>0.0</v>
      </c>
      <c r="Q2326" s="5">
        <v>0.0</v>
      </c>
      <c r="R2326" s="5">
        <v>0.0</v>
      </c>
      <c r="S2326" s="5">
        <v>42.7189121845045</v>
      </c>
    </row>
    <row r="2327">
      <c r="A2327" s="6">
        <v>43732.0</v>
      </c>
      <c r="B2327" s="5">
        <v>45.7654822564225</v>
      </c>
      <c r="C2327" s="5">
        <v>-22.3158202986878</v>
      </c>
      <c r="D2327" s="5">
        <v>103.056452055565</v>
      </c>
      <c r="E2327" s="5">
        <v>45.7654822564225</v>
      </c>
      <c r="F2327" s="5">
        <v>45.7654822564225</v>
      </c>
      <c r="G2327" s="5">
        <v>-3.72792037786831</v>
      </c>
      <c r="H2327" s="5">
        <v>-3.72792037786831</v>
      </c>
      <c r="I2327" s="5">
        <v>-3.72792037786831</v>
      </c>
      <c r="J2327" s="5">
        <v>-0.144118857246312</v>
      </c>
      <c r="K2327" s="5">
        <v>-0.144118857246312</v>
      </c>
      <c r="L2327" s="5">
        <v>-0.144118857246312</v>
      </c>
      <c r="M2327" s="5">
        <v>-3.583801520622</v>
      </c>
      <c r="N2327" s="5">
        <v>-3.583801520622</v>
      </c>
      <c r="O2327" s="5">
        <v>-3.583801520622</v>
      </c>
      <c r="P2327" s="5">
        <v>0.0</v>
      </c>
      <c r="Q2327" s="5">
        <v>0.0</v>
      </c>
      <c r="R2327" s="5">
        <v>0.0</v>
      </c>
      <c r="S2327" s="5">
        <v>42.0375618785542</v>
      </c>
    </row>
    <row r="2328">
      <c r="A2328" s="6">
        <v>43733.0</v>
      </c>
      <c r="B2328" s="5">
        <v>45.7242501087096</v>
      </c>
      <c r="C2328" s="5">
        <v>-24.485504773099</v>
      </c>
      <c r="D2328" s="5">
        <v>103.189084360805</v>
      </c>
      <c r="E2328" s="5">
        <v>45.7242501087096</v>
      </c>
      <c r="F2328" s="5">
        <v>45.7242501087096</v>
      </c>
      <c r="G2328" s="5">
        <v>-4.0088039186978</v>
      </c>
      <c r="H2328" s="5">
        <v>-4.0088039186978</v>
      </c>
      <c r="I2328" s="5">
        <v>-4.0088039186978</v>
      </c>
      <c r="J2328" s="5">
        <v>0.00703780528060012</v>
      </c>
      <c r="K2328" s="5">
        <v>0.00703780528060012</v>
      </c>
      <c r="L2328" s="5">
        <v>0.00703780528060012</v>
      </c>
      <c r="M2328" s="5">
        <v>-4.0158417239784</v>
      </c>
      <c r="N2328" s="5">
        <v>-4.0158417239784</v>
      </c>
      <c r="O2328" s="5">
        <v>-4.0158417239784</v>
      </c>
      <c r="P2328" s="5">
        <v>0.0</v>
      </c>
      <c r="Q2328" s="5">
        <v>0.0</v>
      </c>
      <c r="R2328" s="5">
        <v>0.0</v>
      </c>
      <c r="S2328" s="5">
        <v>41.7154461900118</v>
      </c>
    </row>
    <row r="2329">
      <c r="A2329" s="6">
        <v>43734.0</v>
      </c>
      <c r="B2329" s="5">
        <v>45.6830179609967</v>
      </c>
      <c r="C2329" s="5">
        <v>-22.5325899929285</v>
      </c>
      <c r="D2329" s="5">
        <v>100.462040518406</v>
      </c>
      <c r="E2329" s="5">
        <v>45.6830179609967</v>
      </c>
      <c r="F2329" s="5">
        <v>45.6830179609967</v>
      </c>
      <c r="G2329" s="5">
        <v>-5.23998716205001</v>
      </c>
      <c r="H2329" s="5">
        <v>-5.23998716205001</v>
      </c>
      <c r="I2329" s="5">
        <v>-5.23998716205001</v>
      </c>
      <c r="J2329" s="5">
        <v>-0.776422525900849</v>
      </c>
      <c r="K2329" s="5">
        <v>-0.776422525900849</v>
      </c>
      <c r="L2329" s="5">
        <v>-0.776422525900849</v>
      </c>
      <c r="M2329" s="5">
        <v>-4.46356463614916</v>
      </c>
      <c r="N2329" s="5">
        <v>-4.46356463614916</v>
      </c>
      <c r="O2329" s="5">
        <v>-4.46356463614916</v>
      </c>
      <c r="P2329" s="5">
        <v>0.0</v>
      </c>
      <c r="Q2329" s="5">
        <v>0.0</v>
      </c>
      <c r="R2329" s="5">
        <v>0.0</v>
      </c>
      <c r="S2329" s="5">
        <v>40.4430307989467</v>
      </c>
    </row>
    <row r="2330">
      <c r="A2330" s="6">
        <v>43735.0</v>
      </c>
      <c r="B2330" s="5">
        <v>45.6417858132838</v>
      </c>
      <c r="C2330" s="5">
        <v>-24.146387012948</v>
      </c>
      <c r="D2330" s="5">
        <v>103.63185943453</v>
      </c>
      <c r="E2330" s="5">
        <v>45.6417858132838</v>
      </c>
      <c r="F2330" s="5">
        <v>45.6417858132838</v>
      </c>
      <c r="G2330" s="5">
        <v>-6.50639599122038</v>
      </c>
      <c r="H2330" s="5">
        <v>-6.50639599122038</v>
      </c>
      <c r="I2330" s="5">
        <v>-6.50639599122038</v>
      </c>
      <c r="J2330" s="5">
        <v>-1.59155056649251</v>
      </c>
      <c r="K2330" s="5">
        <v>-1.59155056649251</v>
      </c>
      <c r="L2330" s="5">
        <v>-1.59155056649251</v>
      </c>
      <c r="M2330" s="5">
        <v>-4.91484542472786</v>
      </c>
      <c r="N2330" s="5">
        <v>-4.91484542472786</v>
      </c>
      <c r="O2330" s="5">
        <v>-4.91484542472786</v>
      </c>
      <c r="P2330" s="5">
        <v>0.0</v>
      </c>
      <c r="Q2330" s="5">
        <v>0.0</v>
      </c>
      <c r="R2330" s="5">
        <v>0.0</v>
      </c>
      <c r="S2330" s="5">
        <v>39.1353898220634</v>
      </c>
    </row>
    <row r="2331">
      <c r="A2331" s="6">
        <v>43738.0</v>
      </c>
      <c r="B2331" s="5">
        <v>45.5180893701451</v>
      </c>
      <c r="C2331" s="5">
        <v>-26.3318584261556</v>
      </c>
      <c r="D2331" s="5">
        <v>104.197737793858</v>
      </c>
      <c r="E2331" s="5">
        <v>45.5180893701451</v>
      </c>
      <c r="F2331" s="5">
        <v>45.5180893701451</v>
      </c>
      <c r="G2331" s="5">
        <v>-6.06621381012644</v>
      </c>
      <c r="H2331" s="5">
        <v>-6.06621381012644</v>
      </c>
      <c r="I2331" s="5">
        <v>-6.06621381012644</v>
      </c>
      <c r="J2331" s="5">
        <v>0.0905589421223249</v>
      </c>
      <c r="K2331" s="5">
        <v>0.0905589421223249</v>
      </c>
      <c r="L2331" s="5">
        <v>0.0905589421223249</v>
      </c>
      <c r="M2331" s="5">
        <v>-6.15677275224876</v>
      </c>
      <c r="N2331" s="5">
        <v>-6.15677275224876</v>
      </c>
      <c r="O2331" s="5">
        <v>-6.15677275224876</v>
      </c>
      <c r="P2331" s="5">
        <v>0.0</v>
      </c>
      <c r="Q2331" s="5">
        <v>0.0</v>
      </c>
      <c r="R2331" s="5">
        <v>0.0</v>
      </c>
      <c r="S2331" s="5">
        <v>39.4518755600187</v>
      </c>
    </row>
    <row r="2332">
      <c r="A2332" s="6">
        <v>43739.0</v>
      </c>
      <c r="B2332" s="5">
        <v>45.4768572224322</v>
      </c>
      <c r="C2332" s="5">
        <v>-22.8968163908296</v>
      </c>
      <c r="D2332" s="5">
        <v>98.0883426363538</v>
      </c>
      <c r="E2332" s="5">
        <v>45.4768572224322</v>
      </c>
      <c r="F2332" s="5">
        <v>45.4768572224322</v>
      </c>
      <c r="G2332" s="5">
        <v>-6.63144495951185</v>
      </c>
      <c r="H2332" s="5">
        <v>-6.63144495951185</v>
      </c>
      <c r="I2332" s="5">
        <v>-6.63144495951185</v>
      </c>
      <c r="J2332" s="5">
        <v>-0.144118857246638</v>
      </c>
      <c r="K2332" s="5">
        <v>-0.144118857246638</v>
      </c>
      <c r="L2332" s="5">
        <v>-0.144118857246638</v>
      </c>
      <c r="M2332" s="5">
        <v>-6.48732610226521</v>
      </c>
      <c r="N2332" s="5">
        <v>-6.48732610226521</v>
      </c>
      <c r="O2332" s="5">
        <v>-6.48732610226521</v>
      </c>
      <c r="P2332" s="5">
        <v>0.0</v>
      </c>
      <c r="Q2332" s="5">
        <v>0.0</v>
      </c>
      <c r="R2332" s="5">
        <v>0.0</v>
      </c>
      <c r="S2332" s="5">
        <v>38.8454122629204</v>
      </c>
    </row>
    <row r="2333">
      <c r="A2333" s="6">
        <v>43740.0</v>
      </c>
      <c r="B2333" s="5">
        <v>45.4356250747193</v>
      </c>
      <c r="C2333" s="5">
        <v>-22.6354688168397</v>
      </c>
      <c r="D2333" s="5">
        <v>105.185252194262</v>
      </c>
      <c r="E2333" s="5">
        <v>45.4356250747193</v>
      </c>
      <c r="F2333" s="5">
        <v>45.4356250747193</v>
      </c>
      <c r="G2333" s="5">
        <v>-6.74645968523934</v>
      </c>
      <c r="H2333" s="5">
        <v>-6.74645968523934</v>
      </c>
      <c r="I2333" s="5">
        <v>-6.74645968523934</v>
      </c>
      <c r="J2333" s="5">
        <v>0.00703780528073893</v>
      </c>
      <c r="K2333" s="5">
        <v>0.00703780528073893</v>
      </c>
      <c r="L2333" s="5">
        <v>0.00703780528073893</v>
      </c>
      <c r="M2333" s="5">
        <v>-6.75349749052008</v>
      </c>
      <c r="N2333" s="5">
        <v>-6.75349749052008</v>
      </c>
      <c r="O2333" s="5">
        <v>-6.75349749052008</v>
      </c>
      <c r="P2333" s="5">
        <v>0.0</v>
      </c>
      <c r="Q2333" s="5">
        <v>0.0</v>
      </c>
      <c r="R2333" s="5">
        <v>0.0</v>
      </c>
      <c r="S2333" s="5">
        <v>38.68916538948</v>
      </c>
    </row>
    <row r="2334">
      <c r="A2334" s="6">
        <v>43741.0</v>
      </c>
      <c r="B2334" s="5">
        <v>45.3943929270064</v>
      </c>
      <c r="C2334" s="5">
        <v>-28.936702219704</v>
      </c>
      <c r="D2334" s="5">
        <v>97.2264370813853</v>
      </c>
      <c r="E2334" s="5">
        <v>45.3943929270064</v>
      </c>
      <c r="F2334" s="5">
        <v>45.3943929270064</v>
      </c>
      <c r="G2334" s="5">
        <v>-7.719095200881</v>
      </c>
      <c r="H2334" s="5">
        <v>-7.719095200881</v>
      </c>
      <c r="I2334" s="5">
        <v>-7.719095200881</v>
      </c>
      <c r="J2334" s="5">
        <v>-0.776422525902946</v>
      </c>
      <c r="K2334" s="5">
        <v>-0.776422525902946</v>
      </c>
      <c r="L2334" s="5">
        <v>-0.776422525902946</v>
      </c>
      <c r="M2334" s="5">
        <v>-6.94267267497805</v>
      </c>
      <c r="N2334" s="5">
        <v>-6.94267267497805</v>
      </c>
      <c r="O2334" s="5">
        <v>-6.94267267497805</v>
      </c>
      <c r="P2334" s="5">
        <v>0.0</v>
      </c>
      <c r="Q2334" s="5">
        <v>0.0</v>
      </c>
      <c r="R2334" s="5">
        <v>0.0</v>
      </c>
      <c r="S2334" s="5">
        <v>37.6752977261254</v>
      </c>
    </row>
    <row r="2335">
      <c r="A2335" s="6">
        <v>43742.0</v>
      </c>
      <c r="B2335" s="5">
        <v>45.3531607792935</v>
      </c>
      <c r="C2335" s="5">
        <v>-24.1319317993041</v>
      </c>
      <c r="D2335" s="5">
        <v>97.4321211620504</v>
      </c>
      <c r="E2335" s="5">
        <v>45.3531607792935</v>
      </c>
      <c r="F2335" s="5">
        <v>45.3531607792935</v>
      </c>
      <c r="G2335" s="5">
        <v>-8.63493489793059</v>
      </c>
      <c r="H2335" s="5">
        <v>-8.63493489793059</v>
      </c>
      <c r="I2335" s="5">
        <v>-8.63493489793059</v>
      </c>
      <c r="J2335" s="5">
        <v>-1.59155056649159</v>
      </c>
      <c r="K2335" s="5">
        <v>-1.59155056649159</v>
      </c>
      <c r="L2335" s="5">
        <v>-1.59155056649159</v>
      </c>
      <c r="M2335" s="5">
        <v>-7.043384331439</v>
      </c>
      <c r="N2335" s="5">
        <v>-7.043384331439</v>
      </c>
      <c r="O2335" s="5">
        <v>-7.043384331439</v>
      </c>
      <c r="P2335" s="5">
        <v>0.0</v>
      </c>
      <c r="Q2335" s="5">
        <v>0.0</v>
      </c>
      <c r="R2335" s="5">
        <v>0.0</v>
      </c>
      <c r="S2335" s="5">
        <v>36.7182258813629</v>
      </c>
    </row>
    <row r="2336">
      <c r="A2336" s="6">
        <v>43745.0</v>
      </c>
      <c r="B2336" s="5">
        <v>45.2294643361548</v>
      </c>
      <c r="C2336" s="5">
        <v>-23.4948819521581</v>
      </c>
      <c r="D2336" s="5">
        <v>106.586520241456</v>
      </c>
      <c r="E2336" s="5">
        <v>45.2294643361548</v>
      </c>
      <c r="F2336" s="5">
        <v>45.2294643361548</v>
      </c>
      <c r="G2336" s="5">
        <v>-6.63318987371129</v>
      </c>
      <c r="H2336" s="5">
        <v>-6.63318987371129</v>
      </c>
      <c r="I2336" s="5">
        <v>-6.63318987371129</v>
      </c>
      <c r="J2336" s="5">
        <v>0.0905589421209675</v>
      </c>
      <c r="K2336" s="5">
        <v>0.0905589421209675</v>
      </c>
      <c r="L2336" s="5">
        <v>0.0905589421209675</v>
      </c>
      <c r="M2336" s="5">
        <v>-6.72374881583226</v>
      </c>
      <c r="N2336" s="5">
        <v>-6.72374881583226</v>
      </c>
      <c r="O2336" s="5">
        <v>-6.72374881583226</v>
      </c>
      <c r="P2336" s="5">
        <v>0.0</v>
      </c>
      <c r="Q2336" s="5">
        <v>0.0</v>
      </c>
      <c r="R2336" s="5">
        <v>0.0</v>
      </c>
      <c r="S2336" s="5">
        <v>38.5962744624435</v>
      </c>
    </row>
    <row r="2337">
      <c r="A2337" s="6">
        <v>43746.0</v>
      </c>
      <c r="B2337" s="5">
        <v>45.1882321884419</v>
      </c>
      <c r="C2337" s="5">
        <v>-22.2463244115109</v>
      </c>
      <c r="D2337" s="5">
        <v>94.6645560418123</v>
      </c>
      <c r="E2337" s="5">
        <v>45.1882321884419</v>
      </c>
      <c r="F2337" s="5">
        <v>45.1882321884419</v>
      </c>
      <c r="G2337" s="5">
        <v>-6.53343230870462</v>
      </c>
      <c r="H2337" s="5">
        <v>-6.53343230870462</v>
      </c>
      <c r="I2337" s="5">
        <v>-6.53343230870462</v>
      </c>
      <c r="J2337" s="5">
        <v>-0.14411885724555</v>
      </c>
      <c r="K2337" s="5">
        <v>-0.14411885724555</v>
      </c>
      <c r="L2337" s="5">
        <v>-0.14411885724555</v>
      </c>
      <c r="M2337" s="5">
        <v>-6.38931345145907</v>
      </c>
      <c r="N2337" s="5">
        <v>-6.38931345145907</v>
      </c>
      <c r="O2337" s="5">
        <v>-6.38931345145907</v>
      </c>
      <c r="P2337" s="5">
        <v>0.0</v>
      </c>
      <c r="Q2337" s="5">
        <v>0.0</v>
      </c>
      <c r="R2337" s="5">
        <v>0.0</v>
      </c>
      <c r="S2337" s="5">
        <v>38.6547998797373</v>
      </c>
    </row>
    <row r="2338">
      <c r="A2338" s="6">
        <v>43747.0</v>
      </c>
      <c r="B2338" s="5">
        <v>45.147000040729</v>
      </c>
      <c r="C2338" s="5">
        <v>-23.8266732727273</v>
      </c>
      <c r="D2338" s="5">
        <v>102.921265368034</v>
      </c>
      <c r="E2338" s="5">
        <v>45.147000040729</v>
      </c>
      <c r="F2338" s="5">
        <v>45.147000040729</v>
      </c>
      <c r="G2338" s="5">
        <v>-5.92910256383174</v>
      </c>
      <c r="H2338" s="5">
        <v>-5.92910256383174</v>
      </c>
      <c r="I2338" s="5">
        <v>-5.92910256383174</v>
      </c>
      <c r="J2338" s="5">
        <v>0.00703780528205</v>
      </c>
      <c r="K2338" s="5">
        <v>0.00703780528205</v>
      </c>
      <c r="L2338" s="5">
        <v>0.00703780528205</v>
      </c>
      <c r="M2338" s="5">
        <v>-5.93614036911379</v>
      </c>
      <c r="N2338" s="5">
        <v>-5.93614036911379</v>
      </c>
      <c r="O2338" s="5">
        <v>-5.93614036911379</v>
      </c>
      <c r="P2338" s="5">
        <v>0.0</v>
      </c>
      <c r="Q2338" s="5">
        <v>0.0</v>
      </c>
      <c r="R2338" s="5">
        <v>0.0</v>
      </c>
      <c r="S2338" s="5">
        <v>39.2178974768973</v>
      </c>
    </row>
    <row r="2339">
      <c r="A2339" s="6">
        <v>43748.0</v>
      </c>
      <c r="B2339" s="5">
        <v>45.1057678930161</v>
      </c>
      <c r="C2339" s="5">
        <v>-21.2721599462508</v>
      </c>
      <c r="D2339" s="5">
        <v>104.06061287852</v>
      </c>
      <c r="E2339" s="5">
        <v>45.1057678930161</v>
      </c>
      <c r="F2339" s="5">
        <v>45.1057678930161</v>
      </c>
      <c r="G2339" s="5">
        <v>-6.1413399082564</v>
      </c>
      <c r="H2339" s="5">
        <v>-6.1413399082564</v>
      </c>
      <c r="I2339" s="5">
        <v>-6.1413399082564</v>
      </c>
      <c r="J2339" s="5">
        <v>-0.776422525903668</v>
      </c>
      <c r="K2339" s="5">
        <v>-0.776422525903668</v>
      </c>
      <c r="L2339" s="5">
        <v>-0.776422525903668</v>
      </c>
      <c r="M2339" s="5">
        <v>-5.36491738235273</v>
      </c>
      <c r="N2339" s="5">
        <v>-5.36491738235273</v>
      </c>
      <c r="O2339" s="5">
        <v>-5.36491738235273</v>
      </c>
      <c r="P2339" s="5">
        <v>0.0</v>
      </c>
      <c r="Q2339" s="5">
        <v>0.0</v>
      </c>
      <c r="R2339" s="5">
        <v>0.0</v>
      </c>
      <c r="S2339" s="5">
        <v>38.9644279847597</v>
      </c>
    </row>
    <row r="2340">
      <c r="A2340" s="6">
        <v>43749.0</v>
      </c>
      <c r="B2340" s="5">
        <v>45.0645357453032</v>
      </c>
      <c r="C2340" s="5">
        <v>-22.1877923793792</v>
      </c>
      <c r="D2340" s="5">
        <v>100.49897371672</v>
      </c>
      <c r="E2340" s="5">
        <v>45.0645357453032</v>
      </c>
      <c r="F2340" s="5">
        <v>45.0645357453032</v>
      </c>
      <c r="G2340" s="5">
        <v>-6.2703103587342</v>
      </c>
      <c r="H2340" s="5">
        <v>-6.2703103587342</v>
      </c>
      <c r="I2340" s="5">
        <v>-6.2703103587342</v>
      </c>
      <c r="J2340" s="5">
        <v>-1.59155056649341</v>
      </c>
      <c r="K2340" s="5">
        <v>-1.59155056649341</v>
      </c>
      <c r="L2340" s="5">
        <v>-1.59155056649341</v>
      </c>
      <c r="M2340" s="5">
        <v>-4.67875979224078</v>
      </c>
      <c r="N2340" s="5">
        <v>-4.67875979224078</v>
      </c>
      <c r="O2340" s="5">
        <v>-4.67875979224078</v>
      </c>
      <c r="P2340" s="5">
        <v>0.0</v>
      </c>
      <c r="Q2340" s="5">
        <v>0.0</v>
      </c>
      <c r="R2340" s="5">
        <v>0.0</v>
      </c>
      <c r="S2340" s="5">
        <v>38.794225386569</v>
      </c>
    </row>
    <row r="2341">
      <c r="A2341" s="6">
        <v>43752.0</v>
      </c>
      <c r="B2341" s="5">
        <v>44.9408393021645</v>
      </c>
      <c r="C2341" s="5">
        <v>-21.8136605761893</v>
      </c>
      <c r="D2341" s="5">
        <v>105.487890800818</v>
      </c>
      <c r="E2341" s="5">
        <v>44.9408393021645</v>
      </c>
      <c r="F2341" s="5">
        <v>44.9408393021645</v>
      </c>
      <c r="G2341" s="5">
        <v>-1.90624621162003</v>
      </c>
      <c r="H2341" s="5">
        <v>-1.90624621162003</v>
      </c>
      <c r="I2341" s="5">
        <v>-1.90624621162003</v>
      </c>
      <c r="J2341" s="5">
        <v>0.0905589421219141</v>
      </c>
      <c r="K2341" s="5">
        <v>0.0905589421219141</v>
      </c>
      <c r="L2341" s="5">
        <v>0.0905589421219141</v>
      </c>
      <c r="M2341" s="5">
        <v>-1.99680515374194</v>
      </c>
      <c r="N2341" s="5">
        <v>-1.99680515374194</v>
      </c>
      <c r="O2341" s="5">
        <v>-1.99680515374194</v>
      </c>
      <c r="P2341" s="5">
        <v>0.0</v>
      </c>
      <c r="Q2341" s="5">
        <v>0.0</v>
      </c>
      <c r="R2341" s="5">
        <v>0.0</v>
      </c>
      <c r="S2341" s="5">
        <v>43.0345930905445</v>
      </c>
    </row>
    <row r="2342">
      <c r="A2342" s="6">
        <v>43753.0</v>
      </c>
      <c r="B2342" s="5">
        <v>44.8996071544516</v>
      </c>
      <c r="C2342" s="5">
        <v>-16.6758046050099</v>
      </c>
      <c r="D2342" s="5">
        <v>107.018838724788</v>
      </c>
      <c r="E2342" s="5">
        <v>44.8996071544516</v>
      </c>
      <c r="F2342" s="5">
        <v>44.8996071544516</v>
      </c>
      <c r="G2342" s="5">
        <v>-1.07175865021838</v>
      </c>
      <c r="H2342" s="5">
        <v>-1.07175865021838</v>
      </c>
      <c r="I2342" s="5">
        <v>-1.07175865021838</v>
      </c>
      <c r="J2342" s="5">
        <v>-0.144118857244462</v>
      </c>
      <c r="K2342" s="5">
        <v>-0.144118857244462</v>
      </c>
      <c r="L2342" s="5">
        <v>-0.144118857244462</v>
      </c>
      <c r="M2342" s="5">
        <v>-0.927639792973919</v>
      </c>
      <c r="N2342" s="5">
        <v>-0.927639792973919</v>
      </c>
      <c r="O2342" s="5">
        <v>-0.927639792973919</v>
      </c>
      <c r="P2342" s="5">
        <v>0.0</v>
      </c>
      <c r="Q2342" s="5">
        <v>0.0</v>
      </c>
      <c r="R2342" s="5">
        <v>0.0</v>
      </c>
      <c r="S2342" s="5">
        <v>43.8278485042332</v>
      </c>
    </row>
    <row r="2343">
      <c r="A2343" s="6">
        <v>43754.0</v>
      </c>
      <c r="B2343" s="5">
        <v>44.8583750067387</v>
      </c>
      <c r="C2343" s="5">
        <v>-15.8126469331247</v>
      </c>
      <c r="D2343" s="5">
        <v>105.226496537279</v>
      </c>
      <c r="E2343" s="5">
        <v>44.8583750067387</v>
      </c>
      <c r="F2343" s="5">
        <v>44.8583750067387</v>
      </c>
      <c r="G2343" s="5">
        <v>0.215316932049111</v>
      </c>
      <c r="H2343" s="5">
        <v>0.215316932049111</v>
      </c>
      <c r="I2343" s="5">
        <v>0.215316932049111</v>
      </c>
      <c r="J2343" s="5">
        <v>0.00703780528336107</v>
      </c>
      <c r="K2343" s="5">
        <v>0.00703780528336107</v>
      </c>
      <c r="L2343" s="5">
        <v>0.00703780528336107</v>
      </c>
      <c r="M2343" s="5">
        <v>0.20827912676575</v>
      </c>
      <c r="N2343" s="5">
        <v>0.20827912676575</v>
      </c>
      <c r="O2343" s="5">
        <v>0.20827912676575</v>
      </c>
      <c r="P2343" s="5">
        <v>0.0</v>
      </c>
      <c r="Q2343" s="5">
        <v>0.0</v>
      </c>
      <c r="R2343" s="5">
        <v>0.0</v>
      </c>
      <c r="S2343" s="5">
        <v>45.0736919387878</v>
      </c>
    </row>
    <row r="2344">
      <c r="A2344" s="6">
        <v>43755.0</v>
      </c>
      <c r="B2344" s="5">
        <v>44.8171428590258</v>
      </c>
      <c r="C2344" s="5">
        <v>-22.6116476337991</v>
      </c>
      <c r="D2344" s="5">
        <v>107.086374727009</v>
      </c>
      <c r="E2344" s="5">
        <v>44.8171428590258</v>
      </c>
      <c r="F2344" s="5">
        <v>44.8171428590258</v>
      </c>
      <c r="G2344" s="5">
        <v>0.619928784059071</v>
      </c>
      <c r="H2344" s="5">
        <v>0.619928784059071</v>
      </c>
      <c r="I2344" s="5">
        <v>0.619928784059071</v>
      </c>
      <c r="J2344" s="5">
        <v>-0.776422525904389</v>
      </c>
      <c r="K2344" s="5">
        <v>-0.776422525904389</v>
      </c>
      <c r="L2344" s="5">
        <v>-0.776422525904389</v>
      </c>
      <c r="M2344" s="5">
        <v>1.39635130996346</v>
      </c>
      <c r="N2344" s="5">
        <v>1.39635130996346</v>
      </c>
      <c r="O2344" s="5">
        <v>1.39635130996346</v>
      </c>
      <c r="P2344" s="5">
        <v>0.0</v>
      </c>
      <c r="Q2344" s="5">
        <v>0.0</v>
      </c>
      <c r="R2344" s="5">
        <v>0.0</v>
      </c>
      <c r="S2344" s="5">
        <v>45.4370716430849</v>
      </c>
    </row>
    <row r="2345">
      <c r="A2345" s="6">
        <v>43756.0</v>
      </c>
      <c r="B2345" s="5">
        <v>44.7759107113129</v>
      </c>
      <c r="C2345" s="5">
        <v>-19.676268798765</v>
      </c>
      <c r="D2345" s="5">
        <v>106.01456411027</v>
      </c>
      <c r="E2345" s="5">
        <v>44.7759107113129</v>
      </c>
      <c r="F2345" s="5">
        <v>44.7759107113129</v>
      </c>
      <c r="G2345" s="5">
        <v>1.02950563354021</v>
      </c>
      <c r="H2345" s="5">
        <v>1.02950563354021</v>
      </c>
      <c r="I2345" s="5">
        <v>1.02950563354021</v>
      </c>
      <c r="J2345" s="5">
        <v>-1.59155056649554</v>
      </c>
      <c r="K2345" s="5">
        <v>-1.59155056649554</v>
      </c>
      <c r="L2345" s="5">
        <v>-1.59155056649554</v>
      </c>
      <c r="M2345" s="5">
        <v>2.62105620003576</v>
      </c>
      <c r="N2345" s="5">
        <v>2.62105620003576</v>
      </c>
      <c r="O2345" s="5">
        <v>2.62105620003576</v>
      </c>
      <c r="P2345" s="5">
        <v>0.0</v>
      </c>
      <c r="Q2345" s="5">
        <v>0.0</v>
      </c>
      <c r="R2345" s="5">
        <v>0.0</v>
      </c>
      <c r="S2345" s="5">
        <v>45.8054163448531</v>
      </c>
    </row>
    <row r="2346">
      <c r="A2346" s="6">
        <v>43759.0</v>
      </c>
      <c r="B2346" s="5">
        <v>44.6522142681742</v>
      </c>
      <c r="C2346" s="5">
        <v>-11.4043123995529</v>
      </c>
      <c r="D2346" s="5">
        <v>112.727972168419</v>
      </c>
      <c r="E2346" s="5">
        <v>44.6522142681742</v>
      </c>
      <c r="F2346" s="5">
        <v>44.6522142681742</v>
      </c>
      <c r="G2346" s="5">
        <v>6.44452941470996</v>
      </c>
      <c r="H2346" s="5">
        <v>6.44452941470996</v>
      </c>
      <c r="I2346" s="5">
        <v>6.44452941470996</v>
      </c>
      <c r="J2346" s="5">
        <v>0.0905589421205567</v>
      </c>
      <c r="K2346" s="5">
        <v>0.0905589421205567</v>
      </c>
      <c r="L2346" s="5">
        <v>0.0905589421205567</v>
      </c>
      <c r="M2346" s="5">
        <v>6.35397047258941</v>
      </c>
      <c r="N2346" s="5">
        <v>6.35397047258941</v>
      </c>
      <c r="O2346" s="5">
        <v>6.35397047258941</v>
      </c>
      <c r="P2346" s="5">
        <v>0.0</v>
      </c>
      <c r="Q2346" s="5">
        <v>0.0</v>
      </c>
      <c r="R2346" s="5">
        <v>0.0</v>
      </c>
      <c r="S2346" s="5">
        <v>51.0967436828842</v>
      </c>
    </row>
    <row r="2347">
      <c r="A2347" s="6">
        <v>43760.0</v>
      </c>
      <c r="B2347" s="5">
        <v>44.6109821204613</v>
      </c>
      <c r="C2347" s="5">
        <v>-14.9938828586059</v>
      </c>
      <c r="D2347" s="5">
        <v>119.276963518994</v>
      </c>
      <c r="E2347" s="5">
        <v>44.6109821204613</v>
      </c>
      <c r="F2347" s="5">
        <v>44.6109821204613</v>
      </c>
      <c r="G2347" s="5">
        <v>7.42089949146491</v>
      </c>
      <c r="H2347" s="5">
        <v>7.42089949146491</v>
      </c>
      <c r="I2347" s="5">
        <v>7.42089949146491</v>
      </c>
      <c r="J2347" s="5">
        <v>-0.144118857245897</v>
      </c>
      <c r="K2347" s="5">
        <v>-0.144118857245897</v>
      </c>
      <c r="L2347" s="5">
        <v>-0.144118857245897</v>
      </c>
      <c r="M2347" s="5">
        <v>7.56501834871081</v>
      </c>
      <c r="N2347" s="5">
        <v>7.56501834871081</v>
      </c>
      <c r="O2347" s="5">
        <v>7.56501834871081</v>
      </c>
      <c r="P2347" s="5">
        <v>0.0</v>
      </c>
      <c r="Q2347" s="5">
        <v>0.0</v>
      </c>
      <c r="R2347" s="5">
        <v>0.0</v>
      </c>
      <c r="S2347" s="5">
        <v>52.0318816119262</v>
      </c>
    </row>
    <row r="2348">
      <c r="A2348" s="6">
        <v>43761.0</v>
      </c>
      <c r="B2348" s="5">
        <v>44.5697499727484</v>
      </c>
      <c r="C2348" s="5">
        <v>-8.76308168065238</v>
      </c>
      <c r="D2348" s="5">
        <v>113.742222246245</v>
      </c>
      <c r="E2348" s="5">
        <v>44.5697499727484</v>
      </c>
      <c r="F2348" s="5">
        <v>44.5697499727484</v>
      </c>
      <c r="G2348" s="5">
        <v>8.74178968177434</v>
      </c>
      <c r="H2348" s="5">
        <v>8.74178968177434</v>
      </c>
      <c r="I2348" s="5">
        <v>8.74178968177434</v>
      </c>
      <c r="J2348" s="5">
        <v>0.00703780528350002</v>
      </c>
      <c r="K2348" s="5">
        <v>0.00703780528350002</v>
      </c>
      <c r="L2348" s="5">
        <v>0.00703780528350002</v>
      </c>
      <c r="M2348" s="5">
        <v>8.73475187649084</v>
      </c>
      <c r="N2348" s="5">
        <v>8.73475187649084</v>
      </c>
      <c r="O2348" s="5">
        <v>8.73475187649084</v>
      </c>
      <c r="P2348" s="5">
        <v>0.0</v>
      </c>
      <c r="Q2348" s="5">
        <v>0.0</v>
      </c>
      <c r="R2348" s="5">
        <v>0.0</v>
      </c>
      <c r="S2348" s="5">
        <v>53.3115396545228</v>
      </c>
    </row>
    <row r="2349">
      <c r="A2349" s="6">
        <v>43762.0</v>
      </c>
      <c r="B2349" s="5">
        <v>44.5285178250355</v>
      </c>
      <c r="C2349" s="5">
        <v>-8.78258241854272</v>
      </c>
      <c r="D2349" s="5">
        <v>116.737570579883</v>
      </c>
      <c r="E2349" s="5">
        <v>44.5285178250355</v>
      </c>
      <c r="F2349" s="5">
        <v>44.5285178250355</v>
      </c>
      <c r="G2349" s="5">
        <v>9.07372781786924</v>
      </c>
      <c r="H2349" s="5">
        <v>9.07372781786924</v>
      </c>
      <c r="I2349" s="5">
        <v>9.07372781786924</v>
      </c>
      <c r="J2349" s="5">
        <v>-0.776422525902262</v>
      </c>
      <c r="K2349" s="5">
        <v>-0.776422525902262</v>
      </c>
      <c r="L2349" s="5">
        <v>-0.776422525902262</v>
      </c>
      <c r="M2349" s="5">
        <v>9.85015034377151</v>
      </c>
      <c r="N2349" s="5">
        <v>9.85015034377151</v>
      </c>
      <c r="O2349" s="5">
        <v>9.85015034377151</v>
      </c>
      <c r="P2349" s="5">
        <v>0.0</v>
      </c>
      <c r="Q2349" s="5">
        <v>0.0</v>
      </c>
      <c r="R2349" s="5">
        <v>0.0</v>
      </c>
      <c r="S2349" s="5">
        <v>53.6022456429048</v>
      </c>
    </row>
    <row r="2350">
      <c r="A2350" s="6">
        <v>43763.0</v>
      </c>
      <c r="B2350" s="5">
        <v>44.4872856773226</v>
      </c>
      <c r="C2350" s="5">
        <v>-11.4860270347971</v>
      </c>
      <c r="D2350" s="5">
        <v>110.320774862162</v>
      </c>
      <c r="E2350" s="5">
        <v>44.4872856773226</v>
      </c>
      <c r="F2350" s="5">
        <v>44.4872856773226</v>
      </c>
      <c r="G2350" s="5">
        <v>9.30827088780604</v>
      </c>
      <c r="H2350" s="5">
        <v>9.30827088780604</v>
      </c>
      <c r="I2350" s="5">
        <v>9.30827088780604</v>
      </c>
      <c r="J2350" s="5">
        <v>-1.5915505664943</v>
      </c>
      <c r="K2350" s="5">
        <v>-1.5915505664943</v>
      </c>
      <c r="L2350" s="5">
        <v>-1.5915505664943</v>
      </c>
      <c r="M2350" s="5">
        <v>10.8998214543003</v>
      </c>
      <c r="N2350" s="5">
        <v>10.8998214543003</v>
      </c>
      <c r="O2350" s="5">
        <v>10.8998214543003</v>
      </c>
      <c r="P2350" s="5">
        <v>0.0</v>
      </c>
      <c r="Q2350" s="5">
        <v>0.0</v>
      </c>
      <c r="R2350" s="5">
        <v>0.0</v>
      </c>
      <c r="S2350" s="5">
        <v>53.7955565651287</v>
      </c>
    </row>
    <row r="2351">
      <c r="A2351" s="6">
        <v>43766.0</v>
      </c>
      <c r="B2351" s="5">
        <v>44.3635892341839</v>
      </c>
      <c r="C2351" s="5">
        <v>-3.46920218564587</v>
      </c>
      <c r="D2351" s="5">
        <v>123.52206802597</v>
      </c>
      <c r="E2351" s="5">
        <v>44.3635892341839</v>
      </c>
      <c r="F2351" s="5">
        <v>44.3635892341839</v>
      </c>
      <c r="G2351" s="5">
        <v>13.6604108290131</v>
      </c>
      <c r="H2351" s="5">
        <v>13.6604108290131</v>
      </c>
      <c r="I2351" s="5">
        <v>13.6604108290131</v>
      </c>
      <c r="J2351" s="5">
        <v>0.0905589421239671</v>
      </c>
      <c r="K2351" s="5">
        <v>0.0905589421239671</v>
      </c>
      <c r="L2351" s="5">
        <v>0.0905589421239671</v>
      </c>
      <c r="M2351" s="5">
        <v>13.5698518868891</v>
      </c>
      <c r="N2351" s="5">
        <v>13.5698518868891</v>
      </c>
      <c r="O2351" s="5">
        <v>13.5698518868891</v>
      </c>
      <c r="P2351" s="5">
        <v>0.0</v>
      </c>
      <c r="Q2351" s="5">
        <v>0.0</v>
      </c>
      <c r="R2351" s="5">
        <v>0.0</v>
      </c>
      <c r="S2351" s="5">
        <v>58.024000063197</v>
      </c>
    </row>
    <row r="2352">
      <c r="A2352" s="6">
        <v>43767.0</v>
      </c>
      <c r="B2352" s="5">
        <v>44.322357086471</v>
      </c>
      <c r="C2352" s="5">
        <v>-5.18446725950907</v>
      </c>
      <c r="D2352" s="5">
        <v>125.31141360052</v>
      </c>
      <c r="E2352" s="5">
        <v>44.322357086471</v>
      </c>
      <c r="F2352" s="5">
        <v>44.322357086471</v>
      </c>
      <c r="G2352" s="5">
        <v>14.1387367403914</v>
      </c>
      <c r="H2352" s="5">
        <v>14.1387367403914</v>
      </c>
      <c r="I2352" s="5">
        <v>14.1387367403914</v>
      </c>
      <c r="J2352" s="5">
        <v>-0.1441188572437</v>
      </c>
      <c r="K2352" s="5">
        <v>-0.1441188572437</v>
      </c>
      <c r="L2352" s="5">
        <v>-0.1441188572437</v>
      </c>
      <c r="M2352" s="5">
        <v>14.2828555976351</v>
      </c>
      <c r="N2352" s="5">
        <v>14.2828555976351</v>
      </c>
      <c r="O2352" s="5">
        <v>14.2828555976351</v>
      </c>
      <c r="P2352" s="5">
        <v>0.0</v>
      </c>
      <c r="Q2352" s="5">
        <v>0.0</v>
      </c>
      <c r="R2352" s="5">
        <v>0.0</v>
      </c>
      <c r="S2352" s="5">
        <v>58.4610938268625</v>
      </c>
    </row>
    <row r="2353">
      <c r="A2353" s="6">
        <v>43768.0</v>
      </c>
      <c r="B2353" s="5">
        <v>44.2811249387581</v>
      </c>
      <c r="C2353" s="5">
        <v>-5.12905049456656</v>
      </c>
      <c r="D2353" s="5">
        <v>122.476084326933</v>
      </c>
      <c r="E2353" s="5">
        <v>44.2811249387581</v>
      </c>
      <c r="F2353" s="5">
        <v>44.2811249387581</v>
      </c>
      <c r="G2353" s="5">
        <v>14.9114066654618</v>
      </c>
      <c r="H2353" s="5">
        <v>14.9114066654618</v>
      </c>
      <c r="I2353" s="5">
        <v>14.9114066654618</v>
      </c>
      <c r="J2353" s="5">
        <v>0.00703780528264736</v>
      </c>
      <c r="K2353" s="5">
        <v>0.00703780528264736</v>
      </c>
      <c r="L2353" s="5">
        <v>0.00703780528264736</v>
      </c>
      <c r="M2353" s="5">
        <v>14.9043688601792</v>
      </c>
      <c r="N2353" s="5">
        <v>14.9043688601792</v>
      </c>
      <c r="O2353" s="5">
        <v>14.9043688601792</v>
      </c>
      <c r="P2353" s="5">
        <v>0.0</v>
      </c>
      <c r="Q2353" s="5">
        <v>0.0</v>
      </c>
      <c r="R2353" s="5">
        <v>0.0</v>
      </c>
      <c r="S2353" s="5">
        <v>59.19253160422</v>
      </c>
    </row>
    <row r="2354">
      <c r="A2354" s="6">
        <v>43769.0</v>
      </c>
      <c r="B2354" s="5">
        <v>44.2398927910452</v>
      </c>
      <c r="C2354" s="5">
        <v>-5.03323927151634</v>
      </c>
      <c r="D2354" s="5">
        <v>121.793509105699</v>
      </c>
      <c r="E2354" s="5">
        <v>44.2398927910452</v>
      </c>
      <c r="F2354" s="5">
        <v>44.2398927910452</v>
      </c>
      <c r="G2354" s="5">
        <v>14.6595598385955</v>
      </c>
      <c r="H2354" s="5">
        <v>14.6595598385955</v>
      </c>
      <c r="I2354" s="5">
        <v>14.6595598385955</v>
      </c>
      <c r="J2354" s="5">
        <v>-0.776422525904359</v>
      </c>
      <c r="K2354" s="5">
        <v>-0.776422525904359</v>
      </c>
      <c r="L2354" s="5">
        <v>-0.776422525904359</v>
      </c>
      <c r="M2354" s="5">
        <v>15.4359823644998</v>
      </c>
      <c r="N2354" s="5">
        <v>15.4359823644998</v>
      </c>
      <c r="O2354" s="5">
        <v>15.4359823644998</v>
      </c>
      <c r="P2354" s="5">
        <v>0.0</v>
      </c>
      <c r="Q2354" s="5">
        <v>0.0</v>
      </c>
      <c r="R2354" s="5">
        <v>0.0</v>
      </c>
      <c r="S2354" s="5">
        <v>58.8994526296408</v>
      </c>
    </row>
    <row r="2355">
      <c r="A2355" s="6">
        <v>43770.0</v>
      </c>
      <c r="B2355" s="5">
        <v>44.1986606433323</v>
      </c>
      <c r="C2355" s="5">
        <v>-8.20049689956004</v>
      </c>
      <c r="D2355" s="5">
        <v>122.95279468252</v>
      </c>
      <c r="E2355" s="5">
        <v>44.1986606433323</v>
      </c>
      <c r="F2355" s="5">
        <v>44.1986606433323</v>
      </c>
      <c r="G2355" s="5">
        <v>14.2898531249619</v>
      </c>
      <c r="H2355" s="5">
        <v>14.2898531249619</v>
      </c>
      <c r="I2355" s="5">
        <v>14.2898531249619</v>
      </c>
      <c r="J2355" s="5">
        <v>-1.59155056649338</v>
      </c>
      <c r="K2355" s="5">
        <v>-1.59155056649338</v>
      </c>
      <c r="L2355" s="5">
        <v>-1.59155056649338</v>
      </c>
      <c r="M2355" s="5">
        <v>15.8814036914552</v>
      </c>
      <c r="N2355" s="5">
        <v>15.8814036914552</v>
      </c>
      <c r="O2355" s="5">
        <v>15.8814036914552</v>
      </c>
      <c r="P2355" s="5">
        <v>0.0</v>
      </c>
      <c r="Q2355" s="5">
        <v>0.0</v>
      </c>
      <c r="R2355" s="5">
        <v>0.0</v>
      </c>
      <c r="S2355" s="5">
        <v>58.4885137682942</v>
      </c>
    </row>
    <row r="2356">
      <c r="A2356" s="6">
        <v>43773.0</v>
      </c>
      <c r="B2356" s="5">
        <v>44.0749642001936</v>
      </c>
      <c r="C2356" s="5">
        <v>-4.64474213316886</v>
      </c>
      <c r="D2356" s="5">
        <v>117.878265276911</v>
      </c>
      <c r="E2356" s="5">
        <v>44.0749642001936</v>
      </c>
      <c r="F2356" s="5">
        <v>44.0749642001936</v>
      </c>
      <c r="G2356" s="5">
        <v>16.8557660908239</v>
      </c>
      <c r="H2356" s="5">
        <v>16.8557660908239</v>
      </c>
      <c r="I2356" s="5">
        <v>16.8557660908239</v>
      </c>
      <c r="J2356" s="5">
        <v>0.0905589421225295</v>
      </c>
      <c r="K2356" s="5">
        <v>0.0905589421225295</v>
      </c>
      <c r="L2356" s="5">
        <v>0.0905589421225295</v>
      </c>
      <c r="M2356" s="5">
        <v>16.7652071487014</v>
      </c>
      <c r="N2356" s="5">
        <v>16.7652071487014</v>
      </c>
      <c r="O2356" s="5">
        <v>16.7652071487014</v>
      </c>
      <c r="P2356" s="5">
        <v>0.0</v>
      </c>
      <c r="Q2356" s="5">
        <v>0.0</v>
      </c>
      <c r="R2356" s="5">
        <v>0.0</v>
      </c>
      <c r="S2356" s="5">
        <v>60.9307302910176</v>
      </c>
    </row>
    <row r="2357">
      <c r="A2357" s="6">
        <v>43774.0</v>
      </c>
      <c r="B2357" s="5">
        <v>44.0337320524807</v>
      </c>
      <c r="C2357" s="5">
        <v>-1.60133351904278</v>
      </c>
      <c r="D2357" s="5">
        <v>120.148195478645</v>
      </c>
      <c r="E2357" s="5">
        <v>44.0337320524807</v>
      </c>
      <c r="F2357" s="5">
        <v>44.0337320524807</v>
      </c>
      <c r="G2357" s="5">
        <v>16.7937976826073</v>
      </c>
      <c r="H2357" s="5">
        <v>16.7937976826073</v>
      </c>
      <c r="I2357" s="5">
        <v>16.7937976826073</v>
      </c>
      <c r="J2357" s="5">
        <v>-0.144118857245135</v>
      </c>
      <c r="K2357" s="5">
        <v>-0.144118857245135</v>
      </c>
      <c r="L2357" s="5">
        <v>-0.144118857245135</v>
      </c>
      <c r="M2357" s="5">
        <v>16.9379165398525</v>
      </c>
      <c r="N2357" s="5">
        <v>16.9379165398525</v>
      </c>
      <c r="O2357" s="5">
        <v>16.9379165398525</v>
      </c>
      <c r="P2357" s="5">
        <v>0.0</v>
      </c>
      <c r="Q2357" s="5">
        <v>0.0</v>
      </c>
      <c r="R2357" s="5">
        <v>0.0</v>
      </c>
      <c r="S2357" s="5">
        <v>60.8275297350881</v>
      </c>
    </row>
    <row r="2358">
      <c r="A2358" s="6">
        <v>43775.0</v>
      </c>
      <c r="B2358" s="5">
        <v>43.9924999047678</v>
      </c>
      <c r="C2358" s="5">
        <v>-7.54610789758753</v>
      </c>
      <c r="D2358" s="5">
        <v>121.028275350494</v>
      </c>
      <c r="E2358" s="5">
        <v>43.9924999047678</v>
      </c>
      <c r="F2358" s="5">
        <v>43.9924999047678</v>
      </c>
      <c r="G2358" s="5">
        <v>17.0737611433287</v>
      </c>
      <c r="H2358" s="5">
        <v>17.0737611433287</v>
      </c>
      <c r="I2358" s="5">
        <v>17.0737611433287</v>
      </c>
      <c r="J2358" s="5">
        <v>0.00703780528179494</v>
      </c>
      <c r="K2358" s="5">
        <v>0.00703780528179494</v>
      </c>
      <c r="L2358" s="5">
        <v>0.00703780528179494</v>
      </c>
      <c r="M2358" s="5">
        <v>17.0667233380469</v>
      </c>
      <c r="N2358" s="5">
        <v>17.0667233380469</v>
      </c>
      <c r="O2358" s="5">
        <v>17.0667233380469</v>
      </c>
      <c r="P2358" s="5">
        <v>0.0</v>
      </c>
      <c r="Q2358" s="5">
        <v>0.0</v>
      </c>
      <c r="R2358" s="5">
        <v>0.0</v>
      </c>
      <c r="S2358" s="5">
        <v>61.0662610480966</v>
      </c>
    </row>
    <row r="2359">
      <c r="A2359" s="6">
        <v>43776.0</v>
      </c>
      <c r="B2359" s="5">
        <v>43.9512677570549</v>
      </c>
      <c r="C2359" s="5">
        <v>0.837412429060902</v>
      </c>
      <c r="D2359" s="5">
        <v>125.761975249112</v>
      </c>
      <c r="E2359" s="5">
        <v>43.9512677570549</v>
      </c>
      <c r="F2359" s="5">
        <v>43.9512677570549</v>
      </c>
      <c r="G2359" s="5">
        <v>16.3862417110805</v>
      </c>
      <c r="H2359" s="5">
        <v>16.3862417110805</v>
      </c>
      <c r="I2359" s="5">
        <v>16.3862417110805</v>
      </c>
      <c r="J2359" s="5">
        <v>-0.776422525900855</v>
      </c>
      <c r="K2359" s="5">
        <v>-0.776422525900855</v>
      </c>
      <c r="L2359" s="5">
        <v>-0.776422525900855</v>
      </c>
      <c r="M2359" s="5">
        <v>17.1626642369814</v>
      </c>
      <c r="N2359" s="5">
        <v>17.1626642369814</v>
      </c>
      <c r="O2359" s="5">
        <v>17.1626642369814</v>
      </c>
      <c r="P2359" s="5">
        <v>0.0</v>
      </c>
      <c r="Q2359" s="5">
        <v>0.0</v>
      </c>
      <c r="R2359" s="5">
        <v>0.0</v>
      </c>
      <c r="S2359" s="5">
        <v>60.3375094681355</v>
      </c>
    </row>
    <row r="2360">
      <c r="A2360" s="6">
        <v>43777.0</v>
      </c>
      <c r="B2360" s="5">
        <v>43.910035609342</v>
      </c>
      <c r="C2360" s="5">
        <v>-1.22273298752405</v>
      </c>
      <c r="D2360" s="5">
        <v>118.715312982037</v>
      </c>
      <c r="E2360" s="5">
        <v>43.910035609342</v>
      </c>
      <c r="F2360" s="5">
        <v>43.910035609342</v>
      </c>
      <c r="G2360" s="5">
        <v>15.6452501952837</v>
      </c>
      <c r="H2360" s="5">
        <v>15.6452501952837</v>
      </c>
      <c r="I2360" s="5">
        <v>15.6452501952837</v>
      </c>
      <c r="J2360" s="5">
        <v>-1.59155056649488</v>
      </c>
      <c r="K2360" s="5">
        <v>-1.59155056649488</v>
      </c>
      <c r="L2360" s="5">
        <v>-1.59155056649488</v>
      </c>
      <c r="M2360" s="5">
        <v>17.2368007617786</v>
      </c>
      <c r="N2360" s="5">
        <v>17.2368007617786</v>
      </c>
      <c r="O2360" s="5">
        <v>17.2368007617786</v>
      </c>
      <c r="P2360" s="5">
        <v>0.0</v>
      </c>
      <c r="Q2360" s="5">
        <v>0.0</v>
      </c>
      <c r="R2360" s="5">
        <v>0.0</v>
      </c>
      <c r="S2360" s="5">
        <v>59.5552858046257</v>
      </c>
    </row>
    <row r="2361">
      <c r="A2361" s="6">
        <v>43780.0</v>
      </c>
      <c r="B2361" s="5">
        <v>43.7863391662033</v>
      </c>
      <c r="C2361" s="5">
        <v>-3.00464501720193</v>
      </c>
      <c r="D2361" s="5">
        <v>119.054910398198</v>
      </c>
      <c r="E2361" s="5">
        <v>43.7863391662033</v>
      </c>
      <c r="F2361" s="5">
        <v>43.7863391662033</v>
      </c>
      <c r="G2361" s="5">
        <v>17.5223492152339</v>
      </c>
      <c r="H2361" s="5">
        <v>17.5223492152339</v>
      </c>
      <c r="I2361" s="5">
        <v>17.5223492152339</v>
      </c>
      <c r="J2361" s="5">
        <v>0.0905589421210922</v>
      </c>
      <c r="K2361" s="5">
        <v>0.0905589421210922</v>
      </c>
      <c r="L2361" s="5">
        <v>0.0905589421210922</v>
      </c>
      <c r="M2361" s="5">
        <v>17.4317902731128</v>
      </c>
      <c r="N2361" s="5">
        <v>17.4317902731128</v>
      </c>
      <c r="O2361" s="5">
        <v>17.4317902731128</v>
      </c>
      <c r="P2361" s="5">
        <v>0.0</v>
      </c>
      <c r="Q2361" s="5">
        <v>0.0</v>
      </c>
      <c r="R2361" s="5">
        <v>0.0</v>
      </c>
      <c r="S2361" s="5">
        <v>61.3086883814373</v>
      </c>
    </row>
    <row r="2362">
      <c r="A2362" s="6">
        <v>43781.0</v>
      </c>
      <c r="B2362" s="5">
        <v>43.7451070184904</v>
      </c>
      <c r="C2362" s="5">
        <v>-3.26305945900914</v>
      </c>
      <c r="D2362" s="5">
        <v>126.488246129115</v>
      </c>
      <c r="E2362" s="5">
        <v>43.7451070184904</v>
      </c>
      <c r="F2362" s="5">
        <v>43.7451070184904</v>
      </c>
      <c r="G2362" s="5">
        <v>17.373268036958</v>
      </c>
      <c r="H2362" s="5">
        <v>17.373268036958</v>
      </c>
      <c r="I2362" s="5">
        <v>17.373268036958</v>
      </c>
      <c r="J2362" s="5">
        <v>-0.144118857244047</v>
      </c>
      <c r="K2362" s="5">
        <v>-0.144118857244047</v>
      </c>
      <c r="L2362" s="5">
        <v>-0.144118857244047</v>
      </c>
      <c r="M2362" s="5">
        <v>17.517386894202</v>
      </c>
      <c r="N2362" s="5">
        <v>17.517386894202</v>
      </c>
      <c r="O2362" s="5">
        <v>17.517386894202</v>
      </c>
      <c r="P2362" s="5">
        <v>0.0</v>
      </c>
      <c r="Q2362" s="5">
        <v>0.0</v>
      </c>
      <c r="R2362" s="5">
        <v>0.0</v>
      </c>
      <c r="S2362" s="5">
        <v>61.1183750554484</v>
      </c>
    </row>
    <row r="2363">
      <c r="A2363" s="6">
        <v>43782.0</v>
      </c>
      <c r="B2363" s="5">
        <v>43.7038748707775</v>
      </c>
      <c r="C2363" s="5">
        <v>-0.143818095697147</v>
      </c>
      <c r="D2363" s="5">
        <v>126.834096497915</v>
      </c>
      <c r="E2363" s="5">
        <v>43.7038748707775</v>
      </c>
      <c r="F2363" s="5">
        <v>43.7038748707775</v>
      </c>
      <c r="G2363" s="5">
        <v>17.6318256490905</v>
      </c>
      <c r="H2363" s="5">
        <v>17.6318256490905</v>
      </c>
      <c r="I2363" s="5">
        <v>17.6318256490905</v>
      </c>
      <c r="J2363" s="5">
        <v>0.00703780528310588</v>
      </c>
      <c r="K2363" s="5">
        <v>0.00703780528310588</v>
      </c>
      <c r="L2363" s="5">
        <v>0.00703780528310588</v>
      </c>
      <c r="M2363" s="5">
        <v>17.6247878438074</v>
      </c>
      <c r="N2363" s="5">
        <v>17.6247878438074</v>
      </c>
      <c r="O2363" s="5">
        <v>17.6247878438074</v>
      </c>
      <c r="P2363" s="5">
        <v>0.0</v>
      </c>
      <c r="Q2363" s="5">
        <v>0.0</v>
      </c>
      <c r="R2363" s="5">
        <v>0.0</v>
      </c>
      <c r="S2363" s="5">
        <v>61.3357005198681</v>
      </c>
    </row>
    <row r="2364">
      <c r="A2364" s="6">
        <v>43783.0</v>
      </c>
      <c r="B2364" s="5">
        <v>43.6626427230646</v>
      </c>
      <c r="C2364" s="5">
        <v>-2.26744364917568</v>
      </c>
      <c r="D2364" s="5">
        <v>123.280438812043</v>
      </c>
      <c r="E2364" s="5">
        <v>43.6626427230646</v>
      </c>
      <c r="F2364" s="5">
        <v>43.6626427230646</v>
      </c>
      <c r="G2364" s="5">
        <v>16.9819811951261</v>
      </c>
      <c r="H2364" s="5">
        <v>16.9819811951261</v>
      </c>
      <c r="I2364" s="5">
        <v>16.9819811951261</v>
      </c>
      <c r="J2364" s="5">
        <v>-0.776422525900103</v>
      </c>
      <c r="K2364" s="5">
        <v>-0.776422525900103</v>
      </c>
      <c r="L2364" s="5">
        <v>-0.776422525900103</v>
      </c>
      <c r="M2364" s="5">
        <v>17.7584037210262</v>
      </c>
      <c r="N2364" s="5">
        <v>17.7584037210262</v>
      </c>
      <c r="O2364" s="5">
        <v>17.7584037210262</v>
      </c>
      <c r="P2364" s="5">
        <v>0.0</v>
      </c>
      <c r="Q2364" s="5">
        <v>0.0</v>
      </c>
      <c r="R2364" s="5">
        <v>0.0</v>
      </c>
      <c r="S2364" s="5">
        <v>60.6446239181908</v>
      </c>
    </row>
    <row r="2365">
      <c r="A2365" s="6">
        <v>43784.0</v>
      </c>
      <c r="B2365" s="5">
        <v>43.6214105753521</v>
      </c>
      <c r="C2365" s="5">
        <v>-2.81818164356005</v>
      </c>
      <c r="D2365" s="5">
        <v>125.919516907974</v>
      </c>
      <c r="E2365" s="5">
        <v>43.6214105753521</v>
      </c>
      <c r="F2365" s="5">
        <v>43.6214105753521</v>
      </c>
      <c r="G2365" s="5">
        <v>16.3292209132035</v>
      </c>
      <c r="H2365" s="5">
        <v>16.3292209132035</v>
      </c>
      <c r="I2365" s="5">
        <v>16.3292209132035</v>
      </c>
      <c r="J2365" s="5">
        <v>-1.59155056649396</v>
      </c>
      <c r="K2365" s="5">
        <v>-1.59155056649396</v>
      </c>
      <c r="L2365" s="5">
        <v>-1.59155056649396</v>
      </c>
      <c r="M2365" s="5">
        <v>17.9207714796974</v>
      </c>
      <c r="N2365" s="5">
        <v>17.9207714796974</v>
      </c>
      <c r="O2365" s="5">
        <v>17.9207714796974</v>
      </c>
      <c r="P2365" s="5">
        <v>0.0</v>
      </c>
      <c r="Q2365" s="5">
        <v>0.0</v>
      </c>
      <c r="R2365" s="5">
        <v>0.0</v>
      </c>
      <c r="S2365" s="5">
        <v>59.9506314885556</v>
      </c>
    </row>
    <row r="2366">
      <c r="A2366" s="6">
        <v>43787.0</v>
      </c>
      <c r="B2366" s="5">
        <v>47.1339491738918</v>
      </c>
      <c r="C2366" s="5">
        <v>2.52935461873499</v>
      </c>
      <c r="D2366" s="5">
        <v>128.89015194623</v>
      </c>
      <c r="E2366" s="5">
        <v>47.1339491738918</v>
      </c>
      <c r="F2366" s="5">
        <v>47.1339491738918</v>
      </c>
      <c r="G2366" s="5">
        <v>18.6672031878541</v>
      </c>
      <c r="H2366" s="5">
        <v>18.6672031878541</v>
      </c>
      <c r="I2366" s="5">
        <v>18.6672031878541</v>
      </c>
      <c r="J2366" s="5">
        <v>0.0905589421196548</v>
      </c>
      <c r="K2366" s="5">
        <v>0.0905589421196548</v>
      </c>
      <c r="L2366" s="5">
        <v>0.0905589421196548</v>
      </c>
      <c r="M2366" s="5">
        <v>18.5766442457344</v>
      </c>
      <c r="N2366" s="5">
        <v>18.5766442457344</v>
      </c>
      <c r="O2366" s="5">
        <v>18.5766442457344</v>
      </c>
      <c r="P2366" s="5">
        <v>0.0</v>
      </c>
      <c r="Q2366" s="5">
        <v>0.0</v>
      </c>
      <c r="R2366" s="5">
        <v>0.0</v>
      </c>
      <c r="S2366" s="5">
        <v>65.8011523617459</v>
      </c>
    </row>
    <row r="2367">
      <c r="A2367" s="6">
        <v>43788.0</v>
      </c>
      <c r="B2367" s="5">
        <v>48.3047953734052</v>
      </c>
      <c r="C2367" s="5">
        <v>5.34812175964496</v>
      </c>
      <c r="D2367" s="5">
        <v>131.519159582664</v>
      </c>
      <c r="E2367" s="5">
        <v>48.3047953734052</v>
      </c>
      <c r="F2367" s="5">
        <v>48.3047953734052</v>
      </c>
      <c r="G2367" s="5">
        <v>18.6967270729084</v>
      </c>
      <c r="H2367" s="5">
        <v>18.6967270729084</v>
      </c>
      <c r="I2367" s="5">
        <v>18.6967270729084</v>
      </c>
      <c r="J2367" s="5">
        <v>-0.144118857246897</v>
      </c>
      <c r="K2367" s="5">
        <v>-0.144118857246897</v>
      </c>
      <c r="L2367" s="5">
        <v>-0.144118857246897</v>
      </c>
      <c r="M2367" s="5">
        <v>18.8408459301553</v>
      </c>
      <c r="N2367" s="5">
        <v>18.8408459301553</v>
      </c>
      <c r="O2367" s="5">
        <v>18.8408459301553</v>
      </c>
      <c r="P2367" s="5">
        <v>0.0</v>
      </c>
      <c r="Q2367" s="5">
        <v>0.0</v>
      </c>
      <c r="R2367" s="5">
        <v>0.0</v>
      </c>
      <c r="S2367" s="5">
        <v>67.0015224463137</v>
      </c>
    </row>
    <row r="2368">
      <c r="A2368" s="6">
        <v>43789.0</v>
      </c>
      <c r="B2368" s="5">
        <v>49.4756415729181</v>
      </c>
      <c r="C2368" s="5">
        <v>14.2270921715185</v>
      </c>
      <c r="D2368" s="5">
        <v>132.630461968782</v>
      </c>
      <c r="E2368" s="5">
        <v>49.4756415729181</v>
      </c>
      <c r="F2368" s="5">
        <v>49.4756415729181</v>
      </c>
      <c r="G2368" s="5">
        <v>19.125251700933</v>
      </c>
      <c r="H2368" s="5">
        <v>19.125251700933</v>
      </c>
      <c r="I2368" s="5">
        <v>19.125251700933</v>
      </c>
      <c r="J2368" s="5">
        <v>0.0070378052810812</v>
      </c>
      <c r="K2368" s="5">
        <v>0.0070378052810812</v>
      </c>
      <c r="L2368" s="5">
        <v>0.0070378052810812</v>
      </c>
      <c r="M2368" s="5">
        <v>19.1182138956519</v>
      </c>
      <c r="N2368" s="5">
        <v>19.1182138956519</v>
      </c>
      <c r="O2368" s="5">
        <v>19.1182138956519</v>
      </c>
      <c r="P2368" s="5">
        <v>0.0</v>
      </c>
      <c r="Q2368" s="5">
        <v>0.0</v>
      </c>
      <c r="R2368" s="5">
        <v>0.0</v>
      </c>
      <c r="S2368" s="5">
        <v>68.6008932738511</v>
      </c>
    </row>
    <row r="2369">
      <c r="A2369" s="6">
        <v>43790.0</v>
      </c>
      <c r="B2369" s="5">
        <v>50.6464877724315</v>
      </c>
      <c r="C2369" s="5">
        <v>7.62389503641704</v>
      </c>
      <c r="D2369" s="5">
        <v>136.482884081255</v>
      </c>
      <c r="E2369" s="5">
        <v>50.6464877724315</v>
      </c>
      <c r="F2369" s="5">
        <v>50.6464877724315</v>
      </c>
      <c r="G2369" s="5">
        <v>18.6244076407097</v>
      </c>
      <c r="H2369" s="5">
        <v>18.6244076407097</v>
      </c>
      <c r="I2369" s="5">
        <v>18.6244076407097</v>
      </c>
      <c r="J2369" s="5">
        <v>-0.776422525899449</v>
      </c>
      <c r="K2369" s="5">
        <v>-0.776422525899449</v>
      </c>
      <c r="L2369" s="5">
        <v>-0.776422525899449</v>
      </c>
      <c r="M2369" s="5">
        <v>19.4008301666092</v>
      </c>
      <c r="N2369" s="5">
        <v>19.4008301666092</v>
      </c>
      <c r="O2369" s="5">
        <v>19.4008301666092</v>
      </c>
      <c r="P2369" s="5">
        <v>0.0</v>
      </c>
      <c r="Q2369" s="5">
        <v>0.0</v>
      </c>
      <c r="R2369" s="5">
        <v>0.0</v>
      </c>
      <c r="S2369" s="5">
        <v>69.2708954131413</v>
      </c>
    </row>
    <row r="2370">
      <c r="A2370" s="6">
        <v>43791.0</v>
      </c>
      <c r="B2370" s="5">
        <v>51.8173339719449</v>
      </c>
      <c r="C2370" s="5">
        <v>8.20555288435205</v>
      </c>
      <c r="D2370" s="5">
        <v>132.950124166338</v>
      </c>
      <c r="E2370" s="5">
        <v>51.8173339719449</v>
      </c>
      <c r="F2370" s="5">
        <v>51.8173339719449</v>
      </c>
      <c r="G2370" s="5">
        <v>18.088176292386</v>
      </c>
      <c r="H2370" s="5">
        <v>18.088176292386</v>
      </c>
      <c r="I2370" s="5">
        <v>18.088176292386</v>
      </c>
      <c r="J2370" s="5">
        <v>-1.59155056649303</v>
      </c>
      <c r="K2370" s="5">
        <v>-1.59155056649303</v>
      </c>
      <c r="L2370" s="5">
        <v>-1.59155056649303</v>
      </c>
      <c r="M2370" s="5">
        <v>19.679726858879</v>
      </c>
      <c r="N2370" s="5">
        <v>19.679726858879</v>
      </c>
      <c r="O2370" s="5">
        <v>19.679726858879</v>
      </c>
      <c r="P2370" s="5">
        <v>0.0</v>
      </c>
      <c r="Q2370" s="5">
        <v>0.0</v>
      </c>
      <c r="R2370" s="5">
        <v>0.0</v>
      </c>
      <c r="S2370" s="5">
        <v>69.905510264331</v>
      </c>
    </row>
    <row r="2371">
      <c r="A2371" s="6">
        <v>43794.0</v>
      </c>
      <c r="B2371" s="5">
        <v>55.3298725704846</v>
      </c>
      <c r="C2371" s="5">
        <v>11.4227867029646</v>
      </c>
      <c r="D2371" s="5">
        <v>140.295312860221</v>
      </c>
      <c r="E2371" s="5">
        <v>55.3298725704846</v>
      </c>
      <c r="F2371" s="5">
        <v>55.3298725704846</v>
      </c>
      <c r="G2371" s="5">
        <v>20.4862817617086</v>
      </c>
      <c r="H2371" s="5">
        <v>20.4862817617086</v>
      </c>
      <c r="I2371" s="5">
        <v>20.4862817617086</v>
      </c>
      <c r="J2371" s="5">
        <v>0.0905589421230652</v>
      </c>
      <c r="K2371" s="5">
        <v>0.0905589421230652</v>
      </c>
      <c r="L2371" s="5">
        <v>0.0905589421230652</v>
      </c>
      <c r="M2371" s="5">
        <v>20.3957228195856</v>
      </c>
      <c r="N2371" s="5">
        <v>20.3957228195856</v>
      </c>
      <c r="O2371" s="5">
        <v>20.3957228195856</v>
      </c>
      <c r="P2371" s="5">
        <v>0.0</v>
      </c>
      <c r="Q2371" s="5">
        <v>0.0</v>
      </c>
      <c r="R2371" s="5">
        <v>0.0</v>
      </c>
      <c r="S2371" s="5">
        <v>75.8161543321933</v>
      </c>
    </row>
    <row r="2372">
      <c r="A2372" s="6">
        <v>43795.0</v>
      </c>
      <c r="B2372" s="5">
        <v>56.5007187699975</v>
      </c>
      <c r="C2372" s="5">
        <v>14.589665892721</v>
      </c>
      <c r="D2372" s="5">
        <v>140.908040809033</v>
      </c>
      <c r="E2372" s="5">
        <v>56.5007187699975</v>
      </c>
      <c r="F2372" s="5">
        <v>56.5007187699975</v>
      </c>
      <c r="G2372" s="5">
        <v>20.4169103184824</v>
      </c>
      <c r="H2372" s="5">
        <v>20.4169103184824</v>
      </c>
      <c r="I2372" s="5">
        <v>20.4169103184824</v>
      </c>
      <c r="J2372" s="5">
        <v>-0.144118857245809</v>
      </c>
      <c r="K2372" s="5">
        <v>-0.144118857245809</v>
      </c>
      <c r="L2372" s="5">
        <v>-0.144118857245809</v>
      </c>
      <c r="M2372" s="5">
        <v>20.5610291757282</v>
      </c>
      <c r="N2372" s="5">
        <v>20.5610291757282</v>
      </c>
      <c r="O2372" s="5">
        <v>20.5610291757282</v>
      </c>
      <c r="P2372" s="5">
        <v>0.0</v>
      </c>
      <c r="Q2372" s="5">
        <v>0.0</v>
      </c>
      <c r="R2372" s="5">
        <v>0.0</v>
      </c>
      <c r="S2372" s="5">
        <v>76.91762908848</v>
      </c>
    </row>
    <row r="2373">
      <c r="A2373" s="6">
        <v>43796.0</v>
      </c>
      <c r="B2373" s="5">
        <v>57.6715649695109</v>
      </c>
      <c r="C2373" s="5">
        <v>19.8107951225345</v>
      </c>
      <c r="D2373" s="5">
        <v>146.827678225139</v>
      </c>
      <c r="E2373" s="5">
        <v>57.6715649695109</v>
      </c>
      <c r="F2373" s="5">
        <v>57.6715649695109</v>
      </c>
      <c r="G2373" s="5">
        <v>20.6812833803666</v>
      </c>
      <c r="H2373" s="5">
        <v>20.6812833803666</v>
      </c>
      <c r="I2373" s="5">
        <v>20.6812833803666</v>
      </c>
      <c r="J2373" s="5">
        <v>0.00703780528239224</v>
      </c>
      <c r="K2373" s="5">
        <v>0.00703780528239224</v>
      </c>
      <c r="L2373" s="5">
        <v>0.00703780528239224</v>
      </c>
      <c r="M2373" s="5">
        <v>20.6742455750842</v>
      </c>
      <c r="N2373" s="5">
        <v>20.6742455750842</v>
      </c>
      <c r="O2373" s="5">
        <v>20.6742455750842</v>
      </c>
      <c r="P2373" s="5">
        <v>0.0</v>
      </c>
      <c r="Q2373" s="5">
        <v>0.0</v>
      </c>
      <c r="R2373" s="5">
        <v>0.0</v>
      </c>
      <c r="S2373" s="5">
        <v>78.3528483498776</v>
      </c>
    </row>
    <row r="2374">
      <c r="A2374" s="6">
        <v>43798.0</v>
      </c>
      <c r="B2374" s="5">
        <v>60.0132573685372</v>
      </c>
      <c r="C2374" s="5">
        <v>15.0147461571964</v>
      </c>
      <c r="D2374" s="5">
        <v>138.955612828465</v>
      </c>
      <c r="E2374" s="5">
        <v>60.0132573685372</v>
      </c>
      <c r="F2374" s="5">
        <v>60.0132573685372</v>
      </c>
      <c r="G2374" s="5">
        <v>19.1231887371773</v>
      </c>
      <c r="H2374" s="5">
        <v>19.1231887371773</v>
      </c>
      <c r="I2374" s="5">
        <v>19.1231887371773</v>
      </c>
      <c r="J2374" s="5">
        <v>-1.59155056649211</v>
      </c>
      <c r="K2374" s="5">
        <v>-1.59155056649211</v>
      </c>
      <c r="L2374" s="5">
        <v>-1.59155056649211</v>
      </c>
      <c r="M2374" s="5">
        <v>20.7147393036694</v>
      </c>
      <c r="N2374" s="5">
        <v>20.7147393036694</v>
      </c>
      <c r="O2374" s="5">
        <v>20.7147393036694</v>
      </c>
      <c r="P2374" s="5">
        <v>0.0</v>
      </c>
      <c r="Q2374" s="5">
        <v>0.0</v>
      </c>
      <c r="R2374" s="5">
        <v>0.0</v>
      </c>
      <c r="S2374" s="5">
        <v>79.1364461057145</v>
      </c>
    </row>
    <row r="2375">
      <c r="A2375" s="6">
        <v>43801.0</v>
      </c>
      <c r="B2375" s="5">
        <v>63.525795967077</v>
      </c>
      <c r="C2375" s="5">
        <v>19.2306353176476</v>
      </c>
      <c r="D2375" s="5">
        <v>149.216035668084</v>
      </c>
      <c r="E2375" s="5">
        <v>63.525795967077</v>
      </c>
      <c r="F2375" s="5">
        <v>63.525795967077</v>
      </c>
      <c r="G2375" s="5">
        <v>20.333844470452</v>
      </c>
      <c r="H2375" s="5">
        <v>20.333844470452</v>
      </c>
      <c r="I2375" s="5">
        <v>20.333844470452</v>
      </c>
      <c r="J2375" s="5">
        <v>0.0905589421192437</v>
      </c>
      <c r="K2375" s="5">
        <v>0.0905589421192437</v>
      </c>
      <c r="L2375" s="5">
        <v>0.0905589421192437</v>
      </c>
      <c r="M2375" s="5">
        <v>20.2432855283327</v>
      </c>
      <c r="N2375" s="5">
        <v>20.2432855283327</v>
      </c>
      <c r="O2375" s="5">
        <v>20.2432855283327</v>
      </c>
      <c r="P2375" s="5">
        <v>0.0</v>
      </c>
      <c r="Q2375" s="5">
        <v>0.0</v>
      </c>
      <c r="R2375" s="5">
        <v>0.0</v>
      </c>
      <c r="S2375" s="5">
        <v>83.859640437529</v>
      </c>
    </row>
    <row r="2376">
      <c r="A2376" s="6">
        <v>43802.0</v>
      </c>
      <c r="B2376" s="5">
        <v>64.6966421665904</v>
      </c>
      <c r="C2376" s="5">
        <v>21.2317363282501</v>
      </c>
      <c r="D2376" s="5">
        <v>146.482718596237</v>
      </c>
      <c r="E2376" s="5">
        <v>64.6966421665904</v>
      </c>
      <c r="F2376" s="5">
        <v>64.6966421665904</v>
      </c>
      <c r="G2376" s="5">
        <v>19.7964352860053</v>
      </c>
      <c r="H2376" s="5">
        <v>19.7964352860053</v>
      </c>
      <c r="I2376" s="5">
        <v>19.7964352860053</v>
      </c>
      <c r="J2376" s="5">
        <v>-0.144118857244721</v>
      </c>
      <c r="K2376" s="5">
        <v>-0.144118857244721</v>
      </c>
      <c r="L2376" s="5">
        <v>-0.144118857244721</v>
      </c>
      <c r="M2376" s="5">
        <v>19.94055414325</v>
      </c>
      <c r="N2376" s="5">
        <v>19.94055414325</v>
      </c>
      <c r="O2376" s="5">
        <v>19.94055414325</v>
      </c>
      <c r="P2376" s="5">
        <v>0.0</v>
      </c>
      <c r="Q2376" s="5">
        <v>0.0</v>
      </c>
      <c r="R2376" s="5">
        <v>0.0</v>
      </c>
      <c r="S2376" s="5">
        <v>84.4930774525958</v>
      </c>
    </row>
    <row r="2377">
      <c r="A2377" s="6">
        <v>43803.0</v>
      </c>
      <c r="B2377" s="5">
        <v>65.8674883661038</v>
      </c>
      <c r="C2377" s="5">
        <v>21.5349463127668</v>
      </c>
      <c r="D2377" s="5">
        <v>147.33214732139</v>
      </c>
      <c r="E2377" s="5">
        <v>65.8674883661038</v>
      </c>
      <c r="F2377" s="5">
        <v>65.8674883661038</v>
      </c>
      <c r="G2377" s="5">
        <v>19.5771662112042</v>
      </c>
      <c r="H2377" s="5">
        <v>19.5771662112042</v>
      </c>
      <c r="I2377" s="5">
        <v>19.5771662112042</v>
      </c>
      <c r="J2377" s="5">
        <v>0.00703780528036749</v>
      </c>
      <c r="K2377" s="5">
        <v>0.00703780528036749</v>
      </c>
      <c r="L2377" s="5">
        <v>0.00703780528036749</v>
      </c>
      <c r="M2377" s="5">
        <v>19.5701284059238</v>
      </c>
      <c r="N2377" s="5">
        <v>19.5701284059238</v>
      </c>
      <c r="O2377" s="5">
        <v>19.5701284059238</v>
      </c>
      <c r="P2377" s="5">
        <v>0.0</v>
      </c>
      <c r="Q2377" s="5">
        <v>0.0</v>
      </c>
      <c r="R2377" s="5">
        <v>0.0</v>
      </c>
      <c r="S2377" s="5">
        <v>85.444654577308</v>
      </c>
    </row>
    <row r="2378">
      <c r="A2378" s="6">
        <v>43804.0</v>
      </c>
      <c r="B2378" s="5">
        <v>67.0383345656167</v>
      </c>
      <c r="C2378" s="5">
        <v>24.8268350920882</v>
      </c>
      <c r="D2378" s="5">
        <v>150.308295647273</v>
      </c>
      <c r="E2378" s="5">
        <v>67.0383345656167</v>
      </c>
      <c r="F2378" s="5">
        <v>67.0383345656167</v>
      </c>
      <c r="G2378" s="5">
        <v>18.3621488525552</v>
      </c>
      <c r="H2378" s="5">
        <v>18.3621488525552</v>
      </c>
      <c r="I2378" s="5">
        <v>18.3621488525552</v>
      </c>
      <c r="J2378" s="5">
        <v>-0.776422525900794</v>
      </c>
      <c r="K2378" s="5">
        <v>-0.776422525900794</v>
      </c>
      <c r="L2378" s="5">
        <v>-0.776422525900794</v>
      </c>
      <c r="M2378" s="5">
        <v>19.138571378456</v>
      </c>
      <c r="N2378" s="5">
        <v>19.138571378456</v>
      </c>
      <c r="O2378" s="5">
        <v>19.138571378456</v>
      </c>
      <c r="P2378" s="5">
        <v>0.0</v>
      </c>
      <c r="Q2378" s="5">
        <v>0.0</v>
      </c>
      <c r="R2378" s="5">
        <v>0.0</v>
      </c>
      <c r="S2378" s="5">
        <v>85.4004834181719</v>
      </c>
    </row>
    <row r="2379">
      <c r="A2379" s="6">
        <v>43805.0</v>
      </c>
      <c r="B2379" s="5">
        <v>68.2091807651301</v>
      </c>
      <c r="C2379" s="5">
        <v>22.1470204760194</v>
      </c>
      <c r="D2379" s="5">
        <v>149.445063957113</v>
      </c>
      <c r="E2379" s="5">
        <v>68.2091807651301</v>
      </c>
      <c r="F2379" s="5">
        <v>68.2091807651301</v>
      </c>
      <c r="G2379" s="5">
        <v>17.063141897925</v>
      </c>
      <c r="H2379" s="5">
        <v>17.063141897925</v>
      </c>
      <c r="I2379" s="5">
        <v>17.063141897925</v>
      </c>
      <c r="J2379" s="5">
        <v>-1.59155056649361</v>
      </c>
      <c r="K2379" s="5">
        <v>-1.59155056649361</v>
      </c>
      <c r="L2379" s="5">
        <v>-1.59155056649361</v>
      </c>
      <c r="M2379" s="5">
        <v>18.6546924644186</v>
      </c>
      <c r="N2379" s="5">
        <v>18.6546924644186</v>
      </c>
      <c r="O2379" s="5">
        <v>18.6546924644186</v>
      </c>
      <c r="P2379" s="5">
        <v>0.0</v>
      </c>
      <c r="Q2379" s="5">
        <v>0.0</v>
      </c>
      <c r="R2379" s="5">
        <v>0.0</v>
      </c>
      <c r="S2379" s="5">
        <v>85.2723226630552</v>
      </c>
    </row>
    <row r="2380">
      <c r="A2380" s="6">
        <v>43808.0</v>
      </c>
      <c r="B2380" s="5">
        <v>71.7217193636698</v>
      </c>
      <c r="C2380" s="5">
        <v>20.850366997728</v>
      </c>
      <c r="D2380" s="5">
        <v>148.415136710246</v>
      </c>
      <c r="E2380" s="5">
        <v>71.7217193636698</v>
      </c>
      <c r="F2380" s="5">
        <v>71.7217193636698</v>
      </c>
      <c r="G2380" s="5">
        <v>17.0976527800035</v>
      </c>
      <c r="H2380" s="5">
        <v>17.0976527800035</v>
      </c>
      <c r="I2380" s="5">
        <v>17.0976527800035</v>
      </c>
      <c r="J2380" s="5">
        <v>0.0905589421201902</v>
      </c>
      <c r="K2380" s="5">
        <v>0.0905589421201902</v>
      </c>
      <c r="L2380" s="5">
        <v>0.0905589421201902</v>
      </c>
      <c r="M2380" s="5">
        <v>17.0070938378833</v>
      </c>
      <c r="N2380" s="5">
        <v>17.0070938378833</v>
      </c>
      <c r="O2380" s="5">
        <v>17.0070938378833</v>
      </c>
      <c r="P2380" s="5">
        <v>0.0</v>
      </c>
      <c r="Q2380" s="5">
        <v>0.0</v>
      </c>
      <c r="R2380" s="5">
        <v>0.0</v>
      </c>
      <c r="S2380" s="5">
        <v>88.8193721436734</v>
      </c>
    </row>
    <row r="2381">
      <c r="A2381" s="6">
        <v>43809.0</v>
      </c>
      <c r="B2381" s="5">
        <v>72.8925655631833</v>
      </c>
      <c r="C2381" s="5">
        <v>26.5038885438688</v>
      </c>
      <c r="D2381" s="5">
        <v>151.038557902833</v>
      </c>
      <c r="E2381" s="5">
        <v>72.8925655631833</v>
      </c>
      <c r="F2381" s="5">
        <v>72.8925655631833</v>
      </c>
      <c r="G2381" s="5">
        <v>16.2958643223373</v>
      </c>
      <c r="H2381" s="5">
        <v>16.2958643223373</v>
      </c>
      <c r="I2381" s="5">
        <v>16.2958643223373</v>
      </c>
      <c r="J2381" s="5">
        <v>-0.144118857243633</v>
      </c>
      <c r="K2381" s="5">
        <v>-0.144118857243633</v>
      </c>
      <c r="L2381" s="5">
        <v>-0.144118857243633</v>
      </c>
      <c r="M2381" s="5">
        <v>16.4399831795809</v>
      </c>
      <c r="N2381" s="5">
        <v>16.4399831795809</v>
      </c>
      <c r="O2381" s="5">
        <v>16.4399831795809</v>
      </c>
      <c r="P2381" s="5">
        <v>0.0</v>
      </c>
      <c r="Q2381" s="5">
        <v>0.0</v>
      </c>
      <c r="R2381" s="5">
        <v>0.0</v>
      </c>
      <c r="S2381" s="5">
        <v>89.1884298855206</v>
      </c>
    </row>
    <row r="2382">
      <c r="A2382" s="6">
        <v>43810.0</v>
      </c>
      <c r="B2382" s="5">
        <v>74.0634117626961</v>
      </c>
      <c r="C2382" s="5">
        <v>25.9008026281651</v>
      </c>
      <c r="D2382" s="5">
        <v>152.970402160418</v>
      </c>
      <c r="E2382" s="5">
        <v>74.0634117626961</v>
      </c>
      <c r="F2382" s="5">
        <v>74.0634117626961</v>
      </c>
      <c r="G2382" s="5">
        <v>15.8975079612574</v>
      </c>
      <c r="H2382" s="5">
        <v>15.8975079612574</v>
      </c>
      <c r="I2382" s="5">
        <v>15.8975079612574</v>
      </c>
      <c r="J2382" s="5">
        <v>0.00703780528266997</v>
      </c>
      <c r="K2382" s="5">
        <v>0.00703780528266997</v>
      </c>
      <c r="L2382" s="5">
        <v>0.00703780528266997</v>
      </c>
      <c r="M2382" s="5">
        <v>15.8904701559747</v>
      </c>
      <c r="N2382" s="5">
        <v>15.8904701559747</v>
      </c>
      <c r="O2382" s="5">
        <v>15.8904701559747</v>
      </c>
      <c r="P2382" s="5">
        <v>0.0</v>
      </c>
      <c r="Q2382" s="5">
        <v>0.0</v>
      </c>
      <c r="R2382" s="5">
        <v>0.0</v>
      </c>
      <c r="S2382" s="5">
        <v>89.9609197239535</v>
      </c>
    </row>
    <row r="2383">
      <c r="A2383" s="6">
        <v>43811.0</v>
      </c>
      <c r="B2383" s="5">
        <v>75.2342579622096</v>
      </c>
      <c r="C2383" s="5">
        <v>28.9082579644602</v>
      </c>
      <c r="D2383" s="5">
        <v>153.246428675488</v>
      </c>
      <c r="E2383" s="5">
        <v>75.2342579622096</v>
      </c>
      <c r="F2383" s="5">
        <v>75.2342579622096</v>
      </c>
      <c r="G2383" s="5">
        <v>14.5989332460997</v>
      </c>
      <c r="H2383" s="5">
        <v>14.5989332460997</v>
      </c>
      <c r="I2383" s="5">
        <v>14.5989332460997</v>
      </c>
      <c r="J2383" s="5">
        <v>-0.776422525901515</v>
      </c>
      <c r="K2383" s="5">
        <v>-0.776422525901515</v>
      </c>
      <c r="L2383" s="5">
        <v>-0.776422525901515</v>
      </c>
      <c r="M2383" s="5">
        <v>15.3753557720013</v>
      </c>
      <c r="N2383" s="5">
        <v>15.3753557720013</v>
      </c>
      <c r="O2383" s="5">
        <v>15.3753557720013</v>
      </c>
      <c r="P2383" s="5">
        <v>0.0</v>
      </c>
      <c r="Q2383" s="5">
        <v>0.0</v>
      </c>
      <c r="R2383" s="5">
        <v>0.0</v>
      </c>
      <c r="S2383" s="5">
        <v>89.8331912083093</v>
      </c>
    </row>
    <row r="2384">
      <c r="A2384" s="6">
        <v>43812.0</v>
      </c>
      <c r="B2384" s="5">
        <v>76.405104161723</v>
      </c>
      <c r="C2384" s="5">
        <v>23.2443741351814</v>
      </c>
      <c r="D2384" s="5">
        <v>151.27708454265</v>
      </c>
      <c r="E2384" s="5">
        <v>76.405104161723</v>
      </c>
      <c r="F2384" s="5">
        <v>76.405104161723</v>
      </c>
      <c r="G2384" s="5">
        <v>13.3198534044324</v>
      </c>
      <c r="H2384" s="5">
        <v>13.3198534044324</v>
      </c>
      <c r="I2384" s="5">
        <v>13.3198534044324</v>
      </c>
      <c r="J2384" s="5">
        <v>-1.591550566493</v>
      </c>
      <c r="K2384" s="5">
        <v>-1.591550566493</v>
      </c>
      <c r="L2384" s="5">
        <v>-1.591550566493</v>
      </c>
      <c r="M2384" s="5">
        <v>14.9114039709254</v>
      </c>
      <c r="N2384" s="5">
        <v>14.9114039709254</v>
      </c>
      <c r="O2384" s="5">
        <v>14.9114039709254</v>
      </c>
      <c r="P2384" s="5">
        <v>0.0</v>
      </c>
      <c r="Q2384" s="5">
        <v>0.0</v>
      </c>
      <c r="R2384" s="5">
        <v>0.0</v>
      </c>
      <c r="S2384" s="5">
        <v>89.7249575661554</v>
      </c>
    </row>
    <row r="2385">
      <c r="A2385" s="6">
        <v>43815.0</v>
      </c>
      <c r="B2385" s="5">
        <v>79.9176427602627</v>
      </c>
      <c r="C2385" s="5">
        <v>30.9733108675656</v>
      </c>
      <c r="D2385" s="5">
        <v>158.457489863902</v>
      </c>
      <c r="E2385" s="5">
        <v>79.9176427602627</v>
      </c>
      <c r="F2385" s="5">
        <v>79.9176427602627</v>
      </c>
      <c r="G2385" s="5">
        <v>14.0745279307188</v>
      </c>
      <c r="H2385" s="5">
        <v>14.0745279307188</v>
      </c>
      <c r="I2385" s="5">
        <v>14.0745279307188</v>
      </c>
      <c r="J2385" s="5">
        <v>0.0905589421236006</v>
      </c>
      <c r="K2385" s="5">
        <v>0.0905589421236006</v>
      </c>
      <c r="L2385" s="5">
        <v>0.0905589421236006</v>
      </c>
      <c r="M2385" s="5">
        <v>13.9839689885952</v>
      </c>
      <c r="N2385" s="5">
        <v>13.9839689885952</v>
      </c>
      <c r="O2385" s="5">
        <v>13.9839689885952</v>
      </c>
      <c r="P2385" s="5">
        <v>0.0</v>
      </c>
      <c r="Q2385" s="5">
        <v>0.0</v>
      </c>
      <c r="R2385" s="5">
        <v>0.0</v>
      </c>
      <c r="S2385" s="5">
        <v>93.9921706909816</v>
      </c>
    </row>
    <row r="2386">
      <c r="A2386" s="6">
        <v>43816.0</v>
      </c>
      <c r="B2386" s="5">
        <v>81.0884889597756</v>
      </c>
      <c r="C2386" s="5">
        <v>35.1242615549286</v>
      </c>
      <c r="D2386" s="5">
        <v>159.989054376212</v>
      </c>
      <c r="E2386" s="5">
        <v>81.0884889597756</v>
      </c>
      <c r="F2386" s="5">
        <v>81.0884889597756</v>
      </c>
      <c r="G2386" s="5">
        <v>13.7314665229624</v>
      </c>
      <c r="H2386" s="5">
        <v>13.7314665229624</v>
      </c>
      <c r="I2386" s="5">
        <v>13.7314665229624</v>
      </c>
      <c r="J2386" s="5">
        <v>-0.144118857246483</v>
      </c>
      <c r="K2386" s="5">
        <v>-0.144118857246483</v>
      </c>
      <c r="L2386" s="5">
        <v>-0.144118857246483</v>
      </c>
      <c r="M2386" s="5">
        <v>13.8755853802089</v>
      </c>
      <c r="N2386" s="5">
        <v>13.8755853802089</v>
      </c>
      <c r="O2386" s="5">
        <v>13.8755853802089</v>
      </c>
      <c r="P2386" s="5">
        <v>0.0</v>
      </c>
      <c r="Q2386" s="5">
        <v>0.0</v>
      </c>
      <c r="R2386" s="5">
        <v>0.0</v>
      </c>
      <c r="S2386" s="5">
        <v>94.819955482738</v>
      </c>
    </row>
    <row r="2387">
      <c r="A2387" s="6">
        <v>43817.0</v>
      </c>
      <c r="B2387" s="5">
        <v>82.259335159289</v>
      </c>
      <c r="C2387" s="5">
        <v>35.6987354019649</v>
      </c>
      <c r="D2387" s="5">
        <v>164.931609378526</v>
      </c>
      <c r="E2387" s="5">
        <v>82.259335159289</v>
      </c>
      <c r="F2387" s="5">
        <v>82.259335159289</v>
      </c>
      <c r="G2387" s="5">
        <v>13.8928882400848</v>
      </c>
      <c r="H2387" s="5">
        <v>13.8928882400848</v>
      </c>
      <c r="I2387" s="5">
        <v>13.8928882400848</v>
      </c>
      <c r="J2387" s="5">
        <v>0.00703780528181731</v>
      </c>
      <c r="K2387" s="5">
        <v>0.00703780528181731</v>
      </c>
      <c r="L2387" s="5">
        <v>0.00703780528181731</v>
      </c>
      <c r="M2387" s="5">
        <v>13.885850434803</v>
      </c>
      <c r="N2387" s="5">
        <v>13.885850434803</v>
      </c>
      <c r="O2387" s="5">
        <v>13.885850434803</v>
      </c>
      <c r="P2387" s="5">
        <v>0.0</v>
      </c>
      <c r="Q2387" s="5">
        <v>0.0</v>
      </c>
      <c r="R2387" s="5">
        <v>0.0</v>
      </c>
      <c r="S2387" s="5">
        <v>96.1522233993739</v>
      </c>
    </row>
    <row r="2388">
      <c r="A2388" s="6">
        <v>43818.0</v>
      </c>
      <c r="B2388" s="5">
        <v>83.4301813588024</v>
      </c>
      <c r="C2388" s="5">
        <v>34.2183752614578</v>
      </c>
      <c r="D2388" s="5">
        <v>158.738201309177</v>
      </c>
      <c r="E2388" s="5">
        <v>83.4301813588024</v>
      </c>
      <c r="F2388" s="5">
        <v>83.4301813588024</v>
      </c>
      <c r="G2388" s="5">
        <v>13.2457239516988</v>
      </c>
      <c r="H2388" s="5">
        <v>13.2457239516988</v>
      </c>
      <c r="I2388" s="5">
        <v>13.2457239516988</v>
      </c>
      <c r="J2388" s="5">
        <v>-0.776422525903613</v>
      </c>
      <c r="K2388" s="5">
        <v>-0.776422525903613</v>
      </c>
      <c r="L2388" s="5">
        <v>-0.776422525903613</v>
      </c>
      <c r="M2388" s="5">
        <v>14.0221464776024</v>
      </c>
      <c r="N2388" s="5">
        <v>14.0221464776024</v>
      </c>
      <c r="O2388" s="5">
        <v>14.0221464776024</v>
      </c>
      <c r="P2388" s="5">
        <v>0.0</v>
      </c>
      <c r="Q2388" s="5">
        <v>0.0</v>
      </c>
      <c r="R2388" s="5">
        <v>0.0</v>
      </c>
      <c r="S2388" s="5">
        <v>96.6759053105012</v>
      </c>
    </row>
    <row r="2389">
      <c r="A2389" s="6">
        <v>43819.0</v>
      </c>
      <c r="B2389" s="5">
        <v>84.6010275583153</v>
      </c>
      <c r="C2389" s="5">
        <v>34.2270120088225</v>
      </c>
      <c r="D2389" s="5">
        <v>163.142159455599</v>
      </c>
      <c r="E2389" s="5">
        <v>84.6010275583153</v>
      </c>
      <c r="F2389" s="5">
        <v>84.6010275583153</v>
      </c>
      <c r="G2389" s="5">
        <v>12.6975200558254</v>
      </c>
      <c r="H2389" s="5">
        <v>12.6975200558254</v>
      </c>
      <c r="I2389" s="5">
        <v>12.6975200558254</v>
      </c>
      <c r="J2389" s="5">
        <v>-1.59155056649176</v>
      </c>
      <c r="K2389" s="5">
        <v>-1.59155056649176</v>
      </c>
      <c r="L2389" s="5">
        <v>-1.59155056649176</v>
      </c>
      <c r="M2389" s="5">
        <v>14.2890706223172</v>
      </c>
      <c r="N2389" s="5">
        <v>14.2890706223172</v>
      </c>
      <c r="O2389" s="5">
        <v>14.2890706223172</v>
      </c>
      <c r="P2389" s="5">
        <v>0.0</v>
      </c>
      <c r="Q2389" s="5">
        <v>0.0</v>
      </c>
      <c r="R2389" s="5">
        <v>0.0</v>
      </c>
      <c r="S2389" s="5">
        <v>97.2985476141407</v>
      </c>
    </row>
    <row r="2390">
      <c r="A2390" s="6">
        <v>43822.0</v>
      </c>
      <c r="B2390" s="5">
        <v>88.113566156855</v>
      </c>
      <c r="C2390" s="5">
        <v>44.4822956054339</v>
      </c>
      <c r="D2390" s="5">
        <v>169.434789616658</v>
      </c>
      <c r="E2390" s="5">
        <v>88.113566156855</v>
      </c>
      <c r="F2390" s="5">
        <v>88.113566156855</v>
      </c>
      <c r="G2390" s="5">
        <v>15.9647632301369</v>
      </c>
      <c r="H2390" s="5">
        <v>15.9647632301369</v>
      </c>
      <c r="I2390" s="5">
        <v>15.9647632301369</v>
      </c>
      <c r="J2390" s="5">
        <v>0.0905589421221633</v>
      </c>
      <c r="K2390" s="5">
        <v>0.0905589421221633</v>
      </c>
      <c r="L2390" s="5">
        <v>0.0905589421221633</v>
      </c>
      <c r="M2390" s="5">
        <v>15.8742042880147</v>
      </c>
      <c r="N2390" s="5">
        <v>15.8742042880147</v>
      </c>
      <c r="O2390" s="5">
        <v>15.8742042880147</v>
      </c>
      <c r="P2390" s="5">
        <v>0.0</v>
      </c>
      <c r="Q2390" s="5">
        <v>0.0</v>
      </c>
      <c r="R2390" s="5">
        <v>0.0</v>
      </c>
      <c r="S2390" s="5">
        <v>104.078329386992</v>
      </c>
    </row>
    <row r="2391">
      <c r="A2391" s="6">
        <v>43823.0</v>
      </c>
      <c r="B2391" s="5">
        <v>89.2844123563684</v>
      </c>
      <c r="C2391" s="5">
        <v>42.1206275433216</v>
      </c>
      <c r="D2391" s="5">
        <v>167.098538310688</v>
      </c>
      <c r="E2391" s="5">
        <v>89.2844123563684</v>
      </c>
      <c r="F2391" s="5">
        <v>89.2844123563684</v>
      </c>
      <c r="G2391" s="5">
        <v>16.5045129897518</v>
      </c>
      <c r="H2391" s="5">
        <v>16.5045129897518</v>
      </c>
      <c r="I2391" s="5">
        <v>16.5045129897518</v>
      </c>
      <c r="J2391" s="5">
        <v>-0.144118857242871</v>
      </c>
      <c r="K2391" s="5">
        <v>-0.144118857242871</v>
      </c>
      <c r="L2391" s="5">
        <v>-0.144118857242871</v>
      </c>
      <c r="M2391" s="5">
        <v>16.6486318469946</v>
      </c>
      <c r="N2391" s="5">
        <v>16.6486318469946</v>
      </c>
      <c r="O2391" s="5">
        <v>16.6486318469946</v>
      </c>
      <c r="P2391" s="5">
        <v>0.0</v>
      </c>
      <c r="Q2391" s="5">
        <v>0.0</v>
      </c>
      <c r="R2391" s="5">
        <v>0.0</v>
      </c>
      <c r="S2391" s="5">
        <v>105.78892534612</v>
      </c>
    </row>
    <row r="2392">
      <c r="A2392" s="6">
        <v>43825.0</v>
      </c>
      <c r="B2392" s="5">
        <v>91.6261047553947</v>
      </c>
      <c r="C2392" s="5">
        <v>42.4093464831157</v>
      </c>
      <c r="D2392" s="5">
        <v>172.836410874154</v>
      </c>
      <c r="E2392" s="5">
        <v>91.6261047553947</v>
      </c>
      <c r="F2392" s="5">
        <v>91.6261047553947</v>
      </c>
      <c r="G2392" s="5">
        <v>17.7305532695455</v>
      </c>
      <c r="H2392" s="5">
        <v>17.7305532695455</v>
      </c>
      <c r="I2392" s="5">
        <v>17.7305532695455</v>
      </c>
      <c r="J2392" s="5">
        <v>-0.776422525900109</v>
      </c>
      <c r="K2392" s="5">
        <v>-0.776422525900109</v>
      </c>
      <c r="L2392" s="5">
        <v>-0.776422525900109</v>
      </c>
      <c r="M2392" s="5">
        <v>18.5069757954456</v>
      </c>
      <c r="N2392" s="5">
        <v>18.5069757954456</v>
      </c>
      <c r="O2392" s="5">
        <v>18.5069757954456</v>
      </c>
      <c r="P2392" s="5">
        <v>0.0</v>
      </c>
      <c r="Q2392" s="5">
        <v>0.0</v>
      </c>
      <c r="R2392" s="5">
        <v>0.0</v>
      </c>
      <c r="S2392" s="5">
        <v>109.35665802494</v>
      </c>
    </row>
    <row r="2393">
      <c r="A2393" s="6">
        <v>43826.0</v>
      </c>
      <c r="B2393" s="5">
        <v>92.7969509549082</v>
      </c>
      <c r="C2393" s="5">
        <v>44.4704828588126</v>
      </c>
      <c r="D2393" s="5">
        <v>174.504949665894</v>
      </c>
      <c r="E2393" s="5">
        <v>92.7969509549082</v>
      </c>
      <c r="F2393" s="5">
        <v>92.7969509549082</v>
      </c>
      <c r="G2393" s="5">
        <v>17.9698368573431</v>
      </c>
      <c r="H2393" s="5">
        <v>17.9698368573431</v>
      </c>
      <c r="I2393" s="5">
        <v>17.9698368573431</v>
      </c>
      <c r="J2393" s="5">
        <v>-1.59155056649052</v>
      </c>
      <c r="K2393" s="5">
        <v>-1.59155056649052</v>
      </c>
      <c r="L2393" s="5">
        <v>-1.59155056649052</v>
      </c>
      <c r="M2393" s="5">
        <v>19.5613874238336</v>
      </c>
      <c r="N2393" s="5">
        <v>19.5613874238336</v>
      </c>
      <c r="O2393" s="5">
        <v>19.5613874238336</v>
      </c>
      <c r="P2393" s="5">
        <v>0.0</v>
      </c>
      <c r="Q2393" s="5">
        <v>0.0</v>
      </c>
      <c r="R2393" s="5">
        <v>0.0</v>
      </c>
      <c r="S2393" s="5">
        <v>110.766787812251</v>
      </c>
    </row>
    <row r="2394">
      <c r="A2394" s="6">
        <v>43829.0</v>
      </c>
      <c r="B2394" s="5">
        <v>96.3094895534479</v>
      </c>
      <c r="C2394" s="5">
        <v>54.5291058197727</v>
      </c>
      <c r="D2394" s="5">
        <v>184.796655761803</v>
      </c>
      <c r="E2394" s="5">
        <v>96.3094895534479</v>
      </c>
      <c r="F2394" s="5">
        <v>96.3094895534479</v>
      </c>
      <c r="G2394" s="5">
        <v>23.0942110666039</v>
      </c>
      <c r="H2394" s="5">
        <v>23.0942110666039</v>
      </c>
      <c r="I2394" s="5">
        <v>23.0942110666039</v>
      </c>
      <c r="J2394" s="5">
        <v>0.0905589421255735</v>
      </c>
      <c r="K2394" s="5">
        <v>0.0905589421255735</v>
      </c>
      <c r="L2394" s="5">
        <v>0.0905589421255735</v>
      </c>
      <c r="M2394" s="5">
        <v>23.0036521244784</v>
      </c>
      <c r="N2394" s="5">
        <v>23.0036521244784</v>
      </c>
      <c r="O2394" s="5">
        <v>23.0036521244784</v>
      </c>
      <c r="P2394" s="5">
        <v>0.0</v>
      </c>
      <c r="Q2394" s="5">
        <v>0.0</v>
      </c>
      <c r="R2394" s="5">
        <v>0.0</v>
      </c>
      <c r="S2394" s="5">
        <v>119.403700620051</v>
      </c>
    </row>
    <row r="2395">
      <c r="A2395" s="6">
        <v>43830.0</v>
      </c>
      <c r="B2395" s="5">
        <v>97.4803357529613</v>
      </c>
      <c r="C2395" s="5">
        <v>59.2138633119065</v>
      </c>
      <c r="D2395" s="5">
        <v>184.254389619744</v>
      </c>
      <c r="E2395" s="5">
        <v>97.4803357529613</v>
      </c>
      <c r="F2395" s="5">
        <v>97.4803357529613</v>
      </c>
      <c r="G2395" s="5">
        <v>24.0297559967646</v>
      </c>
      <c r="H2395" s="5">
        <v>24.0297559967646</v>
      </c>
      <c r="I2395" s="5">
        <v>24.0297559967646</v>
      </c>
      <c r="J2395" s="5">
        <v>-0.144118857244307</v>
      </c>
      <c r="K2395" s="5">
        <v>-0.144118857244307</v>
      </c>
      <c r="L2395" s="5">
        <v>-0.144118857244307</v>
      </c>
      <c r="M2395" s="5">
        <v>24.1738748540089</v>
      </c>
      <c r="N2395" s="5">
        <v>24.1738748540089</v>
      </c>
      <c r="O2395" s="5">
        <v>24.1738748540089</v>
      </c>
      <c r="P2395" s="5">
        <v>0.0</v>
      </c>
      <c r="Q2395" s="5">
        <v>0.0</v>
      </c>
      <c r="R2395" s="5">
        <v>0.0</v>
      </c>
      <c r="S2395" s="5">
        <v>121.510091749725</v>
      </c>
    </row>
    <row r="2396">
      <c r="A2396" s="6">
        <v>43832.0</v>
      </c>
      <c r="B2396" s="5">
        <v>99.8220281519876</v>
      </c>
      <c r="C2396" s="5">
        <v>65.5838487954719</v>
      </c>
      <c r="D2396" s="5">
        <v>189.687638414757</v>
      </c>
      <c r="E2396" s="5">
        <v>99.8220281519876</v>
      </c>
      <c r="F2396" s="5">
        <v>99.8220281519876</v>
      </c>
      <c r="G2396" s="5">
        <v>25.6395139327626</v>
      </c>
      <c r="H2396" s="5">
        <v>25.6395139327626</v>
      </c>
      <c r="I2396" s="5">
        <v>25.6395139327626</v>
      </c>
      <c r="J2396" s="5">
        <v>-0.776422525902206</v>
      </c>
      <c r="K2396" s="5">
        <v>-0.776422525902206</v>
      </c>
      <c r="L2396" s="5">
        <v>-0.776422525902206</v>
      </c>
      <c r="M2396" s="5">
        <v>26.4159364586648</v>
      </c>
      <c r="N2396" s="5">
        <v>26.4159364586648</v>
      </c>
      <c r="O2396" s="5">
        <v>26.4159364586648</v>
      </c>
      <c r="P2396" s="5">
        <v>0.0</v>
      </c>
      <c r="Q2396" s="5">
        <v>0.0</v>
      </c>
      <c r="R2396" s="5">
        <v>0.0</v>
      </c>
      <c r="S2396" s="5">
        <v>125.46154208475</v>
      </c>
    </row>
    <row r="2397">
      <c r="A2397" s="6">
        <v>43833.0</v>
      </c>
      <c r="B2397" s="5">
        <v>100.992874351501</v>
      </c>
      <c r="C2397" s="5">
        <v>62.0310046661612</v>
      </c>
      <c r="D2397" s="5">
        <v>191.682846325117</v>
      </c>
      <c r="E2397" s="5">
        <v>100.992874351501</v>
      </c>
      <c r="F2397" s="5">
        <v>100.992874351501</v>
      </c>
      <c r="G2397" s="5">
        <v>25.8528800755129</v>
      </c>
      <c r="H2397" s="5">
        <v>25.8528800755129</v>
      </c>
      <c r="I2397" s="5">
        <v>25.8528800755129</v>
      </c>
      <c r="J2397" s="5">
        <v>-1.5915505664896</v>
      </c>
      <c r="K2397" s="5">
        <v>-1.5915505664896</v>
      </c>
      <c r="L2397" s="5">
        <v>-1.5915505664896</v>
      </c>
      <c r="M2397" s="5">
        <v>27.4444306420025</v>
      </c>
      <c r="N2397" s="5">
        <v>27.4444306420025</v>
      </c>
      <c r="O2397" s="5">
        <v>27.4444306420025</v>
      </c>
      <c r="P2397" s="5">
        <v>0.0</v>
      </c>
      <c r="Q2397" s="5">
        <v>0.0</v>
      </c>
      <c r="R2397" s="5">
        <v>0.0</v>
      </c>
      <c r="S2397" s="5">
        <v>126.845754427014</v>
      </c>
    </row>
    <row r="2398">
      <c r="A2398" s="6">
        <v>43836.0</v>
      </c>
      <c r="B2398" s="5">
        <v>104.50541295004</v>
      </c>
      <c r="C2398" s="5">
        <v>74.8402860892856</v>
      </c>
      <c r="D2398" s="5">
        <v>195.045265291829</v>
      </c>
      <c r="E2398" s="5">
        <v>104.50541295004</v>
      </c>
      <c r="F2398" s="5">
        <v>104.50541295004</v>
      </c>
      <c r="G2398" s="5">
        <v>30.0169016413153</v>
      </c>
      <c r="H2398" s="5">
        <v>30.0169016413153</v>
      </c>
      <c r="I2398" s="5">
        <v>30.0169016413153</v>
      </c>
      <c r="J2398" s="5">
        <v>0.0905589421217521</v>
      </c>
      <c r="K2398" s="5">
        <v>0.0905589421217521</v>
      </c>
      <c r="L2398" s="5">
        <v>0.0905589421217521</v>
      </c>
      <c r="M2398" s="5">
        <v>29.9263426991936</v>
      </c>
      <c r="N2398" s="5">
        <v>29.9263426991936</v>
      </c>
      <c r="O2398" s="5">
        <v>29.9263426991936</v>
      </c>
      <c r="P2398" s="5">
        <v>0.0</v>
      </c>
      <c r="Q2398" s="5">
        <v>0.0</v>
      </c>
      <c r="R2398" s="5">
        <v>0.0</v>
      </c>
      <c r="S2398" s="5">
        <v>134.522314591356</v>
      </c>
    </row>
    <row r="2399">
      <c r="A2399" s="6">
        <v>43837.0</v>
      </c>
      <c r="B2399" s="5">
        <v>105.676259149553</v>
      </c>
      <c r="C2399" s="5">
        <v>76.0475590504616</v>
      </c>
      <c r="D2399" s="5">
        <v>203.708999613057</v>
      </c>
      <c r="E2399" s="5">
        <v>105.676259149553</v>
      </c>
      <c r="F2399" s="5">
        <v>105.676259149553</v>
      </c>
      <c r="G2399" s="5">
        <v>30.3552044656329</v>
      </c>
      <c r="H2399" s="5">
        <v>30.3552044656329</v>
      </c>
      <c r="I2399" s="5">
        <v>30.3552044656329</v>
      </c>
      <c r="J2399" s="5">
        <v>-0.144118857243524</v>
      </c>
      <c r="K2399" s="5">
        <v>-0.144118857243524</v>
      </c>
      <c r="L2399" s="5">
        <v>-0.144118857243524</v>
      </c>
      <c r="M2399" s="5">
        <v>30.4993233228764</v>
      </c>
      <c r="N2399" s="5">
        <v>30.4993233228764</v>
      </c>
      <c r="O2399" s="5">
        <v>30.4993233228764</v>
      </c>
      <c r="P2399" s="5">
        <v>0.0</v>
      </c>
      <c r="Q2399" s="5">
        <v>0.0</v>
      </c>
      <c r="R2399" s="5">
        <v>0.0</v>
      </c>
      <c r="S2399" s="5">
        <v>136.031463615186</v>
      </c>
    </row>
    <row r="2400">
      <c r="A2400" s="6">
        <v>43838.0</v>
      </c>
      <c r="B2400" s="5">
        <v>106.847105349067</v>
      </c>
      <c r="C2400" s="5">
        <v>74.2160562124506</v>
      </c>
      <c r="D2400" s="5">
        <v>202.540099899584</v>
      </c>
      <c r="E2400" s="5">
        <v>106.847105349067</v>
      </c>
      <c r="F2400" s="5">
        <v>106.847105349067</v>
      </c>
      <c r="G2400" s="5">
        <v>30.9321777782131</v>
      </c>
      <c r="H2400" s="5">
        <v>30.9321777782131</v>
      </c>
      <c r="I2400" s="5">
        <v>30.9321777782131</v>
      </c>
      <c r="J2400" s="5">
        <v>0.0070378052814235</v>
      </c>
      <c r="K2400" s="5">
        <v>0.0070378052814235</v>
      </c>
      <c r="L2400" s="5">
        <v>0.0070378052814235</v>
      </c>
      <c r="M2400" s="5">
        <v>30.9251399729317</v>
      </c>
      <c r="N2400" s="5">
        <v>30.9251399729317</v>
      </c>
      <c r="O2400" s="5">
        <v>30.9251399729317</v>
      </c>
      <c r="P2400" s="5">
        <v>0.0</v>
      </c>
      <c r="Q2400" s="5">
        <v>0.0</v>
      </c>
      <c r="R2400" s="5">
        <v>0.0</v>
      </c>
      <c r="S2400" s="5">
        <v>137.77928312728</v>
      </c>
    </row>
    <row r="2401">
      <c r="A2401" s="6">
        <v>43839.0</v>
      </c>
      <c r="B2401" s="5">
        <v>108.01795154858</v>
      </c>
      <c r="C2401" s="5">
        <v>74.6217596990717</v>
      </c>
      <c r="D2401" s="5">
        <v>202.498085240604</v>
      </c>
      <c r="E2401" s="5">
        <v>108.01795154858</v>
      </c>
      <c r="F2401" s="5">
        <v>108.01795154858</v>
      </c>
      <c r="G2401" s="5">
        <v>30.4199154283426</v>
      </c>
      <c r="H2401" s="5">
        <v>30.4199154283426</v>
      </c>
      <c r="I2401" s="5">
        <v>30.4199154283426</v>
      </c>
      <c r="J2401" s="5">
        <v>-0.776422525902928</v>
      </c>
      <c r="K2401" s="5">
        <v>-0.776422525902928</v>
      </c>
      <c r="L2401" s="5">
        <v>-0.776422525902928</v>
      </c>
      <c r="M2401" s="5">
        <v>31.1963379542456</v>
      </c>
      <c r="N2401" s="5">
        <v>31.1963379542456</v>
      </c>
      <c r="O2401" s="5">
        <v>31.1963379542456</v>
      </c>
      <c r="P2401" s="5">
        <v>0.0</v>
      </c>
      <c r="Q2401" s="5">
        <v>0.0</v>
      </c>
      <c r="R2401" s="5">
        <v>0.0</v>
      </c>
      <c r="S2401" s="5">
        <v>138.437866976923</v>
      </c>
    </row>
    <row r="2402">
      <c r="A2402" s="6">
        <v>43840.0</v>
      </c>
      <c r="B2402" s="5">
        <v>109.188797748093</v>
      </c>
      <c r="C2402" s="5">
        <v>81.0589031332446</v>
      </c>
      <c r="D2402" s="5">
        <v>202.999215148086</v>
      </c>
      <c r="E2402" s="5">
        <v>109.188797748093</v>
      </c>
      <c r="F2402" s="5">
        <v>109.188797748093</v>
      </c>
      <c r="G2402" s="5">
        <v>29.7172054640662</v>
      </c>
      <c r="H2402" s="5">
        <v>29.7172054640662</v>
      </c>
      <c r="I2402" s="5">
        <v>29.7172054640662</v>
      </c>
      <c r="J2402" s="5">
        <v>-1.59155056649385</v>
      </c>
      <c r="K2402" s="5">
        <v>-1.59155056649385</v>
      </c>
      <c r="L2402" s="5">
        <v>-1.59155056649385</v>
      </c>
      <c r="M2402" s="5">
        <v>31.30875603056</v>
      </c>
      <c r="N2402" s="5">
        <v>31.30875603056</v>
      </c>
      <c r="O2402" s="5">
        <v>31.30875603056</v>
      </c>
      <c r="P2402" s="5">
        <v>0.0</v>
      </c>
      <c r="Q2402" s="5">
        <v>0.0</v>
      </c>
      <c r="R2402" s="5">
        <v>0.0</v>
      </c>
      <c r="S2402" s="5">
        <v>138.906003212159</v>
      </c>
    </row>
    <row r="2403">
      <c r="A2403" s="6">
        <v>43843.0</v>
      </c>
      <c r="B2403" s="5">
        <v>112.701336346633</v>
      </c>
      <c r="C2403" s="5">
        <v>82.2896516797369</v>
      </c>
      <c r="D2403" s="5">
        <v>209.136069915248</v>
      </c>
      <c r="E2403" s="5">
        <v>112.701336346633</v>
      </c>
      <c r="F2403" s="5">
        <v>112.701336346633</v>
      </c>
      <c r="G2403" s="5">
        <v>30.7926616284408</v>
      </c>
      <c r="H2403" s="5">
        <v>30.7926616284408</v>
      </c>
      <c r="I2403" s="5">
        <v>30.7926616284408</v>
      </c>
      <c r="J2403" s="5">
        <v>0.0905589421226987</v>
      </c>
      <c r="K2403" s="5">
        <v>0.0905589421226987</v>
      </c>
      <c r="L2403" s="5">
        <v>0.0905589421226987</v>
      </c>
      <c r="M2403" s="5">
        <v>30.7021026863181</v>
      </c>
      <c r="N2403" s="5">
        <v>30.7021026863181</v>
      </c>
      <c r="O2403" s="5">
        <v>30.7021026863181</v>
      </c>
      <c r="P2403" s="5">
        <v>0.0</v>
      </c>
      <c r="Q2403" s="5">
        <v>0.0</v>
      </c>
      <c r="R2403" s="5">
        <v>0.0</v>
      </c>
      <c r="S2403" s="5">
        <v>143.493997975074</v>
      </c>
    </row>
    <row r="2404">
      <c r="A2404" s="6">
        <v>43844.0</v>
      </c>
      <c r="B2404" s="5">
        <v>113.872182546146</v>
      </c>
      <c r="C2404" s="5">
        <v>81.7308506076129</v>
      </c>
      <c r="D2404" s="5">
        <v>214.220375925151</v>
      </c>
      <c r="E2404" s="5">
        <v>113.872182546146</v>
      </c>
      <c r="F2404" s="5">
        <v>113.872182546146</v>
      </c>
      <c r="G2404" s="5">
        <v>30.0603667228792</v>
      </c>
      <c r="H2404" s="5">
        <v>30.0603667228792</v>
      </c>
      <c r="I2404" s="5">
        <v>30.0603667228792</v>
      </c>
      <c r="J2404" s="5">
        <v>-0.144118857244959</v>
      </c>
      <c r="K2404" s="5">
        <v>-0.144118857244959</v>
      </c>
      <c r="L2404" s="5">
        <v>-0.144118857244959</v>
      </c>
      <c r="M2404" s="5">
        <v>30.2044855801241</v>
      </c>
      <c r="N2404" s="5">
        <v>30.2044855801241</v>
      </c>
      <c r="O2404" s="5">
        <v>30.2044855801241</v>
      </c>
      <c r="P2404" s="5">
        <v>0.0</v>
      </c>
      <c r="Q2404" s="5">
        <v>0.0</v>
      </c>
      <c r="R2404" s="5">
        <v>0.0</v>
      </c>
      <c r="S2404" s="5">
        <v>143.932549269025</v>
      </c>
    </row>
    <row r="2405">
      <c r="A2405" s="6">
        <v>43845.0</v>
      </c>
      <c r="B2405" s="5">
        <v>115.043028745659</v>
      </c>
      <c r="C2405" s="5">
        <v>77.6541805789065</v>
      </c>
      <c r="D2405" s="5">
        <v>203.506702476884</v>
      </c>
      <c r="E2405" s="5">
        <v>115.043028745659</v>
      </c>
      <c r="F2405" s="5">
        <v>115.043028745659</v>
      </c>
      <c r="G2405" s="5">
        <v>29.5833473539647</v>
      </c>
      <c r="H2405" s="5">
        <v>29.5833473539647</v>
      </c>
      <c r="I2405" s="5">
        <v>29.5833473539647</v>
      </c>
      <c r="J2405" s="5">
        <v>0.00703780528255355</v>
      </c>
      <c r="K2405" s="5">
        <v>0.00703780528255355</v>
      </c>
      <c r="L2405" s="5">
        <v>0.00703780528255355</v>
      </c>
      <c r="M2405" s="5">
        <v>29.5763095486822</v>
      </c>
      <c r="N2405" s="5">
        <v>29.5763095486822</v>
      </c>
      <c r="O2405" s="5">
        <v>29.5763095486822</v>
      </c>
      <c r="P2405" s="5">
        <v>0.0</v>
      </c>
      <c r="Q2405" s="5">
        <v>0.0</v>
      </c>
      <c r="R2405" s="5">
        <v>0.0</v>
      </c>
      <c r="S2405" s="5">
        <v>144.626376099624</v>
      </c>
    </row>
    <row r="2406">
      <c r="A2406" s="6">
        <v>43846.0</v>
      </c>
      <c r="B2406" s="5">
        <v>116.213874945172</v>
      </c>
      <c r="C2406" s="5">
        <v>81.2160773542094</v>
      </c>
      <c r="D2406" s="5">
        <v>207.912893070965</v>
      </c>
      <c r="E2406" s="5">
        <v>116.213874945172</v>
      </c>
      <c r="F2406" s="5">
        <v>116.213874945172</v>
      </c>
      <c r="G2406" s="5">
        <v>28.0553515905528</v>
      </c>
      <c r="H2406" s="5">
        <v>28.0553515905528</v>
      </c>
      <c r="I2406" s="5">
        <v>28.0553515905528</v>
      </c>
      <c r="J2406" s="5">
        <v>-0.77642252590365</v>
      </c>
      <c r="K2406" s="5">
        <v>-0.77642252590365</v>
      </c>
      <c r="L2406" s="5">
        <v>-0.77642252590365</v>
      </c>
      <c r="M2406" s="5">
        <v>28.8317741164565</v>
      </c>
      <c r="N2406" s="5">
        <v>28.8317741164565</v>
      </c>
      <c r="O2406" s="5">
        <v>28.8317741164565</v>
      </c>
      <c r="P2406" s="5">
        <v>0.0</v>
      </c>
      <c r="Q2406" s="5">
        <v>0.0</v>
      </c>
      <c r="R2406" s="5">
        <v>0.0</v>
      </c>
      <c r="S2406" s="5">
        <v>144.269226535725</v>
      </c>
    </row>
    <row r="2407">
      <c r="A2407" s="6">
        <v>43847.0</v>
      </c>
      <c r="B2407" s="5">
        <v>117.384721144686</v>
      </c>
      <c r="C2407" s="5">
        <v>78.0775441793758</v>
      </c>
      <c r="D2407" s="5">
        <v>204.499737061676</v>
      </c>
      <c r="E2407" s="5">
        <v>117.384721144686</v>
      </c>
      <c r="F2407" s="5">
        <v>117.384721144686</v>
      </c>
      <c r="G2407" s="5">
        <v>26.3956120323969</v>
      </c>
      <c r="H2407" s="5">
        <v>26.3956120323969</v>
      </c>
      <c r="I2407" s="5">
        <v>26.3956120323969</v>
      </c>
      <c r="J2407" s="5">
        <v>-1.59155056649355</v>
      </c>
      <c r="K2407" s="5">
        <v>-1.59155056649355</v>
      </c>
      <c r="L2407" s="5">
        <v>-1.59155056649355</v>
      </c>
      <c r="M2407" s="5">
        <v>27.9871625988904</v>
      </c>
      <c r="N2407" s="5">
        <v>27.9871625988904</v>
      </c>
      <c r="O2407" s="5">
        <v>27.9871625988904</v>
      </c>
      <c r="P2407" s="5">
        <v>0.0</v>
      </c>
      <c r="Q2407" s="5">
        <v>0.0</v>
      </c>
      <c r="R2407" s="5">
        <v>0.0</v>
      </c>
      <c r="S2407" s="5">
        <v>143.780333177083</v>
      </c>
    </row>
    <row r="2408">
      <c r="A2408" s="6">
        <v>43851.0</v>
      </c>
      <c r="B2408" s="5">
        <v>122.068105942739</v>
      </c>
      <c r="C2408" s="5">
        <v>82.4642300771568</v>
      </c>
      <c r="D2408" s="5">
        <v>209.104036211087</v>
      </c>
      <c r="E2408" s="5">
        <v>122.068105942739</v>
      </c>
      <c r="F2408" s="5">
        <v>122.068105942739</v>
      </c>
      <c r="G2408" s="5">
        <v>23.8362193492023</v>
      </c>
      <c r="H2408" s="5">
        <v>23.8362193492023</v>
      </c>
      <c r="I2408" s="5">
        <v>23.8362193492023</v>
      </c>
      <c r="J2408" s="5">
        <v>-0.144118857246395</v>
      </c>
      <c r="K2408" s="5">
        <v>-0.144118857246395</v>
      </c>
      <c r="L2408" s="5">
        <v>-0.144118857246395</v>
      </c>
      <c r="M2408" s="5">
        <v>23.9803382064487</v>
      </c>
      <c r="N2408" s="5">
        <v>23.9803382064487</v>
      </c>
      <c r="O2408" s="5">
        <v>23.9803382064487</v>
      </c>
      <c r="P2408" s="5">
        <v>0.0</v>
      </c>
      <c r="Q2408" s="5">
        <v>0.0</v>
      </c>
      <c r="R2408" s="5">
        <v>0.0</v>
      </c>
      <c r="S2408" s="5">
        <v>145.904325291941</v>
      </c>
    </row>
    <row r="2409">
      <c r="A2409" s="6">
        <v>43852.0</v>
      </c>
      <c r="B2409" s="5">
        <v>123.238952142252</v>
      </c>
      <c r="C2409" s="5">
        <v>83.1229875126526</v>
      </c>
      <c r="D2409" s="5">
        <v>210.756772352518</v>
      </c>
      <c r="E2409" s="5">
        <v>123.238952142252</v>
      </c>
      <c r="F2409" s="5">
        <v>123.238952142252</v>
      </c>
      <c r="G2409" s="5">
        <v>22.9261932366043</v>
      </c>
      <c r="H2409" s="5">
        <v>22.9261932366043</v>
      </c>
      <c r="I2409" s="5">
        <v>22.9261932366043</v>
      </c>
      <c r="J2409" s="5">
        <v>0.00703780528386466</v>
      </c>
      <c r="K2409" s="5">
        <v>0.00703780528386466</v>
      </c>
      <c r="L2409" s="5">
        <v>0.00703780528386466</v>
      </c>
      <c r="M2409" s="5">
        <v>22.9191554313204</v>
      </c>
      <c r="N2409" s="5">
        <v>22.9191554313204</v>
      </c>
      <c r="O2409" s="5">
        <v>22.9191554313204</v>
      </c>
      <c r="P2409" s="5">
        <v>0.0</v>
      </c>
      <c r="Q2409" s="5">
        <v>0.0</v>
      </c>
      <c r="R2409" s="5">
        <v>0.0</v>
      </c>
      <c r="S2409" s="5">
        <v>146.165145378857</v>
      </c>
    </row>
    <row r="2410">
      <c r="A2410" s="6">
        <v>43853.0</v>
      </c>
      <c r="B2410" s="5">
        <v>124.409798341765</v>
      </c>
      <c r="C2410" s="5">
        <v>85.1677348204381</v>
      </c>
      <c r="D2410" s="5">
        <v>209.149186491082</v>
      </c>
      <c r="E2410" s="5">
        <v>124.409798341765</v>
      </c>
      <c r="F2410" s="5">
        <v>124.409798341765</v>
      </c>
      <c r="G2410" s="5">
        <v>21.0956786440502</v>
      </c>
      <c r="H2410" s="5">
        <v>21.0956786440502</v>
      </c>
      <c r="I2410" s="5">
        <v>21.0956786440502</v>
      </c>
      <c r="J2410" s="5">
        <v>-0.776422525904372</v>
      </c>
      <c r="K2410" s="5">
        <v>-0.776422525904372</v>
      </c>
      <c r="L2410" s="5">
        <v>-0.776422525904372</v>
      </c>
      <c r="M2410" s="5">
        <v>21.8721011699546</v>
      </c>
      <c r="N2410" s="5">
        <v>21.8721011699546</v>
      </c>
      <c r="O2410" s="5">
        <v>21.8721011699546</v>
      </c>
      <c r="P2410" s="5">
        <v>0.0</v>
      </c>
      <c r="Q2410" s="5">
        <v>0.0</v>
      </c>
      <c r="R2410" s="5">
        <v>0.0</v>
      </c>
      <c r="S2410" s="5">
        <v>145.505476985815</v>
      </c>
    </row>
    <row r="2411">
      <c r="A2411" s="6">
        <v>43854.0</v>
      </c>
      <c r="B2411" s="5">
        <v>125.580644541279</v>
      </c>
      <c r="C2411" s="5">
        <v>78.9772635968197</v>
      </c>
      <c r="D2411" s="5">
        <v>207.937305843502</v>
      </c>
      <c r="E2411" s="5">
        <v>125.580644541279</v>
      </c>
      <c r="F2411" s="5">
        <v>125.580644541279</v>
      </c>
      <c r="G2411" s="5">
        <v>19.2646000874351</v>
      </c>
      <c r="H2411" s="5">
        <v>19.2646000874351</v>
      </c>
      <c r="I2411" s="5">
        <v>19.2646000874351</v>
      </c>
      <c r="J2411" s="5">
        <v>-1.59155056649231</v>
      </c>
      <c r="K2411" s="5">
        <v>-1.59155056649231</v>
      </c>
      <c r="L2411" s="5">
        <v>-1.59155056649231</v>
      </c>
      <c r="M2411" s="5">
        <v>20.8561506539274</v>
      </c>
      <c r="N2411" s="5">
        <v>20.8561506539274</v>
      </c>
      <c r="O2411" s="5">
        <v>20.8561506539274</v>
      </c>
      <c r="P2411" s="5">
        <v>0.0</v>
      </c>
      <c r="Q2411" s="5">
        <v>0.0</v>
      </c>
      <c r="R2411" s="5">
        <v>0.0</v>
      </c>
      <c r="S2411" s="5">
        <v>144.845244628714</v>
      </c>
    </row>
    <row r="2412">
      <c r="A2412" s="6">
        <v>43857.0</v>
      </c>
      <c r="B2412" s="5">
        <v>129.093183139818</v>
      </c>
      <c r="C2412" s="5">
        <v>84.5539570290915</v>
      </c>
      <c r="D2412" s="5">
        <v>208.030331676964</v>
      </c>
      <c r="E2412" s="5">
        <v>129.093183139818</v>
      </c>
      <c r="F2412" s="5">
        <v>129.093183139818</v>
      </c>
      <c r="G2412" s="5">
        <v>18.2249124154471</v>
      </c>
      <c r="H2412" s="5">
        <v>18.2249124154471</v>
      </c>
      <c r="I2412" s="5">
        <v>18.2249124154471</v>
      </c>
      <c r="J2412" s="5">
        <v>0.0905589421198237</v>
      </c>
      <c r="K2412" s="5">
        <v>0.0905589421198237</v>
      </c>
      <c r="L2412" s="5">
        <v>0.0905589421198237</v>
      </c>
      <c r="M2412" s="5">
        <v>18.1343534733272</v>
      </c>
      <c r="N2412" s="5">
        <v>18.1343534733272</v>
      </c>
      <c r="O2412" s="5">
        <v>18.1343534733272</v>
      </c>
      <c r="P2412" s="5">
        <v>0.0</v>
      </c>
      <c r="Q2412" s="5">
        <v>0.0</v>
      </c>
      <c r="R2412" s="5">
        <v>0.0</v>
      </c>
      <c r="S2412" s="5">
        <v>147.318095555265</v>
      </c>
    </row>
    <row r="2413">
      <c r="A2413" s="6">
        <v>43858.0</v>
      </c>
      <c r="B2413" s="5">
        <v>130.264029339332</v>
      </c>
      <c r="C2413" s="5">
        <v>88.5305567367772</v>
      </c>
      <c r="D2413" s="5">
        <v>207.147692088181</v>
      </c>
      <c r="E2413" s="5">
        <v>130.264029339332</v>
      </c>
      <c r="F2413" s="5">
        <v>130.264029339332</v>
      </c>
      <c r="G2413" s="5">
        <v>17.2256262011696</v>
      </c>
      <c r="H2413" s="5">
        <v>17.2256262011696</v>
      </c>
      <c r="I2413" s="5">
        <v>17.2256262011696</v>
      </c>
      <c r="J2413" s="5">
        <v>-0.144118857242783</v>
      </c>
      <c r="K2413" s="5">
        <v>-0.144118857242783</v>
      </c>
      <c r="L2413" s="5">
        <v>-0.144118857242783</v>
      </c>
      <c r="M2413" s="5">
        <v>17.3697450584124</v>
      </c>
      <c r="N2413" s="5">
        <v>17.3697450584124</v>
      </c>
      <c r="O2413" s="5">
        <v>17.3697450584124</v>
      </c>
      <c r="P2413" s="5">
        <v>0.0</v>
      </c>
      <c r="Q2413" s="5">
        <v>0.0</v>
      </c>
      <c r="R2413" s="5">
        <v>0.0</v>
      </c>
      <c r="S2413" s="5">
        <v>147.489655540501</v>
      </c>
    </row>
    <row r="2414">
      <c r="A2414" s="6">
        <v>43859.0</v>
      </c>
      <c r="B2414" s="5">
        <v>131.434875538845</v>
      </c>
      <c r="C2414" s="5">
        <v>80.9674273642719</v>
      </c>
      <c r="D2414" s="5">
        <v>212.680103505693</v>
      </c>
      <c r="E2414" s="5">
        <v>131.434875538845</v>
      </c>
      <c r="F2414" s="5">
        <v>131.434875538845</v>
      </c>
      <c r="G2414" s="5">
        <v>16.69337186733</v>
      </c>
      <c r="H2414" s="5">
        <v>16.69337186733</v>
      </c>
      <c r="I2414" s="5">
        <v>16.69337186733</v>
      </c>
      <c r="J2414" s="5">
        <v>0.00703780528084848</v>
      </c>
      <c r="K2414" s="5">
        <v>0.00703780528084848</v>
      </c>
      <c r="L2414" s="5">
        <v>0.00703780528084848</v>
      </c>
      <c r="M2414" s="5">
        <v>16.6863340620492</v>
      </c>
      <c r="N2414" s="5">
        <v>16.6863340620492</v>
      </c>
      <c r="O2414" s="5">
        <v>16.6863340620492</v>
      </c>
      <c r="P2414" s="5">
        <v>0.0</v>
      </c>
      <c r="Q2414" s="5">
        <v>0.0</v>
      </c>
      <c r="R2414" s="5">
        <v>0.0</v>
      </c>
      <c r="S2414" s="5">
        <v>148.128247406175</v>
      </c>
    </row>
    <row r="2415">
      <c r="A2415" s="6">
        <v>43860.0</v>
      </c>
      <c r="B2415" s="5">
        <v>132.605721738358</v>
      </c>
      <c r="C2415" s="5">
        <v>82.5351087854619</v>
      </c>
      <c r="D2415" s="5">
        <v>207.433891119428</v>
      </c>
      <c r="E2415" s="5">
        <v>132.605721738358</v>
      </c>
      <c r="F2415" s="5">
        <v>132.605721738358</v>
      </c>
      <c r="G2415" s="5">
        <v>15.3090532254792</v>
      </c>
      <c r="H2415" s="5">
        <v>15.3090532254792</v>
      </c>
      <c r="I2415" s="5">
        <v>15.3090532254792</v>
      </c>
      <c r="J2415" s="5">
        <v>-0.776422525906469</v>
      </c>
      <c r="K2415" s="5">
        <v>-0.776422525906469</v>
      </c>
      <c r="L2415" s="5">
        <v>-0.776422525906469</v>
      </c>
      <c r="M2415" s="5">
        <v>16.0854757513857</v>
      </c>
      <c r="N2415" s="5">
        <v>16.0854757513857</v>
      </c>
      <c r="O2415" s="5">
        <v>16.0854757513857</v>
      </c>
      <c r="P2415" s="5">
        <v>0.0</v>
      </c>
      <c r="Q2415" s="5">
        <v>0.0</v>
      </c>
      <c r="R2415" s="5">
        <v>0.0</v>
      </c>
      <c r="S2415" s="5">
        <v>147.914774963837</v>
      </c>
    </row>
    <row r="2416">
      <c r="A2416" s="6">
        <v>43861.0</v>
      </c>
      <c r="B2416" s="5">
        <v>133.776567937872</v>
      </c>
      <c r="C2416" s="5">
        <v>85.7915935238933</v>
      </c>
      <c r="D2416" s="5">
        <v>213.77767613203</v>
      </c>
      <c r="E2416" s="5">
        <v>133.776567937872</v>
      </c>
      <c r="F2416" s="5">
        <v>133.776567937872</v>
      </c>
      <c r="G2416" s="5">
        <v>13.9738918006158</v>
      </c>
      <c r="H2416" s="5">
        <v>13.9738918006158</v>
      </c>
      <c r="I2416" s="5">
        <v>13.9738918006158</v>
      </c>
      <c r="J2416" s="5">
        <v>-1.59155056649688</v>
      </c>
      <c r="K2416" s="5">
        <v>-1.59155056649688</v>
      </c>
      <c r="L2416" s="5">
        <v>-1.59155056649688</v>
      </c>
      <c r="M2416" s="5">
        <v>15.5654423671126</v>
      </c>
      <c r="N2416" s="5">
        <v>15.5654423671126</v>
      </c>
      <c r="O2416" s="5">
        <v>15.5654423671126</v>
      </c>
      <c r="P2416" s="5">
        <v>0.0</v>
      </c>
      <c r="Q2416" s="5">
        <v>0.0</v>
      </c>
      <c r="R2416" s="5">
        <v>0.0</v>
      </c>
      <c r="S2416" s="5">
        <v>147.750459738487</v>
      </c>
    </row>
    <row r="2417">
      <c r="A2417" s="6">
        <v>43864.0</v>
      </c>
      <c r="B2417" s="5">
        <v>137.289106536411</v>
      </c>
      <c r="C2417" s="5">
        <v>92.1554093973007</v>
      </c>
      <c r="D2417" s="5">
        <v>215.172995930548</v>
      </c>
      <c r="E2417" s="5">
        <v>137.289106536411</v>
      </c>
      <c r="F2417" s="5">
        <v>137.289106536411</v>
      </c>
      <c r="G2417" s="5">
        <v>14.5197166471561</v>
      </c>
      <c r="H2417" s="5">
        <v>14.5197166471561</v>
      </c>
      <c r="I2417" s="5">
        <v>14.5197166471561</v>
      </c>
      <c r="J2417" s="5">
        <v>0.0905589421233143</v>
      </c>
      <c r="K2417" s="5">
        <v>0.0905589421233143</v>
      </c>
      <c r="L2417" s="5">
        <v>0.0905589421233143</v>
      </c>
      <c r="M2417" s="5">
        <v>14.4291577050328</v>
      </c>
      <c r="N2417" s="5">
        <v>14.4291577050328</v>
      </c>
      <c r="O2417" s="5">
        <v>14.4291577050328</v>
      </c>
      <c r="P2417" s="5">
        <v>0.0</v>
      </c>
      <c r="Q2417" s="5">
        <v>0.0</v>
      </c>
      <c r="R2417" s="5">
        <v>0.0</v>
      </c>
      <c r="S2417" s="5">
        <v>151.808823183567</v>
      </c>
    </row>
    <row r="2418">
      <c r="A2418" s="6">
        <v>43865.0</v>
      </c>
      <c r="B2418" s="5">
        <v>138.459952735924</v>
      </c>
      <c r="C2418" s="5">
        <v>90.9714502147351</v>
      </c>
      <c r="D2418" s="5">
        <v>210.78192863027</v>
      </c>
      <c r="E2418" s="5">
        <v>138.459952735924</v>
      </c>
      <c r="F2418" s="5">
        <v>138.459952735924</v>
      </c>
      <c r="G2418" s="5">
        <v>14.0140941684562</v>
      </c>
      <c r="H2418" s="5">
        <v>14.0140941684562</v>
      </c>
      <c r="I2418" s="5">
        <v>14.0140941684562</v>
      </c>
      <c r="J2418" s="5">
        <v>-0.144118857244219</v>
      </c>
      <c r="K2418" s="5">
        <v>-0.144118857244219</v>
      </c>
      <c r="L2418" s="5">
        <v>-0.144118857244219</v>
      </c>
      <c r="M2418" s="5">
        <v>14.1582130257005</v>
      </c>
      <c r="N2418" s="5">
        <v>14.1582130257005</v>
      </c>
      <c r="O2418" s="5">
        <v>14.1582130257005</v>
      </c>
      <c r="P2418" s="5">
        <v>0.0</v>
      </c>
      <c r="Q2418" s="5">
        <v>0.0</v>
      </c>
      <c r="R2418" s="5">
        <v>0.0</v>
      </c>
      <c r="S2418" s="5">
        <v>152.47404690438</v>
      </c>
    </row>
    <row r="2419">
      <c r="A2419" s="6">
        <v>43866.0</v>
      </c>
      <c r="B2419" s="5">
        <v>139.630798935438</v>
      </c>
      <c r="C2419" s="5">
        <v>90.0514133865031</v>
      </c>
      <c r="D2419" s="5">
        <v>216.602653266264</v>
      </c>
      <c r="E2419" s="5">
        <v>139.630798935438</v>
      </c>
      <c r="F2419" s="5">
        <v>139.630798935438</v>
      </c>
      <c r="G2419" s="5">
        <v>13.9260532814388</v>
      </c>
      <c r="H2419" s="5">
        <v>13.9260532814388</v>
      </c>
      <c r="I2419" s="5">
        <v>13.9260532814388</v>
      </c>
      <c r="J2419" s="5">
        <v>0.00703780528215958</v>
      </c>
      <c r="K2419" s="5">
        <v>0.00703780528215958</v>
      </c>
      <c r="L2419" s="5">
        <v>0.00703780528215958</v>
      </c>
      <c r="M2419" s="5">
        <v>13.9190154761567</v>
      </c>
      <c r="N2419" s="5">
        <v>13.9190154761567</v>
      </c>
      <c r="O2419" s="5">
        <v>13.9190154761567</v>
      </c>
      <c r="P2419" s="5">
        <v>0.0</v>
      </c>
      <c r="Q2419" s="5">
        <v>0.0</v>
      </c>
      <c r="R2419" s="5">
        <v>0.0</v>
      </c>
      <c r="S2419" s="5">
        <v>153.556852216876</v>
      </c>
    </row>
    <row r="2420">
      <c r="A2420" s="6">
        <v>43867.0</v>
      </c>
      <c r="B2420" s="5">
        <v>140.801645134951</v>
      </c>
      <c r="C2420" s="5">
        <v>91.7763519071009</v>
      </c>
      <c r="D2420" s="5">
        <v>217.781091181488</v>
      </c>
      <c r="E2420" s="5">
        <v>140.801645134951</v>
      </c>
      <c r="F2420" s="5">
        <v>140.801645134951</v>
      </c>
      <c r="G2420" s="5">
        <v>12.9194163273803</v>
      </c>
      <c r="H2420" s="5">
        <v>12.9194163273803</v>
      </c>
      <c r="I2420" s="5">
        <v>12.9194163273803</v>
      </c>
      <c r="J2420" s="5">
        <v>-0.776422525901491</v>
      </c>
      <c r="K2420" s="5">
        <v>-0.776422525901491</v>
      </c>
      <c r="L2420" s="5">
        <v>-0.776422525901491</v>
      </c>
      <c r="M2420" s="5">
        <v>13.6958388532818</v>
      </c>
      <c r="N2420" s="5">
        <v>13.6958388532818</v>
      </c>
      <c r="O2420" s="5">
        <v>13.6958388532818</v>
      </c>
      <c r="P2420" s="5">
        <v>0.0</v>
      </c>
      <c r="Q2420" s="5">
        <v>0.0</v>
      </c>
      <c r="R2420" s="5">
        <v>0.0</v>
      </c>
      <c r="S2420" s="5">
        <v>153.721061462331</v>
      </c>
    </row>
    <row r="2421">
      <c r="A2421" s="6">
        <v>43868.0</v>
      </c>
      <c r="B2421" s="5">
        <v>141.972491334464</v>
      </c>
      <c r="C2421" s="5">
        <v>93.9956386207702</v>
      </c>
      <c r="D2421" s="5">
        <v>219.336018059324</v>
      </c>
      <c r="E2421" s="5">
        <v>141.972491334464</v>
      </c>
      <c r="F2421" s="5">
        <v>141.972491334464</v>
      </c>
      <c r="G2421" s="5">
        <v>11.8804265062134</v>
      </c>
      <c r="H2421" s="5">
        <v>11.8804265062134</v>
      </c>
      <c r="I2421" s="5">
        <v>11.8804265062134</v>
      </c>
      <c r="J2421" s="5">
        <v>-1.59155056649564</v>
      </c>
      <c r="K2421" s="5">
        <v>-1.59155056649564</v>
      </c>
      <c r="L2421" s="5">
        <v>-1.59155056649564</v>
      </c>
      <c r="M2421" s="5">
        <v>13.4719770727091</v>
      </c>
      <c r="N2421" s="5">
        <v>13.4719770727091</v>
      </c>
      <c r="O2421" s="5">
        <v>13.4719770727091</v>
      </c>
      <c r="P2421" s="5">
        <v>0.0</v>
      </c>
      <c r="Q2421" s="5">
        <v>0.0</v>
      </c>
      <c r="R2421" s="5">
        <v>0.0</v>
      </c>
      <c r="S2421" s="5">
        <v>153.852917840677</v>
      </c>
    </row>
    <row r="2422">
      <c r="A2422" s="6">
        <v>43871.0</v>
      </c>
      <c r="B2422" s="5">
        <v>145.485029933004</v>
      </c>
      <c r="C2422" s="5">
        <v>95.4687022724739</v>
      </c>
      <c r="D2422" s="5">
        <v>219.300393878122</v>
      </c>
      <c r="E2422" s="5">
        <v>145.485029933004</v>
      </c>
      <c r="F2422" s="5">
        <v>145.485029933004</v>
      </c>
      <c r="G2422" s="5">
        <v>12.7155881020328</v>
      </c>
      <c r="H2422" s="5">
        <v>12.7155881020328</v>
      </c>
      <c r="I2422" s="5">
        <v>12.7155881020328</v>
      </c>
      <c r="J2422" s="5">
        <v>0.0905589421218768</v>
      </c>
      <c r="K2422" s="5">
        <v>0.0905589421218768</v>
      </c>
      <c r="L2422" s="5">
        <v>0.0905589421218768</v>
      </c>
      <c r="M2422" s="5">
        <v>12.6250291599109</v>
      </c>
      <c r="N2422" s="5">
        <v>12.6250291599109</v>
      </c>
      <c r="O2422" s="5">
        <v>12.6250291599109</v>
      </c>
      <c r="P2422" s="5">
        <v>0.0</v>
      </c>
      <c r="Q2422" s="5">
        <v>0.0</v>
      </c>
      <c r="R2422" s="5">
        <v>0.0</v>
      </c>
      <c r="S2422" s="5">
        <v>158.200618035036</v>
      </c>
    </row>
    <row r="2423">
      <c r="A2423" s="6">
        <v>43872.0</v>
      </c>
      <c r="B2423" s="5">
        <v>146.655876132517</v>
      </c>
      <c r="C2423" s="5">
        <v>97.1480737519107</v>
      </c>
      <c r="D2423" s="5">
        <v>222.213035677654</v>
      </c>
      <c r="E2423" s="5">
        <v>146.655876132517</v>
      </c>
      <c r="F2423" s="5">
        <v>146.655876132517</v>
      </c>
      <c r="G2423" s="5">
        <v>12.0852045991092</v>
      </c>
      <c r="H2423" s="5">
        <v>12.0852045991092</v>
      </c>
      <c r="I2423" s="5">
        <v>12.0852045991092</v>
      </c>
      <c r="J2423" s="5">
        <v>-0.144118857245959</v>
      </c>
      <c r="K2423" s="5">
        <v>-0.144118857245959</v>
      </c>
      <c r="L2423" s="5">
        <v>-0.144118857245959</v>
      </c>
      <c r="M2423" s="5">
        <v>12.2293234563552</v>
      </c>
      <c r="N2423" s="5">
        <v>12.2293234563552</v>
      </c>
      <c r="O2423" s="5">
        <v>12.2293234563552</v>
      </c>
      <c r="P2423" s="5">
        <v>0.0</v>
      </c>
      <c r="Q2423" s="5">
        <v>0.0</v>
      </c>
      <c r="R2423" s="5">
        <v>0.0</v>
      </c>
      <c r="S2423" s="5">
        <v>158.741080731626</v>
      </c>
    </row>
    <row r="2424">
      <c r="A2424" s="6">
        <v>43873.0</v>
      </c>
      <c r="B2424" s="5">
        <v>147.82672233203</v>
      </c>
      <c r="C2424" s="5">
        <v>95.1403021937266</v>
      </c>
      <c r="D2424" s="5">
        <v>214.397646358339</v>
      </c>
      <c r="E2424" s="5">
        <v>147.82672233203</v>
      </c>
      <c r="F2424" s="5">
        <v>147.82672233203</v>
      </c>
      <c r="G2424" s="5">
        <v>11.7592782489026</v>
      </c>
      <c r="H2424" s="5">
        <v>11.7592782489026</v>
      </c>
      <c r="I2424" s="5">
        <v>11.7592782489026</v>
      </c>
      <c r="J2424" s="5">
        <v>0.00703780528347062</v>
      </c>
      <c r="K2424" s="5">
        <v>0.00703780528347062</v>
      </c>
      <c r="L2424" s="5">
        <v>0.00703780528347062</v>
      </c>
      <c r="M2424" s="5">
        <v>11.7522404436191</v>
      </c>
      <c r="N2424" s="5">
        <v>11.7522404436191</v>
      </c>
      <c r="O2424" s="5">
        <v>11.7522404436191</v>
      </c>
      <c r="P2424" s="5">
        <v>0.0</v>
      </c>
      <c r="Q2424" s="5">
        <v>0.0</v>
      </c>
      <c r="R2424" s="5">
        <v>0.0</v>
      </c>
      <c r="S2424" s="5">
        <v>159.586000580933</v>
      </c>
    </row>
    <row r="2425">
      <c r="A2425" s="6">
        <v>43874.0</v>
      </c>
      <c r="B2425" s="5">
        <v>148.997568531543</v>
      </c>
      <c r="C2425" s="5">
        <v>97.9564314645988</v>
      </c>
      <c r="D2425" s="5">
        <v>224.757753670328</v>
      </c>
      <c r="E2425" s="5">
        <v>148.997568531543</v>
      </c>
      <c r="F2425" s="5">
        <v>148.997568531543</v>
      </c>
      <c r="G2425" s="5">
        <v>10.4051614398788</v>
      </c>
      <c r="H2425" s="5">
        <v>10.4051614398788</v>
      </c>
      <c r="I2425" s="5">
        <v>10.4051614398788</v>
      </c>
      <c r="J2425" s="5">
        <v>-0.776422525903588</v>
      </c>
      <c r="K2425" s="5">
        <v>-0.776422525903588</v>
      </c>
      <c r="L2425" s="5">
        <v>-0.776422525903588</v>
      </c>
      <c r="M2425" s="5">
        <v>11.1815839657824</v>
      </c>
      <c r="N2425" s="5">
        <v>11.1815839657824</v>
      </c>
      <c r="O2425" s="5">
        <v>11.1815839657824</v>
      </c>
      <c r="P2425" s="5">
        <v>0.0</v>
      </c>
      <c r="Q2425" s="5">
        <v>0.0</v>
      </c>
      <c r="R2425" s="5">
        <v>0.0</v>
      </c>
      <c r="S2425" s="5">
        <v>159.402729971422</v>
      </c>
    </row>
    <row r="2426">
      <c r="A2426" s="6">
        <v>43875.0</v>
      </c>
      <c r="B2426" s="5">
        <v>150.168414731057</v>
      </c>
      <c r="C2426" s="5">
        <v>99.4602007611535</v>
      </c>
      <c r="D2426" s="5">
        <v>219.466080656364</v>
      </c>
      <c r="E2426" s="5">
        <v>150.168414731057</v>
      </c>
      <c r="F2426" s="5">
        <v>150.168414731057</v>
      </c>
      <c r="G2426" s="5">
        <v>8.91589206202006</v>
      </c>
      <c r="H2426" s="5">
        <v>8.91589206202006</v>
      </c>
      <c r="I2426" s="5">
        <v>8.91589206202006</v>
      </c>
      <c r="J2426" s="5">
        <v>-1.59155056649471</v>
      </c>
      <c r="K2426" s="5">
        <v>-1.59155056649471</v>
      </c>
      <c r="L2426" s="5">
        <v>-1.59155056649471</v>
      </c>
      <c r="M2426" s="5">
        <v>10.5074426285147</v>
      </c>
      <c r="N2426" s="5">
        <v>10.5074426285147</v>
      </c>
      <c r="O2426" s="5">
        <v>10.5074426285147</v>
      </c>
      <c r="P2426" s="5">
        <v>0.0</v>
      </c>
      <c r="Q2426" s="5">
        <v>0.0</v>
      </c>
      <c r="R2426" s="5">
        <v>0.0</v>
      </c>
      <c r="S2426" s="5">
        <v>159.084306793077</v>
      </c>
    </row>
    <row r="2427">
      <c r="A2427" s="6">
        <v>43879.0</v>
      </c>
      <c r="B2427" s="5">
        <v>154.85179952911</v>
      </c>
      <c r="C2427" s="5">
        <v>95.5816577886098</v>
      </c>
      <c r="D2427" s="5">
        <v>224.266775435907</v>
      </c>
      <c r="E2427" s="5">
        <v>154.85179952911</v>
      </c>
      <c r="F2427" s="5">
        <v>154.85179952911</v>
      </c>
      <c r="G2427" s="5">
        <v>6.52890770781404</v>
      </c>
      <c r="H2427" s="5">
        <v>6.52890770781404</v>
      </c>
      <c r="I2427" s="5">
        <v>6.52890770781404</v>
      </c>
      <c r="J2427" s="5">
        <v>-0.144118857247395</v>
      </c>
      <c r="K2427" s="5">
        <v>-0.144118857247395</v>
      </c>
      <c r="L2427" s="5">
        <v>-0.144118857247395</v>
      </c>
      <c r="M2427" s="5">
        <v>6.67302656506143</v>
      </c>
      <c r="N2427" s="5">
        <v>6.67302656506143</v>
      </c>
      <c r="O2427" s="5">
        <v>6.67302656506143</v>
      </c>
      <c r="P2427" s="5">
        <v>0.0</v>
      </c>
      <c r="Q2427" s="5">
        <v>0.0</v>
      </c>
      <c r="R2427" s="5">
        <v>0.0</v>
      </c>
      <c r="S2427" s="5">
        <v>161.380707236924</v>
      </c>
    </row>
    <row r="2428">
      <c r="A2428" s="6">
        <v>43880.0</v>
      </c>
      <c r="B2428" s="5">
        <v>156.022645728623</v>
      </c>
      <c r="C2428" s="5">
        <v>96.5101231327242</v>
      </c>
      <c r="D2428" s="5">
        <v>223.909280796437</v>
      </c>
      <c r="E2428" s="5">
        <v>156.022645728623</v>
      </c>
      <c r="F2428" s="5">
        <v>156.022645728623</v>
      </c>
      <c r="G2428" s="5">
        <v>5.43729919192355</v>
      </c>
      <c r="H2428" s="5">
        <v>5.43729919192355</v>
      </c>
      <c r="I2428" s="5">
        <v>5.43729919192355</v>
      </c>
      <c r="J2428" s="5">
        <v>0.00703780528045444</v>
      </c>
      <c r="K2428" s="5">
        <v>0.00703780528045444</v>
      </c>
      <c r="L2428" s="5">
        <v>0.00703780528045444</v>
      </c>
      <c r="M2428" s="5">
        <v>5.4302613866431</v>
      </c>
      <c r="N2428" s="5">
        <v>5.4302613866431</v>
      </c>
      <c r="O2428" s="5">
        <v>5.4302613866431</v>
      </c>
      <c r="P2428" s="5">
        <v>0.0</v>
      </c>
      <c r="Q2428" s="5">
        <v>0.0</v>
      </c>
      <c r="R2428" s="5">
        <v>0.0</v>
      </c>
      <c r="S2428" s="5">
        <v>161.459944920546</v>
      </c>
    </row>
    <row r="2429">
      <c r="A2429" s="6">
        <v>43881.0</v>
      </c>
      <c r="B2429" s="5">
        <v>157.193491928136</v>
      </c>
      <c r="C2429" s="5">
        <v>99.6339047764129</v>
      </c>
      <c r="D2429" s="5">
        <v>227.936981343588</v>
      </c>
      <c r="E2429" s="5">
        <v>157.193491928136</v>
      </c>
      <c r="F2429" s="5">
        <v>157.193491928136</v>
      </c>
      <c r="G2429" s="5">
        <v>3.30817774747267</v>
      </c>
      <c r="H2429" s="5">
        <v>3.30817774747267</v>
      </c>
      <c r="I2429" s="5">
        <v>3.30817774747267</v>
      </c>
      <c r="J2429" s="5">
        <v>-0.77642252590156</v>
      </c>
      <c r="K2429" s="5">
        <v>-0.77642252590156</v>
      </c>
      <c r="L2429" s="5">
        <v>-0.77642252590156</v>
      </c>
      <c r="M2429" s="5">
        <v>4.08460027337423</v>
      </c>
      <c r="N2429" s="5">
        <v>4.08460027337423</v>
      </c>
      <c r="O2429" s="5">
        <v>4.08460027337423</v>
      </c>
      <c r="P2429" s="5">
        <v>0.0</v>
      </c>
      <c r="Q2429" s="5">
        <v>0.0</v>
      </c>
      <c r="R2429" s="5">
        <v>0.0</v>
      </c>
      <c r="S2429" s="5">
        <v>160.501669675609</v>
      </c>
    </row>
    <row r="2430">
      <c r="A2430" s="6">
        <v>43882.0</v>
      </c>
      <c r="B2430" s="5">
        <v>158.36433812765</v>
      </c>
      <c r="C2430" s="5">
        <v>100.165433835598</v>
      </c>
      <c r="D2430" s="5">
        <v>221.318941459473</v>
      </c>
      <c r="E2430" s="5">
        <v>158.36433812765</v>
      </c>
      <c r="F2430" s="5">
        <v>158.36433812765</v>
      </c>
      <c r="G2430" s="5">
        <v>1.0549753589651</v>
      </c>
      <c r="H2430" s="5">
        <v>1.0549753589651</v>
      </c>
      <c r="I2430" s="5">
        <v>1.0549753589651</v>
      </c>
      <c r="J2430" s="5">
        <v>-1.59155056649379</v>
      </c>
      <c r="K2430" s="5">
        <v>-1.59155056649379</v>
      </c>
      <c r="L2430" s="5">
        <v>-1.59155056649379</v>
      </c>
      <c r="M2430" s="5">
        <v>2.64652592545889</v>
      </c>
      <c r="N2430" s="5">
        <v>2.64652592545889</v>
      </c>
      <c r="O2430" s="5">
        <v>2.64652592545889</v>
      </c>
      <c r="P2430" s="5">
        <v>0.0</v>
      </c>
      <c r="Q2430" s="5">
        <v>0.0</v>
      </c>
      <c r="R2430" s="5">
        <v>0.0</v>
      </c>
      <c r="S2430" s="5">
        <v>159.419313486615</v>
      </c>
    </row>
    <row r="2431">
      <c r="A2431" s="6">
        <v>43885.0</v>
      </c>
      <c r="B2431" s="5">
        <v>161.876876726189</v>
      </c>
      <c r="C2431" s="5">
        <v>95.2232963295563</v>
      </c>
      <c r="D2431" s="5">
        <v>223.118473931992</v>
      </c>
      <c r="E2431" s="5">
        <v>161.876876726189</v>
      </c>
      <c r="F2431" s="5">
        <v>161.876876726189</v>
      </c>
      <c r="G2431" s="5">
        <v>-1.98966637829128</v>
      </c>
      <c r="H2431" s="5">
        <v>-1.98966637829128</v>
      </c>
      <c r="I2431" s="5">
        <v>-1.98966637829128</v>
      </c>
      <c r="J2431" s="5">
        <v>0.0905589421213858</v>
      </c>
      <c r="K2431" s="5">
        <v>0.0905589421213858</v>
      </c>
      <c r="L2431" s="5">
        <v>0.0905589421213858</v>
      </c>
      <c r="M2431" s="5">
        <v>-2.08022532041266</v>
      </c>
      <c r="N2431" s="5">
        <v>-2.08022532041266</v>
      </c>
      <c r="O2431" s="5">
        <v>-2.08022532041266</v>
      </c>
      <c r="P2431" s="5">
        <v>0.0</v>
      </c>
      <c r="Q2431" s="5">
        <v>0.0</v>
      </c>
      <c r="R2431" s="5">
        <v>0.0</v>
      </c>
      <c r="S2431" s="5">
        <v>159.887210347898</v>
      </c>
    </row>
    <row r="2432">
      <c r="A2432" s="6">
        <v>43886.0</v>
      </c>
      <c r="B2432" s="5">
        <v>163.047722925702</v>
      </c>
      <c r="C2432" s="5">
        <v>94.7452426476069</v>
      </c>
      <c r="D2432" s="5">
        <v>223.409709163777</v>
      </c>
      <c r="E2432" s="5">
        <v>163.047722925702</v>
      </c>
      <c r="F2432" s="5">
        <v>163.047722925702</v>
      </c>
      <c r="G2432" s="5">
        <v>-3.88011308892406</v>
      </c>
      <c r="H2432" s="5">
        <v>-3.88011308892406</v>
      </c>
      <c r="I2432" s="5">
        <v>-3.88011308892406</v>
      </c>
      <c r="J2432" s="5">
        <v>-0.144118857246307</v>
      </c>
      <c r="K2432" s="5">
        <v>-0.144118857246307</v>
      </c>
      <c r="L2432" s="5">
        <v>-0.144118857246307</v>
      </c>
      <c r="M2432" s="5">
        <v>-3.73599423167775</v>
      </c>
      <c r="N2432" s="5">
        <v>-3.73599423167775</v>
      </c>
      <c r="O2432" s="5">
        <v>-3.73599423167775</v>
      </c>
      <c r="P2432" s="5">
        <v>0.0</v>
      </c>
      <c r="Q2432" s="5">
        <v>0.0</v>
      </c>
      <c r="R2432" s="5">
        <v>0.0</v>
      </c>
      <c r="S2432" s="5">
        <v>159.167609836778</v>
      </c>
    </row>
    <row r="2433">
      <c r="A2433" s="6">
        <v>43887.0</v>
      </c>
      <c r="B2433" s="5">
        <v>164.218569125216</v>
      </c>
      <c r="C2433" s="5">
        <v>96.2200387543958</v>
      </c>
      <c r="D2433" s="5">
        <v>222.200301809686</v>
      </c>
      <c r="E2433" s="5">
        <v>164.218569125216</v>
      </c>
      <c r="F2433" s="5">
        <v>164.218569125216</v>
      </c>
      <c r="G2433" s="5">
        <v>-5.39256630740873</v>
      </c>
      <c r="H2433" s="5">
        <v>-5.39256630740873</v>
      </c>
      <c r="I2433" s="5">
        <v>-5.39256630740873</v>
      </c>
      <c r="J2433" s="5">
        <v>0.00703780528176551</v>
      </c>
      <c r="K2433" s="5">
        <v>0.00703780528176551</v>
      </c>
      <c r="L2433" s="5">
        <v>0.00703780528176551</v>
      </c>
      <c r="M2433" s="5">
        <v>-5.39960411269049</v>
      </c>
      <c r="N2433" s="5">
        <v>-5.39960411269049</v>
      </c>
      <c r="O2433" s="5">
        <v>-5.39960411269049</v>
      </c>
      <c r="P2433" s="5">
        <v>0.0</v>
      </c>
      <c r="Q2433" s="5">
        <v>0.0</v>
      </c>
      <c r="R2433" s="5">
        <v>0.0</v>
      </c>
      <c r="S2433" s="5">
        <v>158.826002817807</v>
      </c>
    </row>
    <row r="2434">
      <c r="A2434" s="6">
        <v>43888.0</v>
      </c>
      <c r="B2434" s="5">
        <v>165.389415324729</v>
      </c>
      <c r="C2434" s="5">
        <v>92.6249324650138</v>
      </c>
      <c r="D2434" s="5">
        <v>222.168349923573</v>
      </c>
      <c r="E2434" s="5">
        <v>165.389415324729</v>
      </c>
      <c r="F2434" s="5">
        <v>165.389415324729</v>
      </c>
      <c r="G2434" s="5">
        <v>-7.82691902410173</v>
      </c>
      <c r="H2434" s="5">
        <v>-7.82691902410173</v>
      </c>
      <c r="I2434" s="5">
        <v>-7.82691902410173</v>
      </c>
      <c r="J2434" s="5">
        <v>-0.776422525897957</v>
      </c>
      <c r="K2434" s="5">
        <v>-0.776422525897957</v>
      </c>
      <c r="L2434" s="5">
        <v>-0.776422525897957</v>
      </c>
      <c r="M2434" s="5">
        <v>-7.05049649820378</v>
      </c>
      <c r="N2434" s="5">
        <v>-7.05049649820378</v>
      </c>
      <c r="O2434" s="5">
        <v>-7.05049649820378</v>
      </c>
      <c r="P2434" s="5">
        <v>0.0</v>
      </c>
      <c r="Q2434" s="5">
        <v>0.0</v>
      </c>
      <c r="R2434" s="5">
        <v>0.0</v>
      </c>
      <c r="S2434" s="5">
        <v>157.562496300627</v>
      </c>
    </row>
    <row r="2435">
      <c r="A2435" s="6">
        <v>43889.0</v>
      </c>
      <c r="B2435" s="5">
        <v>166.560261524242</v>
      </c>
      <c r="C2435" s="5">
        <v>92.5189475992484</v>
      </c>
      <c r="D2435" s="5">
        <v>215.974004104821</v>
      </c>
      <c r="E2435" s="5">
        <v>166.560261524242</v>
      </c>
      <c r="F2435" s="5">
        <v>166.560261524242</v>
      </c>
      <c r="G2435" s="5">
        <v>-10.2595249679235</v>
      </c>
      <c r="H2435" s="5">
        <v>-10.2595249679235</v>
      </c>
      <c r="I2435" s="5">
        <v>-10.2595249679235</v>
      </c>
      <c r="J2435" s="5">
        <v>-1.59155056649286</v>
      </c>
      <c r="K2435" s="5">
        <v>-1.59155056649286</v>
      </c>
      <c r="L2435" s="5">
        <v>-1.59155056649286</v>
      </c>
      <c r="M2435" s="5">
        <v>-8.66797440143064</v>
      </c>
      <c r="N2435" s="5">
        <v>-8.66797440143064</v>
      </c>
      <c r="O2435" s="5">
        <v>-8.66797440143064</v>
      </c>
      <c r="P2435" s="5">
        <v>0.0</v>
      </c>
      <c r="Q2435" s="5">
        <v>0.0</v>
      </c>
      <c r="R2435" s="5">
        <v>0.0</v>
      </c>
      <c r="S2435" s="5">
        <v>156.300736556318</v>
      </c>
    </row>
    <row r="2436">
      <c r="A2436" s="6">
        <v>43892.0</v>
      </c>
      <c r="B2436" s="5">
        <v>170.072800122782</v>
      </c>
      <c r="C2436" s="5">
        <v>92.6658843577437</v>
      </c>
      <c r="D2436" s="5">
        <v>220.961688884438</v>
      </c>
      <c r="E2436" s="5">
        <v>170.072800122782</v>
      </c>
      <c r="F2436" s="5">
        <v>170.072800122782</v>
      </c>
      <c r="G2436" s="5">
        <v>-13.0302776375558</v>
      </c>
      <c r="H2436" s="5">
        <v>-13.0302776375558</v>
      </c>
      <c r="I2436" s="5">
        <v>-13.0302776375558</v>
      </c>
      <c r="J2436" s="5">
        <v>0.0905589421175645</v>
      </c>
      <c r="K2436" s="5">
        <v>0.0905589421175645</v>
      </c>
      <c r="L2436" s="5">
        <v>0.0905589421175645</v>
      </c>
      <c r="M2436" s="5">
        <v>-13.1208365796734</v>
      </c>
      <c r="N2436" s="5">
        <v>-13.1208365796734</v>
      </c>
      <c r="O2436" s="5">
        <v>-13.1208365796734</v>
      </c>
      <c r="P2436" s="5">
        <v>0.0</v>
      </c>
      <c r="Q2436" s="5">
        <v>0.0</v>
      </c>
      <c r="R2436" s="5">
        <v>0.0</v>
      </c>
      <c r="S2436" s="5">
        <v>157.042522485226</v>
      </c>
    </row>
    <row r="2437">
      <c r="A2437" s="6">
        <v>43893.0</v>
      </c>
      <c r="B2437" s="5">
        <v>171.243646322295</v>
      </c>
      <c r="C2437" s="5">
        <v>94.7834815803895</v>
      </c>
      <c r="D2437" s="5">
        <v>217.481148903077</v>
      </c>
      <c r="E2437" s="5">
        <v>171.243646322295</v>
      </c>
      <c r="F2437" s="5">
        <v>171.243646322295</v>
      </c>
      <c r="G2437" s="5">
        <v>-14.5554476823214</v>
      </c>
      <c r="H2437" s="5">
        <v>-14.5554476823214</v>
      </c>
      <c r="I2437" s="5">
        <v>-14.5554476823214</v>
      </c>
      <c r="J2437" s="5">
        <v>-0.144118857245218</v>
      </c>
      <c r="K2437" s="5">
        <v>-0.144118857245218</v>
      </c>
      <c r="L2437" s="5">
        <v>-0.144118857245218</v>
      </c>
      <c r="M2437" s="5">
        <v>-14.4113288250762</v>
      </c>
      <c r="N2437" s="5">
        <v>-14.4113288250762</v>
      </c>
      <c r="O2437" s="5">
        <v>-14.4113288250762</v>
      </c>
      <c r="P2437" s="5">
        <v>0.0</v>
      </c>
      <c r="Q2437" s="5">
        <v>0.0</v>
      </c>
      <c r="R2437" s="5">
        <v>0.0</v>
      </c>
      <c r="S2437" s="5">
        <v>156.688198639974</v>
      </c>
    </row>
    <row r="2438">
      <c r="A2438" s="6">
        <v>43894.0</v>
      </c>
      <c r="B2438" s="5">
        <v>172.414492521808</v>
      </c>
      <c r="C2438" s="5">
        <v>93.1166831916111</v>
      </c>
      <c r="D2438" s="5">
        <v>223.720924628477</v>
      </c>
      <c r="E2438" s="5">
        <v>172.414492521808</v>
      </c>
      <c r="F2438" s="5">
        <v>172.414492521808</v>
      </c>
      <c r="G2438" s="5">
        <v>-15.5718609450737</v>
      </c>
      <c r="H2438" s="5">
        <v>-15.5718609450737</v>
      </c>
      <c r="I2438" s="5">
        <v>-15.5718609450737</v>
      </c>
      <c r="J2438" s="5">
        <v>0.00703780528289576</v>
      </c>
      <c r="K2438" s="5">
        <v>0.00703780528289576</v>
      </c>
      <c r="L2438" s="5">
        <v>0.00703780528289576</v>
      </c>
      <c r="M2438" s="5">
        <v>-15.5788987503566</v>
      </c>
      <c r="N2438" s="5">
        <v>-15.5788987503566</v>
      </c>
      <c r="O2438" s="5">
        <v>-15.5788987503566</v>
      </c>
      <c r="P2438" s="5">
        <v>0.0</v>
      </c>
      <c r="Q2438" s="5">
        <v>0.0</v>
      </c>
      <c r="R2438" s="5">
        <v>0.0</v>
      </c>
      <c r="S2438" s="5">
        <v>156.842631576735</v>
      </c>
    </row>
    <row r="2439">
      <c r="A2439" s="6">
        <v>43895.0</v>
      </c>
      <c r="B2439" s="5">
        <v>173.585338721321</v>
      </c>
      <c r="C2439" s="5">
        <v>91.8318454539213</v>
      </c>
      <c r="D2439" s="5">
        <v>223.473216533878</v>
      </c>
      <c r="E2439" s="5">
        <v>173.585338721321</v>
      </c>
      <c r="F2439" s="5">
        <v>173.585338721321</v>
      </c>
      <c r="G2439" s="5">
        <v>-17.3876247768063</v>
      </c>
      <c r="H2439" s="5">
        <v>-17.3876247768063</v>
      </c>
      <c r="I2439" s="5">
        <v>-17.3876247768063</v>
      </c>
      <c r="J2439" s="5">
        <v>-0.776422525898679</v>
      </c>
      <c r="K2439" s="5">
        <v>-0.776422525898679</v>
      </c>
      <c r="L2439" s="5">
        <v>-0.776422525898679</v>
      </c>
      <c r="M2439" s="5">
        <v>-16.6112022509076</v>
      </c>
      <c r="N2439" s="5">
        <v>-16.6112022509076</v>
      </c>
      <c r="O2439" s="5">
        <v>-16.6112022509076</v>
      </c>
      <c r="P2439" s="5">
        <v>0.0</v>
      </c>
      <c r="Q2439" s="5">
        <v>0.0</v>
      </c>
      <c r="R2439" s="5">
        <v>0.0</v>
      </c>
      <c r="S2439" s="5">
        <v>156.197713944515</v>
      </c>
    </row>
    <row r="2440">
      <c r="A2440" s="6">
        <v>43896.0</v>
      </c>
      <c r="B2440" s="5">
        <v>174.756184920835</v>
      </c>
      <c r="C2440" s="5">
        <v>94.7476523721644</v>
      </c>
      <c r="D2440" s="5">
        <v>222.257810680726</v>
      </c>
      <c r="E2440" s="5">
        <v>174.756184920835</v>
      </c>
      <c r="F2440" s="5">
        <v>174.756184920835</v>
      </c>
      <c r="G2440" s="5">
        <v>-19.0899858457681</v>
      </c>
      <c r="H2440" s="5">
        <v>-19.0899858457681</v>
      </c>
      <c r="I2440" s="5">
        <v>-19.0899858457681</v>
      </c>
      <c r="J2440" s="5">
        <v>-1.59155056649162</v>
      </c>
      <c r="K2440" s="5">
        <v>-1.59155056649162</v>
      </c>
      <c r="L2440" s="5">
        <v>-1.59155056649162</v>
      </c>
      <c r="M2440" s="5">
        <v>-17.4984352792765</v>
      </c>
      <c r="N2440" s="5">
        <v>-17.4984352792765</v>
      </c>
      <c r="O2440" s="5">
        <v>-17.4984352792765</v>
      </c>
      <c r="P2440" s="5">
        <v>0.0</v>
      </c>
      <c r="Q2440" s="5">
        <v>0.0</v>
      </c>
      <c r="R2440" s="5">
        <v>0.0</v>
      </c>
      <c r="S2440" s="5">
        <v>155.666199075067</v>
      </c>
    </row>
    <row r="2441">
      <c r="A2441" s="6">
        <v>43899.0</v>
      </c>
      <c r="B2441" s="5">
        <v>178.268723519374</v>
      </c>
      <c r="C2441" s="5">
        <v>98.5536588328321</v>
      </c>
      <c r="D2441" s="5">
        <v>216.978813951008</v>
      </c>
      <c r="E2441" s="5">
        <v>178.268723519374</v>
      </c>
      <c r="F2441" s="5">
        <v>178.268723519374</v>
      </c>
      <c r="G2441" s="5">
        <v>-19.1422390296365</v>
      </c>
      <c r="H2441" s="5">
        <v>-19.1422390296365</v>
      </c>
      <c r="I2441" s="5">
        <v>-19.1422390296365</v>
      </c>
      <c r="J2441" s="5">
        <v>0.0905589421234389</v>
      </c>
      <c r="K2441" s="5">
        <v>0.0905589421234389</v>
      </c>
      <c r="L2441" s="5">
        <v>0.0905589421234389</v>
      </c>
      <c r="M2441" s="5">
        <v>-19.23279797176</v>
      </c>
      <c r="N2441" s="5">
        <v>-19.23279797176</v>
      </c>
      <c r="O2441" s="5">
        <v>-19.23279797176</v>
      </c>
      <c r="P2441" s="5">
        <v>0.0</v>
      </c>
      <c r="Q2441" s="5">
        <v>0.0</v>
      </c>
      <c r="R2441" s="5">
        <v>0.0</v>
      </c>
      <c r="S2441" s="5">
        <v>159.126484489738</v>
      </c>
    </row>
    <row r="2442">
      <c r="A2442" s="6">
        <v>43900.0</v>
      </c>
      <c r="B2442" s="5">
        <v>179.439569718888</v>
      </c>
      <c r="C2442" s="5">
        <v>92.3962090026373</v>
      </c>
      <c r="D2442" s="5">
        <v>222.685546640726</v>
      </c>
      <c r="E2442" s="5">
        <v>179.439569718888</v>
      </c>
      <c r="F2442" s="5">
        <v>179.439569718888</v>
      </c>
      <c r="G2442" s="5">
        <v>-19.6410019050888</v>
      </c>
      <c r="H2442" s="5">
        <v>-19.6410019050888</v>
      </c>
      <c r="I2442" s="5">
        <v>-19.6410019050888</v>
      </c>
      <c r="J2442" s="5">
        <v>-0.14411885724413</v>
      </c>
      <c r="K2442" s="5">
        <v>-0.14411885724413</v>
      </c>
      <c r="L2442" s="5">
        <v>-0.14411885724413</v>
      </c>
      <c r="M2442" s="5">
        <v>-19.4968830478446</v>
      </c>
      <c r="N2442" s="5">
        <v>-19.4968830478446</v>
      </c>
      <c r="O2442" s="5">
        <v>-19.4968830478446</v>
      </c>
      <c r="P2442" s="5">
        <v>0.0</v>
      </c>
      <c r="Q2442" s="5">
        <v>0.0</v>
      </c>
      <c r="R2442" s="5">
        <v>0.0</v>
      </c>
      <c r="S2442" s="5">
        <v>159.798567813799</v>
      </c>
    </row>
    <row r="2443">
      <c r="A2443" s="6">
        <v>43901.0</v>
      </c>
      <c r="B2443" s="5">
        <v>180.610415918401</v>
      </c>
      <c r="C2443" s="5">
        <v>95.9035565910128</v>
      </c>
      <c r="D2443" s="5">
        <v>222.463101468424</v>
      </c>
      <c r="E2443" s="5">
        <v>180.610415918401</v>
      </c>
      <c r="F2443" s="5">
        <v>180.610415918401</v>
      </c>
      <c r="G2443" s="5">
        <v>-19.6013108030008</v>
      </c>
      <c r="H2443" s="5">
        <v>-19.6013108030008</v>
      </c>
      <c r="I2443" s="5">
        <v>-19.6013108030008</v>
      </c>
      <c r="J2443" s="5">
        <v>0.00703780528420682</v>
      </c>
      <c r="K2443" s="5">
        <v>0.00703780528420682</v>
      </c>
      <c r="L2443" s="5">
        <v>0.00703780528420682</v>
      </c>
      <c r="M2443" s="5">
        <v>-19.608348608285</v>
      </c>
      <c r="N2443" s="5">
        <v>-19.608348608285</v>
      </c>
      <c r="O2443" s="5">
        <v>-19.608348608285</v>
      </c>
      <c r="P2443" s="5">
        <v>0.0</v>
      </c>
      <c r="Q2443" s="5">
        <v>0.0</v>
      </c>
      <c r="R2443" s="5">
        <v>0.0</v>
      </c>
      <c r="S2443" s="5">
        <v>161.0091051154</v>
      </c>
    </row>
    <row r="2444">
      <c r="A2444" s="6">
        <v>43902.0</v>
      </c>
      <c r="B2444" s="5">
        <v>181.781262117914</v>
      </c>
      <c r="C2444" s="5">
        <v>98.9940570694038</v>
      </c>
      <c r="D2444" s="5">
        <v>220.869242130246</v>
      </c>
      <c r="E2444" s="5">
        <v>181.781262117914</v>
      </c>
      <c r="F2444" s="5">
        <v>181.781262117914</v>
      </c>
      <c r="G2444" s="5">
        <v>-20.3500848827855</v>
      </c>
      <c r="H2444" s="5">
        <v>-20.3500848827855</v>
      </c>
      <c r="I2444" s="5">
        <v>-20.3500848827855</v>
      </c>
      <c r="J2444" s="5">
        <v>-0.776422525900776</v>
      </c>
      <c r="K2444" s="5">
        <v>-0.776422525900776</v>
      </c>
      <c r="L2444" s="5">
        <v>-0.776422525900776</v>
      </c>
      <c r="M2444" s="5">
        <v>-19.5736623568847</v>
      </c>
      <c r="N2444" s="5">
        <v>-19.5736623568847</v>
      </c>
      <c r="O2444" s="5">
        <v>-19.5736623568847</v>
      </c>
      <c r="P2444" s="5">
        <v>0.0</v>
      </c>
      <c r="Q2444" s="5">
        <v>0.0</v>
      </c>
      <c r="R2444" s="5">
        <v>0.0</v>
      </c>
      <c r="S2444" s="5">
        <v>161.431177235129</v>
      </c>
    </row>
    <row r="2445">
      <c r="A2445" s="6">
        <v>43903.0</v>
      </c>
      <c r="B2445" s="5">
        <v>182.952108317428</v>
      </c>
      <c r="C2445" s="5">
        <v>97.3780802088588</v>
      </c>
      <c r="D2445" s="5">
        <v>223.980293472561</v>
      </c>
      <c r="E2445" s="5">
        <v>182.952108317428</v>
      </c>
      <c r="F2445" s="5">
        <v>182.952108317428</v>
      </c>
      <c r="G2445" s="5">
        <v>-20.9930894979185</v>
      </c>
      <c r="H2445" s="5">
        <v>-20.9930894979185</v>
      </c>
      <c r="I2445" s="5">
        <v>-20.9930894979185</v>
      </c>
      <c r="J2445" s="5">
        <v>-1.59155056649101</v>
      </c>
      <c r="K2445" s="5">
        <v>-1.59155056649101</v>
      </c>
      <c r="L2445" s="5">
        <v>-1.59155056649101</v>
      </c>
      <c r="M2445" s="5">
        <v>-19.4015389314275</v>
      </c>
      <c r="N2445" s="5">
        <v>-19.4015389314275</v>
      </c>
      <c r="O2445" s="5">
        <v>-19.4015389314275</v>
      </c>
      <c r="P2445" s="5">
        <v>0.0</v>
      </c>
      <c r="Q2445" s="5">
        <v>0.0</v>
      </c>
      <c r="R2445" s="5">
        <v>0.0</v>
      </c>
      <c r="S2445" s="5">
        <v>161.959018819509</v>
      </c>
    </row>
    <row r="2446">
      <c r="A2446" s="6">
        <v>43906.0</v>
      </c>
      <c r="B2446" s="5">
        <v>186.464646915967</v>
      </c>
      <c r="C2446" s="5">
        <v>106.289959492229</v>
      </c>
      <c r="D2446" s="5">
        <v>229.403420732959</v>
      </c>
      <c r="E2446" s="5">
        <v>186.464646915967</v>
      </c>
      <c r="F2446" s="5">
        <v>186.464646915967</v>
      </c>
      <c r="G2446" s="5">
        <v>-18.0845339234033</v>
      </c>
      <c r="H2446" s="5">
        <v>-18.0845339234033</v>
      </c>
      <c r="I2446" s="5">
        <v>-18.0845339234033</v>
      </c>
      <c r="J2446" s="5">
        <v>0.0905589421220014</v>
      </c>
      <c r="K2446" s="5">
        <v>0.0905589421220014</v>
      </c>
      <c r="L2446" s="5">
        <v>0.0905589421220014</v>
      </c>
      <c r="M2446" s="5">
        <v>-18.1750928655253</v>
      </c>
      <c r="N2446" s="5">
        <v>-18.1750928655253</v>
      </c>
      <c r="O2446" s="5">
        <v>-18.1750928655253</v>
      </c>
      <c r="P2446" s="5">
        <v>0.0</v>
      </c>
      <c r="Q2446" s="5">
        <v>0.0</v>
      </c>
      <c r="R2446" s="5">
        <v>0.0</v>
      </c>
      <c r="S2446" s="5">
        <v>168.380112992564</v>
      </c>
    </row>
    <row r="2447">
      <c r="A2447" s="6">
        <v>43907.0</v>
      </c>
      <c r="B2447" s="5">
        <v>187.63549311548</v>
      </c>
      <c r="C2447" s="5">
        <v>104.119074411029</v>
      </c>
      <c r="D2447" s="5">
        <v>232.882204287376</v>
      </c>
      <c r="E2447" s="5">
        <v>187.63549311548</v>
      </c>
      <c r="F2447" s="5">
        <v>187.63549311548</v>
      </c>
      <c r="G2447" s="5">
        <v>-17.718598258047</v>
      </c>
      <c r="H2447" s="5">
        <v>-17.718598258047</v>
      </c>
      <c r="I2447" s="5">
        <v>-17.718598258047</v>
      </c>
      <c r="J2447" s="5">
        <v>-0.144118857245566</v>
      </c>
      <c r="K2447" s="5">
        <v>-0.144118857245566</v>
      </c>
      <c r="L2447" s="5">
        <v>-0.144118857245566</v>
      </c>
      <c r="M2447" s="5">
        <v>-17.5744794008014</v>
      </c>
      <c r="N2447" s="5">
        <v>-17.5744794008014</v>
      </c>
      <c r="O2447" s="5">
        <v>-17.5744794008014</v>
      </c>
      <c r="P2447" s="5">
        <v>0.0</v>
      </c>
      <c r="Q2447" s="5">
        <v>0.0</v>
      </c>
      <c r="R2447" s="5">
        <v>0.0</v>
      </c>
      <c r="S2447" s="5">
        <v>169.916894857433</v>
      </c>
    </row>
    <row r="2448">
      <c r="A2448" s="6">
        <v>43908.0</v>
      </c>
      <c r="B2448" s="5">
        <v>188.806339314994</v>
      </c>
      <c r="C2448" s="5">
        <v>110.555217242493</v>
      </c>
      <c r="D2448" s="5">
        <v>225.765524645678</v>
      </c>
      <c r="E2448" s="5">
        <v>188.806339314994</v>
      </c>
      <c r="F2448" s="5">
        <v>188.806339314994</v>
      </c>
      <c r="G2448" s="5">
        <v>-16.8954236406762</v>
      </c>
      <c r="H2448" s="5">
        <v>-16.8954236406762</v>
      </c>
      <c r="I2448" s="5">
        <v>-16.8954236406762</v>
      </c>
      <c r="J2448" s="5">
        <v>0.00703780528119075</v>
      </c>
      <c r="K2448" s="5">
        <v>0.00703780528119075</v>
      </c>
      <c r="L2448" s="5">
        <v>0.00703780528119075</v>
      </c>
      <c r="M2448" s="5">
        <v>-16.9024614459574</v>
      </c>
      <c r="N2448" s="5">
        <v>-16.9024614459574</v>
      </c>
      <c r="O2448" s="5">
        <v>-16.9024614459574</v>
      </c>
      <c r="P2448" s="5">
        <v>0.0</v>
      </c>
      <c r="Q2448" s="5">
        <v>0.0</v>
      </c>
      <c r="R2448" s="5">
        <v>0.0</v>
      </c>
      <c r="S2448" s="5">
        <v>171.910915674317</v>
      </c>
    </row>
    <row r="2449">
      <c r="A2449" s="6">
        <v>43909.0</v>
      </c>
      <c r="B2449" s="5">
        <v>189.977185514507</v>
      </c>
      <c r="C2449" s="5">
        <v>114.769397095445</v>
      </c>
      <c r="D2449" s="5">
        <v>234.6697953686</v>
      </c>
      <c r="E2449" s="5">
        <v>189.977185514507</v>
      </c>
      <c r="F2449" s="5">
        <v>189.977185514507</v>
      </c>
      <c r="G2449" s="5">
        <v>-16.950583684471</v>
      </c>
      <c r="H2449" s="5">
        <v>-16.950583684471</v>
      </c>
      <c r="I2449" s="5">
        <v>-16.950583684471</v>
      </c>
      <c r="J2449" s="5">
        <v>-0.776422525902873</v>
      </c>
      <c r="K2449" s="5">
        <v>-0.776422525902873</v>
      </c>
      <c r="L2449" s="5">
        <v>-0.776422525902873</v>
      </c>
      <c r="M2449" s="5">
        <v>-16.1741611585681</v>
      </c>
      <c r="N2449" s="5">
        <v>-16.1741611585681</v>
      </c>
      <c r="O2449" s="5">
        <v>-16.1741611585681</v>
      </c>
      <c r="P2449" s="5">
        <v>0.0</v>
      </c>
      <c r="Q2449" s="5">
        <v>0.0</v>
      </c>
      <c r="R2449" s="5">
        <v>0.0</v>
      </c>
      <c r="S2449" s="5">
        <v>173.026601830036</v>
      </c>
    </row>
    <row r="2450">
      <c r="A2450" s="6">
        <v>43910.0</v>
      </c>
      <c r="B2450" s="5">
        <v>191.14803171402</v>
      </c>
      <c r="C2450" s="5">
        <v>113.559487816426</v>
      </c>
      <c r="D2450" s="5">
        <v>241.773631832558</v>
      </c>
      <c r="E2450" s="5">
        <v>191.14803171402</v>
      </c>
      <c r="F2450" s="5">
        <v>191.14803171402</v>
      </c>
      <c r="G2450" s="5">
        <v>-16.9960136190599</v>
      </c>
      <c r="H2450" s="5">
        <v>-16.9960136190599</v>
      </c>
      <c r="I2450" s="5">
        <v>-16.9960136190599</v>
      </c>
      <c r="J2450" s="5">
        <v>-1.59155056649526</v>
      </c>
      <c r="K2450" s="5">
        <v>-1.59155056649526</v>
      </c>
      <c r="L2450" s="5">
        <v>-1.59155056649526</v>
      </c>
      <c r="M2450" s="5">
        <v>-15.4044630525647</v>
      </c>
      <c r="N2450" s="5">
        <v>-15.4044630525647</v>
      </c>
      <c r="O2450" s="5">
        <v>-15.4044630525647</v>
      </c>
      <c r="P2450" s="5">
        <v>0.0</v>
      </c>
      <c r="Q2450" s="5">
        <v>0.0</v>
      </c>
      <c r="R2450" s="5">
        <v>0.0</v>
      </c>
      <c r="S2450" s="5">
        <v>174.15201809496</v>
      </c>
    </row>
    <row r="2451">
      <c r="A2451" s="6">
        <v>43913.0</v>
      </c>
      <c r="B2451" s="5">
        <v>194.66057031256</v>
      </c>
      <c r="C2451" s="5">
        <v>122.605853538616</v>
      </c>
      <c r="D2451" s="5">
        <v>244.978901547901</v>
      </c>
      <c r="E2451" s="5">
        <v>194.66057031256</v>
      </c>
      <c r="F2451" s="5">
        <v>194.66057031256</v>
      </c>
      <c r="G2451" s="5">
        <v>-12.8947149618931</v>
      </c>
      <c r="H2451" s="5">
        <v>-12.8947149618931</v>
      </c>
      <c r="I2451" s="5">
        <v>-12.8947149618931</v>
      </c>
      <c r="J2451" s="5">
        <v>0.0905589421229479</v>
      </c>
      <c r="K2451" s="5">
        <v>0.0905589421229479</v>
      </c>
      <c r="L2451" s="5">
        <v>0.0905589421229479</v>
      </c>
      <c r="M2451" s="5">
        <v>-12.985273904016</v>
      </c>
      <c r="N2451" s="5">
        <v>-12.985273904016</v>
      </c>
      <c r="O2451" s="5">
        <v>-12.985273904016</v>
      </c>
      <c r="P2451" s="5">
        <v>0.0</v>
      </c>
      <c r="Q2451" s="5">
        <v>0.0</v>
      </c>
      <c r="R2451" s="5">
        <v>0.0</v>
      </c>
      <c r="S2451" s="5">
        <v>181.765855350666</v>
      </c>
    </row>
    <row r="2452">
      <c r="A2452" s="6">
        <v>43914.0</v>
      </c>
      <c r="B2452" s="5">
        <v>195.831416512073</v>
      </c>
      <c r="C2452" s="5">
        <v>124.369887251084</v>
      </c>
      <c r="D2452" s="5">
        <v>245.196414550477</v>
      </c>
      <c r="E2452" s="5">
        <v>195.831416512073</v>
      </c>
      <c r="F2452" s="5">
        <v>195.831416512073</v>
      </c>
      <c r="G2452" s="5">
        <v>-12.326900001213</v>
      </c>
      <c r="H2452" s="5">
        <v>-12.326900001213</v>
      </c>
      <c r="I2452" s="5">
        <v>-12.326900001213</v>
      </c>
      <c r="J2452" s="5">
        <v>-0.144118857241954</v>
      </c>
      <c r="K2452" s="5">
        <v>-0.144118857241954</v>
      </c>
      <c r="L2452" s="5">
        <v>-0.144118857241954</v>
      </c>
      <c r="M2452" s="5">
        <v>-12.1827811439711</v>
      </c>
      <c r="N2452" s="5">
        <v>-12.1827811439711</v>
      </c>
      <c r="O2452" s="5">
        <v>-12.1827811439711</v>
      </c>
      <c r="P2452" s="5">
        <v>0.0</v>
      </c>
      <c r="Q2452" s="5">
        <v>0.0</v>
      </c>
      <c r="R2452" s="5">
        <v>0.0</v>
      </c>
      <c r="S2452" s="5">
        <v>183.50451651086</v>
      </c>
    </row>
    <row r="2453">
      <c r="A2453" s="6">
        <v>43915.0</v>
      </c>
      <c r="B2453" s="5">
        <v>197.002262711586</v>
      </c>
      <c r="C2453" s="5">
        <v>121.628564473227</v>
      </c>
      <c r="D2453" s="5">
        <v>245.420652455892</v>
      </c>
      <c r="E2453" s="5">
        <v>197.002262711586</v>
      </c>
      <c r="F2453" s="5">
        <v>197.002262711586</v>
      </c>
      <c r="G2453" s="5">
        <v>-11.3919843425624</v>
      </c>
      <c r="H2453" s="5">
        <v>-11.3919843425624</v>
      </c>
      <c r="I2453" s="5">
        <v>-11.3919843425624</v>
      </c>
      <c r="J2453" s="5">
        <v>0.007037805282321</v>
      </c>
      <c r="K2453" s="5">
        <v>0.007037805282321</v>
      </c>
      <c r="L2453" s="5">
        <v>0.007037805282321</v>
      </c>
      <c r="M2453" s="5">
        <v>-11.3990221478447</v>
      </c>
      <c r="N2453" s="5">
        <v>-11.3990221478447</v>
      </c>
      <c r="O2453" s="5">
        <v>-11.3990221478447</v>
      </c>
      <c r="P2453" s="5">
        <v>0.0</v>
      </c>
      <c r="Q2453" s="5">
        <v>0.0</v>
      </c>
      <c r="R2453" s="5">
        <v>0.0</v>
      </c>
      <c r="S2453" s="5">
        <v>185.610278369024</v>
      </c>
    </row>
    <row r="2454">
      <c r="A2454" s="6">
        <v>43916.0</v>
      </c>
      <c r="B2454" s="5">
        <v>198.173108911099</v>
      </c>
      <c r="C2454" s="5">
        <v>122.116177978307</v>
      </c>
      <c r="D2454" s="5">
        <v>250.328261474486</v>
      </c>
      <c r="E2454" s="5">
        <v>198.173108911099</v>
      </c>
      <c r="F2454" s="5">
        <v>198.173108911099</v>
      </c>
      <c r="G2454" s="5">
        <v>-11.4180630911484</v>
      </c>
      <c r="H2454" s="5">
        <v>-11.4180630911484</v>
      </c>
      <c r="I2454" s="5">
        <v>-11.4180630911484</v>
      </c>
      <c r="J2454" s="5">
        <v>-0.77642252590222</v>
      </c>
      <c r="K2454" s="5">
        <v>-0.77642252590222</v>
      </c>
      <c r="L2454" s="5">
        <v>-0.77642252590222</v>
      </c>
      <c r="M2454" s="5">
        <v>-10.6416405652461</v>
      </c>
      <c r="N2454" s="5">
        <v>-10.6416405652461</v>
      </c>
      <c r="O2454" s="5">
        <v>-10.6416405652461</v>
      </c>
      <c r="P2454" s="5">
        <v>0.0</v>
      </c>
      <c r="Q2454" s="5">
        <v>0.0</v>
      </c>
      <c r="R2454" s="5">
        <v>0.0</v>
      </c>
      <c r="S2454" s="5">
        <v>186.755045819951</v>
      </c>
    </row>
    <row r="2455">
      <c r="A2455" s="6">
        <v>43917.0</v>
      </c>
      <c r="B2455" s="5">
        <v>199.343955110613</v>
      </c>
      <c r="C2455" s="5">
        <v>126.968847069241</v>
      </c>
      <c r="D2455" s="5">
        <v>246.708494967034</v>
      </c>
      <c r="E2455" s="5">
        <v>199.343955110613</v>
      </c>
      <c r="F2455" s="5">
        <v>199.343955110613</v>
      </c>
      <c r="G2455" s="5">
        <v>-11.508110191144</v>
      </c>
      <c r="H2455" s="5">
        <v>-11.508110191144</v>
      </c>
      <c r="I2455" s="5">
        <v>-11.508110191144</v>
      </c>
      <c r="J2455" s="5">
        <v>-1.59155056649434</v>
      </c>
      <c r="K2455" s="5">
        <v>-1.59155056649434</v>
      </c>
      <c r="L2455" s="5">
        <v>-1.59155056649434</v>
      </c>
      <c r="M2455" s="5">
        <v>-9.91655962464968</v>
      </c>
      <c r="N2455" s="5">
        <v>-9.91655962464968</v>
      </c>
      <c r="O2455" s="5">
        <v>-9.91655962464968</v>
      </c>
      <c r="P2455" s="5">
        <v>0.0</v>
      </c>
      <c r="Q2455" s="5">
        <v>0.0</v>
      </c>
      <c r="R2455" s="5">
        <v>0.0</v>
      </c>
      <c r="S2455" s="5">
        <v>187.835844919469</v>
      </c>
    </row>
    <row r="2456">
      <c r="A2456" s="6">
        <v>43920.0</v>
      </c>
      <c r="B2456" s="5">
        <v>202.856493709152</v>
      </c>
      <c r="C2456" s="5">
        <v>132.516369222675</v>
      </c>
      <c r="D2456" s="5">
        <v>252.257231273078</v>
      </c>
      <c r="E2456" s="5">
        <v>202.856493709152</v>
      </c>
      <c r="F2456" s="5">
        <v>202.856493709152</v>
      </c>
      <c r="G2456" s="5">
        <v>-7.87843574220084</v>
      </c>
      <c r="H2456" s="5">
        <v>-7.87843574220084</v>
      </c>
      <c r="I2456" s="5">
        <v>-7.87843574220084</v>
      </c>
      <c r="J2456" s="5">
        <v>0.0905589421238943</v>
      </c>
      <c r="K2456" s="5">
        <v>0.0905589421238943</v>
      </c>
      <c r="L2456" s="5">
        <v>0.0905589421238943</v>
      </c>
      <c r="M2456" s="5">
        <v>-7.96899468432473</v>
      </c>
      <c r="N2456" s="5">
        <v>-7.96899468432473</v>
      </c>
      <c r="O2456" s="5">
        <v>-7.96899468432473</v>
      </c>
      <c r="P2456" s="5">
        <v>0.0</v>
      </c>
      <c r="Q2456" s="5">
        <v>0.0</v>
      </c>
      <c r="R2456" s="5">
        <v>0.0</v>
      </c>
      <c r="S2456" s="5">
        <v>194.978057966952</v>
      </c>
    </row>
    <row r="2457">
      <c r="A2457" s="6">
        <v>43921.0</v>
      </c>
      <c r="B2457" s="5">
        <v>204.027339908666</v>
      </c>
      <c r="C2457" s="5">
        <v>134.460378573561</v>
      </c>
      <c r="D2457" s="5">
        <v>258.421258779109</v>
      </c>
      <c r="E2457" s="5">
        <v>204.027339908666</v>
      </c>
      <c r="F2457" s="5">
        <v>204.027339908666</v>
      </c>
      <c r="G2457" s="5">
        <v>-7.54330352476867</v>
      </c>
      <c r="H2457" s="5">
        <v>-7.54330352476867</v>
      </c>
      <c r="I2457" s="5">
        <v>-7.54330352476867</v>
      </c>
      <c r="J2457" s="5">
        <v>-0.144118857246218</v>
      </c>
      <c r="K2457" s="5">
        <v>-0.144118857246218</v>
      </c>
      <c r="L2457" s="5">
        <v>-0.144118857246218</v>
      </c>
      <c r="M2457" s="5">
        <v>-7.39918466752246</v>
      </c>
      <c r="N2457" s="5">
        <v>-7.39918466752246</v>
      </c>
      <c r="O2457" s="5">
        <v>-7.39918466752246</v>
      </c>
      <c r="P2457" s="5">
        <v>0.0</v>
      </c>
      <c r="Q2457" s="5">
        <v>0.0</v>
      </c>
      <c r="R2457" s="5">
        <v>0.0</v>
      </c>
      <c r="S2457" s="5">
        <v>196.484036383897</v>
      </c>
    </row>
    <row r="2458">
      <c r="A2458" s="6">
        <v>43922.0</v>
      </c>
      <c r="B2458" s="5">
        <v>205.198186108179</v>
      </c>
      <c r="C2458" s="5">
        <v>134.565386854044</v>
      </c>
      <c r="D2458" s="5">
        <v>264.567904628576</v>
      </c>
      <c r="E2458" s="5">
        <v>205.198186108179</v>
      </c>
      <c r="F2458" s="5">
        <v>205.198186108179</v>
      </c>
      <c r="G2458" s="5">
        <v>-6.86040944870344</v>
      </c>
      <c r="H2458" s="5">
        <v>-6.86040944870344</v>
      </c>
      <c r="I2458" s="5">
        <v>-6.86040944870344</v>
      </c>
      <c r="J2458" s="5">
        <v>0.00703780528146831</v>
      </c>
      <c r="K2458" s="5">
        <v>0.00703780528146831</v>
      </c>
      <c r="L2458" s="5">
        <v>0.00703780528146831</v>
      </c>
      <c r="M2458" s="5">
        <v>-6.8674472539849</v>
      </c>
      <c r="N2458" s="5">
        <v>-6.8674472539849</v>
      </c>
      <c r="O2458" s="5">
        <v>-6.8674472539849</v>
      </c>
      <c r="P2458" s="5">
        <v>0.0</v>
      </c>
      <c r="Q2458" s="5">
        <v>0.0</v>
      </c>
      <c r="R2458" s="5">
        <v>0.0</v>
      </c>
      <c r="S2458" s="5">
        <v>198.337776659475</v>
      </c>
    </row>
    <row r="2459">
      <c r="A2459" s="6">
        <v>43923.0</v>
      </c>
      <c r="B2459" s="5">
        <v>206.369032307692</v>
      </c>
      <c r="C2459" s="5">
        <v>133.729475200201</v>
      </c>
      <c r="D2459" s="5">
        <v>260.877582404702</v>
      </c>
      <c r="E2459" s="5">
        <v>206.369032307692</v>
      </c>
      <c r="F2459" s="5">
        <v>206.369032307692</v>
      </c>
      <c r="G2459" s="5">
        <v>-7.14765390231748</v>
      </c>
      <c r="H2459" s="5">
        <v>-7.14765390231748</v>
      </c>
      <c r="I2459" s="5">
        <v>-7.14765390231748</v>
      </c>
      <c r="J2459" s="5">
        <v>-0.776422525904317</v>
      </c>
      <c r="K2459" s="5">
        <v>-0.776422525904317</v>
      </c>
      <c r="L2459" s="5">
        <v>-0.776422525904317</v>
      </c>
      <c r="M2459" s="5">
        <v>-6.37123137641316</v>
      </c>
      <c r="N2459" s="5">
        <v>-6.37123137641316</v>
      </c>
      <c r="O2459" s="5">
        <v>-6.37123137641316</v>
      </c>
      <c r="P2459" s="5">
        <v>0.0</v>
      </c>
      <c r="Q2459" s="5">
        <v>0.0</v>
      </c>
      <c r="R2459" s="5">
        <v>0.0</v>
      </c>
      <c r="S2459" s="5">
        <v>199.221378405375</v>
      </c>
    </row>
    <row r="2460">
      <c r="A2460" s="6">
        <v>43924.0</v>
      </c>
      <c r="B2460" s="5">
        <v>207.539878507206</v>
      </c>
      <c r="C2460" s="5">
        <v>136.987095075147</v>
      </c>
      <c r="D2460" s="5">
        <v>261.307663987912</v>
      </c>
      <c r="E2460" s="5">
        <v>207.539878507206</v>
      </c>
      <c r="F2460" s="5">
        <v>207.539878507206</v>
      </c>
      <c r="G2460" s="5">
        <v>-7.49882537664381</v>
      </c>
      <c r="H2460" s="5">
        <v>-7.49882537664381</v>
      </c>
      <c r="I2460" s="5">
        <v>-7.49882537664381</v>
      </c>
      <c r="J2460" s="5">
        <v>-1.5915505664931</v>
      </c>
      <c r="K2460" s="5">
        <v>-1.5915505664931</v>
      </c>
      <c r="L2460" s="5">
        <v>-1.5915505664931</v>
      </c>
      <c r="M2460" s="5">
        <v>-5.90727481015071</v>
      </c>
      <c r="N2460" s="5">
        <v>-5.90727481015071</v>
      </c>
      <c r="O2460" s="5">
        <v>-5.90727481015071</v>
      </c>
      <c r="P2460" s="5">
        <v>0.0</v>
      </c>
      <c r="Q2460" s="5">
        <v>0.0</v>
      </c>
      <c r="R2460" s="5">
        <v>0.0</v>
      </c>
      <c r="S2460" s="5">
        <v>200.041053130562</v>
      </c>
    </row>
    <row r="2461">
      <c r="A2461" s="6">
        <v>43927.0</v>
      </c>
      <c r="B2461" s="5">
        <v>211.052417105745</v>
      </c>
      <c r="C2461" s="5">
        <v>147.099316778509</v>
      </c>
      <c r="D2461" s="5">
        <v>269.687581854242</v>
      </c>
      <c r="E2461" s="5">
        <v>211.052417105745</v>
      </c>
      <c r="F2461" s="5">
        <v>211.052417105745</v>
      </c>
      <c r="G2461" s="5">
        <v>-4.58076036335313</v>
      </c>
      <c r="H2461" s="5">
        <v>-4.58076036335313</v>
      </c>
      <c r="I2461" s="5">
        <v>-4.58076036335313</v>
      </c>
      <c r="J2461" s="5">
        <v>0.0905589421200729</v>
      </c>
      <c r="K2461" s="5">
        <v>0.0905589421200729</v>
      </c>
      <c r="L2461" s="5">
        <v>0.0905589421200729</v>
      </c>
      <c r="M2461" s="5">
        <v>-4.6713193054732</v>
      </c>
      <c r="N2461" s="5">
        <v>-4.6713193054732</v>
      </c>
      <c r="O2461" s="5">
        <v>-4.6713193054732</v>
      </c>
      <c r="P2461" s="5">
        <v>0.0</v>
      </c>
      <c r="Q2461" s="5">
        <v>0.0</v>
      </c>
      <c r="R2461" s="5">
        <v>0.0</v>
      </c>
      <c r="S2461" s="5">
        <v>206.471656742392</v>
      </c>
    </row>
    <row r="2462">
      <c r="A2462" s="6">
        <v>43928.0</v>
      </c>
      <c r="B2462" s="5">
        <v>212.223263305258</v>
      </c>
      <c r="C2462" s="5">
        <v>147.282908046545</v>
      </c>
      <c r="D2462" s="5">
        <v>270.722365543189</v>
      </c>
      <c r="E2462" s="5">
        <v>212.223263305258</v>
      </c>
      <c r="F2462" s="5">
        <v>212.223263305258</v>
      </c>
      <c r="G2462" s="5">
        <v>-4.44308225981611</v>
      </c>
      <c r="H2462" s="5">
        <v>-4.44308225981611</v>
      </c>
      <c r="I2462" s="5">
        <v>-4.44308225981611</v>
      </c>
      <c r="J2462" s="5">
        <v>-0.14411885724513</v>
      </c>
      <c r="K2462" s="5">
        <v>-0.14411885724513</v>
      </c>
      <c r="L2462" s="5">
        <v>-0.14411885724513</v>
      </c>
      <c r="M2462" s="5">
        <v>-4.29896340257098</v>
      </c>
      <c r="N2462" s="5">
        <v>-4.29896340257098</v>
      </c>
      <c r="O2462" s="5">
        <v>-4.29896340257098</v>
      </c>
      <c r="P2462" s="5">
        <v>0.0</v>
      </c>
      <c r="Q2462" s="5">
        <v>0.0</v>
      </c>
      <c r="R2462" s="5">
        <v>0.0</v>
      </c>
      <c r="S2462" s="5">
        <v>207.780181045442</v>
      </c>
    </row>
    <row r="2463">
      <c r="A2463" s="6">
        <v>43929.0</v>
      </c>
      <c r="B2463" s="5">
        <v>213.394109504772</v>
      </c>
      <c r="C2463" s="5">
        <v>148.731761143597</v>
      </c>
      <c r="D2463" s="5">
        <v>272.421340753235</v>
      </c>
      <c r="E2463" s="5">
        <v>213.394109504772</v>
      </c>
      <c r="F2463" s="5">
        <v>213.394109504772</v>
      </c>
      <c r="G2463" s="5">
        <v>-3.93419704350858</v>
      </c>
      <c r="H2463" s="5">
        <v>-3.93419704350858</v>
      </c>
      <c r="I2463" s="5">
        <v>-3.93419704350858</v>
      </c>
      <c r="J2463" s="5">
        <v>0.00703780528277938</v>
      </c>
      <c r="K2463" s="5">
        <v>0.00703780528277938</v>
      </c>
      <c r="L2463" s="5">
        <v>0.00703780528277938</v>
      </c>
      <c r="M2463" s="5">
        <v>-3.94123484879136</v>
      </c>
      <c r="N2463" s="5">
        <v>-3.94123484879136</v>
      </c>
      <c r="O2463" s="5">
        <v>-3.94123484879136</v>
      </c>
      <c r="P2463" s="5">
        <v>0.0</v>
      </c>
      <c r="Q2463" s="5">
        <v>0.0</v>
      </c>
      <c r="R2463" s="5">
        <v>0.0</v>
      </c>
      <c r="S2463" s="5">
        <v>209.459912461263</v>
      </c>
    </row>
    <row r="2464">
      <c r="A2464" s="6">
        <v>43930.0</v>
      </c>
      <c r="B2464" s="5">
        <v>214.564955704285</v>
      </c>
      <c r="C2464" s="5">
        <v>148.165727595478</v>
      </c>
      <c r="D2464" s="5">
        <v>273.380408423821</v>
      </c>
      <c r="E2464" s="5">
        <v>214.564955704285</v>
      </c>
      <c r="F2464" s="5">
        <v>214.564955704285</v>
      </c>
      <c r="G2464" s="5">
        <v>-4.37249710901271</v>
      </c>
      <c r="H2464" s="5">
        <v>-4.37249710901271</v>
      </c>
      <c r="I2464" s="5">
        <v>-4.37249710901271</v>
      </c>
      <c r="J2464" s="5">
        <v>-0.776422525905039</v>
      </c>
      <c r="K2464" s="5">
        <v>-0.776422525905039</v>
      </c>
      <c r="L2464" s="5">
        <v>-0.776422525905039</v>
      </c>
      <c r="M2464" s="5">
        <v>-3.59607458310767</v>
      </c>
      <c r="N2464" s="5">
        <v>-3.59607458310767</v>
      </c>
      <c r="O2464" s="5">
        <v>-3.59607458310767</v>
      </c>
      <c r="P2464" s="5">
        <v>0.0</v>
      </c>
      <c r="Q2464" s="5">
        <v>0.0</v>
      </c>
      <c r="R2464" s="5">
        <v>0.0</v>
      </c>
      <c r="S2464" s="5">
        <v>210.192458595272</v>
      </c>
    </row>
    <row r="2465">
      <c r="A2465" s="6">
        <v>43934.0</v>
      </c>
      <c r="B2465" s="5">
        <v>219.248340502338</v>
      </c>
      <c r="C2465" s="5">
        <v>154.447477305222</v>
      </c>
      <c r="D2465" s="5">
        <v>279.302850244486</v>
      </c>
      <c r="E2465" s="5">
        <v>219.248340502338</v>
      </c>
      <c r="F2465" s="5">
        <v>219.248340502338</v>
      </c>
      <c r="G2465" s="5">
        <v>-2.24481917905407</v>
      </c>
      <c r="H2465" s="5">
        <v>-2.24481917905407</v>
      </c>
      <c r="I2465" s="5">
        <v>-2.24481917905407</v>
      </c>
      <c r="J2465" s="5">
        <v>0.0905589421210193</v>
      </c>
      <c r="K2465" s="5">
        <v>0.0905589421210193</v>
      </c>
      <c r="L2465" s="5">
        <v>0.0905589421210193</v>
      </c>
      <c r="M2465" s="5">
        <v>-2.33537812117509</v>
      </c>
      <c r="N2465" s="5">
        <v>-2.33537812117509</v>
      </c>
      <c r="O2465" s="5">
        <v>-2.33537812117509</v>
      </c>
      <c r="P2465" s="5">
        <v>0.0</v>
      </c>
      <c r="Q2465" s="5">
        <v>0.0</v>
      </c>
      <c r="R2465" s="5">
        <v>0.0</v>
      </c>
      <c r="S2465" s="5">
        <v>217.003521323284</v>
      </c>
    </row>
    <row r="2466">
      <c r="A2466" s="6">
        <v>43935.0</v>
      </c>
      <c r="B2466" s="5">
        <v>220.419186701851</v>
      </c>
      <c r="C2466" s="5">
        <v>153.988095445532</v>
      </c>
      <c r="D2466" s="5">
        <v>282.502334175113</v>
      </c>
      <c r="E2466" s="5">
        <v>220.419186701851</v>
      </c>
      <c r="F2466" s="5">
        <v>220.419186701851</v>
      </c>
      <c r="G2466" s="5">
        <v>-2.20277319566151</v>
      </c>
      <c r="H2466" s="5">
        <v>-2.20277319566151</v>
      </c>
      <c r="I2466" s="5">
        <v>-2.20277319566151</v>
      </c>
      <c r="J2466" s="5">
        <v>-0.144118857244042</v>
      </c>
      <c r="K2466" s="5">
        <v>-0.144118857244042</v>
      </c>
      <c r="L2466" s="5">
        <v>-0.144118857244042</v>
      </c>
      <c r="M2466" s="5">
        <v>-2.05865433841747</v>
      </c>
      <c r="N2466" s="5">
        <v>-2.05865433841747</v>
      </c>
      <c r="O2466" s="5">
        <v>-2.05865433841747</v>
      </c>
      <c r="P2466" s="5">
        <v>0.0</v>
      </c>
      <c r="Q2466" s="5">
        <v>0.0</v>
      </c>
      <c r="R2466" s="5">
        <v>0.0</v>
      </c>
      <c r="S2466" s="5">
        <v>218.21641350619</v>
      </c>
    </row>
    <row r="2467">
      <c r="A2467" s="6">
        <v>43936.0</v>
      </c>
      <c r="B2467" s="5">
        <v>221.590032901365</v>
      </c>
      <c r="C2467" s="5">
        <v>158.09767112739</v>
      </c>
      <c r="D2467" s="5">
        <v>281.180733199092</v>
      </c>
      <c r="E2467" s="5">
        <v>221.590032901365</v>
      </c>
      <c r="F2467" s="5">
        <v>221.590032901365</v>
      </c>
      <c r="G2467" s="5">
        <v>-1.79762416927191</v>
      </c>
      <c r="H2467" s="5">
        <v>-1.79762416927191</v>
      </c>
      <c r="I2467" s="5">
        <v>-1.79762416927191</v>
      </c>
      <c r="J2467" s="5">
        <v>0.00703780528192679</v>
      </c>
      <c r="K2467" s="5">
        <v>0.00703780528192679</v>
      </c>
      <c r="L2467" s="5">
        <v>0.00703780528192679</v>
      </c>
      <c r="M2467" s="5">
        <v>-1.80466197455384</v>
      </c>
      <c r="N2467" s="5">
        <v>-1.80466197455384</v>
      </c>
      <c r="O2467" s="5">
        <v>-1.80466197455384</v>
      </c>
      <c r="P2467" s="5">
        <v>0.0</v>
      </c>
      <c r="Q2467" s="5">
        <v>0.0</v>
      </c>
      <c r="R2467" s="5">
        <v>0.0</v>
      </c>
      <c r="S2467" s="5">
        <v>219.792408732093</v>
      </c>
    </row>
    <row r="2468">
      <c r="A2468" s="6">
        <v>43937.0</v>
      </c>
      <c r="B2468" s="5">
        <v>222.760879100877</v>
      </c>
      <c r="C2468" s="5">
        <v>158.419127766505</v>
      </c>
      <c r="D2468" s="5">
        <v>280.223336886561</v>
      </c>
      <c r="E2468" s="5">
        <v>222.760879100877</v>
      </c>
      <c r="F2468" s="5">
        <v>222.760879100877</v>
      </c>
      <c r="G2468" s="5">
        <v>-2.35528052091044</v>
      </c>
      <c r="H2468" s="5">
        <v>-2.35528052091044</v>
      </c>
      <c r="I2468" s="5">
        <v>-2.35528052091044</v>
      </c>
      <c r="J2468" s="5">
        <v>-0.776422525900061</v>
      </c>
      <c r="K2468" s="5">
        <v>-0.776422525900061</v>
      </c>
      <c r="L2468" s="5">
        <v>-0.776422525900061</v>
      </c>
      <c r="M2468" s="5">
        <v>-1.57885799501038</v>
      </c>
      <c r="N2468" s="5">
        <v>-1.57885799501038</v>
      </c>
      <c r="O2468" s="5">
        <v>-1.57885799501038</v>
      </c>
      <c r="P2468" s="5">
        <v>0.0</v>
      </c>
      <c r="Q2468" s="5">
        <v>0.0</v>
      </c>
      <c r="R2468" s="5">
        <v>0.0</v>
      </c>
      <c r="S2468" s="5">
        <v>220.405598579967</v>
      </c>
    </row>
    <row r="2469">
      <c r="A2469" s="6">
        <v>43938.0</v>
      </c>
      <c r="B2469" s="5">
        <v>223.931725300391</v>
      </c>
      <c r="C2469" s="5">
        <v>155.613464711102</v>
      </c>
      <c r="D2469" s="5">
        <v>280.223603760038</v>
      </c>
      <c r="E2469" s="5">
        <v>223.931725300391</v>
      </c>
      <c r="F2469" s="5">
        <v>223.931725300391</v>
      </c>
      <c r="G2469" s="5">
        <v>-2.97904341024029</v>
      </c>
      <c r="H2469" s="5">
        <v>-2.97904341024029</v>
      </c>
      <c r="I2469" s="5">
        <v>-2.97904341024029</v>
      </c>
      <c r="J2469" s="5">
        <v>-1.59155056649124</v>
      </c>
      <c r="K2469" s="5">
        <v>-1.59155056649124</v>
      </c>
      <c r="L2469" s="5">
        <v>-1.59155056649124</v>
      </c>
      <c r="M2469" s="5">
        <v>-1.38749284374904</v>
      </c>
      <c r="N2469" s="5">
        <v>-1.38749284374904</v>
      </c>
      <c r="O2469" s="5">
        <v>-1.38749284374904</v>
      </c>
      <c r="P2469" s="5">
        <v>0.0</v>
      </c>
      <c r="Q2469" s="5">
        <v>0.0</v>
      </c>
      <c r="R2469" s="5">
        <v>0.0</v>
      </c>
      <c r="S2469" s="5">
        <v>220.952681890151</v>
      </c>
    </row>
    <row r="2470">
      <c r="A2470" s="6">
        <v>43941.0</v>
      </c>
      <c r="B2470" s="5">
        <v>227.444263898931</v>
      </c>
      <c r="C2470" s="5">
        <v>163.294525905367</v>
      </c>
      <c r="D2470" s="5">
        <v>285.987036322353</v>
      </c>
      <c r="E2470" s="5">
        <v>227.444263898931</v>
      </c>
      <c r="F2470" s="5">
        <v>227.444263898931</v>
      </c>
      <c r="G2470" s="5">
        <v>-0.999484408703936</v>
      </c>
      <c r="H2470" s="5">
        <v>-0.999484408703936</v>
      </c>
      <c r="I2470" s="5">
        <v>-0.999484408703936</v>
      </c>
      <c r="J2470" s="5">
        <v>0.0905589421195818</v>
      </c>
      <c r="K2470" s="5">
        <v>0.0905589421195818</v>
      </c>
      <c r="L2470" s="5">
        <v>0.0905589421195818</v>
      </c>
      <c r="M2470" s="5">
        <v>-1.09004335082351</v>
      </c>
      <c r="N2470" s="5">
        <v>-1.09004335082351</v>
      </c>
      <c r="O2470" s="5">
        <v>-1.09004335082351</v>
      </c>
      <c r="P2470" s="5">
        <v>0.0</v>
      </c>
      <c r="Q2470" s="5">
        <v>0.0</v>
      </c>
      <c r="R2470" s="5">
        <v>0.0</v>
      </c>
      <c r="S2470" s="5">
        <v>226.444779490227</v>
      </c>
    </row>
    <row r="2471">
      <c r="A2471" s="6">
        <v>43942.0</v>
      </c>
      <c r="B2471" s="5">
        <v>228.615110098444</v>
      </c>
      <c r="C2471" s="5">
        <v>161.084543259254</v>
      </c>
      <c r="D2471" s="5">
        <v>289.447925313268</v>
      </c>
      <c r="E2471" s="5">
        <v>228.615110098444</v>
      </c>
      <c r="F2471" s="5">
        <v>228.615110098444</v>
      </c>
      <c r="G2471" s="5">
        <v>-1.25135897847892</v>
      </c>
      <c r="H2471" s="5">
        <v>-1.25135897847892</v>
      </c>
      <c r="I2471" s="5">
        <v>-1.25135897847892</v>
      </c>
      <c r="J2471" s="5">
        <v>-0.144118857245783</v>
      </c>
      <c r="K2471" s="5">
        <v>-0.144118857245783</v>
      </c>
      <c r="L2471" s="5">
        <v>-0.144118857245783</v>
      </c>
      <c r="M2471" s="5">
        <v>-1.10724012123314</v>
      </c>
      <c r="N2471" s="5">
        <v>-1.10724012123314</v>
      </c>
      <c r="O2471" s="5">
        <v>-1.10724012123314</v>
      </c>
      <c r="P2471" s="5">
        <v>0.0</v>
      </c>
      <c r="Q2471" s="5">
        <v>0.0</v>
      </c>
      <c r="R2471" s="5">
        <v>0.0</v>
      </c>
      <c r="S2471" s="5">
        <v>227.363751119965</v>
      </c>
    </row>
    <row r="2472">
      <c r="A2472" s="6">
        <v>43943.0</v>
      </c>
      <c r="B2472" s="5">
        <v>229.785956297957</v>
      </c>
      <c r="C2472" s="5">
        <v>168.726582433181</v>
      </c>
      <c r="D2472" s="5">
        <v>288.209903413012</v>
      </c>
      <c r="E2472" s="5">
        <v>229.785956297957</v>
      </c>
      <c r="F2472" s="5">
        <v>229.785956297957</v>
      </c>
      <c r="G2472" s="5">
        <v>-1.18710676735629</v>
      </c>
      <c r="H2472" s="5">
        <v>-1.18710676735629</v>
      </c>
      <c r="I2472" s="5">
        <v>-1.18710676735629</v>
      </c>
      <c r="J2472" s="5">
        <v>0.00703780528323806</v>
      </c>
      <c r="K2472" s="5">
        <v>0.00703780528323806</v>
      </c>
      <c r="L2472" s="5">
        <v>0.00703780528323806</v>
      </c>
      <c r="M2472" s="5">
        <v>-1.19414457263953</v>
      </c>
      <c r="N2472" s="5">
        <v>-1.19414457263953</v>
      </c>
      <c r="O2472" s="5">
        <v>-1.19414457263953</v>
      </c>
      <c r="P2472" s="5">
        <v>0.0</v>
      </c>
      <c r="Q2472" s="5">
        <v>0.0</v>
      </c>
      <c r="R2472" s="5">
        <v>0.0</v>
      </c>
      <c r="S2472" s="5">
        <v>228.598849530601</v>
      </c>
    </row>
    <row r="2473">
      <c r="A2473" s="6">
        <v>43944.0</v>
      </c>
      <c r="B2473" s="5">
        <v>230.95680249747</v>
      </c>
      <c r="C2473" s="5">
        <v>168.611218310148</v>
      </c>
      <c r="D2473" s="5">
        <v>291.398062707694</v>
      </c>
      <c r="E2473" s="5">
        <v>230.95680249747</v>
      </c>
      <c r="F2473" s="5">
        <v>230.95680249747</v>
      </c>
      <c r="G2473" s="5">
        <v>-2.13321192364847</v>
      </c>
      <c r="H2473" s="5">
        <v>-2.13321192364847</v>
      </c>
      <c r="I2473" s="5">
        <v>-2.13321192364847</v>
      </c>
      <c r="J2473" s="5">
        <v>-0.776422525900783</v>
      </c>
      <c r="K2473" s="5">
        <v>-0.776422525900783</v>
      </c>
      <c r="L2473" s="5">
        <v>-0.776422525900783</v>
      </c>
      <c r="M2473" s="5">
        <v>-1.35678939774769</v>
      </c>
      <c r="N2473" s="5">
        <v>-1.35678939774769</v>
      </c>
      <c r="O2473" s="5">
        <v>-1.35678939774769</v>
      </c>
      <c r="P2473" s="5">
        <v>0.0</v>
      </c>
      <c r="Q2473" s="5">
        <v>0.0</v>
      </c>
      <c r="R2473" s="5">
        <v>0.0</v>
      </c>
      <c r="S2473" s="5">
        <v>228.823590573822</v>
      </c>
    </row>
    <row r="2474">
      <c r="A2474" s="6">
        <v>43945.0</v>
      </c>
      <c r="B2474" s="5">
        <v>232.127648696984</v>
      </c>
      <c r="C2474" s="5">
        <v>167.806165986211</v>
      </c>
      <c r="D2474" s="5">
        <v>292.747836685101</v>
      </c>
      <c r="E2474" s="5">
        <v>232.127648696984</v>
      </c>
      <c r="F2474" s="5">
        <v>232.127648696984</v>
      </c>
      <c r="G2474" s="5">
        <v>-3.19179995516061</v>
      </c>
      <c r="H2474" s="5">
        <v>-3.19179995516061</v>
      </c>
      <c r="I2474" s="5">
        <v>-3.19179995516061</v>
      </c>
      <c r="J2474" s="5">
        <v>-1.59155056649001</v>
      </c>
      <c r="K2474" s="5">
        <v>-1.59155056649001</v>
      </c>
      <c r="L2474" s="5">
        <v>-1.59155056649001</v>
      </c>
      <c r="M2474" s="5">
        <v>-1.6002493886706</v>
      </c>
      <c r="N2474" s="5">
        <v>-1.6002493886706</v>
      </c>
      <c r="O2474" s="5">
        <v>-1.6002493886706</v>
      </c>
      <c r="P2474" s="5">
        <v>0.0</v>
      </c>
      <c r="Q2474" s="5">
        <v>0.0</v>
      </c>
      <c r="R2474" s="5">
        <v>0.0</v>
      </c>
      <c r="S2474" s="5">
        <v>228.935848741823</v>
      </c>
    </row>
    <row r="2475">
      <c r="A2475" s="6">
        <v>43948.0</v>
      </c>
      <c r="B2475" s="5">
        <v>235.640187295523</v>
      </c>
      <c r="C2475" s="5">
        <v>173.145974077473</v>
      </c>
      <c r="D2475" s="5">
        <v>295.99079595242</v>
      </c>
      <c r="E2475" s="5">
        <v>235.640187295523</v>
      </c>
      <c r="F2475" s="5">
        <v>235.640187295523</v>
      </c>
      <c r="G2475" s="5">
        <v>-2.75658518041565</v>
      </c>
      <c r="H2475" s="5">
        <v>-2.75658518041565</v>
      </c>
      <c r="I2475" s="5">
        <v>-2.75658518041565</v>
      </c>
      <c r="J2475" s="5">
        <v>0.0905589421230724</v>
      </c>
      <c r="K2475" s="5">
        <v>0.0905589421230724</v>
      </c>
      <c r="L2475" s="5">
        <v>0.0905589421230724</v>
      </c>
      <c r="M2475" s="5">
        <v>-2.84714412253872</v>
      </c>
      <c r="N2475" s="5">
        <v>-2.84714412253872</v>
      </c>
      <c r="O2475" s="5">
        <v>-2.84714412253872</v>
      </c>
      <c r="P2475" s="5">
        <v>0.0</v>
      </c>
      <c r="Q2475" s="5">
        <v>0.0</v>
      </c>
      <c r="R2475" s="5">
        <v>0.0</v>
      </c>
      <c r="S2475" s="5">
        <v>232.883602115108</v>
      </c>
    </row>
    <row r="2476">
      <c r="A2476" s="6">
        <v>43949.0</v>
      </c>
      <c r="B2476" s="5">
        <v>236.811033495036</v>
      </c>
      <c r="C2476" s="5">
        <v>170.785060574167</v>
      </c>
      <c r="D2476" s="5">
        <v>297.73461533258</v>
      </c>
      <c r="E2476" s="5">
        <v>236.811033495036</v>
      </c>
      <c r="F2476" s="5">
        <v>236.811033495036</v>
      </c>
      <c r="G2476" s="5">
        <v>-3.58195769069432</v>
      </c>
      <c r="H2476" s="5">
        <v>-3.58195769069432</v>
      </c>
      <c r="I2476" s="5">
        <v>-3.58195769069432</v>
      </c>
      <c r="J2476" s="5">
        <v>-0.144118857244695</v>
      </c>
      <c r="K2476" s="5">
        <v>-0.144118857244695</v>
      </c>
      <c r="L2476" s="5">
        <v>-0.144118857244695</v>
      </c>
      <c r="M2476" s="5">
        <v>-3.43783883344962</v>
      </c>
      <c r="N2476" s="5">
        <v>-3.43783883344962</v>
      </c>
      <c r="O2476" s="5">
        <v>-3.43783883344962</v>
      </c>
      <c r="P2476" s="5">
        <v>0.0</v>
      </c>
      <c r="Q2476" s="5">
        <v>0.0</v>
      </c>
      <c r="R2476" s="5">
        <v>0.0</v>
      </c>
      <c r="S2476" s="5">
        <v>233.229075804342</v>
      </c>
    </row>
    <row r="2477">
      <c r="A2477" s="6">
        <v>43950.0</v>
      </c>
      <c r="B2477" s="5">
        <v>237.98187969455</v>
      </c>
      <c r="C2477" s="5">
        <v>167.834588564092</v>
      </c>
      <c r="D2477" s="5">
        <v>297.687364405829</v>
      </c>
      <c r="E2477" s="5">
        <v>237.98187969455</v>
      </c>
      <c r="F2477" s="5">
        <v>237.98187969455</v>
      </c>
      <c r="G2477" s="5">
        <v>-4.10620403756801</v>
      </c>
      <c r="H2477" s="5">
        <v>-4.10620403756801</v>
      </c>
      <c r="I2477" s="5">
        <v>-4.10620403756801</v>
      </c>
      <c r="J2477" s="5">
        <v>0.00703780528022191</v>
      </c>
      <c r="K2477" s="5">
        <v>0.00703780528022191</v>
      </c>
      <c r="L2477" s="5">
        <v>0.00703780528022191</v>
      </c>
      <c r="M2477" s="5">
        <v>-4.11324184284823</v>
      </c>
      <c r="N2477" s="5">
        <v>-4.11324184284823</v>
      </c>
      <c r="O2477" s="5">
        <v>-4.11324184284823</v>
      </c>
      <c r="P2477" s="5">
        <v>0.0</v>
      </c>
      <c r="Q2477" s="5">
        <v>0.0</v>
      </c>
      <c r="R2477" s="5">
        <v>0.0</v>
      </c>
      <c r="S2477" s="5">
        <v>233.875675656982</v>
      </c>
    </row>
    <row r="2478">
      <c r="A2478" s="6">
        <v>43951.0</v>
      </c>
      <c r="B2478" s="5">
        <v>239.152725894063</v>
      </c>
      <c r="C2478" s="5">
        <v>170.729359351148</v>
      </c>
      <c r="D2478" s="5">
        <v>296.904622621337</v>
      </c>
      <c r="E2478" s="5">
        <v>239.152725894063</v>
      </c>
      <c r="F2478" s="5">
        <v>239.152725894063</v>
      </c>
      <c r="G2478" s="5">
        <v>-5.64538700404473</v>
      </c>
      <c r="H2478" s="5">
        <v>-5.64538700404473</v>
      </c>
      <c r="I2478" s="5">
        <v>-5.64538700404473</v>
      </c>
      <c r="J2478" s="5">
        <v>-0.77642252590288</v>
      </c>
      <c r="K2478" s="5">
        <v>-0.77642252590288</v>
      </c>
      <c r="L2478" s="5">
        <v>-0.77642252590288</v>
      </c>
      <c r="M2478" s="5">
        <v>-4.86896447814185</v>
      </c>
      <c r="N2478" s="5">
        <v>-4.86896447814185</v>
      </c>
      <c r="O2478" s="5">
        <v>-4.86896447814185</v>
      </c>
      <c r="P2478" s="5">
        <v>0.0</v>
      </c>
      <c r="Q2478" s="5">
        <v>0.0</v>
      </c>
      <c r="R2478" s="5">
        <v>0.0</v>
      </c>
      <c r="S2478" s="5">
        <v>233.507338890018</v>
      </c>
    </row>
    <row r="2479">
      <c r="A2479" s="6">
        <v>43952.0</v>
      </c>
      <c r="B2479" s="5">
        <v>240.323572093576</v>
      </c>
      <c r="C2479" s="5">
        <v>169.81023930632</v>
      </c>
      <c r="D2479" s="5">
        <v>291.021614812207</v>
      </c>
      <c r="E2479" s="5">
        <v>240.323572093576</v>
      </c>
      <c r="F2479" s="5">
        <v>240.323572093576</v>
      </c>
      <c r="G2479" s="5">
        <v>-7.29037926579475</v>
      </c>
      <c r="H2479" s="5">
        <v>-7.29037926579475</v>
      </c>
      <c r="I2479" s="5">
        <v>-7.29037926579475</v>
      </c>
      <c r="J2479" s="5">
        <v>-1.59155056649488</v>
      </c>
      <c r="K2479" s="5">
        <v>-1.59155056649488</v>
      </c>
      <c r="L2479" s="5">
        <v>-1.59155056649488</v>
      </c>
      <c r="M2479" s="5">
        <v>-5.69882869929986</v>
      </c>
      <c r="N2479" s="5">
        <v>-5.69882869929986</v>
      </c>
      <c r="O2479" s="5">
        <v>-5.69882869929986</v>
      </c>
      <c r="P2479" s="5">
        <v>0.0</v>
      </c>
      <c r="Q2479" s="5">
        <v>0.0</v>
      </c>
      <c r="R2479" s="5">
        <v>0.0</v>
      </c>
      <c r="S2479" s="5">
        <v>233.033192827781</v>
      </c>
    </row>
    <row r="2480">
      <c r="A2480" s="6">
        <v>43955.0</v>
      </c>
      <c r="B2480" s="5">
        <v>243.836110692116</v>
      </c>
      <c r="C2480" s="5">
        <v>166.481995281248</v>
      </c>
      <c r="D2480" s="5">
        <v>296.604272574017</v>
      </c>
      <c r="E2480" s="5">
        <v>243.836110692116</v>
      </c>
      <c r="F2480" s="5">
        <v>243.836110692116</v>
      </c>
      <c r="G2480" s="5">
        <v>-8.45603073060053</v>
      </c>
      <c r="H2480" s="5">
        <v>-8.45603073060053</v>
      </c>
      <c r="I2480" s="5">
        <v>-8.45603073060053</v>
      </c>
      <c r="J2480" s="5">
        <v>0.0905589421216351</v>
      </c>
      <c r="K2480" s="5">
        <v>0.0905589421216351</v>
      </c>
      <c r="L2480" s="5">
        <v>0.0905589421216351</v>
      </c>
      <c r="M2480" s="5">
        <v>-8.54658967272217</v>
      </c>
      <c r="N2480" s="5">
        <v>-8.54658967272217</v>
      </c>
      <c r="O2480" s="5">
        <v>-8.54658967272217</v>
      </c>
      <c r="P2480" s="5">
        <v>0.0</v>
      </c>
      <c r="Q2480" s="5">
        <v>0.0</v>
      </c>
      <c r="R2480" s="5">
        <v>0.0</v>
      </c>
      <c r="S2480" s="5">
        <v>235.380079961515</v>
      </c>
    </row>
    <row r="2481">
      <c r="A2481" s="6">
        <v>43956.0</v>
      </c>
      <c r="B2481" s="5">
        <v>245.006956891629</v>
      </c>
      <c r="C2481" s="5">
        <v>173.979716394845</v>
      </c>
      <c r="D2481" s="5">
        <v>300.222756777063</v>
      </c>
      <c r="E2481" s="5">
        <v>245.006956891629</v>
      </c>
      <c r="F2481" s="5">
        <v>245.006956891629</v>
      </c>
      <c r="G2481" s="5">
        <v>-9.72326664587689</v>
      </c>
      <c r="H2481" s="5">
        <v>-9.72326664587689</v>
      </c>
      <c r="I2481" s="5">
        <v>-9.72326664587689</v>
      </c>
      <c r="J2481" s="5">
        <v>-0.144118857243607</v>
      </c>
      <c r="K2481" s="5">
        <v>-0.144118857243607</v>
      </c>
      <c r="L2481" s="5">
        <v>-0.144118857243607</v>
      </c>
      <c r="M2481" s="5">
        <v>-9.57914778863328</v>
      </c>
      <c r="N2481" s="5">
        <v>-9.57914778863328</v>
      </c>
      <c r="O2481" s="5">
        <v>-9.57914778863328</v>
      </c>
      <c r="P2481" s="5">
        <v>0.0</v>
      </c>
      <c r="Q2481" s="5">
        <v>0.0</v>
      </c>
      <c r="R2481" s="5">
        <v>0.0</v>
      </c>
      <c r="S2481" s="5">
        <v>235.283690245752</v>
      </c>
    </row>
    <row r="2482">
      <c r="A2482" s="6">
        <v>43957.0</v>
      </c>
      <c r="B2482" s="5">
        <v>246.177803091143</v>
      </c>
      <c r="C2482" s="5">
        <v>170.27545784827</v>
      </c>
      <c r="D2482" s="5">
        <v>296.177586848683</v>
      </c>
      <c r="E2482" s="5">
        <v>246.177803091143</v>
      </c>
      <c r="F2482" s="5">
        <v>246.177803091143</v>
      </c>
      <c r="G2482" s="5">
        <v>-10.6254433132894</v>
      </c>
      <c r="H2482" s="5">
        <v>-10.6254433132894</v>
      </c>
      <c r="I2482" s="5">
        <v>-10.6254433132894</v>
      </c>
      <c r="J2482" s="5">
        <v>0.00703780528153295</v>
      </c>
      <c r="K2482" s="5">
        <v>0.00703780528153295</v>
      </c>
      <c r="L2482" s="5">
        <v>0.00703780528153295</v>
      </c>
      <c r="M2482" s="5">
        <v>-10.6324811185709</v>
      </c>
      <c r="N2482" s="5">
        <v>-10.6324811185709</v>
      </c>
      <c r="O2482" s="5">
        <v>-10.6324811185709</v>
      </c>
      <c r="P2482" s="5">
        <v>0.0</v>
      </c>
      <c r="Q2482" s="5">
        <v>0.0</v>
      </c>
      <c r="R2482" s="5">
        <v>0.0</v>
      </c>
      <c r="S2482" s="5">
        <v>235.552359777853</v>
      </c>
    </row>
    <row r="2483">
      <c r="A2483" s="6">
        <v>43958.0</v>
      </c>
      <c r="B2483" s="5">
        <v>247.348649290655</v>
      </c>
      <c r="C2483" s="5">
        <v>168.388609641193</v>
      </c>
      <c r="D2483" s="5">
        <v>298.575881266502</v>
      </c>
      <c r="E2483" s="5">
        <v>247.348649290655</v>
      </c>
      <c r="F2483" s="5">
        <v>247.348649290655</v>
      </c>
      <c r="G2483" s="5">
        <v>-12.4693448924838</v>
      </c>
      <c r="H2483" s="5">
        <v>-12.4693448924838</v>
      </c>
      <c r="I2483" s="5">
        <v>-12.4693448924838</v>
      </c>
      <c r="J2483" s="5">
        <v>-0.776422525903602</v>
      </c>
      <c r="K2483" s="5">
        <v>-0.776422525903602</v>
      </c>
      <c r="L2483" s="5">
        <v>-0.776422525903602</v>
      </c>
      <c r="M2483" s="5">
        <v>-11.6929223665802</v>
      </c>
      <c r="N2483" s="5">
        <v>-11.6929223665802</v>
      </c>
      <c r="O2483" s="5">
        <v>-11.6929223665802</v>
      </c>
      <c r="P2483" s="5">
        <v>0.0</v>
      </c>
      <c r="Q2483" s="5">
        <v>0.0</v>
      </c>
      <c r="R2483" s="5">
        <v>0.0</v>
      </c>
      <c r="S2483" s="5">
        <v>234.879304398172</v>
      </c>
    </row>
    <row r="2484">
      <c r="A2484" s="6">
        <v>43959.0</v>
      </c>
      <c r="B2484" s="5">
        <v>248.519495490169</v>
      </c>
      <c r="C2484" s="5">
        <v>170.061505886062</v>
      </c>
      <c r="D2484" s="5">
        <v>293.794866733506</v>
      </c>
      <c r="E2484" s="5">
        <v>248.519495490169</v>
      </c>
      <c r="F2484" s="5">
        <v>248.519495490169</v>
      </c>
      <c r="G2484" s="5">
        <v>-14.3380183309944</v>
      </c>
      <c r="H2484" s="5">
        <v>-14.3380183309944</v>
      </c>
      <c r="I2484" s="5">
        <v>-14.3380183309944</v>
      </c>
      <c r="J2484" s="5">
        <v>-1.59155056649365</v>
      </c>
      <c r="K2484" s="5">
        <v>-1.59155056649365</v>
      </c>
      <c r="L2484" s="5">
        <v>-1.59155056649365</v>
      </c>
      <c r="M2484" s="5">
        <v>-12.7464677645008</v>
      </c>
      <c r="N2484" s="5">
        <v>-12.7464677645008</v>
      </c>
      <c r="O2484" s="5">
        <v>-12.7464677645008</v>
      </c>
      <c r="P2484" s="5">
        <v>0.0</v>
      </c>
      <c r="Q2484" s="5">
        <v>0.0</v>
      </c>
      <c r="R2484" s="5">
        <v>0.0</v>
      </c>
      <c r="S2484" s="5">
        <v>234.181477159174</v>
      </c>
    </row>
    <row r="2485">
      <c r="A2485" s="6">
        <v>43962.0</v>
      </c>
      <c r="B2485" s="5">
        <v>252.032034088709</v>
      </c>
      <c r="C2485" s="5">
        <v>170.928828518888</v>
      </c>
      <c r="D2485" s="5">
        <v>297.766150877272</v>
      </c>
      <c r="E2485" s="5">
        <v>252.032034088709</v>
      </c>
      <c r="F2485" s="5">
        <v>252.032034088709</v>
      </c>
      <c r="G2485" s="5">
        <v>-15.6369379782614</v>
      </c>
      <c r="H2485" s="5">
        <v>-15.6369379782614</v>
      </c>
      <c r="I2485" s="5">
        <v>-15.6369379782614</v>
      </c>
      <c r="J2485" s="5">
        <v>0.0905589421225813</v>
      </c>
      <c r="K2485" s="5">
        <v>0.0905589421225813</v>
      </c>
      <c r="L2485" s="5">
        <v>0.0905589421225813</v>
      </c>
      <c r="M2485" s="5">
        <v>-15.727496920384</v>
      </c>
      <c r="N2485" s="5">
        <v>-15.727496920384</v>
      </c>
      <c r="O2485" s="5">
        <v>-15.727496920384</v>
      </c>
      <c r="P2485" s="5">
        <v>0.0</v>
      </c>
      <c r="Q2485" s="5">
        <v>0.0</v>
      </c>
      <c r="R2485" s="5">
        <v>0.0</v>
      </c>
      <c r="S2485" s="5">
        <v>236.395096110447</v>
      </c>
    </row>
    <row r="2486">
      <c r="A2486" s="6">
        <v>43963.0</v>
      </c>
      <c r="B2486" s="5">
        <v>253.202880288222</v>
      </c>
      <c r="C2486" s="5">
        <v>169.361912410187</v>
      </c>
      <c r="D2486" s="5">
        <v>299.138468659936</v>
      </c>
      <c r="E2486" s="5">
        <v>253.202880288222</v>
      </c>
      <c r="F2486" s="5">
        <v>253.202880288222</v>
      </c>
      <c r="G2486" s="5">
        <v>-16.7622265749379</v>
      </c>
      <c r="H2486" s="5">
        <v>-16.7622265749379</v>
      </c>
      <c r="I2486" s="5">
        <v>-16.7622265749379</v>
      </c>
      <c r="J2486" s="5">
        <v>-0.144118857245042</v>
      </c>
      <c r="K2486" s="5">
        <v>-0.144118857245042</v>
      </c>
      <c r="L2486" s="5">
        <v>-0.144118857245042</v>
      </c>
      <c r="M2486" s="5">
        <v>-16.6181077176928</v>
      </c>
      <c r="N2486" s="5">
        <v>-16.6181077176928</v>
      </c>
      <c r="O2486" s="5">
        <v>-16.6181077176928</v>
      </c>
      <c r="P2486" s="5">
        <v>0.0</v>
      </c>
      <c r="Q2486" s="5">
        <v>0.0</v>
      </c>
      <c r="R2486" s="5">
        <v>0.0</v>
      </c>
      <c r="S2486" s="5">
        <v>236.440653713284</v>
      </c>
    </row>
    <row r="2487">
      <c r="A2487" s="6">
        <v>43964.0</v>
      </c>
      <c r="B2487" s="5">
        <v>254.373726487735</v>
      </c>
      <c r="C2487" s="5">
        <v>171.710106930659</v>
      </c>
      <c r="D2487" s="5">
        <v>299.142351086921</v>
      </c>
      <c r="E2487" s="5">
        <v>254.373726487735</v>
      </c>
      <c r="F2487" s="5">
        <v>254.373726487735</v>
      </c>
      <c r="G2487" s="5">
        <v>-17.431070431199</v>
      </c>
      <c r="H2487" s="5">
        <v>-17.431070431199</v>
      </c>
      <c r="I2487" s="5">
        <v>-17.431070431199</v>
      </c>
      <c r="J2487" s="5">
        <v>0.00703780528266316</v>
      </c>
      <c r="K2487" s="5">
        <v>0.00703780528266316</v>
      </c>
      <c r="L2487" s="5">
        <v>0.00703780528266316</v>
      </c>
      <c r="M2487" s="5">
        <v>-17.4381082364816</v>
      </c>
      <c r="N2487" s="5">
        <v>-17.4381082364816</v>
      </c>
      <c r="O2487" s="5">
        <v>-17.4381082364816</v>
      </c>
      <c r="P2487" s="5">
        <v>0.0</v>
      </c>
      <c r="Q2487" s="5">
        <v>0.0</v>
      </c>
      <c r="R2487" s="5">
        <v>0.0</v>
      </c>
      <c r="S2487" s="5">
        <v>236.942656056536</v>
      </c>
    </row>
    <row r="2488">
      <c r="A2488" s="6">
        <v>43965.0</v>
      </c>
      <c r="B2488" s="5">
        <v>255.544572687248</v>
      </c>
      <c r="C2488" s="5">
        <v>175.31121684013</v>
      </c>
      <c r="D2488" s="5">
        <v>303.506688163267</v>
      </c>
      <c r="E2488" s="5">
        <v>255.544572687248</v>
      </c>
      <c r="F2488" s="5">
        <v>255.544572687248</v>
      </c>
      <c r="G2488" s="5">
        <v>-18.9545676156772</v>
      </c>
      <c r="H2488" s="5">
        <v>-18.9545676156772</v>
      </c>
      <c r="I2488" s="5">
        <v>-18.9545676156772</v>
      </c>
      <c r="J2488" s="5">
        <v>-0.776422525905699</v>
      </c>
      <c r="K2488" s="5">
        <v>-0.776422525905699</v>
      </c>
      <c r="L2488" s="5">
        <v>-0.776422525905699</v>
      </c>
      <c r="M2488" s="5">
        <v>-18.1781450897715</v>
      </c>
      <c r="N2488" s="5">
        <v>-18.1781450897715</v>
      </c>
      <c r="O2488" s="5">
        <v>-18.1781450897715</v>
      </c>
      <c r="P2488" s="5">
        <v>0.0</v>
      </c>
      <c r="Q2488" s="5">
        <v>0.0</v>
      </c>
      <c r="R2488" s="5">
        <v>0.0</v>
      </c>
      <c r="S2488" s="5">
        <v>236.590005071571</v>
      </c>
    </row>
    <row r="2489">
      <c r="A2489" s="6">
        <v>43966.0</v>
      </c>
      <c r="B2489" s="5">
        <v>256.715418886762</v>
      </c>
      <c r="C2489" s="5">
        <v>173.730514445263</v>
      </c>
      <c r="D2489" s="5">
        <v>300.478982440413</v>
      </c>
      <c r="E2489" s="5">
        <v>256.715418886762</v>
      </c>
      <c r="F2489" s="5">
        <v>256.715418886762</v>
      </c>
      <c r="G2489" s="5">
        <v>-20.4221333345609</v>
      </c>
      <c r="H2489" s="5">
        <v>-20.4221333345609</v>
      </c>
      <c r="I2489" s="5">
        <v>-20.4221333345609</v>
      </c>
      <c r="J2489" s="5">
        <v>-1.59155056649272</v>
      </c>
      <c r="K2489" s="5">
        <v>-1.59155056649272</v>
      </c>
      <c r="L2489" s="5">
        <v>-1.59155056649272</v>
      </c>
      <c r="M2489" s="5">
        <v>-18.8305827680682</v>
      </c>
      <c r="N2489" s="5">
        <v>-18.8305827680682</v>
      </c>
      <c r="O2489" s="5">
        <v>-18.8305827680682</v>
      </c>
      <c r="P2489" s="5">
        <v>0.0</v>
      </c>
      <c r="Q2489" s="5">
        <v>0.0</v>
      </c>
      <c r="R2489" s="5">
        <v>0.0</v>
      </c>
      <c r="S2489" s="5">
        <v>236.293285552201</v>
      </c>
    </row>
    <row r="2490">
      <c r="A2490" s="6">
        <v>43969.0</v>
      </c>
      <c r="B2490" s="5">
        <v>260.227957485301</v>
      </c>
      <c r="C2490" s="5">
        <v>177.400803994404</v>
      </c>
      <c r="D2490" s="5">
        <v>303.169189252315</v>
      </c>
      <c r="E2490" s="5">
        <v>260.227957485301</v>
      </c>
      <c r="F2490" s="5">
        <v>260.227957485301</v>
      </c>
      <c r="G2490" s="5">
        <v>-20.1244168393333</v>
      </c>
      <c r="H2490" s="5">
        <v>-20.1244168393333</v>
      </c>
      <c r="I2490" s="5">
        <v>-20.1244168393333</v>
      </c>
      <c r="J2490" s="5">
        <v>0.0905589421236878</v>
      </c>
      <c r="K2490" s="5">
        <v>0.0905589421236878</v>
      </c>
      <c r="L2490" s="5">
        <v>0.0905589421236878</v>
      </c>
      <c r="M2490" s="5">
        <v>-20.214975781457</v>
      </c>
      <c r="N2490" s="5">
        <v>-20.214975781457</v>
      </c>
      <c r="O2490" s="5">
        <v>-20.214975781457</v>
      </c>
      <c r="P2490" s="5">
        <v>0.0</v>
      </c>
      <c r="Q2490" s="5">
        <v>0.0</v>
      </c>
      <c r="R2490" s="5">
        <v>0.0</v>
      </c>
      <c r="S2490" s="5">
        <v>240.103540645968</v>
      </c>
    </row>
    <row r="2491">
      <c r="A2491" s="6">
        <v>43970.0</v>
      </c>
      <c r="B2491" s="5">
        <v>261.398803684814</v>
      </c>
      <c r="C2491" s="5">
        <v>178.764142967552</v>
      </c>
      <c r="D2491" s="5">
        <v>301.681555769275</v>
      </c>
      <c r="E2491" s="5">
        <v>261.398803684814</v>
      </c>
      <c r="F2491" s="5">
        <v>261.398803684814</v>
      </c>
      <c r="G2491" s="5">
        <v>-20.6240861502019</v>
      </c>
      <c r="H2491" s="5">
        <v>-20.6240861502019</v>
      </c>
      <c r="I2491" s="5">
        <v>-20.6240861502019</v>
      </c>
      <c r="J2491" s="5">
        <v>-0.144118857246478</v>
      </c>
      <c r="K2491" s="5">
        <v>-0.144118857246478</v>
      </c>
      <c r="L2491" s="5">
        <v>-0.144118857246478</v>
      </c>
      <c r="M2491" s="5">
        <v>-20.4799672929554</v>
      </c>
      <c r="N2491" s="5">
        <v>-20.4799672929554</v>
      </c>
      <c r="O2491" s="5">
        <v>-20.4799672929554</v>
      </c>
      <c r="P2491" s="5">
        <v>0.0</v>
      </c>
      <c r="Q2491" s="5">
        <v>0.0</v>
      </c>
      <c r="R2491" s="5">
        <v>0.0</v>
      </c>
      <c r="S2491" s="5">
        <v>240.774717534612</v>
      </c>
    </row>
    <row r="2492">
      <c r="A2492" s="6">
        <v>43971.0</v>
      </c>
      <c r="B2492" s="5">
        <v>262.569649884328</v>
      </c>
      <c r="C2492" s="5">
        <v>181.945501403942</v>
      </c>
      <c r="D2492" s="5">
        <v>301.803010420043</v>
      </c>
      <c r="E2492" s="5">
        <v>262.569649884328</v>
      </c>
      <c r="F2492" s="5">
        <v>262.569649884328</v>
      </c>
      <c r="G2492" s="5">
        <v>-20.6421132611351</v>
      </c>
      <c r="H2492" s="5">
        <v>-20.6421132611351</v>
      </c>
      <c r="I2492" s="5">
        <v>-20.6421132611351</v>
      </c>
      <c r="J2492" s="5">
        <v>0.00703780528181058</v>
      </c>
      <c r="K2492" s="5">
        <v>0.00703780528181058</v>
      </c>
      <c r="L2492" s="5">
        <v>0.00703780528181058</v>
      </c>
      <c r="M2492" s="5">
        <v>-20.6491510664169</v>
      </c>
      <c r="N2492" s="5">
        <v>-20.6491510664169</v>
      </c>
      <c r="O2492" s="5">
        <v>-20.6491510664169</v>
      </c>
      <c r="P2492" s="5">
        <v>0.0</v>
      </c>
      <c r="Q2492" s="5">
        <v>0.0</v>
      </c>
      <c r="R2492" s="5">
        <v>0.0</v>
      </c>
      <c r="S2492" s="5">
        <v>241.927536623193</v>
      </c>
    </row>
    <row r="2493">
      <c r="A2493" s="6">
        <v>43972.0</v>
      </c>
      <c r="B2493" s="5">
        <v>263.740496083841</v>
      </c>
      <c r="C2493" s="5">
        <v>178.256520971157</v>
      </c>
      <c r="D2493" s="5">
        <v>304.710082213013</v>
      </c>
      <c r="E2493" s="5">
        <v>263.740496083841</v>
      </c>
      <c r="F2493" s="5">
        <v>263.740496083841</v>
      </c>
      <c r="G2493" s="5">
        <v>-21.5033816616204</v>
      </c>
      <c r="H2493" s="5">
        <v>-21.5033816616204</v>
      </c>
      <c r="I2493" s="5">
        <v>-21.5033816616204</v>
      </c>
      <c r="J2493" s="5">
        <v>-0.776422525905046</v>
      </c>
      <c r="K2493" s="5">
        <v>-0.776422525905046</v>
      </c>
      <c r="L2493" s="5">
        <v>-0.776422525905046</v>
      </c>
      <c r="M2493" s="5">
        <v>-20.7269591357153</v>
      </c>
      <c r="N2493" s="5">
        <v>-20.7269591357153</v>
      </c>
      <c r="O2493" s="5">
        <v>-20.7269591357153</v>
      </c>
      <c r="P2493" s="5">
        <v>0.0</v>
      </c>
      <c r="Q2493" s="5">
        <v>0.0</v>
      </c>
      <c r="R2493" s="5">
        <v>0.0</v>
      </c>
      <c r="S2493" s="5">
        <v>242.237114422221</v>
      </c>
    </row>
    <row r="2494">
      <c r="A2494" s="6">
        <v>43973.0</v>
      </c>
      <c r="B2494" s="5">
        <v>264.911342283354</v>
      </c>
      <c r="C2494" s="5">
        <v>179.201713326539</v>
      </c>
      <c r="D2494" s="5">
        <v>302.244359506246</v>
      </c>
      <c r="E2494" s="5">
        <v>264.911342283354</v>
      </c>
      <c r="F2494" s="5">
        <v>264.911342283354</v>
      </c>
      <c r="G2494" s="5">
        <v>-22.3111687555133</v>
      </c>
      <c r="H2494" s="5">
        <v>-22.3111687555133</v>
      </c>
      <c r="I2494" s="5">
        <v>-22.3111687555133</v>
      </c>
      <c r="J2494" s="5">
        <v>-1.59155056649179</v>
      </c>
      <c r="K2494" s="5">
        <v>-1.59155056649179</v>
      </c>
      <c r="L2494" s="5">
        <v>-1.59155056649179</v>
      </c>
      <c r="M2494" s="5">
        <v>-20.7196181890215</v>
      </c>
      <c r="N2494" s="5">
        <v>-20.7196181890215</v>
      </c>
      <c r="O2494" s="5">
        <v>-20.7196181890215</v>
      </c>
      <c r="P2494" s="5">
        <v>0.0</v>
      </c>
      <c r="Q2494" s="5">
        <v>0.0</v>
      </c>
      <c r="R2494" s="5">
        <v>0.0</v>
      </c>
      <c r="S2494" s="5">
        <v>242.600173527841</v>
      </c>
    </row>
    <row r="2495">
      <c r="A2495" s="6">
        <v>43977.0</v>
      </c>
      <c r="B2495" s="5">
        <v>269.594727081407</v>
      </c>
      <c r="C2495" s="5">
        <v>180.82967733734</v>
      </c>
      <c r="D2495" s="5">
        <v>309.401029655598</v>
      </c>
      <c r="E2495" s="5">
        <v>269.594727081407</v>
      </c>
      <c r="F2495" s="5">
        <v>269.594727081407</v>
      </c>
      <c r="G2495" s="5">
        <v>-20.1579000098818</v>
      </c>
      <c r="H2495" s="5">
        <v>-20.1579000098818</v>
      </c>
      <c r="I2495" s="5">
        <v>-20.1579000098818</v>
      </c>
      <c r="J2495" s="5">
        <v>-0.14411885724539</v>
      </c>
      <c r="K2495" s="5">
        <v>-0.14411885724539</v>
      </c>
      <c r="L2495" s="5">
        <v>-0.14411885724539</v>
      </c>
      <c r="M2495" s="5">
        <v>-20.0137811526364</v>
      </c>
      <c r="N2495" s="5">
        <v>-20.0137811526364</v>
      </c>
      <c r="O2495" s="5">
        <v>-20.0137811526364</v>
      </c>
      <c r="P2495" s="5">
        <v>0.0</v>
      </c>
      <c r="Q2495" s="5">
        <v>0.0</v>
      </c>
      <c r="R2495" s="5">
        <v>0.0</v>
      </c>
      <c r="S2495" s="5">
        <v>249.436827071525</v>
      </c>
    </row>
    <row r="2496">
      <c r="A2496" s="6">
        <v>43978.0</v>
      </c>
      <c r="B2496" s="5">
        <v>270.765573280921</v>
      </c>
      <c r="C2496" s="5">
        <v>190.330993461919</v>
      </c>
      <c r="D2496" s="5">
        <v>318.203576296124</v>
      </c>
      <c r="E2496" s="5">
        <v>270.765573280921</v>
      </c>
      <c r="F2496" s="5">
        <v>270.765573280921</v>
      </c>
      <c r="G2496" s="5">
        <v>-19.7137085778734</v>
      </c>
      <c r="H2496" s="5">
        <v>-19.7137085778734</v>
      </c>
      <c r="I2496" s="5">
        <v>-19.7137085778734</v>
      </c>
      <c r="J2496" s="5">
        <v>0.00703780528095802</v>
      </c>
      <c r="K2496" s="5">
        <v>0.00703780528095802</v>
      </c>
      <c r="L2496" s="5">
        <v>0.00703780528095802</v>
      </c>
      <c r="M2496" s="5">
        <v>-19.7207463831543</v>
      </c>
      <c r="N2496" s="5">
        <v>-19.7207463831543</v>
      </c>
      <c r="O2496" s="5">
        <v>-19.7207463831543</v>
      </c>
      <c r="P2496" s="5">
        <v>0.0</v>
      </c>
      <c r="Q2496" s="5">
        <v>0.0</v>
      </c>
      <c r="R2496" s="5">
        <v>0.0</v>
      </c>
      <c r="S2496" s="5">
        <v>251.051864703047</v>
      </c>
    </row>
    <row r="2497">
      <c r="A2497" s="6">
        <v>43979.0</v>
      </c>
      <c r="B2497" s="5">
        <v>271.936419480434</v>
      </c>
      <c r="C2497" s="5">
        <v>185.215556875261</v>
      </c>
      <c r="D2497" s="5">
        <v>317.071949382863</v>
      </c>
      <c r="E2497" s="5">
        <v>271.936419480434</v>
      </c>
      <c r="F2497" s="5">
        <v>271.936419480434</v>
      </c>
      <c r="G2497" s="5">
        <v>-20.180300774522</v>
      </c>
      <c r="H2497" s="5">
        <v>-20.180300774522</v>
      </c>
      <c r="I2497" s="5">
        <v>-20.180300774522</v>
      </c>
      <c r="J2497" s="5">
        <v>-0.776422525900068</v>
      </c>
      <c r="K2497" s="5">
        <v>-0.776422525900068</v>
      </c>
      <c r="L2497" s="5">
        <v>-0.776422525900068</v>
      </c>
      <c r="M2497" s="5">
        <v>-19.403878248622</v>
      </c>
      <c r="N2497" s="5">
        <v>-19.403878248622</v>
      </c>
      <c r="O2497" s="5">
        <v>-19.403878248622</v>
      </c>
      <c r="P2497" s="5">
        <v>0.0</v>
      </c>
      <c r="Q2497" s="5">
        <v>0.0</v>
      </c>
      <c r="R2497" s="5">
        <v>0.0</v>
      </c>
      <c r="S2497" s="5">
        <v>251.756118705911</v>
      </c>
    </row>
    <row r="2498">
      <c r="A2498" s="6">
        <v>43980.0</v>
      </c>
      <c r="B2498" s="5">
        <v>273.107265679947</v>
      </c>
      <c r="C2498" s="5">
        <v>192.53613739659</v>
      </c>
      <c r="D2498" s="5">
        <v>312.475909593951</v>
      </c>
      <c r="E2498" s="5">
        <v>273.107265679947</v>
      </c>
      <c r="F2498" s="5">
        <v>273.107265679947</v>
      </c>
      <c r="G2498" s="5">
        <v>-20.6661005628639</v>
      </c>
      <c r="H2498" s="5">
        <v>-20.6661005628639</v>
      </c>
      <c r="I2498" s="5">
        <v>-20.6661005628639</v>
      </c>
      <c r="J2498" s="5">
        <v>-1.59155056649636</v>
      </c>
      <c r="K2498" s="5">
        <v>-1.59155056649636</v>
      </c>
      <c r="L2498" s="5">
        <v>-1.59155056649636</v>
      </c>
      <c r="M2498" s="5">
        <v>-19.0745499963675</v>
      </c>
      <c r="N2498" s="5">
        <v>-19.0745499963675</v>
      </c>
      <c r="O2498" s="5">
        <v>-19.0745499963675</v>
      </c>
      <c r="P2498" s="5">
        <v>0.0</v>
      </c>
      <c r="Q2498" s="5">
        <v>0.0</v>
      </c>
      <c r="R2498" s="5">
        <v>0.0</v>
      </c>
      <c r="S2498" s="5">
        <v>252.441165117083</v>
      </c>
    </row>
    <row r="2499">
      <c r="A2499" s="6">
        <v>43983.0</v>
      </c>
      <c r="B2499" s="5">
        <v>276.619804278487</v>
      </c>
      <c r="C2499" s="5">
        <v>193.52801535666</v>
      </c>
      <c r="D2499" s="5">
        <v>321.925412947247</v>
      </c>
      <c r="E2499" s="5">
        <v>276.619804278487</v>
      </c>
      <c r="F2499" s="5">
        <v>276.619804278487</v>
      </c>
      <c r="G2499" s="5">
        <v>-18.0252343341173</v>
      </c>
      <c r="H2499" s="5">
        <v>-18.0252343341173</v>
      </c>
      <c r="I2499" s="5">
        <v>-18.0252343341173</v>
      </c>
      <c r="J2499" s="5">
        <v>0.0905589421208132</v>
      </c>
      <c r="K2499" s="5">
        <v>0.0905589421208132</v>
      </c>
      <c r="L2499" s="5">
        <v>0.0905589421208132</v>
      </c>
      <c r="M2499" s="5">
        <v>-18.1157932762381</v>
      </c>
      <c r="N2499" s="5">
        <v>-18.1157932762381</v>
      </c>
      <c r="O2499" s="5">
        <v>-18.1157932762381</v>
      </c>
      <c r="P2499" s="5">
        <v>0.0</v>
      </c>
      <c r="Q2499" s="5">
        <v>0.0</v>
      </c>
      <c r="R2499" s="5">
        <v>0.0</v>
      </c>
      <c r="S2499" s="5">
        <v>258.594569944369</v>
      </c>
    </row>
    <row r="2500">
      <c r="A2500" s="6">
        <v>43984.0</v>
      </c>
      <c r="B2500" s="5">
        <v>277.790650478</v>
      </c>
      <c r="C2500" s="5">
        <v>196.732428220457</v>
      </c>
      <c r="D2500" s="5">
        <v>321.450273656471</v>
      </c>
      <c r="E2500" s="5">
        <v>277.790650478</v>
      </c>
      <c r="F2500" s="5">
        <v>277.790650478</v>
      </c>
      <c r="G2500" s="5">
        <v>-17.9795280133889</v>
      </c>
      <c r="H2500" s="5">
        <v>-17.9795280133889</v>
      </c>
      <c r="I2500" s="5">
        <v>-17.9795280133889</v>
      </c>
      <c r="J2500" s="5">
        <v>-0.144118857244302</v>
      </c>
      <c r="K2500" s="5">
        <v>-0.144118857244302</v>
      </c>
      <c r="L2500" s="5">
        <v>-0.144118857244302</v>
      </c>
      <c r="M2500" s="5">
        <v>-17.8354091561446</v>
      </c>
      <c r="N2500" s="5">
        <v>-17.8354091561446</v>
      </c>
      <c r="O2500" s="5">
        <v>-17.8354091561446</v>
      </c>
      <c r="P2500" s="5">
        <v>0.0</v>
      </c>
      <c r="Q2500" s="5">
        <v>0.0</v>
      </c>
      <c r="R2500" s="5">
        <v>0.0</v>
      </c>
      <c r="S2500" s="5">
        <v>259.811122464611</v>
      </c>
    </row>
    <row r="2501">
      <c r="A2501" s="6">
        <v>43985.0</v>
      </c>
      <c r="B2501" s="5">
        <v>278.961496677513</v>
      </c>
      <c r="C2501" s="5">
        <v>200.149676885152</v>
      </c>
      <c r="D2501" s="5">
        <v>324.964468209766</v>
      </c>
      <c r="E2501" s="5">
        <v>278.961496677513</v>
      </c>
      <c r="F2501" s="5">
        <v>278.961496677513</v>
      </c>
      <c r="G2501" s="5">
        <v>-17.5789002092945</v>
      </c>
      <c r="H2501" s="5">
        <v>-17.5789002092945</v>
      </c>
      <c r="I2501" s="5">
        <v>-17.5789002092945</v>
      </c>
      <c r="J2501" s="5">
        <v>0.00703780528226899</v>
      </c>
      <c r="K2501" s="5">
        <v>0.00703780528226899</v>
      </c>
      <c r="L2501" s="5">
        <v>0.00703780528226899</v>
      </c>
      <c r="M2501" s="5">
        <v>-17.5859380145768</v>
      </c>
      <c r="N2501" s="5">
        <v>-17.5859380145768</v>
      </c>
      <c r="O2501" s="5">
        <v>-17.5859380145768</v>
      </c>
      <c r="P2501" s="5">
        <v>0.0</v>
      </c>
      <c r="Q2501" s="5">
        <v>0.0</v>
      </c>
      <c r="R2501" s="5">
        <v>0.0</v>
      </c>
      <c r="S2501" s="5">
        <v>261.382596468218</v>
      </c>
    </row>
    <row r="2502">
      <c r="A2502" s="6">
        <v>43986.0</v>
      </c>
      <c r="B2502" s="5">
        <v>280.132342877026</v>
      </c>
      <c r="C2502" s="5">
        <v>200.032412607266</v>
      </c>
      <c r="D2502" s="5">
        <v>326.415774119777</v>
      </c>
      <c r="E2502" s="5">
        <v>280.132342877026</v>
      </c>
      <c r="F2502" s="5">
        <v>280.132342877026</v>
      </c>
      <c r="G2502" s="5">
        <v>-18.1481722082241</v>
      </c>
      <c r="H2502" s="5">
        <v>-18.1481722082241</v>
      </c>
      <c r="I2502" s="5">
        <v>-18.1481722082241</v>
      </c>
      <c r="J2502" s="5">
        <v>-0.77642252590079</v>
      </c>
      <c r="K2502" s="5">
        <v>-0.77642252590079</v>
      </c>
      <c r="L2502" s="5">
        <v>-0.77642252590079</v>
      </c>
      <c r="M2502" s="5">
        <v>-17.3717496823233</v>
      </c>
      <c r="N2502" s="5">
        <v>-17.3717496823233</v>
      </c>
      <c r="O2502" s="5">
        <v>-17.3717496823233</v>
      </c>
      <c r="P2502" s="5">
        <v>0.0</v>
      </c>
      <c r="Q2502" s="5">
        <v>0.0</v>
      </c>
      <c r="R2502" s="5">
        <v>0.0</v>
      </c>
      <c r="S2502" s="5">
        <v>261.984170668802</v>
      </c>
    </row>
    <row r="2503">
      <c r="A2503" s="6">
        <v>43987.0</v>
      </c>
      <c r="B2503" s="5">
        <v>281.30318907654</v>
      </c>
      <c r="C2503" s="5">
        <v>206.641618308214</v>
      </c>
      <c r="D2503" s="5">
        <v>328.256739456714</v>
      </c>
      <c r="E2503" s="5">
        <v>281.30318907654</v>
      </c>
      <c r="F2503" s="5">
        <v>281.30318907654</v>
      </c>
      <c r="G2503" s="5">
        <v>-18.7870013366403</v>
      </c>
      <c r="H2503" s="5">
        <v>-18.7870013366403</v>
      </c>
      <c r="I2503" s="5">
        <v>-18.7870013366403</v>
      </c>
      <c r="J2503" s="5">
        <v>-1.59155056649512</v>
      </c>
      <c r="K2503" s="5">
        <v>-1.59155056649512</v>
      </c>
      <c r="L2503" s="5">
        <v>-1.59155056649512</v>
      </c>
      <c r="M2503" s="5">
        <v>-17.1954507701452</v>
      </c>
      <c r="N2503" s="5">
        <v>-17.1954507701452</v>
      </c>
      <c r="O2503" s="5">
        <v>-17.1954507701452</v>
      </c>
      <c r="P2503" s="5">
        <v>0.0</v>
      </c>
      <c r="Q2503" s="5">
        <v>0.0</v>
      </c>
      <c r="R2503" s="5">
        <v>0.0</v>
      </c>
      <c r="S2503" s="5">
        <v>262.516187739899</v>
      </c>
    </row>
    <row r="2504">
      <c r="A2504" s="6">
        <v>43990.0</v>
      </c>
      <c r="B2504" s="5">
        <v>284.81572767508</v>
      </c>
      <c r="C2504" s="5">
        <v>204.914581145957</v>
      </c>
      <c r="D2504" s="5">
        <v>330.427145796789</v>
      </c>
      <c r="E2504" s="5">
        <v>284.81572767508</v>
      </c>
      <c r="F2504" s="5">
        <v>284.81572767508</v>
      </c>
      <c r="G2504" s="5">
        <v>-16.8025784378611</v>
      </c>
      <c r="H2504" s="5">
        <v>-16.8025784378611</v>
      </c>
      <c r="I2504" s="5">
        <v>-16.8025784378611</v>
      </c>
      <c r="J2504" s="5">
        <v>0.0905589421217595</v>
      </c>
      <c r="K2504" s="5">
        <v>0.0905589421217595</v>
      </c>
      <c r="L2504" s="5">
        <v>0.0905589421217595</v>
      </c>
      <c r="M2504" s="5">
        <v>-16.8931373799828</v>
      </c>
      <c r="N2504" s="5">
        <v>-16.8931373799828</v>
      </c>
      <c r="O2504" s="5">
        <v>-16.8931373799828</v>
      </c>
      <c r="P2504" s="5">
        <v>0.0</v>
      </c>
      <c r="Q2504" s="5">
        <v>0.0</v>
      </c>
      <c r="R2504" s="5">
        <v>0.0</v>
      </c>
      <c r="S2504" s="5">
        <v>268.013149237218</v>
      </c>
    </row>
    <row r="2505">
      <c r="A2505" s="6">
        <v>43991.0</v>
      </c>
      <c r="B2505" s="5">
        <v>285.986573874592</v>
      </c>
      <c r="C2505" s="5">
        <v>208.697621400911</v>
      </c>
      <c r="D2505" s="5">
        <v>332.74076696067</v>
      </c>
      <c r="E2505" s="5">
        <v>285.986573874592</v>
      </c>
      <c r="F2505" s="5">
        <v>285.986573874592</v>
      </c>
      <c r="G2505" s="5">
        <v>-17.0032108769424</v>
      </c>
      <c r="H2505" s="5">
        <v>-17.0032108769424</v>
      </c>
      <c r="I2505" s="5">
        <v>-17.0032108769424</v>
      </c>
      <c r="J2505" s="5">
        <v>-0.144118857246042</v>
      </c>
      <c r="K2505" s="5">
        <v>-0.144118857246042</v>
      </c>
      <c r="L2505" s="5">
        <v>-0.144118857246042</v>
      </c>
      <c r="M2505" s="5">
        <v>-16.8590920196964</v>
      </c>
      <c r="N2505" s="5">
        <v>-16.8590920196964</v>
      </c>
      <c r="O2505" s="5">
        <v>-16.8590920196964</v>
      </c>
      <c r="P2505" s="5">
        <v>0.0</v>
      </c>
      <c r="Q2505" s="5">
        <v>0.0</v>
      </c>
      <c r="R2505" s="5">
        <v>0.0</v>
      </c>
      <c r="S2505" s="5">
        <v>268.98336299765</v>
      </c>
    </row>
    <row r="2506">
      <c r="A2506" s="6">
        <v>43992.0</v>
      </c>
      <c r="B2506" s="5">
        <v>287.157420074106</v>
      </c>
      <c r="C2506" s="5">
        <v>208.211814220709</v>
      </c>
      <c r="D2506" s="5">
        <v>328.427225653792</v>
      </c>
      <c r="E2506" s="5">
        <v>287.157420074106</v>
      </c>
      <c r="F2506" s="5">
        <v>287.157420074106</v>
      </c>
      <c r="G2506" s="5">
        <v>-16.843133338158</v>
      </c>
      <c r="H2506" s="5">
        <v>-16.843133338158</v>
      </c>
      <c r="I2506" s="5">
        <v>-16.843133338158</v>
      </c>
      <c r="J2506" s="5">
        <v>0.00703780528358019</v>
      </c>
      <c r="K2506" s="5">
        <v>0.00703780528358019</v>
      </c>
      <c r="L2506" s="5">
        <v>0.00703780528358019</v>
      </c>
      <c r="M2506" s="5">
        <v>-16.8501711434416</v>
      </c>
      <c r="N2506" s="5">
        <v>-16.8501711434416</v>
      </c>
      <c r="O2506" s="5">
        <v>-16.8501711434416</v>
      </c>
      <c r="P2506" s="5">
        <v>0.0</v>
      </c>
      <c r="Q2506" s="5">
        <v>0.0</v>
      </c>
      <c r="R2506" s="5">
        <v>0.0</v>
      </c>
      <c r="S2506" s="5">
        <v>270.314286735948</v>
      </c>
    </row>
    <row r="2507">
      <c r="A2507" s="6">
        <v>43993.0</v>
      </c>
      <c r="B2507" s="5">
        <v>288.328266273619</v>
      </c>
      <c r="C2507" s="5">
        <v>205.103431092861</v>
      </c>
      <c r="D2507" s="5">
        <v>337.271387279468</v>
      </c>
      <c r="E2507" s="5">
        <v>288.328266273619</v>
      </c>
      <c r="F2507" s="5">
        <v>288.328266273619</v>
      </c>
      <c r="G2507" s="5">
        <v>-17.635946345658</v>
      </c>
      <c r="H2507" s="5">
        <v>-17.635946345658</v>
      </c>
      <c r="I2507" s="5">
        <v>-17.635946345658</v>
      </c>
      <c r="J2507" s="5">
        <v>-0.776422525902886</v>
      </c>
      <c r="K2507" s="5">
        <v>-0.776422525902886</v>
      </c>
      <c r="L2507" s="5">
        <v>-0.776422525902886</v>
      </c>
      <c r="M2507" s="5">
        <v>-16.8595238197551</v>
      </c>
      <c r="N2507" s="5">
        <v>-16.8595238197551</v>
      </c>
      <c r="O2507" s="5">
        <v>-16.8595238197551</v>
      </c>
      <c r="P2507" s="5">
        <v>0.0</v>
      </c>
      <c r="Q2507" s="5">
        <v>0.0</v>
      </c>
      <c r="R2507" s="5">
        <v>0.0</v>
      </c>
      <c r="S2507" s="5">
        <v>270.692319927961</v>
      </c>
    </row>
    <row r="2508">
      <c r="A2508" s="6">
        <v>43994.0</v>
      </c>
      <c r="B2508" s="5">
        <v>289.499112473132</v>
      </c>
      <c r="C2508" s="5">
        <v>213.179155932418</v>
      </c>
      <c r="D2508" s="5">
        <v>333.126244432127</v>
      </c>
      <c r="E2508" s="5">
        <v>289.499112473132</v>
      </c>
      <c r="F2508" s="5">
        <v>289.499112473132</v>
      </c>
      <c r="G2508" s="5">
        <v>-18.4709147046691</v>
      </c>
      <c r="H2508" s="5">
        <v>-18.4709147046691</v>
      </c>
      <c r="I2508" s="5">
        <v>-18.4709147046691</v>
      </c>
      <c r="J2508" s="5">
        <v>-1.59155056649451</v>
      </c>
      <c r="K2508" s="5">
        <v>-1.59155056649451</v>
      </c>
      <c r="L2508" s="5">
        <v>-1.59155056649451</v>
      </c>
      <c r="M2508" s="5">
        <v>-16.8793641381746</v>
      </c>
      <c r="N2508" s="5">
        <v>-16.8793641381746</v>
      </c>
      <c r="O2508" s="5">
        <v>-16.8793641381746</v>
      </c>
      <c r="P2508" s="5">
        <v>0.0</v>
      </c>
      <c r="Q2508" s="5">
        <v>0.0</v>
      </c>
      <c r="R2508" s="5">
        <v>0.0</v>
      </c>
      <c r="S2508" s="5">
        <v>271.028197768463</v>
      </c>
    </row>
    <row r="2509">
      <c r="A2509" s="6">
        <v>43997.0</v>
      </c>
      <c r="B2509" s="5">
        <v>293.011651071672</v>
      </c>
      <c r="C2509" s="5">
        <v>212.467191174207</v>
      </c>
      <c r="D2509" s="5">
        <v>337.525069591136</v>
      </c>
      <c r="E2509" s="5">
        <v>293.011651071672</v>
      </c>
      <c r="F2509" s="5">
        <v>293.011651071672</v>
      </c>
      <c r="G2509" s="5">
        <v>-16.8253960065809</v>
      </c>
      <c r="H2509" s="5">
        <v>-16.8253960065809</v>
      </c>
      <c r="I2509" s="5">
        <v>-16.8253960065809</v>
      </c>
      <c r="J2509" s="5">
        <v>0.090558942120322</v>
      </c>
      <c r="K2509" s="5">
        <v>0.090558942120322</v>
      </c>
      <c r="L2509" s="5">
        <v>0.090558942120322</v>
      </c>
      <c r="M2509" s="5">
        <v>-16.9159549487012</v>
      </c>
      <c r="N2509" s="5">
        <v>-16.9159549487012</v>
      </c>
      <c r="O2509" s="5">
        <v>-16.9159549487012</v>
      </c>
      <c r="P2509" s="5">
        <v>0.0</v>
      </c>
      <c r="Q2509" s="5">
        <v>0.0</v>
      </c>
      <c r="R2509" s="5">
        <v>0.0</v>
      </c>
      <c r="S2509" s="5">
        <v>276.186255065091</v>
      </c>
    </row>
    <row r="2510">
      <c r="A2510" s="6">
        <v>43998.0</v>
      </c>
      <c r="B2510" s="5">
        <v>294.182497271185</v>
      </c>
      <c r="C2510" s="5">
        <v>211.437558943621</v>
      </c>
      <c r="D2510" s="5">
        <v>338.779009079081</v>
      </c>
      <c r="E2510" s="5">
        <v>294.182497271185</v>
      </c>
      <c r="F2510" s="5">
        <v>294.182497271185</v>
      </c>
      <c r="G2510" s="5">
        <v>-17.0354840053834</v>
      </c>
      <c r="H2510" s="5">
        <v>-17.0354840053834</v>
      </c>
      <c r="I2510" s="5">
        <v>-17.0354840053834</v>
      </c>
      <c r="J2510" s="5">
        <v>-0.144118857247478</v>
      </c>
      <c r="K2510" s="5">
        <v>-0.144118857247478</v>
      </c>
      <c r="L2510" s="5">
        <v>-0.144118857247478</v>
      </c>
      <c r="M2510" s="5">
        <v>-16.8913651481359</v>
      </c>
      <c r="N2510" s="5">
        <v>-16.8913651481359</v>
      </c>
      <c r="O2510" s="5">
        <v>-16.8913651481359</v>
      </c>
      <c r="P2510" s="5">
        <v>0.0</v>
      </c>
      <c r="Q2510" s="5">
        <v>0.0</v>
      </c>
      <c r="R2510" s="5">
        <v>0.0</v>
      </c>
      <c r="S2510" s="5">
        <v>277.147013265802</v>
      </c>
    </row>
    <row r="2511">
      <c r="A2511" s="6">
        <v>43999.0</v>
      </c>
      <c r="B2511" s="5">
        <v>295.353343470699</v>
      </c>
      <c r="C2511" s="5">
        <v>217.701499832436</v>
      </c>
      <c r="D2511" s="5">
        <v>342.903412905135</v>
      </c>
      <c r="E2511" s="5">
        <v>295.353343470699</v>
      </c>
      <c r="F2511" s="5">
        <v>295.353343470699</v>
      </c>
      <c r="G2511" s="5">
        <v>-16.8275901450508</v>
      </c>
      <c r="H2511" s="5">
        <v>-16.8275901450508</v>
      </c>
      <c r="I2511" s="5">
        <v>-16.8275901450508</v>
      </c>
      <c r="J2511" s="5">
        <v>0.00703780528272764</v>
      </c>
      <c r="K2511" s="5">
        <v>0.00703780528272764</v>
      </c>
      <c r="L2511" s="5">
        <v>0.00703780528272764</v>
      </c>
      <c r="M2511" s="5">
        <v>-16.8346279503335</v>
      </c>
      <c r="N2511" s="5">
        <v>-16.8346279503335</v>
      </c>
      <c r="O2511" s="5">
        <v>-16.8346279503335</v>
      </c>
      <c r="P2511" s="5">
        <v>0.0</v>
      </c>
      <c r="Q2511" s="5">
        <v>0.0</v>
      </c>
      <c r="R2511" s="5">
        <v>0.0</v>
      </c>
      <c r="S2511" s="5">
        <v>278.525753325648</v>
      </c>
    </row>
    <row r="2512">
      <c r="A2512" s="6">
        <v>44000.0</v>
      </c>
      <c r="B2512" s="5">
        <v>296.524189670212</v>
      </c>
      <c r="C2512" s="5">
        <v>215.504362422347</v>
      </c>
      <c r="D2512" s="5">
        <v>339.629164561962</v>
      </c>
      <c r="E2512" s="5">
        <v>296.524189670212</v>
      </c>
      <c r="F2512" s="5">
        <v>296.524189670212</v>
      </c>
      <c r="G2512" s="5">
        <v>-17.5150238009399</v>
      </c>
      <c r="H2512" s="5">
        <v>-17.5150238009399</v>
      </c>
      <c r="I2512" s="5">
        <v>-17.5150238009399</v>
      </c>
      <c r="J2512" s="5">
        <v>-0.776422525903608</v>
      </c>
      <c r="K2512" s="5">
        <v>-0.776422525903608</v>
      </c>
      <c r="L2512" s="5">
        <v>-0.776422525903608</v>
      </c>
      <c r="M2512" s="5">
        <v>-16.7386012750363</v>
      </c>
      <c r="N2512" s="5">
        <v>-16.7386012750363</v>
      </c>
      <c r="O2512" s="5">
        <v>-16.7386012750363</v>
      </c>
      <c r="P2512" s="5">
        <v>0.0</v>
      </c>
      <c r="Q2512" s="5">
        <v>0.0</v>
      </c>
      <c r="R2512" s="5">
        <v>0.0</v>
      </c>
      <c r="S2512" s="5">
        <v>279.009165869272</v>
      </c>
    </row>
    <row r="2513">
      <c r="A2513" s="6">
        <v>44001.0</v>
      </c>
      <c r="B2513" s="5">
        <v>297.695035869725</v>
      </c>
      <c r="C2513" s="5">
        <v>218.049438275638</v>
      </c>
      <c r="D2513" s="5">
        <v>344.237833293706</v>
      </c>
      <c r="E2513" s="5">
        <v>297.695035869725</v>
      </c>
      <c r="F2513" s="5">
        <v>297.695035869725</v>
      </c>
      <c r="G2513" s="5">
        <v>-18.1888064398461</v>
      </c>
      <c r="H2513" s="5">
        <v>-18.1888064398461</v>
      </c>
      <c r="I2513" s="5">
        <v>-18.1888064398461</v>
      </c>
      <c r="J2513" s="5">
        <v>-1.59155056649327</v>
      </c>
      <c r="K2513" s="5">
        <v>-1.59155056649327</v>
      </c>
      <c r="L2513" s="5">
        <v>-1.59155056649327</v>
      </c>
      <c r="M2513" s="5">
        <v>-16.5972558733528</v>
      </c>
      <c r="N2513" s="5">
        <v>-16.5972558733528</v>
      </c>
      <c r="O2513" s="5">
        <v>-16.5972558733528</v>
      </c>
      <c r="P2513" s="5">
        <v>0.0</v>
      </c>
      <c r="Q2513" s="5">
        <v>0.0</v>
      </c>
      <c r="R2513" s="5">
        <v>0.0</v>
      </c>
      <c r="S2513" s="5">
        <v>279.506229429879</v>
      </c>
    </row>
    <row r="2514">
      <c r="A2514" s="6">
        <v>44004.0</v>
      </c>
      <c r="B2514" s="5">
        <v>301.207574468265</v>
      </c>
      <c r="C2514" s="5">
        <v>223.922775367062</v>
      </c>
      <c r="D2514" s="5">
        <v>343.600056683926</v>
      </c>
      <c r="E2514" s="5">
        <v>301.207574468265</v>
      </c>
      <c r="F2514" s="5">
        <v>301.207574468265</v>
      </c>
      <c r="G2514" s="5">
        <v>-15.7715361899015</v>
      </c>
      <c r="H2514" s="5">
        <v>-15.7715361899015</v>
      </c>
      <c r="I2514" s="5">
        <v>-15.7715361899015</v>
      </c>
      <c r="J2514" s="5">
        <v>0.0905589421212686</v>
      </c>
      <c r="K2514" s="5">
        <v>0.0905589421212686</v>
      </c>
      <c r="L2514" s="5">
        <v>0.0905589421212686</v>
      </c>
      <c r="M2514" s="5">
        <v>-15.8620951320228</v>
      </c>
      <c r="N2514" s="5">
        <v>-15.8620951320228</v>
      </c>
      <c r="O2514" s="5">
        <v>-15.8620951320228</v>
      </c>
      <c r="P2514" s="5">
        <v>0.0</v>
      </c>
      <c r="Q2514" s="5">
        <v>0.0</v>
      </c>
      <c r="R2514" s="5">
        <v>0.0</v>
      </c>
      <c r="S2514" s="5">
        <v>285.436038278363</v>
      </c>
    </row>
    <row r="2515">
      <c r="A2515" s="6">
        <v>44005.0</v>
      </c>
      <c r="B2515" s="5">
        <v>302.378420667778</v>
      </c>
      <c r="C2515" s="5">
        <v>219.444040917166</v>
      </c>
      <c r="D2515" s="5">
        <v>354.430269634952</v>
      </c>
      <c r="E2515" s="5">
        <v>302.378420667778</v>
      </c>
      <c r="F2515" s="5">
        <v>302.378420667778</v>
      </c>
      <c r="G2515" s="5">
        <v>-15.6524557608928</v>
      </c>
      <c r="H2515" s="5">
        <v>-15.6524557608928</v>
      </c>
      <c r="I2515" s="5">
        <v>-15.6524557608928</v>
      </c>
      <c r="J2515" s="5">
        <v>-0.144118857243866</v>
      </c>
      <c r="K2515" s="5">
        <v>-0.144118857243866</v>
      </c>
      <c r="L2515" s="5">
        <v>-0.144118857243866</v>
      </c>
      <c r="M2515" s="5">
        <v>-15.5083369036489</v>
      </c>
      <c r="N2515" s="5">
        <v>-15.5083369036489</v>
      </c>
      <c r="O2515" s="5">
        <v>-15.5083369036489</v>
      </c>
      <c r="P2515" s="5">
        <v>0.0</v>
      </c>
      <c r="Q2515" s="5">
        <v>0.0</v>
      </c>
      <c r="R2515" s="5">
        <v>0.0</v>
      </c>
      <c r="S2515" s="5">
        <v>286.725964906885</v>
      </c>
    </row>
    <row r="2516">
      <c r="A2516" s="6">
        <v>44006.0</v>
      </c>
      <c r="B2516" s="5">
        <v>303.549266867291</v>
      </c>
      <c r="C2516" s="5">
        <v>226.66759268032</v>
      </c>
      <c r="D2516" s="5">
        <v>356.937557683482</v>
      </c>
      <c r="E2516" s="5">
        <v>303.549266867291</v>
      </c>
      <c r="F2516" s="5">
        <v>303.549266867291</v>
      </c>
      <c r="G2516" s="5">
        <v>-15.0950166703419</v>
      </c>
      <c r="H2516" s="5">
        <v>-15.0950166703419</v>
      </c>
      <c r="I2516" s="5">
        <v>-15.0950166703419</v>
      </c>
      <c r="J2516" s="5">
        <v>0.00703780528187505</v>
      </c>
      <c r="K2516" s="5">
        <v>0.00703780528187505</v>
      </c>
      <c r="L2516" s="5">
        <v>0.00703780528187505</v>
      </c>
      <c r="M2516" s="5">
        <v>-15.1020544756238</v>
      </c>
      <c r="N2516" s="5">
        <v>-15.1020544756238</v>
      </c>
      <c r="O2516" s="5">
        <v>-15.1020544756238</v>
      </c>
      <c r="P2516" s="5">
        <v>0.0</v>
      </c>
      <c r="Q2516" s="5">
        <v>0.0</v>
      </c>
      <c r="R2516" s="5">
        <v>0.0</v>
      </c>
      <c r="S2516" s="5">
        <v>288.454250196949</v>
      </c>
    </row>
    <row r="2517">
      <c r="A2517" s="6">
        <v>44007.0</v>
      </c>
      <c r="B2517" s="5">
        <v>304.720113066804</v>
      </c>
      <c r="C2517" s="5">
        <v>222.062144920552</v>
      </c>
      <c r="D2517" s="5">
        <v>351.940369581074</v>
      </c>
      <c r="E2517" s="5">
        <v>304.720113066804</v>
      </c>
      <c r="F2517" s="5">
        <v>304.720113066804</v>
      </c>
      <c r="G2517" s="5">
        <v>-15.4233865449625</v>
      </c>
      <c r="H2517" s="5">
        <v>-15.4233865449625</v>
      </c>
      <c r="I2517" s="5">
        <v>-15.4233865449625</v>
      </c>
      <c r="J2517" s="5">
        <v>-0.776422525898631</v>
      </c>
      <c r="K2517" s="5">
        <v>-0.776422525898631</v>
      </c>
      <c r="L2517" s="5">
        <v>-0.776422525898631</v>
      </c>
      <c r="M2517" s="5">
        <v>-14.6469640190639</v>
      </c>
      <c r="N2517" s="5">
        <v>-14.6469640190639</v>
      </c>
      <c r="O2517" s="5">
        <v>-14.6469640190639</v>
      </c>
      <c r="P2517" s="5">
        <v>0.0</v>
      </c>
      <c r="Q2517" s="5">
        <v>0.0</v>
      </c>
      <c r="R2517" s="5">
        <v>0.0</v>
      </c>
      <c r="S2517" s="5">
        <v>289.296726521842</v>
      </c>
    </row>
    <row r="2518">
      <c r="A2518" s="6">
        <v>44008.0</v>
      </c>
      <c r="B2518" s="5">
        <v>305.890959266318</v>
      </c>
      <c r="C2518" s="5">
        <v>224.944841756098</v>
      </c>
      <c r="D2518" s="5">
        <v>353.040526726387</v>
      </c>
      <c r="E2518" s="5">
        <v>305.890959266318</v>
      </c>
      <c r="F2518" s="5">
        <v>305.890959266318</v>
      </c>
      <c r="G2518" s="5">
        <v>-15.7399926806316</v>
      </c>
      <c r="H2518" s="5">
        <v>-15.7399926806316</v>
      </c>
      <c r="I2518" s="5">
        <v>-15.7399926806316</v>
      </c>
      <c r="J2518" s="5">
        <v>-1.59155056649234</v>
      </c>
      <c r="K2518" s="5">
        <v>-1.59155056649234</v>
      </c>
      <c r="L2518" s="5">
        <v>-1.59155056649234</v>
      </c>
      <c r="M2518" s="5">
        <v>-14.1484421141393</v>
      </c>
      <c r="N2518" s="5">
        <v>-14.1484421141393</v>
      </c>
      <c r="O2518" s="5">
        <v>-14.1484421141393</v>
      </c>
      <c r="P2518" s="5">
        <v>0.0</v>
      </c>
      <c r="Q2518" s="5">
        <v>0.0</v>
      </c>
      <c r="R2518" s="5">
        <v>0.0</v>
      </c>
      <c r="S2518" s="5">
        <v>290.150966585686</v>
      </c>
    </row>
    <row r="2519">
      <c r="A2519" s="6">
        <v>44011.0</v>
      </c>
      <c r="B2519" s="5">
        <v>309.403497864858</v>
      </c>
      <c r="C2519" s="5">
        <v>234.369942913081</v>
      </c>
      <c r="D2519" s="5">
        <v>356.825546795669</v>
      </c>
      <c r="E2519" s="5">
        <v>309.403497864858</v>
      </c>
      <c r="F2519" s="5">
        <v>309.403497864858</v>
      </c>
      <c r="G2519" s="5">
        <v>-12.3773135262869</v>
      </c>
      <c r="H2519" s="5">
        <v>-12.3773135262869</v>
      </c>
      <c r="I2519" s="5">
        <v>-12.3773135262869</v>
      </c>
      <c r="J2519" s="5">
        <v>0.090558942119831</v>
      </c>
      <c r="K2519" s="5">
        <v>0.090558942119831</v>
      </c>
      <c r="L2519" s="5">
        <v>0.090558942119831</v>
      </c>
      <c r="M2519" s="5">
        <v>-12.4678724684067</v>
      </c>
      <c r="N2519" s="5">
        <v>-12.4678724684067</v>
      </c>
      <c r="O2519" s="5">
        <v>-12.4678724684067</v>
      </c>
      <c r="P2519" s="5">
        <v>0.0</v>
      </c>
      <c r="Q2519" s="5">
        <v>0.0</v>
      </c>
      <c r="R2519" s="5">
        <v>0.0</v>
      </c>
      <c r="S2519" s="5">
        <v>297.026184338571</v>
      </c>
    </row>
    <row r="2520">
      <c r="A2520" s="6">
        <v>44012.0</v>
      </c>
      <c r="B2520" s="5">
        <v>310.57434406437</v>
      </c>
      <c r="C2520" s="5">
        <v>236.411926851197</v>
      </c>
      <c r="D2520" s="5">
        <v>359.702289201607</v>
      </c>
      <c r="E2520" s="5">
        <v>310.57434406437</v>
      </c>
      <c r="F2520" s="5">
        <v>310.57434406437</v>
      </c>
      <c r="G2520" s="5">
        <v>-12.0211531937976</v>
      </c>
      <c r="H2520" s="5">
        <v>-12.0211531937976</v>
      </c>
      <c r="I2520" s="5">
        <v>-12.0211531937976</v>
      </c>
      <c r="J2520" s="5">
        <v>-0.144118857245302</v>
      </c>
      <c r="K2520" s="5">
        <v>-0.144118857245302</v>
      </c>
      <c r="L2520" s="5">
        <v>-0.144118857245302</v>
      </c>
      <c r="M2520" s="5">
        <v>-11.8770343365523</v>
      </c>
      <c r="N2520" s="5">
        <v>-11.8770343365523</v>
      </c>
      <c r="O2520" s="5">
        <v>-11.8770343365523</v>
      </c>
      <c r="P2520" s="5">
        <v>0.0</v>
      </c>
      <c r="Q2520" s="5">
        <v>0.0</v>
      </c>
      <c r="R2520" s="5">
        <v>0.0</v>
      </c>
      <c r="S2520" s="5">
        <v>298.553190870573</v>
      </c>
    </row>
    <row r="2521">
      <c r="A2521" s="6">
        <v>44013.0</v>
      </c>
      <c r="B2521" s="5">
        <v>311.745190263884</v>
      </c>
      <c r="C2521" s="5">
        <v>237.485764243874</v>
      </c>
      <c r="D2521" s="5">
        <v>360.965250934795</v>
      </c>
      <c r="E2521" s="5">
        <v>311.745190263884</v>
      </c>
      <c r="F2521" s="5">
        <v>311.745190263884</v>
      </c>
      <c r="G2521" s="5">
        <v>-11.2813600946009</v>
      </c>
      <c r="H2521" s="5">
        <v>-11.2813600946009</v>
      </c>
      <c r="I2521" s="5">
        <v>-11.2813600946009</v>
      </c>
      <c r="J2521" s="5">
        <v>0.00703780528084168</v>
      </c>
      <c r="K2521" s="5">
        <v>0.00703780528084168</v>
      </c>
      <c r="L2521" s="5">
        <v>0.00703780528084168</v>
      </c>
      <c r="M2521" s="5">
        <v>-11.2883978998818</v>
      </c>
      <c r="N2521" s="5">
        <v>-11.2883978998818</v>
      </c>
      <c r="O2521" s="5">
        <v>-11.2883978998818</v>
      </c>
      <c r="P2521" s="5">
        <v>0.0</v>
      </c>
      <c r="Q2521" s="5">
        <v>0.0</v>
      </c>
      <c r="R2521" s="5">
        <v>0.0</v>
      </c>
      <c r="S2521" s="5">
        <v>300.463830169283</v>
      </c>
    </row>
    <row r="2522">
      <c r="A2522" s="6">
        <v>44014.0</v>
      </c>
      <c r="B2522" s="5">
        <v>312.916036463397</v>
      </c>
      <c r="C2522" s="5">
        <v>239.56111707757</v>
      </c>
      <c r="D2522" s="5">
        <v>367.85901760709</v>
      </c>
      <c r="E2522" s="5">
        <v>312.916036463397</v>
      </c>
      <c r="F2522" s="5">
        <v>312.916036463397</v>
      </c>
      <c r="G2522" s="5">
        <v>-11.4894967501297</v>
      </c>
      <c r="H2522" s="5">
        <v>-11.4894967501297</v>
      </c>
      <c r="I2522" s="5">
        <v>-11.4894967501297</v>
      </c>
      <c r="J2522" s="5">
        <v>-0.776422525899352</v>
      </c>
      <c r="K2522" s="5">
        <v>-0.776422525899352</v>
      </c>
      <c r="L2522" s="5">
        <v>-0.776422525899352</v>
      </c>
      <c r="M2522" s="5">
        <v>-10.7130742242303</v>
      </c>
      <c r="N2522" s="5">
        <v>-10.7130742242303</v>
      </c>
      <c r="O2522" s="5">
        <v>-10.7130742242303</v>
      </c>
      <c r="P2522" s="5">
        <v>0.0</v>
      </c>
      <c r="Q2522" s="5">
        <v>0.0</v>
      </c>
      <c r="R2522" s="5">
        <v>0.0</v>
      </c>
      <c r="S2522" s="5">
        <v>301.426539713268</v>
      </c>
    </row>
    <row r="2523">
      <c r="A2523" s="6">
        <v>44018.0</v>
      </c>
      <c r="B2523" s="5">
        <v>317.59942126145</v>
      </c>
      <c r="C2523" s="5">
        <v>242.201611640233</v>
      </c>
      <c r="D2523" s="5">
        <v>370.387919374482</v>
      </c>
      <c r="E2523" s="5">
        <v>317.59942126145</v>
      </c>
      <c r="F2523" s="5">
        <v>317.59942126145</v>
      </c>
      <c r="G2523" s="5">
        <v>-8.66844166178174</v>
      </c>
      <c r="H2523" s="5">
        <v>-8.66844166178174</v>
      </c>
      <c r="I2523" s="5">
        <v>-8.66844166178174</v>
      </c>
      <c r="J2523" s="5">
        <v>0.0905589421233216</v>
      </c>
      <c r="K2523" s="5">
        <v>0.0905589421233216</v>
      </c>
      <c r="L2523" s="5">
        <v>0.0905589421233216</v>
      </c>
      <c r="M2523" s="5">
        <v>-8.75900060390506</v>
      </c>
      <c r="N2523" s="5">
        <v>-8.75900060390506</v>
      </c>
      <c r="O2523" s="5">
        <v>-8.75900060390506</v>
      </c>
      <c r="P2523" s="5">
        <v>0.0</v>
      </c>
      <c r="Q2523" s="5">
        <v>0.0</v>
      </c>
      <c r="R2523" s="5">
        <v>0.0</v>
      </c>
      <c r="S2523" s="5">
        <v>308.930979599668</v>
      </c>
    </row>
    <row r="2524">
      <c r="A2524" s="6">
        <v>44019.0</v>
      </c>
      <c r="B2524" s="5">
        <v>318.770267460963</v>
      </c>
      <c r="C2524" s="5">
        <v>247.031865489928</v>
      </c>
      <c r="D2524" s="5">
        <v>373.799537465267</v>
      </c>
      <c r="E2524" s="5">
        <v>318.770267460963</v>
      </c>
      <c r="F2524" s="5">
        <v>318.770267460963</v>
      </c>
      <c r="G2524" s="5">
        <v>-8.54859099565415</v>
      </c>
      <c r="H2524" s="5">
        <v>-8.54859099565415</v>
      </c>
      <c r="I2524" s="5">
        <v>-8.54859099565415</v>
      </c>
      <c r="J2524" s="5">
        <v>-0.144118857244213</v>
      </c>
      <c r="K2524" s="5">
        <v>-0.144118857244213</v>
      </c>
      <c r="L2524" s="5">
        <v>-0.144118857244213</v>
      </c>
      <c r="M2524" s="5">
        <v>-8.40447213840994</v>
      </c>
      <c r="N2524" s="5">
        <v>-8.40447213840994</v>
      </c>
      <c r="O2524" s="5">
        <v>-8.40447213840994</v>
      </c>
      <c r="P2524" s="5">
        <v>0.0</v>
      </c>
      <c r="Q2524" s="5">
        <v>0.0</v>
      </c>
      <c r="R2524" s="5">
        <v>0.0</v>
      </c>
      <c r="S2524" s="5">
        <v>310.221676465309</v>
      </c>
    </row>
    <row r="2525">
      <c r="A2525" s="6">
        <v>44020.0</v>
      </c>
      <c r="B2525" s="5">
        <v>319.941113660477</v>
      </c>
      <c r="C2525" s="5">
        <v>246.41459589302</v>
      </c>
      <c r="D2525" s="5">
        <v>372.848747593275</v>
      </c>
      <c r="E2525" s="5">
        <v>319.941113660477</v>
      </c>
      <c r="F2525" s="5">
        <v>319.941113660477</v>
      </c>
      <c r="G2525" s="5">
        <v>-8.11128134423778</v>
      </c>
      <c r="H2525" s="5">
        <v>-8.11128134423778</v>
      </c>
      <c r="I2525" s="5">
        <v>-8.11128134423778</v>
      </c>
      <c r="J2525" s="5">
        <v>0.00703780528215288</v>
      </c>
      <c r="K2525" s="5">
        <v>0.00703780528215288</v>
      </c>
      <c r="L2525" s="5">
        <v>0.00703780528215288</v>
      </c>
      <c r="M2525" s="5">
        <v>-8.11831914951994</v>
      </c>
      <c r="N2525" s="5">
        <v>-8.11831914951994</v>
      </c>
      <c r="O2525" s="5">
        <v>-8.11831914951994</v>
      </c>
      <c r="P2525" s="5">
        <v>0.0</v>
      </c>
      <c r="Q2525" s="5">
        <v>0.0</v>
      </c>
      <c r="R2525" s="5">
        <v>0.0</v>
      </c>
      <c r="S2525" s="5">
        <v>311.829832316239</v>
      </c>
    </row>
    <row r="2526">
      <c r="A2526" s="6">
        <v>44021.0</v>
      </c>
      <c r="B2526" s="5">
        <v>321.11195985999</v>
      </c>
      <c r="C2526" s="5">
        <v>244.448461611953</v>
      </c>
      <c r="D2526" s="5">
        <v>374.653863249314</v>
      </c>
      <c r="E2526" s="5">
        <v>321.11195985999</v>
      </c>
      <c r="F2526" s="5">
        <v>321.11195985999</v>
      </c>
      <c r="G2526" s="5">
        <v>-8.68165891212354</v>
      </c>
      <c r="H2526" s="5">
        <v>-8.68165891212354</v>
      </c>
      <c r="I2526" s="5">
        <v>-8.68165891212354</v>
      </c>
      <c r="J2526" s="5">
        <v>-0.776422525901449</v>
      </c>
      <c r="K2526" s="5">
        <v>-0.776422525901449</v>
      </c>
      <c r="L2526" s="5">
        <v>-0.776422525901449</v>
      </c>
      <c r="M2526" s="5">
        <v>-7.90523638622209</v>
      </c>
      <c r="N2526" s="5">
        <v>-7.90523638622209</v>
      </c>
      <c r="O2526" s="5">
        <v>-7.90523638622209</v>
      </c>
      <c r="P2526" s="5">
        <v>0.0</v>
      </c>
      <c r="Q2526" s="5">
        <v>0.0</v>
      </c>
      <c r="R2526" s="5">
        <v>0.0</v>
      </c>
      <c r="S2526" s="5">
        <v>312.430300947866</v>
      </c>
    </row>
    <row r="2527">
      <c r="A2527" s="6">
        <v>44022.0</v>
      </c>
      <c r="B2527" s="5">
        <v>322.282806059503</v>
      </c>
      <c r="C2527" s="5">
        <v>249.117923688874</v>
      </c>
      <c r="D2527" s="5">
        <v>376.206515127911</v>
      </c>
      <c r="E2527" s="5">
        <v>322.282806059503</v>
      </c>
      <c r="F2527" s="5">
        <v>322.282806059503</v>
      </c>
      <c r="G2527" s="5">
        <v>-9.35965828833915</v>
      </c>
      <c r="H2527" s="5">
        <v>-9.35965828833915</v>
      </c>
      <c r="I2527" s="5">
        <v>-9.35965828833915</v>
      </c>
      <c r="J2527" s="5">
        <v>-1.59155056649018</v>
      </c>
      <c r="K2527" s="5">
        <v>-1.59155056649018</v>
      </c>
      <c r="L2527" s="5">
        <v>-1.59155056649018</v>
      </c>
      <c r="M2527" s="5">
        <v>-7.76810772184897</v>
      </c>
      <c r="N2527" s="5">
        <v>-7.76810772184897</v>
      </c>
      <c r="O2527" s="5">
        <v>-7.76810772184897</v>
      </c>
      <c r="P2527" s="5">
        <v>0.0</v>
      </c>
      <c r="Q2527" s="5">
        <v>0.0</v>
      </c>
      <c r="R2527" s="5">
        <v>0.0</v>
      </c>
      <c r="S2527" s="5">
        <v>312.923147771164</v>
      </c>
    </row>
    <row r="2528">
      <c r="A2528" s="6">
        <v>44025.0</v>
      </c>
      <c r="B2528" s="5">
        <v>325.795344658043</v>
      </c>
      <c r="C2528" s="5">
        <v>255.896144457333</v>
      </c>
      <c r="D2528" s="5">
        <v>381.038294002401</v>
      </c>
      <c r="E2528" s="5">
        <v>325.795344658043</v>
      </c>
      <c r="F2528" s="5">
        <v>325.795344658043</v>
      </c>
      <c r="G2528" s="5">
        <v>-7.72193229575342</v>
      </c>
      <c r="H2528" s="5">
        <v>-7.72193229575342</v>
      </c>
      <c r="I2528" s="5">
        <v>-7.72193229575342</v>
      </c>
      <c r="J2528" s="5">
        <v>0.090558942121884</v>
      </c>
      <c r="K2528" s="5">
        <v>0.090558942121884</v>
      </c>
      <c r="L2528" s="5">
        <v>0.090558942121884</v>
      </c>
      <c r="M2528" s="5">
        <v>-7.8124912378753</v>
      </c>
      <c r="N2528" s="5">
        <v>-7.8124912378753</v>
      </c>
      <c r="O2528" s="5">
        <v>-7.8124912378753</v>
      </c>
      <c r="P2528" s="5">
        <v>0.0</v>
      </c>
      <c r="Q2528" s="5">
        <v>0.0</v>
      </c>
      <c r="R2528" s="5">
        <v>0.0</v>
      </c>
      <c r="S2528" s="5">
        <v>318.073412362289</v>
      </c>
    </row>
    <row r="2529">
      <c r="A2529" s="6">
        <v>44026.0</v>
      </c>
      <c r="B2529" s="5">
        <v>326.966190857556</v>
      </c>
      <c r="C2529" s="5">
        <v>255.721950593177</v>
      </c>
      <c r="D2529" s="5">
        <v>383.028161713649</v>
      </c>
      <c r="E2529" s="5">
        <v>326.966190857556</v>
      </c>
      <c r="F2529" s="5">
        <v>326.966190857556</v>
      </c>
      <c r="G2529" s="5">
        <v>-8.11371011468254</v>
      </c>
      <c r="H2529" s="5">
        <v>-8.11371011468254</v>
      </c>
      <c r="I2529" s="5">
        <v>-8.11371011468254</v>
      </c>
      <c r="J2529" s="5">
        <v>-0.144118857245649</v>
      </c>
      <c r="K2529" s="5">
        <v>-0.144118857245649</v>
      </c>
      <c r="L2529" s="5">
        <v>-0.144118857245649</v>
      </c>
      <c r="M2529" s="5">
        <v>-7.96959125743689</v>
      </c>
      <c r="N2529" s="5">
        <v>-7.96959125743689</v>
      </c>
      <c r="O2529" s="5">
        <v>-7.96959125743689</v>
      </c>
      <c r="P2529" s="5">
        <v>0.0</v>
      </c>
      <c r="Q2529" s="5">
        <v>0.0</v>
      </c>
      <c r="R2529" s="5">
        <v>0.0</v>
      </c>
      <c r="S2529" s="5">
        <v>318.852480742874</v>
      </c>
    </row>
    <row r="2530">
      <c r="A2530" s="6">
        <v>44027.0</v>
      </c>
      <c r="B2530" s="5">
        <v>328.137037057069</v>
      </c>
      <c r="C2530" s="5">
        <v>259.19124689827</v>
      </c>
      <c r="D2530" s="5">
        <v>382.917033696166</v>
      </c>
      <c r="E2530" s="5">
        <v>328.137037057069</v>
      </c>
      <c r="F2530" s="5">
        <v>328.137037057069</v>
      </c>
      <c r="G2530" s="5">
        <v>-8.18141852707329</v>
      </c>
      <c r="H2530" s="5">
        <v>-8.18141852707329</v>
      </c>
      <c r="I2530" s="5">
        <v>-8.18141852707329</v>
      </c>
      <c r="J2530" s="5">
        <v>0.00703780528130022</v>
      </c>
      <c r="K2530" s="5">
        <v>0.00703780528130022</v>
      </c>
      <c r="L2530" s="5">
        <v>0.00703780528130022</v>
      </c>
      <c r="M2530" s="5">
        <v>-8.18845633235459</v>
      </c>
      <c r="N2530" s="5">
        <v>-8.18845633235459</v>
      </c>
      <c r="O2530" s="5">
        <v>-8.18845633235459</v>
      </c>
      <c r="P2530" s="5">
        <v>0.0</v>
      </c>
      <c r="Q2530" s="5">
        <v>0.0</v>
      </c>
      <c r="R2530" s="5">
        <v>0.0</v>
      </c>
      <c r="S2530" s="5">
        <v>319.955618529996</v>
      </c>
    </row>
    <row r="2531">
      <c r="A2531" s="6">
        <v>44028.0</v>
      </c>
      <c r="B2531" s="5">
        <v>329.307883256582</v>
      </c>
      <c r="C2531" s="5">
        <v>261.353672672844</v>
      </c>
      <c r="D2531" s="5">
        <v>381.595572911466</v>
      </c>
      <c r="E2531" s="5">
        <v>329.307883256582</v>
      </c>
      <c r="F2531" s="5">
        <v>329.307883256582</v>
      </c>
      <c r="G2531" s="5">
        <v>-9.23741733988415</v>
      </c>
      <c r="H2531" s="5">
        <v>-9.23741733988415</v>
      </c>
      <c r="I2531" s="5">
        <v>-9.23741733988415</v>
      </c>
      <c r="J2531" s="5">
        <v>-0.776422525900796</v>
      </c>
      <c r="K2531" s="5">
        <v>-0.776422525900796</v>
      </c>
      <c r="L2531" s="5">
        <v>-0.776422525900796</v>
      </c>
      <c r="M2531" s="5">
        <v>-8.46099481398336</v>
      </c>
      <c r="N2531" s="5">
        <v>-8.46099481398336</v>
      </c>
      <c r="O2531" s="5">
        <v>-8.46099481398336</v>
      </c>
      <c r="P2531" s="5">
        <v>0.0</v>
      </c>
      <c r="Q2531" s="5">
        <v>0.0</v>
      </c>
      <c r="R2531" s="5">
        <v>0.0</v>
      </c>
      <c r="S2531" s="5">
        <v>320.070465916698</v>
      </c>
    </row>
    <row r="2532">
      <c r="A2532" s="6">
        <v>44029.0</v>
      </c>
      <c r="B2532" s="5">
        <v>330.478729456096</v>
      </c>
      <c r="C2532" s="5">
        <v>257.981253321632</v>
      </c>
      <c r="D2532" s="5">
        <v>377.680610540842</v>
      </c>
      <c r="E2532" s="5">
        <v>330.478729456096</v>
      </c>
      <c r="F2532" s="5">
        <v>330.478729456096</v>
      </c>
      <c r="G2532" s="5">
        <v>-10.3693063875728</v>
      </c>
      <c r="H2532" s="5">
        <v>-10.3693063875728</v>
      </c>
      <c r="I2532" s="5">
        <v>-10.3693063875728</v>
      </c>
      <c r="J2532" s="5">
        <v>-1.59155056649474</v>
      </c>
      <c r="K2532" s="5">
        <v>-1.59155056649474</v>
      </c>
      <c r="L2532" s="5">
        <v>-1.59155056649474</v>
      </c>
      <c r="M2532" s="5">
        <v>-8.77775582107809</v>
      </c>
      <c r="N2532" s="5">
        <v>-8.77775582107809</v>
      </c>
      <c r="O2532" s="5">
        <v>-8.77775582107809</v>
      </c>
      <c r="P2532" s="5">
        <v>0.0</v>
      </c>
      <c r="Q2532" s="5">
        <v>0.0</v>
      </c>
      <c r="R2532" s="5">
        <v>0.0</v>
      </c>
      <c r="S2532" s="5">
        <v>320.109423068523</v>
      </c>
    </row>
    <row r="2533">
      <c r="A2533" s="6">
        <v>44032.0</v>
      </c>
      <c r="B2533" s="5">
        <v>333.991268054636</v>
      </c>
      <c r="C2533" s="5">
        <v>254.205829414308</v>
      </c>
      <c r="D2533" s="5">
        <v>386.242961808764</v>
      </c>
      <c r="E2533" s="5">
        <v>333.991268054636</v>
      </c>
      <c r="F2533" s="5">
        <v>333.991268054636</v>
      </c>
      <c r="G2533" s="5">
        <v>-9.79344289203917</v>
      </c>
      <c r="H2533" s="5">
        <v>-9.79344289203917</v>
      </c>
      <c r="I2533" s="5">
        <v>-9.79344289203917</v>
      </c>
      <c r="J2533" s="5">
        <v>0.0905589421228304</v>
      </c>
      <c r="K2533" s="5">
        <v>0.0905589421228304</v>
      </c>
      <c r="L2533" s="5">
        <v>0.0905589421228304</v>
      </c>
      <c r="M2533" s="5">
        <v>-9.884001834162</v>
      </c>
      <c r="N2533" s="5">
        <v>-9.884001834162</v>
      </c>
      <c r="O2533" s="5">
        <v>-9.884001834162</v>
      </c>
      <c r="P2533" s="5">
        <v>0.0</v>
      </c>
      <c r="Q2533" s="5">
        <v>0.0</v>
      </c>
      <c r="R2533" s="5">
        <v>0.0</v>
      </c>
      <c r="S2533" s="5">
        <v>324.197825162596</v>
      </c>
    </row>
    <row r="2534">
      <c r="A2534" s="6">
        <v>44033.0</v>
      </c>
      <c r="B2534" s="5">
        <v>335.162114254148</v>
      </c>
      <c r="C2534" s="5">
        <v>259.193173893121</v>
      </c>
      <c r="D2534" s="5">
        <v>388.910754924681</v>
      </c>
      <c r="E2534" s="5">
        <v>335.162114254148</v>
      </c>
      <c r="F2534" s="5">
        <v>335.162114254148</v>
      </c>
      <c r="G2534" s="5">
        <v>-10.4095289139704</v>
      </c>
      <c r="H2534" s="5">
        <v>-10.4095289139704</v>
      </c>
      <c r="I2534" s="5">
        <v>-10.4095289139704</v>
      </c>
      <c r="J2534" s="5">
        <v>-0.144118857244561</v>
      </c>
      <c r="K2534" s="5">
        <v>-0.144118857244561</v>
      </c>
      <c r="L2534" s="5">
        <v>-0.144118857244561</v>
      </c>
      <c r="M2534" s="5">
        <v>-10.2654100567258</v>
      </c>
      <c r="N2534" s="5">
        <v>-10.2654100567258</v>
      </c>
      <c r="O2534" s="5">
        <v>-10.2654100567258</v>
      </c>
      <c r="P2534" s="5">
        <v>0.0</v>
      </c>
      <c r="Q2534" s="5">
        <v>0.0</v>
      </c>
      <c r="R2534" s="5">
        <v>0.0</v>
      </c>
      <c r="S2534" s="5">
        <v>324.752585340178</v>
      </c>
    </row>
    <row r="2535">
      <c r="A2535" s="6">
        <v>44034.0</v>
      </c>
      <c r="B2535" s="5">
        <v>336.332960453662</v>
      </c>
      <c r="C2535" s="5">
        <v>261.546527077876</v>
      </c>
      <c r="D2535" s="5">
        <v>388.098948057925</v>
      </c>
      <c r="E2535" s="5">
        <v>336.332960453662</v>
      </c>
      <c r="F2535" s="5">
        <v>336.332960453662</v>
      </c>
      <c r="G2535" s="5">
        <v>-10.6261213727963</v>
      </c>
      <c r="H2535" s="5">
        <v>-10.6261213727963</v>
      </c>
      <c r="I2535" s="5">
        <v>-10.6261213727963</v>
      </c>
      <c r="J2535" s="5">
        <v>0.00703780528459403</v>
      </c>
      <c r="K2535" s="5">
        <v>0.00703780528459403</v>
      </c>
      <c r="L2535" s="5">
        <v>0.00703780528459403</v>
      </c>
      <c r="M2535" s="5">
        <v>-10.6331591780809</v>
      </c>
      <c r="N2535" s="5">
        <v>-10.6331591780809</v>
      </c>
      <c r="O2535" s="5">
        <v>-10.6331591780809</v>
      </c>
      <c r="P2535" s="5">
        <v>0.0</v>
      </c>
      <c r="Q2535" s="5">
        <v>0.0</v>
      </c>
      <c r="R2535" s="5">
        <v>0.0</v>
      </c>
      <c r="S2535" s="5">
        <v>325.706839080866</v>
      </c>
    </row>
    <row r="2536">
      <c r="A2536" s="6">
        <v>44035.0</v>
      </c>
      <c r="B2536" s="5">
        <v>337.503806653175</v>
      </c>
      <c r="C2536" s="5">
        <v>257.776777914513</v>
      </c>
      <c r="D2536" s="5">
        <v>390.48595768618</v>
      </c>
      <c r="E2536" s="5">
        <v>337.503806653175</v>
      </c>
      <c r="F2536" s="5">
        <v>337.503806653175</v>
      </c>
      <c r="G2536" s="5">
        <v>-11.7521578351171</v>
      </c>
      <c r="H2536" s="5">
        <v>-11.7521578351171</v>
      </c>
      <c r="I2536" s="5">
        <v>-11.7521578351171</v>
      </c>
      <c r="J2536" s="5">
        <v>-0.776422525902893</v>
      </c>
      <c r="K2536" s="5">
        <v>-0.776422525902893</v>
      </c>
      <c r="L2536" s="5">
        <v>-0.776422525902893</v>
      </c>
      <c r="M2536" s="5">
        <v>-10.9757353092142</v>
      </c>
      <c r="N2536" s="5">
        <v>-10.9757353092142</v>
      </c>
      <c r="O2536" s="5">
        <v>-10.9757353092142</v>
      </c>
      <c r="P2536" s="5">
        <v>0.0</v>
      </c>
      <c r="Q2536" s="5">
        <v>0.0</v>
      </c>
      <c r="R2536" s="5">
        <v>0.0</v>
      </c>
      <c r="S2536" s="5">
        <v>325.751648818058</v>
      </c>
    </row>
    <row r="2537">
      <c r="A2537" s="6">
        <v>44036.0</v>
      </c>
      <c r="B2537" s="5">
        <v>338.674652852688</v>
      </c>
      <c r="C2537" s="5">
        <v>264.510516004464</v>
      </c>
      <c r="D2537" s="5">
        <v>387.788583728186</v>
      </c>
      <c r="E2537" s="5">
        <v>338.674652852688</v>
      </c>
      <c r="F2537" s="5">
        <v>338.674652852688</v>
      </c>
      <c r="G2537" s="5">
        <v>-12.8739273109806</v>
      </c>
      <c r="H2537" s="5">
        <v>-12.8739273109806</v>
      </c>
      <c r="I2537" s="5">
        <v>-12.8739273109806</v>
      </c>
      <c r="J2537" s="5">
        <v>-1.59155056649382</v>
      </c>
      <c r="K2537" s="5">
        <v>-1.59155056649382</v>
      </c>
      <c r="L2537" s="5">
        <v>-1.59155056649382</v>
      </c>
      <c r="M2537" s="5">
        <v>-11.2823767444867</v>
      </c>
      <c r="N2537" s="5">
        <v>-11.2823767444867</v>
      </c>
      <c r="O2537" s="5">
        <v>-11.2823767444867</v>
      </c>
      <c r="P2537" s="5">
        <v>0.0</v>
      </c>
      <c r="Q2537" s="5">
        <v>0.0</v>
      </c>
      <c r="R2537" s="5">
        <v>0.0</v>
      </c>
      <c r="S2537" s="5">
        <v>325.800725541708</v>
      </c>
    </row>
    <row r="2538">
      <c r="A2538" s="6">
        <v>44039.0</v>
      </c>
      <c r="B2538" s="5">
        <v>342.187191451228</v>
      </c>
      <c r="C2538" s="5">
        <v>262.92745259734</v>
      </c>
      <c r="D2538" s="5">
        <v>393.814239766378</v>
      </c>
      <c r="E2538" s="5">
        <v>342.187191451228</v>
      </c>
      <c r="F2538" s="5">
        <v>342.187191451228</v>
      </c>
      <c r="G2538" s="5">
        <v>-11.8054850874805</v>
      </c>
      <c r="H2538" s="5">
        <v>-11.8054850874805</v>
      </c>
      <c r="I2538" s="5">
        <v>-11.8054850874805</v>
      </c>
      <c r="J2538" s="5">
        <v>0.0905589421190092</v>
      </c>
      <c r="K2538" s="5">
        <v>0.0905589421190092</v>
      </c>
      <c r="L2538" s="5">
        <v>0.0905589421190092</v>
      </c>
      <c r="M2538" s="5">
        <v>-11.8960440295995</v>
      </c>
      <c r="N2538" s="5">
        <v>-11.8960440295995</v>
      </c>
      <c r="O2538" s="5">
        <v>-11.8960440295995</v>
      </c>
      <c r="P2538" s="5">
        <v>0.0</v>
      </c>
      <c r="Q2538" s="5">
        <v>0.0</v>
      </c>
      <c r="R2538" s="5">
        <v>0.0</v>
      </c>
      <c r="S2538" s="5">
        <v>330.381706363747</v>
      </c>
    </row>
    <row r="2539">
      <c r="A2539" s="6">
        <v>44040.0</v>
      </c>
      <c r="B2539" s="5">
        <v>343.358037650741</v>
      </c>
      <c r="C2539" s="5">
        <v>268.942306676966</v>
      </c>
      <c r="D2539" s="5">
        <v>392.27021296172</v>
      </c>
      <c r="E2539" s="5">
        <v>343.358037650741</v>
      </c>
      <c r="F2539" s="5">
        <v>343.358037650741</v>
      </c>
      <c r="G2539" s="5">
        <v>-12.1196402570747</v>
      </c>
      <c r="H2539" s="5">
        <v>-12.1196402570747</v>
      </c>
      <c r="I2539" s="5">
        <v>-12.1196402570747</v>
      </c>
      <c r="J2539" s="5">
        <v>-0.144118857243778</v>
      </c>
      <c r="K2539" s="5">
        <v>-0.144118857243778</v>
      </c>
      <c r="L2539" s="5">
        <v>-0.144118857243778</v>
      </c>
      <c r="M2539" s="5">
        <v>-11.975521399831</v>
      </c>
      <c r="N2539" s="5">
        <v>-11.975521399831</v>
      </c>
      <c r="O2539" s="5">
        <v>-11.975521399831</v>
      </c>
      <c r="P2539" s="5">
        <v>0.0</v>
      </c>
      <c r="Q2539" s="5">
        <v>0.0</v>
      </c>
      <c r="R2539" s="5">
        <v>0.0</v>
      </c>
      <c r="S2539" s="5">
        <v>331.238397393667</v>
      </c>
    </row>
    <row r="2540">
      <c r="A2540" s="6">
        <v>44041.0</v>
      </c>
      <c r="B2540" s="5">
        <v>344.528883850255</v>
      </c>
      <c r="C2540" s="5">
        <v>269.05352233569</v>
      </c>
      <c r="D2540" s="5">
        <v>396.224787386338</v>
      </c>
      <c r="E2540" s="5">
        <v>344.528883850255</v>
      </c>
      <c r="F2540" s="5">
        <v>344.528883850255</v>
      </c>
      <c r="G2540" s="5">
        <v>-11.9781200210692</v>
      </c>
      <c r="H2540" s="5">
        <v>-11.9781200210692</v>
      </c>
      <c r="I2540" s="5">
        <v>-11.9781200210692</v>
      </c>
      <c r="J2540" s="5">
        <v>0.00703780528157789</v>
      </c>
      <c r="K2540" s="5">
        <v>0.00703780528157789</v>
      </c>
      <c r="L2540" s="5">
        <v>0.00703780528157789</v>
      </c>
      <c r="M2540" s="5">
        <v>-11.9851578263508</v>
      </c>
      <c r="N2540" s="5">
        <v>-11.9851578263508</v>
      </c>
      <c r="O2540" s="5">
        <v>-11.9851578263508</v>
      </c>
      <c r="P2540" s="5">
        <v>0.0</v>
      </c>
      <c r="Q2540" s="5">
        <v>0.0</v>
      </c>
      <c r="R2540" s="5">
        <v>0.0</v>
      </c>
      <c r="S2540" s="5">
        <v>332.550763829185</v>
      </c>
    </row>
    <row r="2541">
      <c r="A2541" s="6">
        <v>44042.0</v>
      </c>
      <c r="B2541" s="5">
        <v>345.699730049768</v>
      </c>
      <c r="C2541" s="5">
        <v>272.227269980058</v>
      </c>
      <c r="D2541" s="5">
        <v>395.918774567194</v>
      </c>
      <c r="E2541" s="5">
        <v>345.699730049768</v>
      </c>
      <c r="F2541" s="5">
        <v>345.699730049768</v>
      </c>
      <c r="G2541" s="5">
        <v>-12.6997243381465</v>
      </c>
      <c r="H2541" s="5">
        <v>-12.6997243381465</v>
      </c>
      <c r="I2541" s="5">
        <v>-12.6997243381465</v>
      </c>
      <c r="J2541" s="5">
        <v>-0.77642252590499</v>
      </c>
      <c r="K2541" s="5">
        <v>-0.77642252590499</v>
      </c>
      <c r="L2541" s="5">
        <v>-0.77642252590499</v>
      </c>
      <c r="M2541" s="5">
        <v>-11.9233018122415</v>
      </c>
      <c r="N2541" s="5">
        <v>-11.9233018122415</v>
      </c>
      <c r="O2541" s="5">
        <v>-11.9233018122415</v>
      </c>
      <c r="P2541" s="5">
        <v>0.0</v>
      </c>
      <c r="Q2541" s="5">
        <v>0.0</v>
      </c>
      <c r="R2541" s="5">
        <v>0.0</v>
      </c>
      <c r="S2541" s="5">
        <v>333.000005711621</v>
      </c>
    </row>
    <row r="2542">
      <c r="A2542" s="6">
        <v>44043.0</v>
      </c>
      <c r="B2542" s="5">
        <v>346.870576249281</v>
      </c>
      <c r="C2542" s="5">
        <v>272.235364623728</v>
      </c>
      <c r="D2542" s="5">
        <v>396.522455342284</v>
      </c>
      <c r="E2542" s="5">
        <v>346.870576249281</v>
      </c>
      <c r="F2542" s="5">
        <v>346.870576249281</v>
      </c>
      <c r="G2542" s="5">
        <v>-13.381716213494</v>
      </c>
      <c r="H2542" s="5">
        <v>-13.381716213494</v>
      </c>
      <c r="I2542" s="5">
        <v>-13.381716213494</v>
      </c>
      <c r="J2542" s="5">
        <v>-1.59155056649258</v>
      </c>
      <c r="K2542" s="5">
        <v>-1.59155056649258</v>
      </c>
      <c r="L2542" s="5">
        <v>-1.59155056649258</v>
      </c>
      <c r="M2542" s="5">
        <v>-11.7901656470014</v>
      </c>
      <c r="N2542" s="5">
        <v>-11.7901656470014</v>
      </c>
      <c r="O2542" s="5">
        <v>-11.7901656470014</v>
      </c>
      <c r="P2542" s="5">
        <v>0.0</v>
      </c>
      <c r="Q2542" s="5">
        <v>0.0</v>
      </c>
      <c r="R2542" s="5">
        <v>0.0</v>
      </c>
      <c r="S2542" s="5">
        <v>333.488860035787</v>
      </c>
    </row>
    <row r="2543">
      <c r="A2543" s="6">
        <v>44046.0</v>
      </c>
      <c r="B2543" s="5">
        <v>350.383114847821</v>
      </c>
      <c r="C2543" s="5">
        <v>276.28934865962</v>
      </c>
      <c r="D2543" s="5">
        <v>402.041869139202</v>
      </c>
      <c r="E2543" s="5">
        <v>350.383114847821</v>
      </c>
      <c r="F2543" s="5">
        <v>350.383114847821</v>
      </c>
      <c r="G2543" s="5">
        <v>-10.9014056791024</v>
      </c>
      <c r="H2543" s="5">
        <v>-10.9014056791024</v>
      </c>
      <c r="I2543" s="5">
        <v>-10.9014056791024</v>
      </c>
      <c r="J2543" s="5">
        <v>0.0905589421199556</v>
      </c>
      <c r="K2543" s="5">
        <v>0.0905589421199556</v>
      </c>
      <c r="L2543" s="5">
        <v>0.0905589421199556</v>
      </c>
      <c r="M2543" s="5">
        <v>-10.9919646212224</v>
      </c>
      <c r="N2543" s="5">
        <v>-10.9919646212224</v>
      </c>
      <c r="O2543" s="5">
        <v>-10.9919646212224</v>
      </c>
      <c r="P2543" s="5">
        <v>0.0</v>
      </c>
      <c r="Q2543" s="5">
        <v>0.0</v>
      </c>
      <c r="R2543" s="5">
        <v>0.0</v>
      </c>
      <c r="S2543" s="5">
        <v>339.481709168718</v>
      </c>
    </row>
    <row r="2544">
      <c r="A2544" s="6">
        <v>44047.0</v>
      </c>
      <c r="B2544" s="5">
        <v>351.553961047334</v>
      </c>
      <c r="C2544" s="5">
        <v>279.974809670453</v>
      </c>
      <c r="D2544" s="5">
        <v>404.870091428489</v>
      </c>
      <c r="E2544" s="5">
        <v>351.553961047334</v>
      </c>
      <c r="F2544" s="5">
        <v>351.553961047334</v>
      </c>
      <c r="G2544" s="5">
        <v>-10.7547752392127</v>
      </c>
      <c r="H2544" s="5">
        <v>-10.7547752392127</v>
      </c>
      <c r="I2544" s="5">
        <v>-10.7547752392127</v>
      </c>
      <c r="J2544" s="5">
        <v>-0.14411885724269</v>
      </c>
      <c r="K2544" s="5">
        <v>-0.14411885724269</v>
      </c>
      <c r="L2544" s="5">
        <v>-0.14411885724269</v>
      </c>
      <c r="M2544" s="5">
        <v>-10.61065638197</v>
      </c>
      <c r="N2544" s="5">
        <v>-10.61065638197</v>
      </c>
      <c r="O2544" s="5">
        <v>-10.61065638197</v>
      </c>
      <c r="P2544" s="5">
        <v>0.0</v>
      </c>
      <c r="Q2544" s="5">
        <v>0.0</v>
      </c>
      <c r="R2544" s="5">
        <v>0.0</v>
      </c>
      <c r="S2544" s="5">
        <v>340.799185808121</v>
      </c>
    </row>
    <row r="2545">
      <c r="A2545" s="6">
        <v>44048.0</v>
      </c>
      <c r="B2545" s="5">
        <v>352.724807246847</v>
      </c>
      <c r="C2545" s="5">
        <v>279.003579162013</v>
      </c>
      <c r="D2545" s="5">
        <v>403.881328715731</v>
      </c>
      <c r="E2545" s="5">
        <v>352.724807246847</v>
      </c>
      <c r="F2545" s="5">
        <v>352.724807246847</v>
      </c>
      <c r="G2545" s="5">
        <v>-10.176926870723</v>
      </c>
      <c r="H2545" s="5">
        <v>-10.176926870723</v>
      </c>
      <c r="I2545" s="5">
        <v>-10.176926870723</v>
      </c>
      <c r="J2545" s="5">
        <v>0.00703780528288892</v>
      </c>
      <c r="K2545" s="5">
        <v>0.00703780528288892</v>
      </c>
      <c r="L2545" s="5">
        <v>0.00703780528288892</v>
      </c>
      <c r="M2545" s="5">
        <v>-10.1839646760058</v>
      </c>
      <c r="N2545" s="5">
        <v>-10.1839646760058</v>
      </c>
      <c r="O2545" s="5">
        <v>-10.1839646760058</v>
      </c>
      <c r="P2545" s="5">
        <v>0.0</v>
      </c>
      <c r="Q2545" s="5">
        <v>0.0</v>
      </c>
      <c r="R2545" s="5">
        <v>0.0</v>
      </c>
      <c r="S2545" s="5">
        <v>342.547880376124</v>
      </c>
    </row>
    <row r="2546">
      <c r="A2546" s="6">
        <v>44049.0</v>
      </c>
      <c r="B2546" s="5">
        <v>353.895653446361</v>
      </c>
      <c r="C2546" s="5">
        <v>283.908933225959</v>
      </c>
      <c r="D2546" s="5">
        <v>406.038453370371</v>
      </c>
      <c r="E2546" s="5">
        <v>353.895653446361</v>
      </c>
      <c r="F2546" s="5">
        <v>353.895653446361</v>
      </c>
      <c r="G2546" s="5">
        <v>-10.4972040237499</v>
      </c>
      <c r="H2546" s="5">
        <v>-10.4972040237499</v>
      </c>
      <c r="I2546" s="5">
        <v>-10.4972040237499</v>
      </c>
      <c r="J2546" s="5">
        <v>-0.776422525905712</v>
      </c>
      <c r="K2546" s="5">
        <v>-0.776422525905712</v>
      </c>
      <c r="L2546" s="5">
        <v>-0.776422525905712</v>
      </c>
      <c r="M2546" s="5">
        <v>-9.72078149784423</v>
      </c>
      <c r="N2546" s="5">
        <v>-9.72078149784423</v>
      </c>
      <c r="O2546" s="5">
        <v>-9.72078149784423</v>
      </c>
      <c r="P2546" s="5">
        <v>0.0</v>
      </c>
      <c r="Q2546" s="5">
        <v>0.0</v>
      </c>
      <c r="R2546" s="5">
        <v>0.0</v>
      </c>
      <c r="S2546" s="5">
        <v>343.398449422611</v>
      </c>
    </row>
    <row r="2547">
      <c r="A2547" s="6">
        <v>44050.0</v>
      </c>
      <c r="B2547" s="5">
        <v>355.066499645874</v>
      </c>
      <c r="C2547" s="5">
        <v>276.221875134293</v>
      </c>
      <c r="D2547" s="5">
        <v>406.809584026634</v>
      </c>
      <c r="E2547" s="5">
        <v>355.066499645874</v>
      </c>
      <c r="F2547" s="5">
        <v>355.066499645874</v>
      </c>
      <c r="G2547" s="5">
        <v>-10.8222073242218</v>
      </c>
      <c r="H2547" s="5">
        <v>-10.8222073242218</v>
      </c>
      <c r="I2547" s="5">
        <v>-10.8222073242218</v>
      </c>
      <c r="J2547" s="5">
        <v>-1.59155056649197</v>
      </c>
      <c r="K2547" s="5">
        <v>-1.59155056649197</v>
      </c>
      <c r="L2547" s="5">
        <v>-1.59155056649197</v>
      </c>
      <c r="M2547" s="5">
        <v>-9.23065675772989</v>
      </c>
      <c r="N2547" s="5">
        <v>-9.23065675772989</v>
      </c>
      <c r="O2547" s="5">
        <v>-9.23065675772989</v>
      </c>
      <c r="P2547" s="5">
        <v>0.0</v>
      </c>
      <c r="Q2547" s="5">
        <v>0.0</v>
      </c>
      <c r="R2547" s="5">
        <v>0.0</v>
      </c>
      <c r="S2547" s="5">
        <v>344.244292321652</v>
      </c>
    </row>
    <row r="2548">
      <c r="A2548" s="6">
        <v>44053.0</v>
      </c>
      <c r="B2548" s="5">
        <v>358.579038244414</v>
      </c>
      <c r="C2548" s="5">
        <v>289.570017515798</v>
      </c>
      <c r="D2548" s="5">
        <v>416.351321991675</v>
      </c>
      <c r="E2548" s="5">
        <v>358.579038244414</v>
      </c>
      <c r="F2548" s="5">
        <v>358.579038244414</v>
      </c>
      <c r="G2548" s="5">
        <v>-7.60730774451061</v>
      </c>
      <c r="H2548" s="5">
        <v>-7.60730774451061</v>
      </c>
      <c r="I2548" s="5">
        <v>-7.60730774451061</v>
      </c>
      <c r="J2548" s="5">
        <v>0.090558942120902</v>
      </c>
      <c r="K2548" s="5">
        <v>0.090558942120902</v>
      </c>
      <c r="L2548" s="5">
        <v>0.090558942120902</v>
      </c>
      <c r="M2548" s="5">
        <v>-7.69786668663151</v>
      </c>
      <c r="N2548" s="5">
        <v>-7.69786668663151</v>
      </c>
      <c r="O2548" s="5">
        <v>-7.69786668663151</v>
      </c>
      <c r="P2548" s="5">
        <v>0.0</v>
      </c>
      <c r="Q2548" s="5">
        <v>0.0</v>
      </c>
      <c r="R2548" s="5">
        <v>0.0</v>
      </c>
      <c r="S2548" s="5">
        <v>350.971730499903</v>
      </c>
    </row>
    <row r="2549">
      <c r="A2549" s="6">
        <v>44054.0</v>
      </c>
      <c r="B2549" s="5">
        <v>359.749884443927</v>
      </c>
      <c r="C2549" s="5">
        <v>293.380684054069</v>
      </c>
      <c r="D2549" s="5">
        <v>413.141217138861</v>
      </c>
      <c r="E2549" s="5">
        <v>359.749884443927</v>
      </c>
      <c r="F2549" s="5">
        <v>359.749884443927</v>
      </c>
      <c r="G2549" s="5">
        <v>-7.34252376522737</v>
      </c>
      <c r="H2549" s="5">
        <v>-7.34252376522737</v>
      </c>
      <c r="I2549" s="5">
        <v>-7.34252376522737</v>
      </c>
      <c r="J2549" s="5">
        <v>-0.144118857244125</v>
      </c>
      <c r="K2549" s="5">
        <v>-0.144118857244125</v>
      </c>
      <c r="L2549" s="5">
        <v>-0.144118857244125</v>
      </c>
      <c r="M2549" s="5">
        <v>-7.19840490798324</v>
      </c>
      <c r="N2549" s="5">
        <v>-7.19840490798324</v>
      </c>
      <c r="O2549" s="5">
        <v>-7.19840490798324</v>
      </c>
      <c r="P2549" s="5">
        <v>0.0</v>
      </c>
      <c r="Q2549" s="5">
        <v>0.0</v>
      </c>
      <c r="R2549" s="5">
        <v>0.0</v>
      </c>
      <c r="S2549" s="5">
        <v>352.407360678699</v>
      </c>
    </row>
    <row r="2550">
      <c r="A2550" s="6">
        <v>44055.0</v>
      </c>
      <c r="B2550" s="5">
        <v>360.92073064344</v>
      </c>
      <c r="C2550" s="5">
        <v>287.812478384149</v>
      </c>
      <c r="D2550" s="5">
        <v>415.516544042995</v>
      </c>
      <c r="E2550" s="5">
        <v>360.92073064344</v>
      </c>
      <c r="F2550" s="5">
        <v>360.92073064344</v>
      </c>
      <c r="G2550" s="5">
        <v>-6.71240066223069</v>
      </c>
      <c r="H2550" s="5">
        <v>-6.71240066223069</v>
      </c>
      <c r="I2550" s="5">
        <v>-6.71240066223069</v>
      </c>
      <c r="J2550" s="5">
        <v>0.00703780528203637</v>
      </c>
      <c r="K2550" s="5">
        <v>0.00703780528203637</v>
      </c>
      <c r="L2550" s="5">
        <v>0.00703780528203637</v>
      </c>
      <c r="M2550" s="5">
        <v>-6.71943846751273</v>
      </c>
      <c r="N2550" s="5">
        <v>-6.71943846751273</v>
      </c>
      <c r="O2550" s="5">
        <v>-6.71943846751273</v>
      </c>
      <c r="P2550" s="5">
        <v>0.0</v>
      </c>
      <c r="Q2550" s="5">
        <v>0.0</v>
      </c>
      <c r="R2550" s="5">
        <v>0.0</v>
      </c>
      <c r="S2550" s="5">
        <v>354.208329981209</v>
      </c>
    </row>
    <row r="2551">
      <c r="A2551" s="6">
        <v>44056.0</v>
      </c>
      <c r="B2551" s="5">
        <v>362.091576842953</v>
      </c>
      <c r="C2551" s="5">
        <v>292.203876536822</v>
      </c>
      <c r="D2551" s="5">
        <v>418.154515675879</v>
      </c>
      <c r="E2551" s="5">
        <v>362.091576842953</v>
      </c>
      <c r="F2551" s="5">
        <v>362.091576842953</v>
      </c>
      <c r="G2551" s="5">
        <v>-7.04489815434157</v>
      </c>
      <c r="H2551" s="5">
        <v>-7.04489815434157</v>
      </c>
      <c r="I2551" s="5">
        <v>-7.04489815434157</v>
      </c>
      <c r="J2551" s="5">
        <v>-0.776422525902109</v>
      </c>
      <c r="K2551" s="5">
        <v>-0.776422525902109</v>
      </c>
      <c r="L2551" s="5">
        <v>-0.776422525902109</v>
      </c>
      <c r="M2551" s="5">
        <v>-6.26847562843946</v>
      </c>
      <c r="N2551" s="5">
        <v>-6.26847562843946</v>
      </c>
      <c r="O2551" s="5">
        <v>-6.26847562843946</v>
      </c>
      <c r="P2551" s="5">
        <v>0.0</v>
      </c>
      <c r="Q2551" s="5">
        <v>0.0</v>
      </c>
      <c r="R2551" s="5">
        <v>0.0</v>
      </c>
      <c r="S2551" s="5">
        <v>355.046678688612</v>
      </c>
    </row>
    <row r="2552">
      <c r="A2552" s="6">
        <v>44057.0</v>
      </c>
      <c r="B2552" s="5">
        <v>363.262423042466</v>
      </c>
      <c r="C2552" s="5">
        <v>294.085294744635</v>
      </c>
      <c r="D2552" s="5">
        <v>415.87870790798</v>
      </c>
      <c r="E2552" s="5">
        <v>363.262423042466</v>
      </c>
      <c r="F2552" s="5">
        <v>363.262423042466</v>
      </c>
      <c r="G2552" s="5">
        <v>-7.4433860779093</v>
      </c>
      <c r="H2552" s="5">
        <v>-7.4433860779093</v>
      </c>
      <c r="I2552" s="5">
        <v>-7.4433860779093</v>
      </c>
      <c r="J2552" s="5">
        <v>-1.59155056649622</v>
      </c>
      <c r="K2552" s="5">
        <v>-1.59155056649622</v>
      </c>
      <c r="L2552" s="5">
        <v>-1.59155056649622</v>
      </c>
      <c r="M2552" s="5">
        <v>-5.85183551141307</v>
      </c>
      <c r="N2552" s="5">
        <v>-5.85183551141307</v>
      </c>
      <c r="O2552" s="5">
        <v>-5.85183551141307</v>
      </c>
      <c r="P2552" s="5">
        <v>0.0</v>
      </c>
      <c r="Q2552" s="5">
        <v>0.0</v>
      </c>
      <c r="R2552" s="5">
        <v>0.0</v>
      </c>
      <c r="S2552" s="5">
        <v>355.819036964557</v>
      </c>
    </row>
    <row r="2553">
      <c r="A2553" s="6">
        <v>44060.0</v>
      </c>
      <c r="B2553" s="5">
        <v>366.774961641006</v>
      </c>
      <c r="C2553" s="5">
        <v>301.861637386642</v>
      </c>
      <c r="D2553" s="5">
        <v>424.946338278964</v>
      </c>
      <c r="E2553" s="5">
        <v>366.774961641006</v>
      </c>
      <c r="F2553" s="5">
        <v>366.774961641006</v>
      </c>
      <c r="G2553" s="5">
        <v>-4.75971974407898</v>
      </c>
      <c r="H2553" s="5">
        <v>-4.75971974407898</v>
      </c>
      <c r="I2553" s="5">
        <v>-4.75971974407898</v>
      </c>
      <c r="J2553" s="5">
        <v>0.0905589421194646</v>
      </c>
      <c r="K2553" s="5">
        <v>0.0905589421194646</v>
      </c>
      <c r="L2553" s="5">
        <v>0.0905589421194646</v>
      </c>
      <c r="M2553" s="5">
        <v>-4.85027868619844</v>
      </c>
      <c r="N2553" s="5">
        <v>-4.85027868619844</v>
      </c>
      <c r="O2553" s="5">
        <v>-4.85027868619844</v>
      </c>
      <c r="P2553" s="5">
        <v>0.0</v>
      </c>
      <c r="Q2553" s="5">
        <v>0.0</v>
      </c>
      <c r="R2553" s="5">
        <v>0.0</v>
      </c>
      <c r="S2553" s="5">
        <v>362.015241896927</v>
      </c>
    </row>
    <row r="2554">
      <c r="A2554" s="6">
        <v>44061.0</v>
      </c>
      <c r="B2554" s="5">
        <v>367.945807840519</v>
      </c>
      <c r="C2554" s="5">
        <v>302.21684916197</v>
      </c>
      <c r="D2554" s="5">
        <v>425.602279592392</v>
      </c>
      <c r="E2554" s="5">
        <v>367.945807840519</v>
      </c>
      <c r="F2554" s="5">
        <v>367.945807840519</v>
      </c>
      <c r="G2554" s="5">
        <v>-4.75001749342976</v>
      </c>
      <c r="H2554" s="5">
        <v>-4.75001749342976</v>
      </c>
      <c r="I2554" s="5">
        <v>-4.75001749342976</v>
      </c>
      <c r="J2554" s="5">
        <v>-0.144118857245866</v>
      </c>
      <c r="K2554" s="5">
        <v>-0.144118857245866</v>
      </c>
      <c r="L2554" s="5">
        <v>-0.144118857245866</v>
      </c>
      <c r="M2554" s="5">
        <v>-4.6058986361839</v>
      </c>
      <c r="N2554" s="5">
        <v>-4.6058986361839</v>
      </c>
      <c r="O2554" s="5">
        <v>-4.6058986361839</v>
      </c>
      <c r="P2554" s="5">
        <v>0.0</v>
      </c>
      <c r="Q2554" s="5">
        <v>0.0</v>
      </c>
      <c r="R2554" s="5">
        <v>0.0</v>
      </c>
      <c r="S2554" s="5">
        <v>363.19579034709</v>
      </c>
    </row>
    <row r="2555">
      <c r="A2555" s="6">
        <v>44062.0</v>
      </c>
      <c r="B2555" s="5">
        <v>369.116654040033</v>
      </c>
      <c r="C2555" s="5">
        <v>301.847599054107</v>
      </c>
      <c r="D2555" s="5">
        <v>422.658003506679</v>
      </c>
      <c r="E2555" s="5">
        <v>369.116654040033</v>
      </c>
      <c r="F2555" s="5">
        <v>369.116654040033</v>
      </c>
      <c r="G2555" s="5">
        <v>-4.39879205292936</v>
      </c>
      <c r="H2555" s="5">
        <v>-4.39879205292936</v>
      </c>
      <c r="I2555" s="5">
        <v>-4.39879205292936</v>
      </c>
      <c r="J2555" s="5">
        <v>0.00703780528118381</v>
      </c>
      <c r="K2555" s="5">
        <v>0.00703780528118381</v>
      </c>
      <c r="L2555" s="5">
        <v>0.00703780528118381</v>
      </c>
      <c r="M2555" s="5">
        <v>-4.40582985821054</v>
      </c>
      <c r="N2555" s="5">
        <v>-4.40582985821054</v>
      </c>
      <c r="O2555" s="5">
        <v>-4.40582985821054</v>
      </c>
      <c r="P2555" s="5">
        <v>0.0</v>
      </c>
      <c r="Q2555" s="5">
        <v>0.0</v>
      </c>
      <c r="R2555" s="5">
        <v>0.0</v>
      </c>
      <c r="S2555" s="5">
        <v>364.717861987103</v>
      </c>
    </row>
    <row r="2556">
      <c r="A2556" s="6">
        <v>44063.0</v>
      </c>
      <c r="B2556" s="5">
        <v>370.287500239546</v>
      </c>
      <c r="C2556" s="5">
        <v>303.281529012881</v>
      </c>
      <c r="D2556" s="5">
        <v>428.743341649675</v>
      </c>
      <c r="E2556" s="5">
        <v>370.287500239546</v>
      </c>
      <c r="F2556" s="5">
        <v>370.287500239546</v>
      </c>
      <c r="G2556" s="5">
        <v>-5.02409464087614</v>
      </c>
      <c r="H2556" s="5">
        <v>-5.02409464087614</v>
      </c>
      <c r="I2556" s="5">
        <v>-5.02409464087614</v>
      </c>
      <c r="J2556" s="5">
        <v>-0.776422525901456</v>
      </c>
      <c r="K2556" s="5">
        <v>-0.776422525901456</v>
      </c>
      <c r="L2556" s="5">
        <v>-0.776422525901456</v>
      </c>
      <c r="M2556" s="5">
        <v>-4.24767211497468</v>
      </c>
      <c r="N2556" s="5">
        <v>-4.24767211497468</v>
      </c>
      <c r="O2556" s="5">
        <v>-4.24767211497468</v>
      </c>
      <c r="P2556" s="5">
        <v>0.0</v>
      </c>
      <c r="Q2556" s="5">
        <v>0.0</v>
      </c>
      <c r="R2556" s="5">
        <v>0.0</v>
      </c>
      <c r="S2556" s="5">
        <v>365.26340559867</v>
      </c>
    </row>
    <row r="2557">
      <c r="A2557" s="6">
        <v>44064.0</v>
      </c>
      <c r="B2557" s="5">
        <v>371.458346439059</v>
      </c>
      <c r="C2557" s="5">
        <v>305.343659807602</v>
      </c>
      <c r="D2557" s="5">
        <v>432.521458762978</v>
      </c>
      <c r="E2557" s="5">
        <v>371.458346439059</v>
      </c>
      <c r="F2557" s="5">
        <v>371.458346439059</v>
      </c>
      <c r="G2557" s="5">
        <v>-5.71930894461415</v>
      </c>
      <c r="H2557" s="5">
        <v>-5.71930894461415</v>
      </c>
      <c r="I2557" s="5">
        <v>-5.71930894461415</v>
      </c>
      <c r="J2557" s="5">
        <v>-1.59155056649561</v>
      </c>
      <c r="K2557" s="5">
        <v>-1.59155056649561</v>
      </c>
      <c r="L2557" s="5">
        <v>-1.59155056649561</v>
      </c>
      <c r="M2557" s="5">
        <v>-4.12775837811854</v>
      </c>
      <c r="N2557" s="5">
        <v>-4.12775837811854</v>
      </c>
      <c r="O2557" s="5">
        <v>-4.12775837811854</v>
      </c>
      <c r="P2557" s="5">
        <v>0.0</v>
      </c>
      <c r="Q2557" s="5">
        <v>0.0</v>
      </c>
      <c r="R2557" s="5">
        <v>0.0</v>
      </c>
      <c r="S2557" s="5">
        <v>365.739037494445</v>
      </c>
    </row>
    <row r="2558">
      <c r="A2558" s="6">
        <v>44067.0</v>
      </c>
      <c r="B2558" s="5">
        <v>374.970885037599</v>
      </c>
      <c r="C2558" s="5">
        <v>308.569945840425</v>
      </c>
      <c r="D2558" s="5">
        <v>437.583880344885</v>
      </c>
      <c r="E2558" s="5">
        <v>374.970885037599</v>
      </c>
      <c r="F2558" s="5">
        <v>374.970885037599</v>
      </c>
      <c r="G2558" s="5">
        <v>-3.85509735575604</v>
      </c>
      <c r="H2558" s="5">
        <v>-3.85509735575604</v>
      </c>
      <c r="I2558" s="5">
        <v>-3.85509735575604</v>
      </c>
      <c r="J2558" s="5">
        <v>0.0905589421253389</v>
      </c>
      <c r="K2558" s="5">
        <v>0.0905589421253389</v>
      </c>
      <c r="L2558" s="5">
        <v>0.0905589421253389</v>
      </c>
      <c r="M2558" s="5">
        <v>-3.94565629788138</v>
      </c>
      <c r="N2558" s="5">
        <v>-3.94565629788138</v>
      </c>
      <c r="O2558" s="5">
        <v>-3.94565629788138</v>
      </c>
      <c r="P2558" s="5">
        <v>0.0</v>
      </c>
      <c r="Q2558" s="5">
        <v>0.0</v>
      </c>
      <c r="R2558" s="5">
        <v>0.0</v>
      </c>
      <c r="S2558" s="5">
        <v>371.115787681843</v>
      </c>
    </row>
    <row r="2559">
      <c r="A2559" s="6">
        <v>44068.0</v>
      </c>
      <c r="B2559" s="5">
        <v>376.141731237112</v>
      </c>
      <c r="C2559" s="5">
        <v>315.369920437138</v>
      </c>
      <c r="D2559" s="5">
        <v>437.46508193409</v>
      </c>
      <c r="E2559" s="5">
        <v>376.141731237112</v>
      </c>
      <c r="F2559" s="5">
        <v>376.141731237112</v>
      </c>
      <c r="G2559" s="5">
        <v>-4.06752621375849</v>
      </c>
      <c r="H2559" s="5">
        <v>-4.06752621375849</v>
      </c>
      <c r="I2559" s="5">
        <v>-4.06752621375849</v>
      </c>
      <c r="J2559" s="5">
        <v>-0.144118857247301</v>
      </c>
      <c r="K2559" s="5">
        <v>-0.144118857247301</v>
      </c>
      <c r="L2559" s="5">
        <v>-0.144118857247301</v>
      </c>
      <c r="M2559" s="5">
        <v>-3.92340735651119</v>
      </c>
      <c r="N2559" s="5">
        <v>-3.92340735651119</v>
      </c>
      <c r="O2559" s="5">
        <v>-3.92340735651119</v>
      </c>
      <c r="P2559" s="5">
        <v>0.0</v>
      </c>
      <c r="Q2559" s="5">
        <v>0.0</v>
      </c>
      <c r="R2559" s="5">
        <v>0.0</v>
      </c>
      <c r="S2559" s="5">
        <v>372.074205023354</v>
      </c>
    </row>
    <row r="2560">
      <c r="A2560" s="6">
        <v>44069.0</v>
      </c>
      <c r="B2560" s="5">
        <v>377.312577436625</v>
      </c>
      <c r="C2560" s="5">
        <v>312.457414070747</v>
      </c>
      <c r="D2560" s="5">
        <v>438.282477157015</v>
      </c>
      <c r="E2560" s="5">
        <v>377.312577436625</v>
      </c>
      <c r="F2560" s="5">
        <v>377.312577436625</v>
      </c>
      <c r="G2560" s="5">
        <v>-3.90210135130198</v>
      </c>
      <c r="H2560" s="5">
        <v>-3.90210135130198</v>
      </c>
      <c r="I2560" s="5">
        <v>-3.90210135130198</v>
      </c>
      <c r="J2560" s="5">
        <v>0.00703780528033142</v>
      </c>
      <c r="K2560" s="5">
        <v>0.00703780528033142</v>
      </c>
      <c r="L2560" s="5">
        <v>0.00703780528033142</v>
      </c>
      <c r="M2560" s="5">
        <v>-3.90913915658231</v>
      </c>
      <c r="N2560" s="5">
        <v>-3.90913915658231</v>
      </c>
      <c r="O2560" s="5">
        <v>-3.90913915658231</v>
      </c>
      <c r="P2560" s="5">
        <v>0.0</v>
      </c>
      <c r="Q2560" s="5">
        <v>0.0</v>
      </c>
      <c r="R2560" s="5">
        <v>0.0</v>
      </c>
      <c r="S2560" s="5">
        <v>373.410476085323</v>
      </c>
    </row>
    <row r="2561">
      <c r="A2561" s="6">
        <v>44070.0</v>
      </c>
      <c r="B2561" s="5">
        <v>378.483423636139</v>
      </c>
      <c r="C2561" s="5">
        <v>306.771138057346</v>
      </c>
      <c r="D2561" s="5">
        <v>436.780182520156</v>
      </c>
      <c r="E2561" s="5">
        <v>378.483423636139</v>
      </c>
      <c r="F2561" s="5">
        <v>378.483423636139</v>
      </c>
      <c r="G2561" s="5">
        <v>-4.67256320479767</v>
      </c>
      <c r="H2561" s="5">
        <v>-4.67256320479767</v>
      </c>
      <c r="I2561" s="5">
        <v>-4.67256320479767</v>
      </c>
      <c r="J2561" s="5">
        <v>-0.776422525903553</v>
      </c>
      <c r="K2561" s="5">
        <v>-0.776422525903553</v>
      </c>
      <c r="L2561" s="5">
        <v>-0.776422525903553</v>
      </c>
      <c r="M2561" s="5">
        <v>-3.89614067889412</v>
      </c>
      <c r="N2561" s="5">
        <v>-3.89614067889412</v>
      </c>
      <c r="O2561" s="5">
        <v>-3.89614067889412</v>
      </c>
      <c r="P2561" s="5">
        <v>0.0</v>
      </c>
      <c r="Q2561" s="5">
        <v>0.0</v>
      </c>
      <c r="R2561" s="5">
        <v>0.0</v>
      </c>
      <c r="S2561" s="5">
        <v>373.810860431341</v>
      </c>
    </row>
    <row r="2562">
      <c r="A2562" s="6">
        <v>44071.0</v>
      </c>
      <c r="B2562" s="5">
        <v>379.654269835652</v>
      </c>
      <c r="C2562" s="5">
        <v>312.470092486103</v>
      </c>
      <c r="D2562" s="5">
        <v>442.69457593093</v>
      </c>
      <c r="E2562" s="5">
        <v>379.654269835652</v>
      </c>
      <c r="F2562" s="5">
        <v>379.654269835652</v>
      </c>
      <c r="G2562" s="5">
        <v>-5.46964269365663</v>
      </c>
      <c r="H2562" s="5">
        <v>-5.46964269365663</v>
      </c>
      <c r="I2562" s="5">
        <v>-5.46964269365663</v>
      </c>
      <c r="J2562" s="5">
        <v>-1.59155056649437</v>
      </c>
      <c r="K2562" s="5">
        <v>-1.59155056649437</v>
      </c>
      <c r="L2562" s="5">
        <v>-1.59155056649437</v>
      </c>
      <c r="M2562" s="5">
        <v>-3.87809212716225</v>
      </c>
      <c r="N2562" s="5">
        <v>-3.87809212716225</v>
      </c>
      <c r="O2562" s="5">
        <v>-3.87809212716225</v>
      </c>
      <c r="P2562" s="5">
        <v>0.0</v>
      </c>
      <c r="Q2562" s="5">
        <v>0.0</v>
      </c>
      <c r="R2562" s="5">
        <v>0.0</v>
      </c>
      <c r="S2562" s="5">
        <v>374.184627141995</v>
      </c>
    </row>
    <row r="2563">
      <c r="A2563" s="6">
        <v>44074.0</v>
      </c>
      <c r="B2563" s="5">
        <v>383.166808434192</v>
      </c>
      <c r="C2563" s="5">
        <v>318.638329542075</v>
      </c>
      <c r="D2563" s="5">
        <v>441.473871909822</v>
      </c>
      <c r="E2563" s="5">
        <v>383.166808434192</v>
      </c>
      <c r="F2563" s="5">
        <v>383.166808434192</v>
      </c>
      <c r="G2563" s="5">
        <v>-3.65073968915071</v>
      </c>
      <c r="H2563" s="5">
        <v>-3.65073968915071</v>
      </c>
      <c r="I2563" s="5">
        <v>-3.65073968915071</v>
      </c>
      <c r="J2563" s="5">
        <v>0.0905589421191338</v>
      </c>
      <c r="K2563" s="5">
        <v>0.0905589421191338</v>
      </c>
      <c r="L2563" s="5">
        <v>0.0905589421191338</v>
      </c>
      <c r="M2563" s="5">
        <v>-3.74129863126985</v>
      </c>
      <c r="N2563" s="5">
        <v>-3.74129863126985</v>
      </c>
      <c r="O2563" s="5">
        <v>-3.74129863126985</v>
      </c>
      <c r="P2563" s="5">
        <v>0.0</v>
      </c>
      <c r="Q2563" s="5">
        <v>0.0</v>
      </c>
      <c r="R2563" s="5">
        <v>0.0</v>
      </c>
      <c r="S2563" s="5">
        <v>379.516068745041</v>
      </c>
    </row>
    <row r="2564">
      <c r="A2564" s="6">
        <v>44075.0</v>
      </c>
      <c r="B2564" s="5">
        <v>384.337654633705</v>
      </c>
      <c r="C2564" s="5">
        <v>321.467093007313</v>
      </c>
      <c r="D2564" s="5">
        <v>447.935169299988</v>
      </c>
      <c r="E2564" s="5">
        <v>384.337654633705</v>
      </c>
      <c r="F2564" s="5">
        <v>384.337654633705</v>
      </c>
      <c r="G2564" s="5">
        <v>-3.79984203555406</v>
      </c>
      <c r="H2564" s="5">
        <v>-3.79984203555406</v>
      </c>
      <c r="I2564" s="5">
        <v>-3.79984203555406</v>
      </c>
      <c r="J2564" s="5">
        <v>-0.14411885724369</v>
      </c>
      <c r="K2564" s="5">
        <v>-0.14411885724369</v>
      </c>
      <c r="L2564" s="5">
        <v>-0.14411885724369</v>
      </c>
      <c r="M2564" s="5">
        <v>-3.65572317831036</v>
      </c>
      <c r="N2564" s="5">
        <v>-3.65572317831036</v>
      </c>
      <c r="O2564" s="5">
        <v>-3.65572317831036</v>
      </c>
      <c r="P2564" s="5">
        <v>0.0</v>
      </c>
      <c r="Q2564" s="5">
        <v>0.0</v>
      </c>
      <c r="R2564" s="5">
        <v>0.0</v>
      </c>
      <c r="S2564" s="5">
        <v>380.537812598151</v>
      </c>
    </row>
    <row r="2565">
      <c r="A2565" s="6">
        <v>44076.0</v>
      </c>
      <c r="B2565" s="5">
        <v>385.508500833218</v>
      </c>
      <c r="C2565" s="5">
        <v>320.188591616612</v>
      </c>
      <c r="D2565" s="5">
        <v>447.455993697241</v>
      </c>
      <c r="E2565" s="5">
        <v>385.508500833218</v>
      </c>
      <c r="F2565" s="5">
        <v>385.508500833218</v>
      </c>
      <c r="G2565" s="5">
        <v>-3.53995060418243</v>
      </c>
      <c r="H2565" s="5">
        <v>-3.53995060418243</v>
      </c>
      <c r="I2565" s="5">
        <v>-3.53995060418243</v>
      </c>
      <c r="J2565" s="5">
        <v>0.00703780528164249</v>
      </c>
      <c r="K2565" s="5">
        <v>0.00703780528164249</v>
      </c>
      <c r="L2565" s="5">
        <v>0.00703780528164249</v>
      </c>
      <c r="M2565" s="5">
        <v>-3.54698840946407</v>
      </c>
      <c r="N2565" s="5">
        <v>-3.54698840946407</v>
      </c>
      <c r="O2565" s="5">
        <v>-3.54698840946407</v>
      </c>
      <c r="P2565" s="5">
        <v>0.0</v>
      </c>
      <c r="Q2565" s="5">
        <v>0.0</v>
      </c>
      <c r="R2565" s="5">
        <v>0.0</v>
      </c>
      <c r="S2565" s="5">
        <v>381.968550229036</v>
      </c>
    </row>
    <row r="2566">
      <c r="A2566" s="6">
        <v>44077.0</v>
      </c>
      <c r="B2566" s="5">
        <v>386.679347032731</v>
      </c>
      <c r="C2566" s="5">
        <v>322.256131274462</v>
      </c>
      <c r="D2566" s="5">
        <v>452.480705702547</v>
      </c>
      <c r="E2566" s="5">
        <v>386.679347032731</v>
      </c>
      <c r="F2566" s="5">
        <v>386.679347032731</v>
      </c>
      <c r="G2566" s="5">
        <v>-4.19164043956721</v>
      </c>
      <c r="H2566" s="5">
        <v>-4.19164043956721</v>
      </c>
      <c r="I2566" s="5">
        <v>-4.19164043956721</v>
      </c>
      <c r="J2566" s="5">
        <v>-0.776422525904275</v>
      </c>
      <c r="K2566" s="5">
        <v>-0.776422525904275</v>
      </c>
      <c r="L2566" s="5">
        <v>-0.776422525904275</v>
      </c>
      <c r="M2566" s="5">
        <v>-3.41521791366294</v>
      </c>
      <c r="N2566" s="5">
        <v>-3.41521791366294</v>
      </c>
      <c r="O2566" s="5">
        <v>-3.41521791366294</v>
      </c>
      <c r="P2566" s="5">
        <v>0.0</v>
      </c>
      <c r="Q2566" s="5">
        <v>0.0</v>
      </c>
      <c r="R2566" s="5">
        <v>0.0</v>
      </c>
      <c r="S2566" s="5">
        <v>382.487706593164</v>
      </c>
    </row>
    <row r="2567">
      <c r="A2567" s="6">
        <v>44078.0</v>
      </c>
      <c r="B2567" s="5">
        <v>387.850193232244</v>
      </c>
      <c r="C2567" s="5">
        <v>321.918458286494</v>
      </c>
      <c r="D2567" s="5">
        <v>446.431953763178</v>
      </c>
      <c r="E2567" s="5">
        <v>387.850193232244</v>
      </c>
      <c r="F2567" s="5">
        <v>387.850193232244</v>
      </c>
      <c r="G2567" s="5">
        <v>-4.85348073567027</v>
      </c>
      <c r="H2567" s="5">
        <v>-4.85348073567027</v>
      </c>
      <c r="I2567" s="5">
        <v>-4.85348073567027</v>
      </c>
      <c r="J2567" s="5">
        <v>-1.59155056649313</v>
      </c>
      <c r="K2567" s="5">
        <v>-1.59155056649313</v>
      </c>
      <c r="L2567" s="5">
        <v>-1.59155056649313</v>
      </c>
      <c r="M2567" s="5">
        <v>-3.26193016917713</v>
      </c>
      <c r="N2567" s="5">
        <v>-3.26193016917713</v>
      </c>
      <c r="O2567" s="5">
        <v>-3.26193016917713</v>
      </c>
      <c r="P2567" s="5">
        <v>0.0</v>
      </c>
      <c r="Q2567" s="5">
        <v>0.0</v>
      </c>
      <c r="R2567" s="5">
        <v>0.0</v>
      </c>
      <c r="S2567" s="5">
        <v>382.996712496574</v>
      </c>
    </row>
    <row r="2568">
      <c r="A2568" s="6">
        <v>44082.0</v>
      </c>
      <c r="B2568" s="5">
        <v>392.533578030297</v>
      </c>
      <c r="C2568" s="5">
        <v>321.348180735736</v>
      </c>
      <c r="D2568" s="5">
        <v>454.184122522889</v>
      </c>
      <c r="E2568" s="5">
        <v>392.533578030297</v>
      </c>
      <c r="F2568" s="5">
        <v>392.533578030297</v>
      </c>
      <c r="G2568" s="5">
        <v>-2.65360090659096</v>
      </c>
      <c r="H2568" s="5">
        <v>-2.65360090659096</v>
      </c>
      <c r="I2568" s="5">
        <v>-2.65360090659096</v>
      </c>
      <c r="J2568" s="5">
        <v>-0.144118857245125</v>
      </c>
      <c r="K2568" s="5">
        <v>-0.144118857245125</v>
      </c>
      <c r="L2568" s="5">
        <v>-0.144118857245125</v>
      </c>
      <c r="M2568" s="5">
        <v>-2.50948204934583</v>
      </c>
      <c r="N2568" s="5">
        <v>-2.50948204934583</v>
      </c>
      <c r="O2568" s="5">
        <v>-2.50948204934583</v>
      </c>
      <c r="P2568" s="5">
        <v>0.0</v>
      </c>
      <c r="Q2568" s="5">
        <v>0.0</v>
      </c>
      <c r="R2568" s="5">
        <v>0.0</v>
      </c>
      <c r="S2568" s="5">
        <v>389.879977123706</v>
      </c>
    </row>
    <row r="2569">
      <c r="A2569" s="6">
        <v>44083.0</v>
      </c>
      <c r="B2569" s="5">
        <v>393.704424229811</v>
      </c>
      <c r="C2569" s="5">
        <v>335.184231243565</v>
      </c>
      <c r="D2569" s="5">
        <v>456.773910138311</v>
      </c>
      <c r="E2569" s="5">
        <v>393.704424229811</v>
      </c>
      <c r="F2569" s="5">
        <v>393.704424229811</v>
      </c>
      <c r="G2569" s="5">
        <v>-2.3080347744486</v>
      </c>
      <c r="H2569" s="5">
        <v>-2.3080347744486</v>
      </c>
      <c r="I2569" s="5">
        <v>-2.3080347744486</v>
      </c>
      <c r="J2569" s="5">
        <v>0.00703780528277258</v>
      </c>
      <c r="K2569" s="5">
        <v>0.00703780528277258</v>
      </c>
      <c r="L2569" s="5">
        <v>0.00703780528277258</v>
      </c>
      <c r="M2569" s="5">
        <v>-2.31507257973137</v>
      </c>
      <c r="N2569" s="5">
        <v>-2.31507257973137</v>
      </c>
      <c r="O2569" s="5">
        <v>-2.31507257973137</v>
      </c>
      <c r="P2569" s="5">
        <v>0.0</v>
      </c>
      <c r="Q2569" s="5">
        <v>0.0</v>
      </c>
      <c r="R2569" s="5">
        <v>0.0</v>
      </c>
      <c r="S2569" s="5">
        <v>391.396389455362</v>
      </c>
    </row>
    <row r="2570">
      <c r="A2570" s="6">
        <v>44084.0</v>
      </c>
      <c r="B2570" s="5">
        <v>394.875270429324</v>
      </c>
      <c r="C2570" s="5">
        <v>328.984187475299</v>
      </c>
      <c r="D2570" s="5">
        <v>454.440809611547</v>
      </c>
      <c r="E2570" s="5">
        <v>394.875270429324</v>
      </c>
      <c r="F2570" s="5">
        <v>394.875270429324</v>
      </c>
      <c r="G2570" s="5">
        <v>-2.90872403057692</v>
      </c>
      <c r="H2570" s="5">
        <v>-2.90872403057692</v>
      </c>
      <c r="I2570" s="5">
        <v>-2.90872403057692</v>
      </c>
      <c r="J2570" s="5">
        <v>-0.776422525899297</v>
      </c>
      <c r="K2570" s="5">
        <v>-0.776422525899297</v>
      </c>
      <c r="L2570" s="5">
        <v>-0.776422525899297</v>
      </c>
      <c r="M2570" s="5">
        <v>-2.13230150467763</v>
      </c>
      <c r="N2570" s="5">
        <v>-2.13230150467763</v>
      </c>
      <c r="O2570" s="5">
        <v>-2.13230150467763</v>
      </c>
      <c r="P2570" s="5">
        <v>0.0</v>
      </c>
      <c r="Q2570" s="5">
        <v>0.0</v>
      </c>
      <c r="R2570" s="5">
        <v>0.0</v>
      </c>
      <c r="S2570" s="5">
        <v>391.966546398747</v>
      </c>
    </row>
    <row r="2571">
      <c r="A2571" s="6">
        <v>44085.0</v>
      </c>
      <c r="B2571" s="5">
        <v>396.046116628837</v>
      </c>
      <c r="C2571" s="5">
        <v>329.123351205099</v>
      </c>
      <c r="D2571" s="5">
        <v>452.91566700867</v>
      </c>
      <c r="E2571" s="5">
        <v>396.046116628837</v>
      </c>
      <c r="F2571" s="5">
        <v>396.046116628837</v>
      </c>
      <c r="G2571" s="5">
        <v>-3.56049302733826</v>
      </c>
      <c r="H2571" s="5">
        <v>-3.56049302733826</v>
      </c>
      <c r="I2571" s="5">
        <v>-3.56049302733826</v>
      </c>
      <c r="J2571" s="5">
        <v>-1.59155056649252</v>
      </c>
      <c r="K2571" s="5">
        <v>-1.59155056649252</v>
      </c>
      <c r="L2571" s="5">
        <v>-1.59155056649252</v>
      </c>
      <c r="M2571" s="5">
        <v>-1.96894246084574</v>
      </c>
      <c r="N2571" s="5">
        <v>-1.96894246084574</v>
      </c>
      <c r="O2571" s="5">
        <v>-1.96894246084574</v>
      </c>
      <c r="P2571" s="5">
        <v>0.0</v>
      </c>
      <c r="Q2571" s="5">
        <v>0.0</v>
      </c>
      <c r="R2571" s="5">
        <v>0.0</v>
      </c>
      <c r="S2571" s="5">
        <v>392.485623601499</v>
      </c>
    </row>
    <row r="2572">
      <c r="A2572" s="6">
        <v>44088.0</v>
      </c>
      <c r="B2572" s="5">
        <v>399.558655227377</v>
      </c>
      <c r="C2572" s="5">
        <v>336.594206443805</v>
      </c>
      <c r="D2572" s="5">
        <v>459.916312351451</v>
      </c>
      <c r="E2572" s="5">
        <v>399.558655227377</v>
      </c>
      <c r="F2572" s="5">
        <v>399.558655227377</v>
      </c>
      <c r="G2572" s="5">
        <v>-1.5800775087371</v>
      </c>
      <c r="H2572" s="5">
        <v>-1.5800775087371</v>
      </c>
      <c r="I2572" s="5">
        <v>-1.5800775087371</v>
      </c>
      <c r="J2572" s="5">
        <v>0.0905589421235708</v>
      </c>
      <c r="K2572" s="5">
        <v>0.0905589421235708</v>
      </c>
      <c r="L2572" s="5">
        <v>0.0905589421235708</v>
      </c>
      <c r="M2572" s="5">
        <v>-1.67063645086067</v>
      </c>
      <c r="N2572" s="5">
        <v>-1.67063645086067</v>
      </c>
      <c r="O2572" s="5">
        <v>-1.67063645086067</v>
      </c>
      <c r="P2572" s="5">
        <v>0.0</v>
      </c>
      <c r="Q2572" s="5">
        <v>0.0</v>
      </c>
      <c r="R2572" s="5">
        <v>0.0</v>
      </c>
      <c r="S2572" s="5">
        <v>397.97857771864</v>
      </c>
    </row>
    <row r="2573">
      <c r="A2573" s="6">
        <v>44089.0</v>
      </c>
      <c r="B2573" s="5">
        <v>400.72950142689</v>
      </c>
      <c r="C2573" s="5">
        <v>332.277271400809</v>
      </c>
      <c r="D2573" s="5">
        <v>456.196889448637</v>
      </c>
      <c r="E2573" s="5">
        <v>400.72950142689</v>
      </c>
      <c r="F2573" s="5">
        <v>400.72950142689</v>
      </c>
      <c r="G2573" s="5">
        <v>-1.80150088315306</v>
      </c>
      <c r="H2573" s="5">
        <v>-1.80150088315306</v>
      </c>
      <c r="I2573" s="5">
        <v>-1.80150088315306</v>
      </c>
      <c r="J2573" s="5">
        <v>-0.144118857246561</v>
      </c>
      <c r="K2573" s="5">
        <v>-0.144118857246561</v>
      </c>
      <c r="L2573" s="5">
        <v>-0.144118857246561</v>
      </c>
      <c r="M2573" s="5">
        <v>-1.65738202590649</v>
      </c>
      <c r="N2573" s="5">
        <v>-1.65738202590649</v>
      </c>
      <c r="O2573" s="5">
        <v>-1.65738202590649</v>
      </c>
      <c r="P2573" s="5">
        <v>0.0</v>
      </c>
      <c r="Q2573" s="5">
        <v>0.0</v>
      </c>
      <c r="R2573" s="5">
        <v>0.0</v>
      </c>
      <c r="S2573" s="5">
        <v>398.928000543737</v>
      </c>
    </row>
    <row r="2574">
      <c r="A2574" s="6">
        <v>44090.0</v>
      </c>
      <c r="B2574" s="5">
        <v>401.900347626403</v>
      </c>
      <c r="C2574" s="5">
        <v>333.584626415539</v>
      </c>
      <c r="D2574" s="5">
        <v>466.405579739706</v>
      </c>
      <c r="E2574" s="5">
        <v>401.900347626403</v>
      </c>
      <c r="F2574" s="5">
        <v>401.900347626403</v>
      </c>
      <c r="G2574" s="5">
        <v>-1.6889205040221</v>
      </c>
      <c r="H2574" s="5">
        <v>-1.6889205040221</v>
      </c>
      <c r="I2574" s="5">
        <v>-1.6889205040221</v>
      </c>
      <c r="J2574" s="5">
        <v>0.00703780528408378</v>
      </c>
      <c r="K2574" s="5">
        <v>0.00703780528408378</v>
      </c>
      <c r="L2574" s="5">
        <v>0.00703780528408378</v>
      </c>
      <c r="M2574" s="5">
        <v>-1.69595830930618</v>
      </c>
      <c r="N2574" s="5">
        <v>-1.69595830930618</v>
      </c>
      <c r="O2574" s="5">
        <v>-1.69595830930618</v>
      </c>
      <c r="P2574" s="5">
        <v>0.0</v>
      </c>
      <c r="Q2574" s="5">
        <v>0.0</v>
      </c>
      <c r="R2574" s="5">
        <v>0.0</v>
      </c>
      <c r="S2574" s="5">
        <v>400.211427122381</v>
      </c>
    </row>
    <row r="2575">
      <c r="A2575" s="6">
        <v>44091.0</v>
      </c>
      <c r="B2575" s="5">
        <v>403.071193825917</v>
      </c>
      <c r="C2575" s="5">
        <v>335.270883079873</v>
      </c>
      <c r="D2575" s="5">
        <v>463.406451665908</v>
      </c>
      <c r="E2575" s="5">
        <v>403.071193825917</v>
      </c>
      <c r="F2575" s="5">
        <v>403.071193825917</v>
      </c>
      <c r="G2575" s="5">
        <v>-2.56607993568509</v>
      </c>
      <c r="H2575" s="5">
        <v>-2.56607993568509</v>
      </c>
      <c r="I2575" s="5">
        <v>-2.56607993568509</v>
      </c>
      <c r="J2575" s="5">
        <v>-0.776422525900019</v>
      </c>
      <c r="K2575" s="5">
        <v>-0.776422525900019</v>
      </c>
      <c r="L2575" s="5">
        <v>-0.776422525900019</v>
      </c>
      <c r="M2575" s="5">
        <v>-1.78965740978507</v>
      </c>
      <c r="N2575" s="5">
        <v>-1.78965740978507</v>
      </c>
      <c r="O2575" s="5">
        <v>-1.78965740978507</v>
      </c>
      <c r="P2575" s="5">
        <v>0.0</v>
      </c>
      <c r="Q2575" s="5">
        <v>0.0</v>
      </c>
      <c r="R2575" s="5">
        <v>0.0</v>
      </c>
      <c r="S2575" s="5">
        <v>400.505113890232</v>
      </c>
    </row>
    <row r="2576">
      <c r="A2576" s="6">
        <v>44092.0</v>
      </c>
      <c r="B2576" s="5">
        <v>404.24204002543</v>
      </c>
      <c r="C2576" s="5">
        <v>335.443469280421</v>
      </c>
      <c r="D2576" s="5">
        <v>464.481349525172</v>
      </c>
      <c r="E2576" s="5">
        <v>404.24204002543</v>
      </c>
      <c r="F2576" s="5">
        <v>404.24204002543</v>
      </c>
      <c r="G2576" s="5">
        <v>-3.53173548307367</v>
      </c>
      <c r="H2576" s="5">
        <v>-3.53173548307367</v>
      </c>
      <c r="I2576" s="5">
        <v>-3.53173548307367</v>
      </c>
      <c r="J2576" s="5">
        <v>-1.59155056649128</v>
      </c>
      <c r="K2576" s="5">
        <v>-1.59155056649128</v>
      </c>
      <c r="L2576" s="5">
        <v>-1.59155056649128</v>
      </c>
      <c r="M2576" s="5">
        <v>-1.94018491658239</v>
      </c>
      <c r="N2576" s="5">
        <v>-1.94018491658239</v>
      </c>
      <c r="O2576" s="5">
        <v>-1.94018491658239</v>
      </c>
      <c r="P2576" s="5">
        <v>0.0</v>
      </c>
      <c r="Q2576" s="5">
        <v>0.0</v>
      </c>
      <c r="R2576" s="5">
        <v>0.0</v>
      </c>
      <c r="S2576" s="5">
        <v>400.710304542356</v>
      </c>
    </row>
    <row r="2577">
      <c r="A2577" s="6">
        <v>44095.0</v>
      </c>
      <c r="B2577" s="5">
        <v>407.75457862397</v>
      </c>
      <c r="C2577" s="5">
        <v>347.926603255327</v>
      </c>
      <c r="D2577" s="5">
        <v>467.070599688383</v>
      </c>
      <c r="E2577" s="5">
        <v>407.75457862397</v>
      </c>
      <c r="F2577" s="5">
        <v>407.75457862397</v>
      </c>
      <c r="G2577" s="5">
        <v>-2.63268381386005</v>
      </c>
      <c r="H2577" s="5">
        <v>-2.63268381386005</v>
      </c>
      <c r="I2577" s="5">
        <v>-2.63268381386005</v>
      </c>
      <c r="J2577" s="5">
        <v>0.0905589421245171</v>
      </c>
      <c r="K2577" s="5">
        <v>0.0905589421245171</v>
      </c>
      <c r="L2577" s="5">
        <v>0.0905589421245171</v>
      </c>
      <c r="M2577" s="5">
        <v>-2.72324275598456</v>
      </c>
      <c r="N2577" s="5">
        <v>-2.72324275598456</v>
      </c>
      <c r="O2577" s="5">
        <v>-2.72324275598456</v>
      </c>
      <c r="P2577" s="5">
        <v>0.0</v>
      </c>
      <c r="Q2577" s="5">
        <v>0.0</v>
      </c>
      <c r="R2577" s="5">
        <v>0.0</v>
      </c>
      <c r="S2577" s="5">
        <v>405.12189481011</v>
      </c>
    </row>
    <row r="2578">
      <c r="A2578" s="6">
        <v>44096.0</v>
      </c>
      <c r="B2578" s="5">
        <v>408.925424823483</v>
      </c>
      <c r="C2578" s="5">
        <v>344.548311174279</v>
      </c>
      <c r="D2578" s="5">
        <v>470.917289474817</v>
      </c>
      <c r="E2578" s="5">
        <v>408.925424823483</v>
      </c>
      <c r="F2578" s="5">
        <v>408.925424823483</v>
      </c>
      <c r="G2578" s="5">
        <v>-3.22642080356874</v>
      </c>
      <c r="H2578" s="5">
        <v>-3.22642080356874</v>
      </c>
      <c r="I2578" s="5">
        <v>-3.22642080356874</v>
      </c>
      <c r="J2578" s="5">
        <v>-0.144118857242949</v>
      </c>
      <c r="K2578" s="5">
        <v>-0.144118857242949</v>
      </c>
      <c r="L2578" s="5">
        <v>-0.144118857242949</v>
      </c>
      <c r="M2578" s="5">
        <v>-3.08230194632579</v>
      </c>
      <c r="N2578" s="5">
        <v>-3.08230194632579</v>
      </c>
      <c r="O2578" s="5">
        <v>-3.08230194632579</v>
      </c>
      <c r="P2578" s="5">
        <v>0.0</v>
      </c>
      <c r="Q2578" s="5">
        <v>0.0</v>
      </c>
      <c r="R2578" s="5">
        <v>0.0</v>
      </c>
      <c r="S2578" s="5">
        <v>405.699004019914</v>
      </c>
    </row>
    <row r="2579">
      <c r="A2579" s="6">
        <v>44097.0</v>
      </c>
      <c r="B2579" s="5">
        <v>410.096271022996</v>
      </c>
      <c r="C2579" s="5">
        <v>347.228741757131</v>
      </c>
      <c r="D2579" s="5">
        <v>466.215915427999</v>
      </c>
      <c r="E2579" s="5">
        <v>410.096271022996</v>
      </c>
      <c r="F2579" s="5">
        <v>410.096271022996</v>
      </c>
      <c r="G2579" s="5">
        <v>-3.47251356205686</v>
      </c>
      <c r="H2579" s="5">
        <v>-3.47251356205686</v>
      </c>
      <c r="I2579" s="5">
        <v>-3.47251356205686</v>
      </c>
      <c r="J2579" s="5">
        <v>0.0070378052810676</v>
      </c>
      <c r="K2579" s="5">
        <v>0.0070378052810676</v>
      </c>
      <c r="L2579" s="5">
        <v>0.0070378052810676</v>
      </c>
      <c r="M2579" s="5">
        <v>-3.47955136733793</v>
      </c>
      <c r="N2579" s="5">
        <v>-3.47955136733793</v>
      </c>
      <c r="O2579" s="5">
        <v>-3.47955136733793</v>
      </c>
      <c r="P2579" s="5">
        <v>0.0</v>
      </c>
      <c r="Q2579" s="5">
        <v>0.0</v>
      </c>
      <c r="R2579" s="5">
        <v>0.0</v>
      </c>
      <c r="S2579" s="5">
        <v>406.623757460939</v>
      </c>
    </row>
    <row r="2580">
      <c r="A2580" s="6">
        <v>44098.0</v>
      </c>
      <c r="B2580" s="5">
        <v>411.267117222509</v>
      </c>
      <c r="C2580" s="5">
        <v>344.076475925572</v>
      </c>
      <c r="D2580" s="5">
        <v>466.72108797201</v>
      </c>
      <c r="E2580" s="5">
        <v>411.267117222509</v>
      </c>
      <c r="F2580" s="5">
        <v>411.267117222509</v>
      </c>
      <c r="G2580" s="5">
        <v>-4.68233486850838</v>
      </c>
      <c r="H2580" s="5">
        <v>-4.68233486850838</v>
      </c>
      <c r="I2580" s="5">
        <v>-4.68233486850838</v>
      </c>
      <c r="J2580" s="5">
        <v>-0.776422525900741</v>
      </c>
      <c r="K2580" s="5">
        <v>-0.776422525900741</v>
      </c>
      <c r="L2580" s="5">
        <v>-0.776422525900741</v>
      </c>
      <c r="M2580" s="5">
        <v>-3.90591234260764</v>
      </c>
      <c r="N2580" s="5">
        <v>-3.90591234260764</v>
      </c>
      <c r="O2580" s="5">
        <v>-3.90591234260764</v>
      </c>
      <c r="P2580" s="5">
        <v>0.0</v>
      </c>
      <c r="Q2580" s="5">
        <v>0.0</v>
      </c>
      <c r="R2580" s="5">
        <v>0.0</v>
      </c>
      <c r="S2580" s="5">
        <v>406.584782354001</v>
      </c>
    </row>
    <row r="2581">
      <c r="A2581" s="6">
        <v>44099.0</v>
      </c>
      <c r="B2581" s="5">
        <v>412.437963422022</v>
      </c>
      <c r="C2581" s="5">
        <v>343.754239583676</v>
      </c>
      <c r="D2581" s="5">
        <v>465.196538970853</v>
      </c>
      <c r="E2581" s="5">
        <v>412.437963422022</v>
      </c>
      <c r="F2581" s="5">
        <v>412.437963422022</v>
      </c>
      <c r="G2581" s="5">
        <v>-5.94235915113518</v>
      </c>
      <c r="H2581" s="5">
        <v>-5.94235915113518</v>
      </c>
      <c r="I2581" s="5">
        <v>-5.94235915113518</v>
      </c>
      <c r="J2581" s="5">
        <v>-1.59155056649584</v>
      </c>
      <c r="K2581" s="5">
        <v>-1.59155056649584</v>
      </c>
      <c r="L2581" s="5">
        <v>-1.59155056649584</v>
      </c>
      <c r="M2581" s="5">
        <v>-4.35080858463934</v>
      </c>
      <c r="N2581" s="5">
        <v>-4.35080858463934</v>
      </c>
      <c r="O2581" s="5">
        <v>-4.35080858463934</v>
      </c>
      <c r="P2581" s="5">
        <v>0.0</v>
      </c>
      <c r="Q2581" s="5">
        <v>0.0</v>
      </c>
      <c r="R2581" s="5">
        <v>0.0</v>
      </c>
      <c r="S2581" s="5">
        <v>406.495604270887</v>
      </c>
    </row>
    <row r="2582">
      <c r="A2582" s="6">
        <v>44102.0</v>
      </c>
      <c r="B2582" s="5">
        <v>415.950502020562</v>
      </c>
      <c r="C2582" s="5">
        <v>343.941105897577</v>
      </c>
      <c r="D2582" s="5">
        <v>472.109649619658</v>
      </c>
      <c r="E2582" s="5">
        <v>415.950502020562</v>
      </c>
      <c r="F2582" s="5">
        <v>415.950502020562</v>
      </c>
      <c r="G2582" s="5">
        <v>-5.58297202216315</v>
      </c>
      <c r="H2582" s="5">
        <v>-5.58297202216315</v>
      </c>
      <c r="I2582" s="5">
        <v>-5.58297202216315</v>
      </c>
      <c r="J2582" s="5">
        <v>0.0905589421230797</v>
      </c>
      <c r="K2582" s="5">
        <v>0.0905589421230797</v>
      </c>
      <c r="L2582" s="5">
        <v>0.0905589421230797</v>
      </c>
      <c r="M2582" s="5">
        <v>-5.67353096428623</v>
      </c>
      <c r="N2582" s="5">
        <v>-5.67353096428623</v>
      </c>
      <c r="O2582" s="5">
        <v>-5.67353096428623</v>
      </c>
      <c r="P2582" s="5">
        <v>0.0</v>
      </c>
      <c r="Q2582" s="5">
        <v>0.0</v>
      </c>
      <c r="R2582" s="5">
        <v>0.0</v>
      </c>
      <c r="S2582" s="5">
        <v>410.367529998399</v>
      </c>
    </row>
    <row r="2583">
      <c r="A2583" s="6">
        <v>44103.0</v>
      </c>
      <c r="B2583" s="5">
        <v>417.121348220075</v>
      </c>
      <c r="C2583" s="5">
        <v>345.487172267173</v>
      </c>
      <c r="D2583" s="5">
        <v>468.430671608913</v>
      </c>
      <c r="E2583" s="5">
        <v>417.121348220075</v>
      </c>
      <c r="F2583" s="5">
        <v>417.121348220075</v>
      </c>
      <c r="G2583" s="5">
        <v>-6.20975332121331</v>
      </c>
      <c r="H2583" s="5">
        <v>-6.20975332121331</v>
      </c>
      <c r="I2583" s="5">
        <v>-6.20975332121331</v>
      </c>
      <c r="J2583" s="5">
        <v>-0.144118857244385</v>
      </c>
      <c r="K2583" s="5">
        <v>-0.144118857244385</v>
      </c>
      <c r="L2583" s="5">
        <v>-0.144118857244385</v>
      </c>
      <c r="M2583" s="5">
        <v>-6.06563446396892</v>
      </c>
      <c r="N2583" s="5">
        <v>-6.06563446396892</v>
      </c>
      <c r="O2583" s="5">
        <v>-6.06563446396892</v>
      </c>
      <c r="P2583" s="5">
        <v>0.0</v>
      </c>
      <c r="Q2583" s="5">
        <v>0.0</v>
      </c>
      <c r="R2583" s="5">
        <v>0.0</v>
      </c>
      <c r="S2583" s="5">
        <v>410.911594898862</v>
      </c>
    </row>
    <row r="2584">
      <c r="A2584" s="6">
        <v>44104.0</v>
      </c>
      <c r="B2584" s="5">
        <v>418.292194419589</v>
      </c>
      <c r="C2584" s="5">
        <v>346.32298541428</v>
      </c>
      <c r="D2584" s="5">
        <v>474.543311764349</v>
      </c>
      <c r="E2584" s="5">
        <v>418.292194419589</v>
      </c>
      <c r="F2584" s="5">
        <v>418.292194419589</v>
      </c>
      <c r="G2584" s="5">
        <v>-6.40317266676012</v>
      </c>
      <c r="H2584" s="5">
        <v>-6.40317266676012</v>
      </c>
      <c r="I2584" s="5">
        <v>-6.40317266676012</v>
      </c>
      <c r="J2584" s="5">
        <v>0.00703780528237867</v>
      </c>
      <c r="K2584" s="5">
        <v>0.00703780528237867</v>
      </c>
      <c r="L2584" s="5">
        <v>0.00703780528237867</v>
      </c>
      <c r="M2584" s="5">
        <v>-6.41021047204249</v>
      </c>
      <c r="N2584" s="5">
        <v>-6.41021047204249</v>
      </c>
      <c r="O2584" s="5">
        <v>-6.41021047204249</v>
      </c>
      <c r="P2584" s="5">
        <v>0.0</v>
      </c>
      <c r="Q2584" s="5">
        <v>0.0</v>
      </c>
      <c r="R2584" s="5">
        <v>0.0</v>
      </c>
      <c r="S2584" s="5">
        <v>411.889021752829</v>
      </c>
    </row>
    <row r="2585">
      <c r="A2585" s="6">
        <v>44105.0</v>
      </c>
      <c r="B2585" s="5">
        <v>419.463040619102</v>
      </c>
      <c r="C2585" s="5">
        <v>350.993493269142</v>
      </c>
      <c r="D2585" s="5">
        <v>473.32884815617</v>
      </c>
      <c r="E2585" s="5">
        <v>419.463040619102</v>
      </c>
      <c r="F2585" s="5">
        <v>419.463040619102</v>
      </c>
      <c r="G2585" s="5">
        <v>-7.47011984093358</v>
      </c>
      <c r="H2585" s="5">
        <v>-7.47011984093358</v>
      </c>
      <c r="I2585" s="5">
        <v>-7.47011984093358</v>
      </c>
      <c r="J2585" s="5">
        <v>-0.776422525901463</v>
      </c>
      <c r="K2585" s="5">
        <v>-0.776422525901463</v>
      </c>
      <c r="L2585" s="5">
        <v>-0.776422525901463</v>
      </c>
      <c r="M2585" s="5">
        <v>-6.69369731503211</v>
      </c>
      <c r="N2585" s="5">
        <v>-6.69369731503211</v>
      </c>
      <c r="O2585" s="5">
        <v>-6.69369731503211</v>
      </c>
      <c r="P2585" s="5">
        <v>0.0</v>
      </c>
      <c r="Q2585" s="5">
        <v>0.0</v>
      </c>
      <c r="R2585" s="5">
        <v>0.0</v>
      </c>
      <c r="S2585" s="5">
        <v>411.992920778168</v>
      </c>
    </row>
    <row r="2586">
      <c r="A2586" s="6">
        <v>44106.0</v>
      </c>
      <c r="B2586" s="5">
        <v>420.633886818615</v>
      </c>
      <c r="C2586" s="5">
        <v>347.641453785518</v>
      </c>
      <c r="D2586" s="5">
        <v>479.208383235015</v>
      </c>
      <c r="E2586" s="5">
        <v>420.633886818615</v>
      </c>
      <c r="F2586" s="5">
        <v>420.633886818615</v>
      </c>
      <c r="G2586" s="5">
        <v>-8.49479767276024</v>
      </c>
      <c r="H2586" s="5">
        <v>-8.49479767276024</v>
      </c>
      <c r="I2586" s="5">
        <v>-8.49479767276024</v>
      </c>
      <c r="J2586" s="5">
        <v>-1.5915505664946</v>
      </c>
      <c r="K2586" s="5">
        <v>-1.5915505664946</v>
      </c>
      <c r="L2586" s="5">
        <v>-1.5915505664946</v>
      </c>
      <c r="M2586" s="5">
        <v>-6.90324710626563</v>
      </c>
      <c r="N2586" s="5">
        <v>-6.90324710626563</v>
      </c>
      <c r="O2586" s="5">
        <v>-6.90324710626563</v>
      </c>
      <c r="P2586" s="5">
        <v>0.0</v>
      </c>
      <c r="Q2586" s="5">
        <v>0.0</v>
      </c>
      <c r="R2586" s="5">
        <v>0.0</v>
      </c>
      <c r="S2586" s="5">
        <v>412.139089145855</v>
      </c>
    </row>
    <row r="2587">
      <c r="A2587" s="6">
        <v>44109.0</v>
      </c>
      <c r="B2587" s="5">
        <v>424.146425417155</v>
      </c>
      <c r="C2587" s="5">
        <v>351.657545143735</v>
      </c>
      <c r="D2587" s="5">
        <v>477.037016856554</v>
      </c>
      <c r="E2587" s="5">
        <v>424.146425417155</v>
      </c>
      <c r="F2587" s="5">
        <v>424.146425417155</v>
      </c>
      <c r="G2587" s="5">
        <v>-6.8871085082809</v>
      </c>
      <c r="H2587" s="5">
        <v>-6.8871085082809</v>
      </c>
      <c r="I2587" s="5">
        <v>-6.8871085082809</v>
      </c>
      <c r="J2587" s="5">
        <v>0.0905589421216424</v>
      </c>
      <c r="K2587" s="5">
        <v>0.0905589421216424</v>
      </c>
      <c r="L2587" s="5">
        <v>0.0905589421216424</v>
      </c>
      <c r="M2587" s="5">
        <v>-6.97766745040254</v>
      </c>
      <c r="N2587" s="5">
        <v>-6.97766745040254</v>
      </c>
      <c r="O2587" s="5">
        <v>-6.97766745040254</v>
      </c>
      <c r="P2587" s="5">
        <v>0.0</v>
      </c>
      <c r="Q2587" s="5">
        <v>0.0</v>
      </c>
      <c r="R2587" s="5">
        <v>0.0</v>
      </c>
      <c r="S2587" s="5">
        <v>417.259316908875</v>
      </c>
    </row>
    <row r="2588">
      <c r="A2588" s="6">
        <v>44110.0</v>
      </c>
      <c r="B2588" s="5">
        <v>425.317271616669</v>
      </c>
      <c r="C2588" s="5">
        <v>356.125483207739</v>
      </c>
      <c r="D2588" s="5">
        <v>477.956364077432</v>
      </c>
      <c r="E2588" s="5">
        <v>425.317271616669</v>
      </c>
      <c r="F2588" s="5">
        <v>425.317271616669</v>
      </c>
      <c r="G2588" s="5">
        <v>-6.93307360286449</v>
      </c>
      <c r="H2588" s="5">
        <v>-6.93307360286449</v>
      </c>
      <c r="I2588" s="5">
        <v>-6.93307360286449</v>
      </c>
      <c r="J2588" s="5">
        <v>-0.144118857246125</v>
      </c>
      <c r="K2588" s="5">
        <v>-0.144118857246125</v>
      </c>
      <c r="L2588" s="5">
        <v>-0.144118857246125</v>
      </c>
      <c r="M2588" s="5">
        <v>-6.78895474561836</v>
      </c>
      <c r="N2588" s="5">
        <v>-6.78895474561836</v>
      </c>
      <c r="O2588" s="5">
        <v>-6.78895474561836</v>
      </c>
      <c r="P2588" s="5">
        <v>0.0</v>
      </c>
      <c r="Q2588" s="5">
        <v>0.0</v>
      </c>
      <c r="R2588" s="5">
        <v>0.0</v>
      </c>
      <c r="S2588" s="5">
        <v>418.384198013804</v>
      </c>
    </row>
    <row r="2589">
      <c r="A2589" s="6">
        <v>44111.0</v>
      </c>
      <c r="B2589" s="5">
        <v>426.488117816182</v>
      </c>
      <c r="C2589" s="5">
        <v>358.596923690759</v>
      </c>
      <c r="D2589" s="5">
        <v>483.834100779682</v>
      </c>
      <c r="E2589" s="5">
        <v>426.488117816182</v>
      </c>
      <c r="F2589" s="5">
        <v>426.488117816182</v>
      </c>
      <c r="G2589" s="5">
        <v>-6.47698964444755</v>
      </c>
      <c r="H2589" s="5">
        <v>-6.47698964444755</v>
      </c>
      <c r="I2589" s="5">
        <v>-6.47698964444755</v>
      </c>
      <c r="J2589" s="5">
        <v>0.0070378052836896</v>
      </c>
      <c r="K2589" s="5">
        <v>0.0070378052836896</v>
      </c>
      <c r="L2589" s="5">
        <v>0.0070378052836896</v>
      </c>
      <c r="M2589" s="5">
        <v>-6.48402744973124</v>
      </c>
      <c r="N2589" s="5">
        <v>-6.48402744973124</v>
      </c>
      <c r="O2589" s="5">
        <v>-6.48402744973124</v>
      </c>
      <c r="P2589" s="5">
        <v>0.0</v>
      </c>
      <c r="Q2589" s="5">
        <v>0.0</v>
      </c>
      <c r="R2589" s="5">
        <v>0.0</v>
      </c>
      <c r="S2589" s="5">
        <v>420.011128171734</v>
      </c>
    </row>
    <row r="2590">
      <c r="A2590" s="6">
        <v>44112.0</v>
      </c>
      <c r="B2590" s="5">
        <v>427.658964015695</v>
      </c>
      <c r="C2590" s="5">
        <v>358.257825115742</v>
      </c>
      <c r="D2590" s="5">
        <v>489.882846641216</v>
      </c>
      <c r="E2590" s="5">
        <v>427.658964015695</v>
      </c>
      <c r="F2590" s="5">
        <v>427.658964015695</v>
      </c>
      <c r="G2590" s="5">
        <v>-6.83699179731095</v>
      </c>
      <c r="H2590" s="5">
        <v>-6.83699179731095</v>
      </c>
      <c r="I2590" s="5">
        <v>-6.83699179731095</v>
      </c>
      <c r="J2590" s="5">
        <v>-0.77642252590356</v>
      </c>
      <c r="K2590" s="5">
        <v>-0.77642252590356</v>
      </c>
      <c r="L2590" s="5">
        <v>-0.77642252590356</v>
      </c>
      <c r="M2590" s="5">
        <v>-6.06056927140739</v>
      </c>
      <c r="N2590" s="5">
        <v>-6.06056927140739</v>
      </c>
      <c r="O2590" s="5">
        <v>-6.06056927140739</v>
      </c>
      <c r="P2590" s="5">
        <v>0.0</v>
      </c>
      <c r="Q2590" s="5">
        <v>0.0</v>
      </c>
      <c r="R2590" s="5">
        <v>0.0</v>
      </c>
      <c r="S2590" s="5">
        <v>420.821972218384</v>
      </c>
    </row>
    <row r="2591">
      <c r="A2591" s="6">
        <v>44113.0</v>
      </c>
      <c r="B2591" s="5">
        <v>428.829810215209</v>
      </c>
      <c r="C2591" s="5">
        <v>357.994113734079</v>
      </c>
      <c r="D2591" s="5">
        <v>488.521021094481</v>
      </c>
      <c r="E2591" s="5">
        <v>428.829810215209</v>
      </c>
      <c r="F2591" s="5">
        <v>428.829810215209</v>
      </c>
      <c r="G2591" s="5">
        <v>-7.11021176858074</v>
      </c>
      <c r="H2591" s="5">
        <v>-7.11021176858074</v>
      </c>
      <c r="I2591" s="5">
        <v>-7.11021176858074</v>
      </c>
      <c r="J2591" s="5">
        <v>-1.59155056649368</v>
      </c>
      <c r="K2591" s="5">
        <v>-1.59155056649368</v>
      </c>
      <c r="L2591" s="5">
        <v>-1.59155056649368</v>
      </c>
      <c r="M2591" s="5">
        <v>-5.51866120208706</v>
      </c>
      <c r="N2591" s="5">
        <v>-5.51866120208706</v>
      </c>
      <c r="O2591" s="5">
        <v>-5.51866120208706</v>
      </c>
      <c r="P2591" s="5">
        <v>0.0</v>
      </c>
      <c r="Q2591" s="5">
        <v>0.0</v>
      </c>
      <c r="R2591" s="5">
        <v>0.0</v>
      </c>
      <c r="S2591" s="5">
        <v>421.719598446628</v>
      </c>
    </row>
    <row r="2592">
      <c r="A2592" s="6">
        <v>44116.0</v>
      </c>
      <c r="B2592" s="5">
        <v>432.342348813748</v>
      </c>
      <c r="C2592" s="5">
        <v>369.044073866305</v>
      </c>
      <c r="D2592" s="5">
        <v>493.642416839943</v>
      </c>
      <c r="E2592" s="5">
        <v>432.342348813748</v>
      </c>
      <c r="F2592" s="5">
        <v>432.342348813748</v>
      </c>
      <c r="G2592" s="5">
        <v>-3.12867620047011</v>
      </c>
      <c r="H2592" s="5">
        <v>-3.12867620047011</v>
      </c>
      <c r="I2592" s="5">
        <v>-3.12867620047011</v>
      </c>
      <c r="J2592" s="5">
        <v>0.0905589421202047</v>
      </c>
      <c r="K2592" s="5">
        <v>0.0905589421202047</v>
      </c>
      <c r="L2592" s="5">
        <v>0.0905589421202047</v>
      </c>
      <c r="M2592" s="5">
        <v>-3.21923514259032</v>
      </c>
      <c r="N2592" s="5">
        <v>-3.21923514259032</v>
      </c>
      <c r="O2592" s="5">
        <v>-3.21923514259032</v>
      </c>
      <c r="P2592" s="5">
        <v>0.0</v>
      </c>
      <c r="Q2592" s="5">
        <v>0.0</v>
      </c>
      <c r="R2592" s="5">
        <v>0.0</v>
      </c>
      <c r="S2592" s="5">
        <v>429.213672613278</v>
      </c>
    </row>
    <row r="2593">
      <c r="A2593" s="6">
        <v>44117.0</v>
      </c>
      <c r="B2593" s="5">
        <v>433.513195013261</v>
      </c>
      <c r="C2593" s="5">
        <v>369.26403794125</v>
      </c>
      <c r="D2593" s="5">
        <v>493.699762739223</v>
      </c>
      <c r="E2593" s="5">
        <v>433.513195013261</v>
      </c>
      <c r="F2593" s="5">
        <v>433.513195013261</v>
      </c>
      <c r="G2593" s="5">
        <v>-2.39619068899937</v>
      </c>
      <c r="H2593" s="5">
        <v>-2.39619068899937</v>
      </c>
      <c r="I2593" s="5">
        <v>-2.39619068899937</v>
      </c>
      <c r="J2593" s="5">
        <v>-0.144118857247561</v>
      </c>
      <c r="K2593" s="5">
        <v>-0.144118857247561</v>
      </c>
      <c r="L2593" s="5">
        <v>-0.144118857247561</v>
      </c>
      <c r="M2593" s="5">
        <v>-2.2520718317518</v>
      </c>
      <c r="N2593" s="5">
        <v>-2.2520718317518</v>
      </c>
      <c r="O2593" s="5">
        <v>-2.2520718317518</v>
      </c>
      <c r="P2593" s="5">
        <v>0.0</v>
      </c>
      <c r="Q2593" s="5">
        <v>0.0</v>
      </c>
      <c r="R2593" s="5">
        <v>0.0</v>
      </c>
      <c r="S2593" s="5">
        <v>431.117004324262</v>
      </c>
    </row>
    <row r="2594">
      <c r="A2594" s="6">
        <v>44118.0</v>
      </c>
      <c r="B2594" s="5">
        <v>434.684041212775</v>
      </c>
      <c r="C2594" s="5">
        <v>374.31610427584</v>
      </c>
      <c r="D2594" s="5">
        <v>499.594793697356</v>
      </c>
      <c r="E2594" s="5">
        <v>434.684041212775</v>
      </c>
      <c r="F2594" s="5">
        <v>434.684041212775</v>
      </c>
      <c r="G2594" s="5">
        <v>-1.194696402704</v>
      </c>
      <c r="H2594" s="5">
        <v>-1.194696402704</v>
      </c>
      <c r="I2594" s="5">
        <v>-1.194696402704</v>
      </c>
      <c r="J2594" s="5">
        <v>0.00703780528265636</v>
      </c>
      <c r="K2594" s="5">
        <v>0.00703780528265636</v>
      </c>
      <c r="L2594" s="5">
        <v>0.00703780528265636</v>
      </c>
      <c r="M2594" s="5">
        <v>-1.20173420798665</v>
      </c>
      <c r="N2594" s="5">
        <v>-1.20173420798665</v>
      </c>
      <c r="O2594" s="5">
        <v>-1.20173420798665</v>
      </c>
      <c r="P2594" s="5">
        <v>0.0</v>
      </c>
      <c r="Q2594" s="5">
        <v>0.0</v>
      </c>
      <c r="R2594" s="5">
        <v>0.0</v>
      </c>
      <c r="S2594" s="5">
        <v>433.489344810071</v>
      </c>
    </row>
    <row r="2595">
      <c r="A2595" s="6">
        <v>44119.0</v>
      </c>
      <c r="B2595" s="5">
        <v>435.854887412288</v>
      </c>
      <c r="C2595" s="5">
        <v>365.650202091871</v>
      </c>
      <c r="D2595" s="5">
        <v>499.092380091258</v>
      </c>
      <c r="E2595" s="5">
        <v>435.854887412288</v>
      </c>
      <c r="F2595" s="5">
        <v>435.854887412288</v>
      </c>
      <c r="G2595" s="5">
        <v>-0.85760136883761</v>
      </c>
      <c r="H2595" s="5">
        <v>-0.85760136883761</v>
      </c>
      <c r="I2595" s="5">
        <v>-0.85760136883761</v>
      </c>
      <c r="J2595" s="5">
        <v>-0.776422525902907</v>
      </c>
      <c r="K2595" s="5">
        <v>-0.776422525902907</v>
      </c>
      <c r="L2595" s="5">
        <v>-0.776422525902907</v>
      </c>
      <c r="M2595" s="5">
        <v>-0.0811788429347027</v>
      </c>
      <c r="N2595" s="5">
        <v>-0.0811788429347027</v>
      </c>
      <c r="O2595" s="5">
        <v>-0.0811788429347027</v>
      </c>
      <c r="P2595" s="5">
        <v>0.0</v>
      </c>
      <c r="Q2595" s="5">
        <v>0.0</v>
      </c>
      <c r="R2595" s="5">
        <v>0.0</v>
      </c>
      <c r="S2595" s="5">
        <v>434.99728604345</v>
      </c>
    </row>
    <row r="2596">
      <c r="A2596" s="6">
        <v>44120.0</v>
      </c>
      <c r="B2596" s="5">
        <v>437.025733611801</v>
      </c>
      <c r="C2596" s="5">
        <v>374.248215512785</v>
      </c>
      <c r="D2596" s="5">
        <v>498.484450945598</v>
      </c>
      <c r="E2596" s="5">
        <v>437.025733611801</v>
      </c>
      <c r="F2596" s="5">
        <v>437.025733611801</v>
      </c>
      <c r="G2596" s="5">
        <v>-0.496270133920207</v>
      </c>
      <c r="H2596" s="5">
        <v>-0.496270133920207</v>
      </c>
      <c r="I2596" s="5">
        <v>-0.496270133920207</v>
      </c>
      <c r="J2596" s="5">
        <v>-1.59155056649275</v>
      </c>
      <c r="K2596" s="5">
        <v>-1.59155056649275</v>
      </c>
      <c r="L2596" s="5">
        <v>-1.59155056649275</v>
      </c>
      <c r="M2596" s="5">
        <v>1.09528043257254</v>
      </c>
      <c r="N2596" s="5">
        <v>1.09528043257254</v>
      </c>
      <c r="O2596" s="5">
        <v>1.09528043257254</v>
      </c>
      <c r="P2596" s="5">
        <v>0.0</v>
      </c>
      <c r="Q2596" s="5">
        <v>0.0</v>
      </c>
      <c r="R2596" s="5">
        <v>0.0</v>
      </c>
      <c r="S2596" s="5">
        <v>436.529463477881</v>
      </c>
    </row>
    <row r="2597">
      <c r="A2597" s="6">
        <v>44123.0</v>
      </c>
      <c r="B2597" s="5">
        <v>440.538272210341</v>
      </c>
      <c r="C2597" s="5">
        <v>384.806487544594</v>
      </c>
      <c r="D2597" s="5">
        <v>509.902098902951</v>
      </c>
      <c r="E2597" s="5">
        <v>440.538272210341</v>
      </c>
      <c r="F2597" s="5">
        <v>440.538272210341</v>
      </c>
      <c r="G2597" s="5">
        <v>4.89458428537731</v>
      </c>
      <c r="H2597" s="5">
        <v>4.89458428537731</v>
      </c>
      <c r="I2597" s="5">
        <v>4.89458428537731</v>
      </c>
      <c r="J2597" s="5">
        <v>0.0905589421211513</v>
      </c>
      <c r="K2597" s="5">
        <v>0.0905589421211513</v>
      </c>
      <c r="L2597" s="5">
        <v>0.0905589421211513</v>
      </c>
      <c r="M2597" s="5">
        <v>4.80402534325616</v>
      </c>
      <c r="N2597" s="5">
        <v>4.80402534325616</v>
      </c>
      <c r="O2597" s="5">
        <v>4.80402534325616</v>
      </c>
      <c r="P2597" s="5">
        <v>0.0</v>
      </c>
      <c r="Q2597" s="5">
        <v>0.0</v>
      </c>
      <c r="R2597" s="5">
        <v>0.0</v>
      </c>
      <c r="S2597" s="5">
        <v>445.432856495718</v>
      </c>
    </row>
    <row r="2598">
      <c r="A2598" s="6">
        <v>44124.0</v>
      </c>
      <c r="B2598" s="5">
        <v>441.709118409854</v>
      </c>
      <c r="C2598" s="5">
        <v>382.427451879783</v>
      </c>
      <c r="D2598" s="5">
        <v>511.478428741717</v>
      </c>
      <c r="E2598" s="5">
        <v>441.709118409854</v>
      </c>
      <c r="F2598" s="5">
        <v>441.709118409854</v>
      </c>
      <c r="G2598" s="5">
        <v>5.90229150355885</v>
      </c>
      <c r="H2598" s="5">
        <v>5.90229150355885</v>
      </c>
      <c r="I2598" s="5">
        <v>5.90229150355885</v>
      </c>
      <c r="J2598" s="5">
        <v>-0.144118857246473</v>
      </c>
      <c r="K2598" s="5">
        <v>-0.144118857246473</v>
      </c>
      <c r="L2598" s="5">
        <v>-0.144118857246473</v>
      </c>
      <c r="M2598" s="5">
        <v>6.04641036080532</v>
      </c>
      <c r="N2598" s="5">
        <v>6.04641036080532</v>
      </c>
      <c r="O2598" s="5">
        <v>6.04641036080532</v>
      </c>
      <c r="P2598" s="5">
        <v>0.0</v>
      </c>
      <c r="Q2598" s="5">
        <v>0.0</v>
      </c>
      <c r="R2598" s="5">
        <v>0.0</v>
      </c>
      <c r="S2598" s="5">
        <v>447.611409913413</v>
      </c>
    </row>
    <row r="2599">
      <c r="A2599" s="6">
        <v>44125.0</v>
      </c>
      <c r="B2599" s="5">
        <v>442.879964609367</v>
      </c>
      <c r="C2599" s="5">
        <v>384.160026548396</v>
      </c>
      <c r="D2599" s="5">
        <v>511.887040950055</v>
      </c>
      <c r="E2599" s="5">
        <v>442.879964609367</v>
      </c>
      <c r="F2599" s="5">
        <v>442.879964609367</v>
      </c>
      <c r="G2599" s="5">
        <v>7.27262708025888</v>
      </c>
      <c r="H2599" s="5">
        <v>7.27262708025888</v>
      </c>
      <c r="I2599" s="5">
        <v>7.27262708025888</v>
      </c>
      <c r="J2599" s="5">
        <v>0.00703780528396743</v>
      </c>
      <c r="K2599" s="5">
        <v>0.00703780528396743</v>
      </c>
      <c r="L2599" s="5">
        <v>0.00703780528396743</v>
      </c>
      <c r="M2599" s="5">
        <v>7.26558927497491</v>
      </c>
      <c r="N2599" s="5">
        <v>7.26558927497491</v>
      </c>
      <c r="O2599" s="5">
        <v>7.26558927497491</v>
      </c>
      <c r="P2599" s="5">
        <v>0.0</v>
      </c>
      <c r="Q2599" s="5">
        <v>0.0</v>
      </c>
      <c r="R2599" s="5">
        <v>0.0</v>
      </c>
      <c r="S2599" s="5">
        <v>450.152591689626</v>
      </c>
    </row>
    <row r="2600">
      <c r="A2600" s="6">
        <v>44126.0</v>
      </c>
      <c r="B2600" s="5">
        <v>444.05081080888</v>
      </c>
      <c r="C2600" s="5">
        <v>391.010447228862</v>
      </c>
      <c r="D2600" s="5">
        <v>513.714767515849</v>
      </c>
      <c r="E2600" s="5">
        <v>444.05081080888</v>
      </c>
      <c r="F2600" s="5">
        <v>444.05081080888</v>
      </c>
      <c r="G2600" s="5">
        <v>7.67050695153527</v>
      </c>
      <c r="H2600" s="5">
        <v>7.67050695153527</v>
      </c>
      <c r="I2600" s="5">
        <v>7.67050695153527</v>
      </c>
      <c r="J2600" s="5">
        <v>-0.776422525899304</v>
      </c>
      <c r="K2600" s="5">
        <v>-0.776422525899304</v>
      </c>
      <c r="L2600" s="5">
        <v>-0.776422525899304</v>
      </c>
      <c r="M2600" s="5">
        <v>8.44692947743457</v>
      </c>
      <c r="N2600" s="5">
        <v>8.44692947743457</v>
      </c>
      <c r="O2600" s="5">
        <v>8.44692947743457</v>
      </c>
      <c r="P2600" s="5">
        <v>0.0</v>
      </c>
      <c r="Q2600" s="5">
        <v>0.0</v>
      </c>
      <c r="R2600" s="5">
        <v>0.0</v>
      </c>
      <c r="S2600" s="5">
        <v>451.721317760416</v>
      </c>
    </row>
    <row r="2601">
      <c r="A2601" s="6">
        <v>44127.0</v>
      </c>
      <c r="B2601" s="5">
        <v>445.221657008394</v>
      </c>
      <c r="C2601" s="5">
        <v>392.321573635684</v>
      </c>
      <c r="D2601" s="5">
        <v>517.498986251038</v>
      </c>
      <c r="E2601" s="5">
        <v>445.221657008394</v>
      </c>
      <c r="F2601" s="5">
        <v>445.221657008394</v>
      </c>
      <c r="G2601" s="5">
        <v>7.98549745444612</v>
      </c>
      <c r="H2601" s="5">
        <v>7.98549745444612</v>
      </c>
      <c r="I2601" s="5">
        <v>7.98549745444612</v>
      </c>
      <c r="J2601" s="5">
        <v>-1.59155056649183</v>
      </c>
      <c r="K2601" s="5">
        <v>-1.59155056649183</v>
      </c>
      <c r="L2601" s="5">
        <v>-1.59155056649183</v>
      </c>
      <c r="M2601" s="5">
        <v>9.57704802093795</v>
      </c>
      <c r="N2601" s="5">
        <v>9.57704802093795</v>
      </c>
      <c r="O2601" s="5">
        <v>9.57704802093795</v>
      </c>
      <c r="P2601" s="5">
        <v>0.0</v>
      </c>
      <c r="Q2601" s="5">
        <v>0.0</v>
      </c>
      <c r="R2601" s="5">
        <v>0.0</v>
      </c>
      <c r="S2601" s="5">
        <v>453.20715446284</v>
      </c>
    </row>
    <row r="2602">
      <c r="A2602" s="6">
        <v>44130.0</v>
      </c>
      <c r="B2602" s="5">
        <v>448.734195606934</v>
      </c>
      <c r="C2602" s="5">
        <v>395.939815690717</v>
      </c>
      <c r="D2602" s="5">
        <v>522.85003168946</v>
      </c>
      <c r="E2602" s="5">
        <v>448.734195606934</v>
      </c>
      <c r="F2602" s="5">
        <v>448.734195606934</v>
      </c>
      <c r="G2602" s="5">
        <v>12.6417005193635</v>
      </c>
      <c r="H2602" s="5">
        <v>12.6417005193635</v>
      </c>
      <c r="I2602" s="5">
        <v>12.6417005193635</v>
      </c>
      <c r="J2602" s="5">
        <v>0.0905589421173299</v>
      </c>
      <c r="K2602" s="5">
        <v>0.0905589421173299</v>
      </c>
      <c r="L2602" s="5">
        <v>0.0905589421173299</v>
      </c>
      <c r="M2602" s="5">
        <v>12.5511415772461</v>
      </c>
      <c r="N2602" s="5">
        <v>12.5511415772461</v>
      </c>
      <c r="O2602" s="5">
        <v>12.5511415772461</v>
      </c>
      <c r="P2602" s="5">
        <v>0.0</v>
      </c>
      <c r="Q2602" s="5">
        <v>0.0</v>
      </c>
      <c r="R2602" s="5">
        <v>0.0</v>
      </c>
      <c r="S2602" s="5">
        <v>461.375896126297</v>
      </c>
    </row>
    <row r="2603">
      <c r="A2603" s="6">
        <v>44131.0</v>
      </c>
      <c r="B2603" s="5">
        <v>449.905041806447</v>
      </c>
      <c r="C2603" s="5">
        <v>399.442255816076</v>
      </c>
      <c r="D2603" s="5">
        <v>526.702470779208</v>
      </c>
      <c r="E2603" s="5">
        <v>449.905041806447</v>
      </c>
      <c r="F2603" s="5">
        <v>449.905041806447</v>
      </c>
      <c r="G2603" s="5">
        <v>13.2332122180975</v>
      </c>
      <c r="H2603" s="5">
        <v>13.2332122180975</v>
      </c>
      <c r="I2603" s="5">
        <v>13.2332122180975</v>
      </c>
      <c r="J2603" s="5">
        <v>-0.144118857245384</v>
      </c>
      <c r="K2603" s="5">
        <v>-0.144118857245384</v>
      </c>
      <c r="L2603" s="5">
        <v>-0.144118857245384</v>
      </c>
      <c r="M2603" s="5">
        <v>13.3773310753429</v>
      </c>
      <c r="N2603" s="5">
        <v>13.3773310753429</v>
      </c>
      <c r="O2603" s="5">
        <v>13.3773310753429</v>
      </c>
      <c r="P2603" s="5">
        <v>0.0</v>
      </c>
      <c r="Q2603" s="5">
        <v>0.0</v>
      </c>
      <c r="R2603" s="5">
        <v>0.0</v>
      </c>
      <c r="S2603" s="5">
        <v>463.138254024544</v>
      </c>
    </row>
    <row r="2604">
      <c r="A2604" s="6">
        <v>44132.0</v>
      </c>
      <c r="B2604" s="5">
        <v>451.07588800596</v>
      </c>
      <c r="C2604" s="5">
        <v>406.091077363432</v>
      </c>
      <c r="D2604" s="5">
        <v>529.696538771067</v>
      </c>
      <c r="E2604" s="5">
        <v>451.07588800596</v>
      </c>
      <c r="F2604" s="5">
        <v>451.07588800596</v>
      </c>
      <c r="G2604" s="5">
        <v>14.1202333543483</v>
      </c>
      <c r="H2604" s="5">
        <v>14.1202333543483</v>
      </c>
      <c r="I2604" s="5">
        <v>14.1202333543483</v>
      </c>
      <c r="J2604" s="5">
        <v>0.00703780528095122</v>
      </c>
      <c r="K2604" s="5">
        <v>0.00703780528095122</v>
      </c>
      <c r="L2604" s="5">
        <v>0.00703780528095122</v>
      </c>
      <c r="M2604" s="5">
        <v>14.1131955490673</v>
      </c>
      <c r="N2604" s="5">
        <v>14.1131955490673</v>
      </c>
      <c r="O2604" s="5">
        <v>14.1131955490673</v>
      </c>
      <c r="P2604" s="5">
        <v>0.0</v>
      </c>
      <c r="Q2604" s="5">
        <v>0.0</v>
      </c>
      <c r="R2604" s="5">
        <v>0.0</v>
      </c>
      <c r="S2604" s="5">
        <v>465.196121360308</v>
      </c>
    </row>
    <row r="2605">
      <c r="A2605" s="6">
        <v>44133.0</v>
      </c>
      <c r="B2605" s="5">
        <v>452.246734205473</v>
      </c>
      <c r="C2605" s="5">
        <v>403.376672021949</v>
      </c>
      <c r="D2605" s="5">
        <v>524.656773292695</v>
      </c>
      <c r="E2605" s="5">
        <v>452.246734205473</v>
      </c>
      <c r="F2605" s="5">
        <v>452.246734205473</v>
      </c>
      <c r="G2605" s="5">
        <v>13.9810955746789</v>
      </c>
      <c r="H2605" s="5">
        <v>13.9810955746789</v>
      </c>
      <c r="I2605" s="5">
        <v>13.9810955746789</v>
      </c>
      <c r="J2605" s="5">
        <v>-0.776422525900026</v>
      </c>
      <c r="K2605" s="5">
        <v>-0.776422525900026</v>
      </c>
      <c r="L2605" s="5">
        <v>-0.776422525900026</v>
      </c>
      <c r="M2605" s="5">
        <v>14.7575181005789</v>
      </c>
      <c r="N2605" s="5">
        <v>14.7575181005789</v>
      </c>
      <c r="O2605" s="5">
        <v>14.7575181005789</v>
      </c>
      <c r="P2605" s="5">
        <v>0.0</v>
      </c>
      <c r="Q2605" s="5">
        <v>0.0</v>
      </c>
      <c r="R2605" s="5">
        <v>0.0</v>
      </c>
      <c r="S2605" s="5">
        <v>466.227829780152</v>
      </c>
    </row>
    <row r="2606">
      <c r="A2606" s="6">
        <v>44134.0</v>
      </c>
      <c r="B2606" s="5">
        <v>453.417580404987</v>
      </c>
      <c r="C2606" s="5">
        <v>404.394409641824</v>
      </c>
      <c r="D2606" s="5">
        <v>529.972576431716</v>
      </c>
      <c r="E2606" s="5">
        <v>453.417580404987</v>
      </c>
      <c r="F2606" s="5">
        <v>453.417580404987</v>
      </c>
      <c r="G2606" s="5">
        <v>13.7197884570262</v>
      </c>
      <c r="H2606" s="5">
        <v>13.7197884570262</v>
      </c>
      <c r="I2606" s="5">
        <v>13.7197884570262</v>
      </c>
      <c r="J2606" s="5">
        <v>-1.59155056649059</v>
      </c>
      <c r="K2606" s="5">
        <v>-1.59155056649059</v>
      </c>
      <c r="L2606" s="5">
        <v>-1.59155056649059</v>
      </c>
      <c r="M2606" s="5">
        <v>15.3113390235168</v>
      </c>
      <c r="N2606" s="5">
        <v>15.3113390235168</v>
      </c>
      <c r="O2606" s="5">
        <v>15.3113390235168</v>
      </c>
      <c r="P2606" s="5">
        <v>0.0</v>
      </c>
      <c r="Q2606" s="5">
        <v>0.0</v>
      </c>
      <c r="R2606" s="5">
        <v>0.0</v>
      </c>
      <c r="S2606" s="5">
        <v>467.137368862013</v>
      </c>
    </row>
    <row r="2607">
      <c r="A2607" s="6">
        <v>44137.0</v>
      </c>
      <c r="B2607" s="5">
        <v>456.930119003526</v>
      </c>
      <c r="C2607" s="5">
        <v>407.229658979622</v>
      </c>
      <c r="D2607" s="5">
        <v>530.098646448894</v>
      </c>
      <c r="E2607" s="5">
        <v>456.930119003526</v>
      </c>
      <c r="F2607" s="5">
        <v>456.930119003526</v>
      </c>
      <c r="G2607" s="5">
        <v>16.5619981852975</v>
      </c>
      <c r="H2607" s="5">
        <v>16.5619981852975</v>
      </c>
      <c r="I2607" s="5">
        <v>16.5619981852975</v>
      </c>
      <c r="J2607" s="5">
        <v>0.0905589421232043</v>
      </c>
      <c r="K2607" s="5">
        <v>0.0905589421232043</v>
      </c>
      <c r="L2607" s="5">
        <v>0.0905589421232043</v>
      </c>
      <c r="M2607" s="5">
        <v>16.4714392431743</v>
      </c>
      <c r="N2607" s="5">
        <v>16.4714392431743</v>
      </c>
      <c r="O2607" s="5">
        <v>16.4714392431743</v>
      </c>
      <c r="P2607" s="5">
        <v>0.0</v>
      </c>
      <c r="Q2607" s="5">
        <v>0.0</v>
      </c>
      <c r="R2607" s="5">
        <v>0.0</v>
      </c>
      <c r="S2607" s="5">
        <v>473.492117188824</v>
      </c>
    </row>
    <row r="2608">
      <c r="A2608" s="6">
        <v>44138.0</v>
      </c>
      <c r="B2608" s="5">
        <v>458.100965203039</v>
      </c>
      <c r="C2608" s="5">
        <v>413.634317193568</v>
      </c>
      <c r="D2608" s="5">
        <v>535.441291326821</v>
      </c>
      <c r="E2608" s="5">
        <v>458.100965203039</v>
      </c>
      <c r="F2608" s="5">
        <v>458.100965203039</v>
      </c>
      <c r="G2608" s="5">
        <v>16.5697902433452</v>
      </c>
      <c r="H2608" s="5">
        <v>16.5697902433452</v>
      </c>
      <c r="I2608" s="5">
        <v>16.5697902433452</v>
      </c>
      <c r="J2608" s="5">
        <v>-0.144118857244296</v>
      </c>
      <c r="K2608" s="5">
        <v>-0.144118857244296</v>
      </c>
      <c r="L2608" s="5">
        <v>-0.144118857244296</v>
      </c>
      <c r="M2608" s="5">
        <v>16.7139091005895</v>
      </c>
      <c r="N2608" s="5">
        <v>16.7139091005895</v>
      </c>
      <c r="O2608" s="5">
        <v>16.7139091005895</v>
      </c>
      <c r="P2608" s="5">
        <v>0.0</v>
      </c>
      <c r="Q2608" s="5">
        <v>0.0</v>
      </c>
      <c r="R2608" s="5">
        <v>0.0</v>
      </c>
      <c r="S2608" s="5">
        <v>474.670755446385</v>
      </c>
    </row>
    <row r="2609">
      <c r="A2609" s="6">
        <v>44139.0</v>
      </c>
      <c r="B2609" s="5">
        <v>459.271811402553</v>
      </c>
      <c r="C2609" s="5">
        <v>417.151563627564</v>
      </c>
      <c r="D2609" s="5">
        <v>541.69002323327</v>
      </c>
      <c r="E2609" s="5">
        <v>459.271811402553</v>
      </c>
      <c r="F2609" s="5">
        <v>459.271811402553</v>
      </c>
      <c r="G2609" s="5">
        <v>16.9063181298286</v>
      </c>
      <c r="H2609" s="5">
        <v>16.9063181298286</v>
      </c>
      <c r="I2609" s="5">
        <v>16.9063181298286</v>
      </c>
      <c r="J2609" s="5">
        <v>0.00703780528226229</v>
      </c>
      <c r="K2609" s="5">
        <v>0.00703780528226229</v>
      </c>
      <c r="L2609" s="5">
        <v>0.00703780528226229</v>
      </c>
      <c r="M2609" s="5">
        <v>16.8992803245463</v>
      </c>
      <c r="N2609" s="5">
        <v>16.8992803245463</v>
      </c>
      <c r="O2609" s="5">
        <v>16.8992803245463</v>
      </c>
      <c r="P2609" s="5">
        <v>0.0</v>
      </c>
      <c r="Q2609" s="5">
        <v>0.0</v>
      </c>
      <c r="R2609" s="5">
        <v>0.0</v>
      </c>
      <c r="S2609" s="5">
        <v>476.178129532381</v>
      </c>
    </row>
    <row r="2610">
      <c r="A2610" s="6">
        <v>44140.0</v>
      </c>
      <c r="B2610" s="5">
        <v>460.442657602066</v>
      </c>
      <c r="C2610" s="5">
        <v>410.967845893557</v>
      </c>
      <c r="D2610" s="5">
        <v>536.730413042328</v>
      </c>
      <c r="E2610" s="5">
        <v>460.442657602066</v>
      </c>
      <c r="F2610" s="5">
        <v>460.442657602066</v>
      </c>
      <c r="G2610" s="5">
        <v>16.2616146929872</v>
      </c>
      <c r="H2610" s="5">
        <v>16.2616146929872</v>
      </c>
      <c r="I2610" s="5">
        <v>16.2616146929872</v>
      </c>
      <c r="J2610" s="5">
        <v>-0.776422525902123</v>
      </c>
      <c r="K2610" s="5">
        <v>-0.776422525902123</v>
      </c>
      <c r="L2610" s="5">
        <v>-0.776422525902123</v>
      </c>
      <c r="M2610" s="5">
        <v>17.0380372188893</v>
      </c>
      <c r="N2610" s="5">
        <v>17.0380372188893</v>
      </c>
      <c r="O2610" s="5">
        <v>17.0380372188893</v>
      </c>
      <c r="P2610" s="5">
        <v>0.0</v>
      </c>
      <c r="Q2610" s="5">
        <v>0.0</v>
      </c>
      <c r="R2610" s="5">
        <v>0.0</v>
      </c>
      <c r="S2610" s="5">
        <v>476.704272295053</v>
      </c>
    </row>
    <row r="2611">
      <c r="A2611" s="6">
        <v>44141.0</v>
      </c>
      <c r="B2611" s="5">
        <v>461.613503801579</v>
      </c>
      <c r="C2611" s="5">
        <v>412.692896868682</v>
      </c>
      <c r="D2611" s="5">
        <v>539.766305485498</v>
      </c>
      <c r="E2611" s="5">
        <v>461.613503801579</v>
      </c>
      <c r="F2611" s="5">
        <v>461.613503801579</v>
      </c>
      <c r="G2611" s="5">
        <v>15.5496016371914</v>
      </c>
      <c r="H2611" s="5">
        <v>15.5496016371914</v>
      </c>
      <c r="I2611" s="5">
        <v>15.5496016371914</v>
      </c>
      <c r="J2611" s="5">
        <v>-1.59155056648998</v>
      </c>
      <c r="K2611" s="5">
        <v>-1.59155056648998</v>
      </c>
      <c r="L2611" s="5">
        <v>-1.59155056648998</v>
      </c>
      <c r="M2611" s="5">
        <v>17.1411522036814</v>
      </c>
      <c r="N2611" s="5">
        <v>17.1411522036814</v>
      </c>
      <c r="O2611" s="5">
        <v>17.1411522036814</v>
      </c>
      <c r="P2611" s="5">
        <v>0.0</v>
      </c>
      <c r="Q2611" s="5">
        <v>0.0</v>
      </c>
      <c r="R2611" s="5">
        <v>0.0</v>
      </c>
      <c r="S2611" s="5">
        <v>477.16310543877</v>
      </c>
    </row>
    <row r="2612">
      <c r="A2612" s="6">
        <v>44144.0</v>
      </c>
      <c r="B2612" s="5">
        <v>465.126042400119</v>
      </c>
      <c r="C2612" s="5">
        <v>420.741360898983</v>
      </c>
      <c r="D2612" s="5">
        <v>547.345361598775</v>
      </c>
      <c r="E2612" s="5">
        <v>465.126042400119</v>
      </c>
      <c r="F2612" s="5">
        <v>465.126042400119</v>
      </c>
      <c r="G2612" s="5">
        <v>17.4364929905778</v>
      </c>
      <c r="H2612" s="5">
        <v>17.4364929905778</v>
      </c>
      <c r="I2612" s="5">
        <v>17.4364929905778</v>
      </c>
      <c r="J2612" s="5">
        <v>0.0905589421217668</v>
      </c>
      <c r="K2612" s="5">
        <v>0.0905589421217668</v>
      </c>
      <c r="L2612" s="5">
        <v>0.0905589421217668</v>
      </c>
      <c r="M2612" s="5">
        <v>17.3459340484561</v>
      </c>
      <c r="N2612" s="5">
        <v>17.3459340484561</v>
      </c>
      <c r="O2612" s="5">
        <v>17.3459340484561</v>
      </c>
      <c r="P2612" s="5">
        <v>0.0</v>
      </c>
      <c r="Q2612" s="5">
        <v>0.0</v>
      </c>
      <c r="R2612" s="5">
        <v>0.0</v>
      </c>
      <c r="S2612" s="5">
        <v>482.562535390697</v>
      </c>
    </row>
    <row r="2613">
      <c r="A2613" s="6">
        <v>44145.0</v>
      </c>
      <c r="B2613" s="5">
        <v>466.296888599632</v>
      </c>
      <c r="C2613" s="5">
        <v>423.24680897257</v>
      </c>
      <c r="D2613" s="5">
        <v>544.742947468662</v>
      </c>
      <c r="E2613" s="5">
        <v>466.296888599632</v>
      </c>
      <c r="F2613" s="5">
        <v>466.296888599632</v>
      </c>
      <c r="G2613" s="5">
        <v>17.2689940328174</v>
      </c>
      <c r="H2613" s="5">
        <v>17.2689940328174</v>
      </c>
      <c r="I2613" s="5">
        <v>17.2689940328174</v>
      </c>
      <c r="J2613" s="5">
        <v>-0.144118857246037</v>
      </c>
      <c r="K2613" s="5">
        <v>-0.144118857246037</v>
      </c>
      <c r="L2613" s="5">
        <v>-0.144118857246037</v>
      </c>
      <c r="M2613" s="5">
        <v>17.4131128900634</v>
      </c>
      <c r="N2613" s="5">
        <v>17.4131128900634</v>
      </c>
      <c r="O2613" s="5">
        <v>17.4131128900634</v>
      </c>
      <c r="P2613" s="5">
        <v>0.0</v>
      </c>
      <c r="Q2613" s="5">
        <v>0.0</v>
      </c>
      <c r="R2613" s="5">
        <v>0.0</v>
      </c>
      <c r="S2613" s="5">
        <v>483.56588263245</v>
      </c>
    </row>
    <row r="2614">
      <c r="A2614" s="6">
        <v>44146.0</v>
      </c>
      <c r="B2614" s="5">
        <v>467.467734799146</v>
      </c>
      <c r="C2614" s="5">
        <v>422.188304266341</v>
      </c>
      <c r="D2614" s="5">
        <v>548.37828568816</v>
      </c>
      <c r="E2614" s="5">
        <v>467.467734799146</v>
      </c>
      <c r="F2614" s="5">
        <v>467.467734799146</v>
      </c>
      <c r="G2614" s="5">
        <v>17.5011932074416</v>
      </c>
      <c r="H2614" s="5">
        <v>17.5011932074416</v>
      </c>
      <c r="I2614" s="5">
        <v>17.5011932074416</v>
      </c>
      <c r="J2614" s="5">
        <v>0.00703780528140987</v>
      </c>
      <c r="K2614" s="5">
        <v>0.00703780528140987</v>
      </c>
      <c r="L2614" s="5">
        <v>0.00703780528140987</v>
      </c>
      <c r="M2614" s="5">
        <v>17.4941554021602</v>
      </c>
      <c r="N2614" s="5">
        <v>17.4941554021602</v>
      </c>
      <c r="O2614" s="5">
        <v>17.4941554021602</v>
      </c>
      <c r="P2614" s="5">
        <v>0.0</v>
      </c>
      <c r="Q2614" s="5">
        <v>0.0</v>
      </c>
      <c r="R2614" s="5">
        <v>0.0</v>
      </c>
      <c r="S2614" s="5">
        <v>484.968928006587</v>
      </c>
    </row>
    <row r="2615">
      <c r="A2615" s="6">
        <v>44147.0</v>
      </c>
      <c r="B2615" s="5">
        <v>468.638580998658</v>
      </c>
      <c r="C2615" s="5">
        <v>423.851894932301</v>
      </c>
      <c r="D2615" s="5">
        <v>551.556149972422</v>
      </c>
      <c r="E2615" s="5">
        <v>468.638580998658</v>
      </c>
      <c r="F2615" s="5">
        <v>468.638580998658</v>
      </c>
      <c r="G2615" s="5">
        <v>16.8191985024154</v>
      </c>
      <c r="H2615" s="5">
        <v>16.8191985024154</v>
      </c>
      <c r="I2615" s="5">
        <v>16.8191985024154</v>
      </c>
      <c r="J2615" s="5">
        <v>-0.77642252590422</v>
      </c>
      <c r="K2615" s="5">
        <v>-0.77642252590422</v>
      </c>
      <c r="L2615" s="5">
        <v>-0.77642252590422</v>
      </c>
      <c r="M2615" s="5">
        <v>17.5956210283196</v>
      </c>
      <c r="N2615" s="5">
        <v>17.5956210283196</v>
      </c>
      <c r="O2615" s="5">
        <v>17.5956210283196</v>
      </c>
      <c r="P2615" s="5">
        <v>0.0</v>
      </c>
      <c r="Q2615" s="5">
        <v>0.0</v>
      </c>
      <c r="R2615" s="5">
        <v>0.0</v>
      </c>
      <c r="S2615" s="5">
        <v>485.457779501074</v>
      </c>
    </row>
    <row r="2616">
      <c r="A2616" s="6">
        <v>44148.0</v>
      </c>
      <c r="B2616" s="5">
        <v>469.809427198172</v>
      </c>
      <c r="C2616" s="5">
        <v>428.01549436583</v>
      </c>
      <c r="D2616" s="5">
        <v>548.673598851617</v>
      </c>
      <c r="E2616" s="5">
        <v>469.809427198172</v>
      </c>
      <c r="F2616" s="5">
        <v>469.809427198172</v>
      </c>
      <c r="G2616" s="5">
        <v>16.1308198939424</v>
      </c>
      <c r="H2616" s="5">
        <v>16.1308198939424</v>
      </c>
      <c r="I2616" s="5">
        <v>16.1308198939424</v>
      </c>
      <c r="J2616" s="5">
        <v>-1.59155056649423</v>
      </c>
      <c r="K2616" s="5">
        <v>-1.59155056649423</v>
      </c>
      <c r="L2616" s="5">
        <v>-1.59155056649423</v>
      </c>
      <c r="M2616" s="5">
        <v>17.7223704604366</v>
      </c>
      <c r="N2616" s="5">
        <v>17.7223704604366</v>
      </c>
      <c r="O2616" s="5">
        <v>17.7223704604366</v>
      </c>
      <c r="P2616" s="5">
        <v>0.0</v>
      </c>
      <c r="Q2616" s="5">
        <v>0.0</v>
      </c>
      <c r="R2616" s="5">
        <v>0.0</v>
      </c>
      <c r="S2616" s="5">
        <v>485.940247092114</v>
      </c>
    </row>
    <row r="2617">
      <c r="A2617" s="6">
        <v>44151.0</v>
      </c>
      <c r="B2617" s="5">
        <v>473.321965796712</v>
      </c>
      <c r="C2617" s="5">
        <v>426.306607779421</v>
      </c>
      <c r="D2617" s="5">
        <v>555.582636810964</v>
      </c>
      <c r="E2617" s="5">
        <v>473.321965796712</v>
      </c>
      <c r="F2617" s="5">
        <v>473.321965796712</v>
      </c>
      <c r="G2617" s="5">
        <v>18.3653439608592</v>
      </c>
      <c r="H2617" s="5">
        <v>18.3653439608592</v>
      </c>
      <c r="I2617" s="5">
        <v>18.3653439608592</v>
      </c>
      <c r="J2617" s="5">
        <v>0.0905589421227132</v>
      </c>
      <c r="K2617" s="5">
        <v>0.0905589421227132</v>
      </c>
      <c r="L2617" s="5">
        <v>0.0905589421227132</v>
      </c>
      <c r="M2617" s="5">
        <v>18.2747850187365</v>
      </c>
      <c r="N2617" s="5">
        <v>18.2747850187365</v>
      </c>
      <c r="O2617" s="5">
        <v>18.2747850187365</v>
      </c>
      <c r="P2617" s="5">
        <v>0.0</v>
      </c>
      <c r="Q2617" s="5">
        <v>0.0</v>
      </c>
      <c r="R2617" s="5">
        <v>0.0</v>
      </c>
      <c r="S2617" s="5">
        <v>491.687309757571</v>
      </c>
    </row>
    <row r="2618">
      <c r="A2618" s="6">
        <v>44152.0</v>
      </c>
      <c r="B2618" s="5">
        <v>474.492811996225</v>
      </c>
      <c r="C2618" s="5">
        <v>427.928171234336</v>
      </c>
      <c r="D2618" s="5">
        <v>559.078467990966</v>
      </c>
      <c r="E2618" s="5">
        <v>474.492811996225</v>
      </c>
      <c r="F2618" s="5">
        <v>474.492811996225</v>
      </c>
      <c r="G2618" s="5">
        <v>18.3693363887014</v>
      </c>
      <c r="H2618" s="5">
        <v>18.3693363887014</v>
      </c>
      <c r="I2618" s="5">
        <v>18.3693363887014</v>
      </c>
      <c r="J2618" s="5">
        <v>-0.144118857244949</v>
      </c>
      <c r="K2618" s="5">
        <v>-0.144118857244949</v>
      </c>
      <c r="L2618" s="5">
        <v>-0.144118857244949</v>
      </c>
      <c r="M2618" s="5">
        <v>18.5134552459463</v>
      </c>
      <c r="N2618" s="5">
        <v>18.5134552459463</v>
      </c>
      <c r="O2618" s="5">
        <v>18.5134552459463</v>
      </c>
      <c r="P2618" s="5">
        <v>0.0</v>
      </c>
      <c r="Q2618" s="5">
        <v>0.0</v>
      </c>
      <c r="R2618" s="5">
        <v>0.0</v>
      </c>
      <c r="S2618" s="5">
        <v>492.862148384926</v>
      </c>
    </row>
    <row r="2619">
      <c r="A2619" s="6">
        <v>44153.0</v>
      </c>
      <c r="B2619" s="5">
        <v>475.663658195738</v>
      </c>
      <c r="C2619" s="5">
        <v>423.606346555617</v>
      </c>
      <c r="D2619" s="5">
        <v>560.07997755702</v>
      </c>
      <c r="E2619" s="5">
        <v>475.663658195738</v>
      </c>
      <c r="F2619" s="5">
        <v>475.663658195738</v>
      </c>
      <c r="G2619" s="5">
        <v>18.7803170406998</v>
      </c>
      <c r="H2619" s="5">
        <v>18.7803170406998</v>
      </c>
      <c r="I2619" s="5">
        <v>18.7803170406998</v>
      </c>
      <c r="J2619" s="5">
        <v>0.00703780528253999</v>
      </c>
      <c r="K2619" s="5">
        <v>0.00703780528253999</v>
      </c>
      <c r="L2619" s="5">
        <v>0.00703780528253999</v>
      </c>
      <c r="M2619" s="5">
        <v>18.7732792354173</v>
      </c>
      <c r="N2619" s="5">
        <v>18.7732792354173</v>
      </c>
      <c r="O2619" s="5">
        <v>18.7732792354173</v>
      </c>
      <c r="P2619" s="5">
        <v>0.0</v>
      </c>
      <c r="Q2619" s="5">
        <v>0.0</v>
      </c>
      <c r="R2619" s="5">
        <v>0.0</v>
      </c>
      <c r="S2619" s="5">
        <v>494.443975236438</v>
      </c>
    </row>
    <row r="2620">
      <c r="A2620" s="6">
        <v>44154.0</v>
      </c>
      <c r="B2620" s="5">
        <v>476.834504395251</v>
      </c>
      <c r="C2620" s="5">
        <v>429.67555981574</v>
      </c>
      <c r="D2620" s="5">
        <v>558.721477523365</v>
      </c>
      <c r="E2620" s="5">
        <v>476.834504395251</v>
      </c>
      <c r="F2620" s="5">
        <v>476.834504395251</v>
      </c>
      <c r="G2620" s="5">
        <v>18.2716277472139</v>
      </c>
      <c r="H2620" s="5">
        <v>18.2716277472139</v>
      </c>
      <c r="I2620" s="5">
        <v>18.2716277472139</v>
      </c>
      <c r="J2620" s="5">
        <v>-0.776422525903567</v>
      </c>
      <c r="K2620" s="5">
        <v>-0.776422525903567</v>
      </c>
      <c r="L2620" s="5">
        <v>-0.776422525903567</v>
      </c>
      <c r="M2620" s="5">
        <v>19.0480502731175</v>
      </c>
      <c r="N2620" s="5">
        <v>19.0480502731175</v>
      </c>
      <c r="O2620" s="5">
        <v>19.0480502731175</v>
      </c>
      <c r="P2620" s="5">
        <v>0.0</v>
      </c>
      <c r="Q2620" s="5">
        <v>0.0</v>
      </c>
      <c r="R2620" s="5">
        <v>0.0</v>
      </c>
      <c r="S2620" s="5">
        <v>495.106132142465</v>
      </c>
    </row>
    <row r="2621">
      <c r="A2621" s="6">
        <v>44155.0</v>
      </c>
      <c r="B2621" s="5">
        <v>478.005350594765</v>
      </c>
      <c r="C2621" s="5">
        <v>430.599027646487</v>
      </c>
      <c r="D2621" s="5">
        <v>557.087375564875</v>
      </c>
      <c r="E2621" s="5">
        <v>478.005350594765</v>
      </c>
      <c r="F2621" s="5">
        <v>478.005350594765</v>
      </c>
      <c r="G2621" s="5">
        <v>17.7386089416855</v>
      </c>
      <c r="H2621" s="5">
        <v>17.7386089416855</v>
      </c>
      <c r="I2621" s="5">
        <v>17.7386089416855</v>
      </c>
      <c r="J2621" s="5">
        <v>-1.5915505664933</v>
      </c>
      <c r="K2621" s="5">
        <v>-1.5915505664933</v>
      </c>
      <c r="L2621" s="5">
        <v>-1.5915505664933</v>
      </c>
      <c r="M2621" s="5">
        <v>19.3301595081788</v>
      </c>
      <c r="N2621" s="5">
        <v>19.3301595081788</v>
      </c>
      <c r="O2621" s="5">
        <v>19.3301595081788</v>
      </c>
      <c r="P2621" s="5">
        <v>0.0</v>
      </c>
      <c r="Q2621" s="5">
        <v>0.0</v>
      </c>
      <c r="R2621" s="5">
        <v>0.0</v>
      </c>
      <c r="S2621" s="5">
        <v>495.74395953645</v>
      </c>
    </row>
    <row r="2622">
      <c r="A2622" s="6">
        <v>44158.0</v>
      </c>
      <c r="B2622" s="5">
        <v>481.517889193304</v>
      </c>
      <c r="C2622" s="5">
        <v>438.440213002714</v>
      </c>
      <c r="D2622" s="5">
        <v>566.40611252281</v>
      </c>
      <c r="E2622" s="5">
        <v>481.517889193304</v>
      </c>
      <c r="F2622" s="5">
        <v>481.517889193304</v>
      </c>
      <c r="G2622" s="5">
        <v>20.220037511396</v>
      </c>
      <c r="H2622" s="5">
        <v>20.220037511396</v>
      </c>
      <c r="I2622" s="5">
        <v>20.220037511396</v>
      </c>
      <c r="J2622" s="5">
        <v>0.0905589421236596</v>
      </c>
      <c r="K2622" s="5">
        <v>0.0905589421236596</v>
      </c>
      <c r="L2622" s="5">
        <v>0.0905589421236596</v>
      </c>
      <c r="M2622" s="5">
        <v>20.1294785692723</v>
      </c>
      <c r="N2622" s="5">
        <v>20.1294785692723</v>
      </c>
      <c r="O2622" s="5">
        <v>20.1294785692723</v>
      </c>
      <c r="P2622" s="5">
        <v>0.0</v>
      </c>
      <c r="Q2622" s="5">
        <v>0.0</v>
      </c>
      <c r="R2622" s="5">
        <v>0.0</v>
      </c>
      <c r="S2622" s="5">
        <v>501.7379267047</v>
      </c>
    </row>
    <row r="2623">
      <c r="A2623" s="6">
        <v>44159.0</v>
      </c>
      <c r="B2623" s="5">
        <v>482.688735392817</v>
      </c>
      <c r="C2623" s="5">
        <v>438.600440669657</v>
      </c>
      <c r="D2623" s="5">
        <v>564.58873147443</v>
      </c>
      <c r="E2623" s="5">
        <v>482.688735392817</v>
      </c>
      <c r="F2623" s="5">
        <v>482.688735392817</v>
      </c>
      <c r="G2623" s="5">
        <v>20.2031619516638</v>
      </c>
      <c r="H2623" s="5">
        <v>20.2031619516638</v>
      </c>
      <c r="I2623" s="5">
        <v>20.2031619516638</v>
      </c>
      <c r="J2623" s="5">
        <v>-0.144118857246384</v>
      </c>
      <c r="K2623" s="5">
        <v>-0.144118857246384</v>
      </c>
      <c r="L2623" s="5">
        <v>-0.144118857246384</v>
      </c>
      <c r="M2623" s="5">
        <v>20.3472808089102</v>
      </c>
      <c r="N2623" s="5">
        <v>20.3472808089102</v>
      </c>
      <c r="O2623" s="5">
        <v>20.3472808089102</v>
      </c>
      <c r="P2623" s="5">
        <v>0.0</v>
      </c>
      <c r="Q2623" s="5">
        <v>0.0</v>
      </c>
      <c r="R2623" s="5">
        <v>0.0</v>
      </c>
      <c r="S2623" s="5">
        <v>502.891897344481</v>
      </c>
    </row>
    <row r="2624">
      <c r="A2624" s="6">
        <v>44160.0</v>
      </c>
      <c r="B2624" s="5">
        <v>483.859581592331</v>
      </c>
      <c r="C2624" s="5">
        <v>438.076569131524</v>
      </c>
      <c r="D2624" s="5">
        <v>568.086433656913</v>
      </c>
      <c r="E2624" s="5">
        <v>483.859581592331</v>
      </c>
      <c r="F2624" s="5">
        <v>483.859581592331</v>
      </c>
      <c r="G2624" s="5">
        <v>20.5312925701794</v>
      </c>
      <c r="H2624" s="5">
        <v>20.5312925701794</v>
      </c>
      <c r="I2624" s="5">
        <v>20.5312925701794</v>
      </c>
      <c r="J2624" s="5">
        <v>0.00703780528168743</v>
      </c>
      <c r="K2624" s="5">
        <v>0.00703780528168743</v>
      </c>
      <c r="L2624" s="5">
        <v>0.00703780528168743</v>
      </c>
      <c r="M2624" s="5">
        <v>20.5242547648977</v>
      </c>
      <c r="N2624" s="5">
        <v>20.5242547648977</v>
      </c>
      <c r="O2624" s="5">
        <v>20.5242547648977</v>
      </c>
      <c r="P2624" s="5">
        <v>0.0</v>
      </c>
      <c r="Q2624" s="5">
        <v>0.0</v>
      </c>
      <c r="R2624" s="5">
        <v>0.0</v>
      </c>
      <c r="S2624" s="5">
        <v>504.39087416251</v>
      </c>
    </row>
    <row r="2625">
      <c r="A2625" s="6">
        <v>44162.0</v>
      </c>
      <c r="B2625" s="5">
        <v>486.201273991357</v>
      </c>
      <c r="C2625" s="5">
        <v>446.26210031561</v>
      </c>
      <c r="D2625" s="5">
        <v>567.517185384116</v>
      </c>
      <c r="E2625" s="5">
        <v>486.201273991357</v>
      </c>
      <c r="F2625" s="5">
        <v>486.201273991357</v>
      </c>
      <c r="G2625" s="5">
        <v>19.1286911212832</v>
      </c>
      <c r="H2625" s="5">
        <v>19.1286911212832</v>
      </c>
      <c r="I2625" s="5">
        <v>19.1286911212832</v>
      </c>
      <c r="J2625" s="5">
        <v>-1.59155056649238</v>
      </c>
      <c r="K2625" s="5">
        <v>-1.59155056649238</v>
      </c>
      <c r="L2625" s="5">
        <v>-1.59155056649238</v>
      </c>
      <c r="M2625" s="5">
        <v>20.7202416877756</v>
      </c>
      <c r="N2625" s="5">
        <v>20.7202416877756</v>
      </c>
      <c r="O2625" s="5">
        <v>20.7202416877756</v>
      </c>
      <c r="P2625" s="5">
        <v>0.0</v>
      </c>
      <c r="Q2625" s="5">
        <v>0.0</v>
      </c>
      <c r="R2625" s="5">
        <v>0.0</v>
      </c>
      <c r="S2625" s="5">
        <v>505.32996511264</v>
      </c>
    </row>
    <row r="2626">
      <c r="A2626" s="6">
        <v>44165.0</v>
      </c>
      <c r="B2626" s="5">
        <v>489.713812589897</v>
      </c>
      <c r="C2626" s="5">
        <v>450.967112812129</v>
      </c>
      <c r="D2626" s="5">
        <v>576.722414589304</v>
      </c>
      <c r="E2626" s="5">
        <v>489.713812589897</v>
      </c>
      <c r="F2626" s="5">
        <v>489.713812589897</v>
      </c>
      <c r="G2626" s="5">
        <v>20.6108470014231</v>
      </c>
      <c r="H2626" s="5">
        <v>20.6108470014231</v>
      </c>
      <c r="I2626" s="5">
        <v>20.6108470014231</v>
      </c>
      <c r="J2626" s="5">
        <v>0.0905589421198385</v>
      </c>
      <c r="K2626" s="5">
        <v>0.0905589421198385</v>
      </c>
      <c r="L2626" s="5">
        <v>0.0905589421198385</v>
      </c>
      <c r="M2626" s="5">
        <v>20.5202880593032</v>
      </c>
      <c r="N2626" s="5">
        <v>20.5202880593032</v>
      </c>
      <c r="O2626" s="5">
        <v>20.5202880593032</v>
      </c>
      <c r="P2626" s="5">
        <v>0.0</v>
      </c>
      <c r="Q2626" s="5">
        <v>0.0</v>
      </c>
      <c r="R2626" s="5">
        <v>0.0</v>
      </c>
      <c r="S2626" s="5">
        <v>510.32465959132</v>
      </c>
    </row>
    <row r="2627">
      <c r="A2627" s="6">
        <v>44166.0</v>
      </c>
      <c r="B2627" s="5">
        <v>490.88465878941</v>
      </c>
      <c r="C2627" s="5">
        <v>450.421954169295</v>
      </c>
      <c r="D2627" s="5">
        <v>575.440867306894</v>
      </c>
      <c r="E2627" s="5">
        <v>490.88465878941</v>
      </c>
      <c r="F2627" s="5">
        <v>490.88465878941</v>
      </c>
      <c r="G2627" s="5">
        <v>20.1637249696466</v>
      </c>
      <c r="H2627" s="5">
        <v>20.1637249696466</v>
      </c>
      <c r="I2627" s="5">
        <v>20.1637249696466</v>
      </c>
      <c r="J2627" s="5">
        <v>-0.144118857242773</v>
      </c>
      <c r="K2627" s="5">
        <v>-0.144118857242773</v>
      </c>
      <c r="L2627" s="5">
        <v>-0.144118857242773</v>
      </c>
      <c r="M2627" s="5">
        <v>20.3078438268894</v>
      </c>
      <c r="N2627" s="5">
        <v>20.3078438268894</v>
      </c>
      <c r="O2627" s="5">
        <v>20.3078438268894</v>
      </c>
      <c r="P2627" s="5">
        <v>0.0</v>
      </c>
      <c r="Q2627" s="5">
        <v>0.0</v>
      </c>
      <c r="R2627" s="5">
        <v>0.0</v>
      </c>
      <c r="S2627" s="5">
        <v>511.048383759057</v>
      </c>
    </row>
    <row r="2628">
      <c r="A2628" s="6">
        <v>44167.0</v>
      </c>
      <c r="B2628" s="5">
        <v>492.055504988924</v>
      </c>
      <c r="C2628" s="5">
        <v>446.588817224869</v>
      </c>
      <c r="D2628" s="5">
        <v>574.924894958581</v>
      </c>
      <c r="E2628" s="5">
        <v>492.055504988924</v>
      </c>
      <c r="F2628" s="5">
        <v>492.055504988924</v>
      </c>
      <c r="G2628" s="5">
        <v>20.0298265830667</v>
      </c>
      <c r="H2628" s="5">
        <v>20.0298265830667</v>
      </c>
      <c r="I2628" s="5">
        <v>20.0298265830667</v>
      </c>
      <c r="J2628" s="5">
        <v>0.00703780528299837</v>
      </c>
      <c r="K2628" s="5">
        <v>0.00703780528299837</v>
      </c>
      <c r="L2628" s="5">
        <v>0.00703780528299837</v>
      </c>
      <c r="M2628" s="5">
        <v>20.0227887777837</v>
      </c>
      <c r="N2628" s="5">
        <v>20.0227887777837</v>
      </c>
      <c r="O2628" s="5">
        <v>20.0227887777837</v>
      </c>
      <c r="P2628" s="5">
        <v>0.0</v>
      </c>
      <c r="Q2628" s="5">
        <v>0.0</v>
      </c>
      <c r="R2628" s="5">
        <v>0.0</v>
      </c>
      <c r="S2628" s="5">
        <v>512.08533157199</v>
      </c>
    </row>
    <row r="2629">
      <c r="A2629" s="6">
        <v>44168.0</v>
      </c>
      <c r="B2629" s="5">
        <v>493.226351188437</v>
      </c>
      <c r="C2629" s="5">
        <v>449.7976361954</v>
      </c>
      <c r="D2629" s="5">
        <v>574.636944705896</v>
      </c>
      <c r="E2629" s="5">
        <v>493.226351188437</v>
      </c>
      <c r="F2629" s="5">
        <v>493.226351188437</v>
      </c>
      <c r="G2629" s="5">
        <v>18.8923390685525</v>
      </c>
      <c r="H2629" s="5">
        <v>18.8923390685525</v>
      </c>
      <c r="I2629" s="5">
        <v>18.8923390685525</v>
      </c>
      <c r="J2629" s="5">
        <v>-0.776422525906385</v>
      </c>
      <c r="K2629" s="5">
        <v>-0.776422525906385</v>
      </c>
      <c r="L2629" s="5">
        <v>-0.776422525906385</v>
      </c>
      <c r="M2629" s="5">
        <v>19.6687615944588</v>
      </c>
      <c r="N2629" s="5">
        <v>19.6687615944588</v>
      </c>
      <c r="O2629" s="5">
        <v>19.6687615944588</v>
      </c>
      <c r="P2629" s="5">
        <v>0.0</v>
      </c>
      <c r="Q2629" s="5">
        <v>0.0</v>
      </c>
      <c r="R2629" s="5">
        <v>0.0</v>
      </c>
      <c r="S2629" s="5">
        <v>512.118690256989</v>
      </c>
    </row>
    <row r="2630">
      <c r="A2630" s="6">
        <v>44169.0</v>
      </c>
      <c r="B2630" s="5">
        <v>494.39719738795</v>
      </c>
      <c r="C2630" s="5">
        <v>447.431957624087</v>
      </c>
      <c r="D2630" s="5">
        <v>574.54343487796</v>
      </c>
      <c r="E2630" s="5">
        <v>494.39719738795</v>
      </c>
      <c r="F2630" s="5">
        <v>494.39719738795</v>
      </c>
      <c r="G2630" s="5">
        <v>17.6601964967918</v>
      </c>
      <c r="H2630" s="5">
        <v>17.6601964967918</v>
      </c>
      <c r="I2630" s="5">
        <v>17.6601964967918</v>
      </c>
      <c r="J2630" s="5">
        <v>-1.59155056649694</v>
      </c>
      <c r="K2630" s="5">
        <v>-1.59155056649694</v>
      </c>
      <c r="L2630" s="5">
        <v>-1.59155056649694</v>
      </c>
      <c r="M2630" s="5">
        <v>19.2517470632887</v>
      </c>
      <c r="N2630" s="5">
        <v>19.2517470632887</v>
      </c>
      <c r="O2630" s="5">
        <v>19.2517470632887</v>
      </c>
      <c r="P2630" s="5">
        <v>0.0</v>
      </c>
      <c r="Q2630" s="5">
        <v>0.0</v>
      </c>
      <c r="R2630" s="5">
        <v>0.0</v>
      </c>
      <c r="S2630" s="5">
        <v>512.057393884742</v>
      </c>
    </row>
    <row r="2631">
      <c r="A2631" s="6">
        <v>44172.0</v>
      </c>
      <c r="B2631" s="5">
        <v>497.90973598649</v>
      </c>
      <c r="C2631" s="5">
        <v>451.137164439996</v>
      </c>
      <c r="D2631" s="5">
        <v>581.328556581959</v>
      </c>
      <c r="E2631" s="5">
        <v>497.90973598649</v>
      </c>
      <c r="F2631" s="5">
        <v>497.90973598649</v>
      </c>
      <c r="G2631" s="5">
        <v>17.8063936784203</v>
      </c>
      <c r="H2631" s="5">
        <v>17.8063936784203</v>
      </c>
      <c r="I2631" s="5">
        <v>17.8063936784203</v>
      </c>
      <c r="J2631" s="5">
        <v>0.090558942120945</v>
      </c>
      <c r="K2631" s="5">
        <v>0.090558942120945</v>
      </c>
      <c r="L2631" s="5">
        <v>0.090558942120945</v>
      </c>
      <c r="M2631" s="5">
        <v>17.7158347362993</v>
      </c>
      <c r="N2631" s="5">
        <v>17.7158347362993</v>
      </c>
      <c r="O2631" s="5">
        <v>17.7158347362993</v>
      </c>
      <c r="P2631" s="5">
        <v>0.0</v>
      </c>
      <c r="Q2631" s="5">
        <v>0.0</v>
      </c>
      <c r="R2631" s="5">
        <v>0.0</v>
      </c>
      <c r="S2631" s="5">
        <v>515.71612966491</v>
      </c>
    </row>
    <row r="2632">
      <c r="A2632" s="6">
        <v>44173.0</v>
      </c>
      <c r="B2632" s="5">
        <v>499.080582186003</v>
      </c>
      <c r="C2632" s="5">
        <v>456.23270510405</v>
      </c>
      <c r="D2632" s="5">
        <v>579.032204354261</v>
      </c>
      <c r="E2632" s="5">
        <v>499.080582186003</v>
      </c>
      <c r="F2632" s="5">
        <v>499.080582186003</v>
      </c>
      <c r="G2632" s="5">
        <v>17.0055664113277</v>
      </c>
      <c r="H2632" s="5">
        <v>17.0055664113277</v>
      </c>
      <c r="I2632" s="5">
        <v>17.0055664113277</v>
      </c>
      <c r="J2632" s="5">
        <v>-0.144118857244208</v>
      </c>
      <c r="K2632" s="5">
        <v>-0.144118857244208</v>
      </c>
      <c r="L2632" s="5">
        <v>-0.144118857244208</v>
      </c>
      <c r="M2632" s="5">
        <v>17.1496852685719</v>
      </c>
      <c r="N2632" s="5">
        <v>17.1496852685719</v>
      </c>
      <c r="O2632" s="5">
        <v>17.1496852685719</v>
      </c>
      <c r="P2632" s="5">
        <v>0.0</v>
      </c>
      <c r="Q2632" s="5">
        <v>0.0</v>
      </c>
      <c r="R2632" s="5">
        <v>0.0</v>
      </c>
      <c r="S2632" s="5">
        <v>516.086148597331</v>
      </c>
    </row>
    <row r="2633">
      <c r="A2633" s="6">
        <v>44174.0</v>
      </c>
      <c r="B2633" s="5">
        <v>500.251428385516</v>
      </c>
      <c r="C2633" s="5">
        <v>454.713111225213</v>
      </c>
      <c r="D2633" s="5">
        <v>579.262953422928</v>
      </c>
      <c r="E2633" s="5">
        <v>500.251428385516</v>
      </c>
      <c r="F2633" s="5">
        <v>500.251428385516</v>
      </c>
      <c r="G2633" s="5">
        <v>16.5877994857608</v>
      </c>
      <c r="H2633" s="5">
        <v>16.5877994857608</v>
      </c>
      <c r="I2633" s="5">
        <v>16.5877994857608</v>
      </c>
      <c r="J2633" s="5">
        <v>0.00703780528214594</v>
      </c>
      <c r="K2633" s="5">
        <v>0.00703780528214594</v>
      </c>
      <c r="L2633" s="5">
        <v>0.00703780528214594</v>
      </c>
      <c r="M2633" s="5">
        <v>16.5807616804786</v>
      </c>
      <c r="N2633" s="5">
        <v>16.5807616804786</v>
      </c>
      <c r="O2633" s="5">
        <v>16.5807616804786</v>
      </c>
      <c r="P2633" s="5">
        <v>0.0</v>
      </c>
      <c r="Q2633" s="5">
        <v>0.0</v>
      </c>
      <c r="R2633" s="5">
        <v>0.0</v>
      </c>
      <c r="S2633" s="5">
        <v>516.839227871277</v>
      </c>
    </row>
    <row r="2634">
      <c r="A2634" s="6">
        <v>44175.0</v>
      </c>
      <c r="B2634" s="5">
        <v>501.422274585029</v>
      </c>
      <c r="C2634" s="5">
        <v>454.471832170775</v>
      </c>
      <c r="D2634" s="5">
        <v>578.166336959788</v>
      </c>
      <c r="E2634" s="5">
        <v>501.422274585029</v>
      </c>
      <c r="F2634" s="5">
        <v>501.422274585029</v>
      </c>
      <c r="G2634" s="5">
        <v>15.248860181585</v>
      </c>
      <c r="H2634" s="5">
        <v>15.248860181585</v>
      </c>
      <c r="I2634" s="5">
        <v>15.248860181585</v>
      </c>
      <c r="J2634" s="5">
        <v>-0.776422525901408</v>
      </c>
      <c r="K2634" s="5">
        <v>-0.776422525901408</v>
      </c>
      <c r="L2634" s="5">
        <v>-0.776422525901408</v>
      </c>
      <c r="M2634" s="5">
        <v>16.0252827074864</v>
      </c>
      <c r="N2634" s="5">
        <v>16.0252827074864</v>
      </c>
      <c r="O2634" s="5">
        <v>16.0252827074864</v>
      </c>
      <c r="P2634" s="5">
        <v>0.0</v>
      </c>
      <c r="Q2634" s="5">
        <v>0.0</v>
      </c>
      <c r="R2634" s="5">
        <v>0.0</v>
      </c>
      <c r="S2634" s="5">
        <v>516.671134766614</v>
      </c>
    </row>
    <row r="2635">
      <c r="A2635" s="6">
        <v>44176.0</v>
      </c>
      <c r="B2635" s="5">
        <v>502.593120784543</v>
      </c>
      <c r="C2635" s="5">
        <v>454.467675055964</v>
      </c>
      <c r="D2635" s="5">
        <v>572.498592067759</v>
      </c>
      <c r="E2635" s="5">
        <v>502.593120784543</v>
      </c>
      <c r="F2635" s="5">
        <v>502.593120784543</v>
      </c>
      <c r="G2635" s="5">
        <v>13.9084372083737</v>
      </c>
      <c r="H2635" s="5">
        <v>13.9084372083737</v>
      </c>
      <c r="I2635" s="5">
        <v>13.9084372083737</v>
      </c>
      <c r="J2635" s="5">
        <v>-1.59155056649602</v>
      </c>
      <c r="K2635" s="5">
        <v>-1.59155056649602</v>
      </c>
      <c r="L2635" s="5">
        <v>-1.59155056649602</v>
      </c>
      <c r="M2635" s="5">
        <v>15.4999877748697</v>
      </c>
      <c r="N2635" s="5">
        <v>15.4999877748697</v>
      </c>
      <c r="O2635" s="5">
        <v>15.4999877748697</v>
      </c>
      <c r="P2635" s="5">
        <v>0.0</v>
      </c>
      <c r="Q2635" s="5">
        <v>0.0</v>
      </c>
      <c r="R2635" s="5">
        <v>0.0</v>
      </c>
      <c r="S2635" s="5">
        <v>516.501557992917</v>
      </c>
    </row>
    <row r="2636">
      <c r="A2636" s="6">
        <v>44179.0</v>
      </c>
      <c r="B2636" s="5">
        <v>506.105659383083</v>
      </c>
      <c r="C2636" s="5">
        <v>457.693126284507</v>
      </c>
      <c r="D2636" s="5">
        <v>586.665774174042</v>
      </c>
      <c r="E2636" s="5">
        <v>506.105659383083</v>
      </c>
      <c r="F2636" s="5">
        <v>506.105659383083</v>
      </c>
      <c r="G2636" s="5">
        <v>14.3615582285519</v>
      </c>
      <c r="H2636" s="5">
        <v>14.3615582285519</v>
      </c>
      <c r="I2636" s="5">
        <v>14.3615582285519</v>
      </c>
      <c r="J2636" s="5">
        <v>0.0905589421218913</v>
      </c>
      <c r="K2636" s="5">
        <v>0.0905589421218913</v>
      </c>
      <c r="L2636" s="5">
        <v>0.0905589421218913</v>
      </c>
      <c r="M2636" s="5">
        <v>14.27099928643</v>
      </c>
      <c r="N2636" s="5">
        <v>14.27099928643</v>
      </c>
      <c r="O2636" s="5">
        <v>14.27099928643</v>
      </c>
      <c r="P2636" s="5">
        <v>0.0</v>
      </c>
      <c r="Q2636" s="5">
        <v>0.0</v>
      </c>
      <c r="R2636" s="5">
        <v>0.0</v>
      </c>
      <c r="S2636" s="5">
        <v>520.467217611635</v>
      </c>
    </row>
    <row r="2637">
      <c r="A2637" s="6">
        <v>44180.0</v>
      </c>
      <c r="B2637" s="5">
        <v>507.276505582595</v>
      </c>
      <c r="C2637" s="5">
        <v>460.765534402849</v>
      </c>
      <c r="D2637" s="5">
        <v>580.886366759297</v>
      </c>
      <c r="E2637" s="5">
        <v>507.276505582595</v>
      </c>
      <c r="F2637" s="5">
        <v>507.276505582595</v>
      </c>
      <c r="G2637" s="5">
        <v>13.8843754423146</v>
      </c>
      <c r="H2637" s="5">
        <v>13.8843754423146</v>
      </c>
      <c r="I2637" s="5">
        <v>13.8843754423146</v>
      </c>
      <c r="J2637" s="5">
        <v>-0.144118857245949</v>
      </c>
      <c r="K2637" s="5">
        <v>-0.144118857245949</v>
      </c>
      <c r="L2637" s="5">
        <v>-0.144118857245949</v>
      </c>
      <c r="M2637" s="5">
        <v>14.0284942995606</v>
      </c>
      <c r="N2637" s="5">
        <v>14.0284942995606</v>
      </c>
      <c r="O2637" s="5">
        <v>14.0284942995606</v>
      </c>
      <c r="P2637" s="5">
        <v>0.0</v>
      </c>
      <c r="Q2637" s="5">
        <v>0.0</v>
      </c>
      <c r="R2637" s="5">
        <v>0.0</v>
      </c>
      <c r="S2637" s="5">
        <v>521.16088102491</v>
      </c>
    </row>
    <row r="2638">
      <c r="A2638" s="6">
        <v>44181.0</v>
      </c>
      <c r="B2638" s="5">
        <v>508.447351782109</v>
      </c>
      <c r="C2638" s="5">
        <v>457.65127822365</v>
      </c>
      <c r="D2638" s="5">
        <v>586.190939367904</v>
      </c>
      <c r="E2638" s="5">
        <v>508.447351782109</v>
      </c>
      <c r="F2638" s="5">
        <v>508.447351782109</v>
      </c>
      <c r="G2638" s="5">
        <v>13.8989418190904</v>
      </c>
      <c r="H2638" s="5">
        <v>13.8989418190904</v>
      </c>
      <c r="I2638" s="5">
        <v>13.8989418190904</v>
      </c>
      <c r="J2638" s="5">
        <v>0.00703780528345698</v>
      </c>
      <c r="K2638" s="5">
        <v>0.00703780528345698</v>
      </c>
      <c r="L2638" s="5">
        <v>0.00703780528345698</v>
      </c>
      <c r="M2638" s="5">
        <v>13.8919040138069</v>
      </c>
      <c r="N2638" s="5">
        <v>13.8919040138069</v>
      </c>
      <c r="O2638" s="5">
        <v>13.8919040138069</v>
      </c>
      <c r="P2638" s="5">
        <v>0.0</v>
      </c>
      <c r="Q2638" s="5">
        <v>0.0</v>
      </c>
      <c r="R2638" s="5">
        <v>0.0</v>
      </c>
      <c r="S2638" s="5">
        <v>522.346293601199</v>
      </c>
    </row>
    <row r="2639">
      <c r="A2639" s="6">
        <v>44182.0</v>
      </c>
      <c r="B2639" s="5">
        <v>509.618197981622</v>
      </c>
      <c r="C2639" s="5">
        <v>462.37189520766</v>
      </c>
      <c r="D2639" s="5">
        <v>585.489005264551</v>
      </c>
      <c r="E2639" s="5">
        <v>509.618197981622</v>
      </c>
      <c r="F2639" s="5">
        <v>509.618197981622</v>
      </c>
      <c r="G2639" s="5">
        <v>13.0952888258995</v>
      </c>
      <c r="H2639" s="5">
        <v>13.0952888258995</v>
      </c>
      <c r="I2639" s="5">
        <v>13.0952888258995</v>
      </c>
      <c r="J2639" s="5">
        <v>-0.776422525902129</v>
      </c>
      <c r="K2639" s="5">
        <v>-0.776422525902129</v>
      </c>
      <c r="L2639" s="5">
        <v>-0.776422525902129</v>
      </c>
      <c r="M2639" s="5">
        <v>13.8717113518016</v>
      </c>
      <c r="N2639" s="5">
        <v>13.8717113518016</v>
      </c>
      <c r="O2639" s="5">
        <v>13.8717113518016</v>
      </c>
      <c r="P2639" s="5">
        <v>0.0</v>
      </c>
      <c r="Q2639" s="5">
        <v>0.0</v>
      </c>
      <c r="R2639" s="5">
        <v>0.0</v>
      </c>
      <c r="S2639" s="5">
        <v>522.713486807522</v>
      </c>
    </row>
    <row r="2640">
      <c r="A2640" s="6">
        <v>44183.0</v>
      </c>
      <c r="B2640" s="5">
        <v>510.789044181135</v>
      </c>
      <c r="C2640" s="5">
        <v>460.579966311624</v>
      </c>
      <c r="D2640" s="5">
        <v>584.3463964154</v>
      </c>
      <c r="E2640" s="5">
        <v>510.789044181135</v>
      </c>
      <c r="F2640" s="5">
        <v>510.789044181135</v>
      </c>
      <c r="G2640" s="5">
        <v>12.3844053856667</v>
      </c>
      <c r="H2640" s="5">
        <v>12.3844053856667</v>
      </c>
      <c r="I2640" s="5">
        <v>12.3844053856667</v>
      </c>
      <c r="J2640" s="5">
        <v>-1.59155056649509</v>
      </c>
      <c r="K2640" s="5">
        <v>-1.59155056649509</v>
      </c>
      <c r="L2640" s="5">
        <v>-1.59155056649509</v>
      </c>
      <c r="M2640" s="5">
        <v>13.9759559521618</v>
      </c>
      <c r="N2640" s="5">
        <v>13.9759559521618</v>
      </c>
      <c r="O2640" s="5">
        <v>13.9759559521618</v>
      </c>
      <c r="P2640" s="5">
        <v>0.0</v>
      </c>
      <c r="Q2640" s="5">
        <v>0.0</v>
      </c>
      <c r="R2640" s="5">
        <v>0.0</v>
      </c>
      <c r="S2640" s="5">
        <v>523.173449566802</v>
      </c>
    </row>
    <row r="2641">
      <c r="A2641" s="6">
        <v>44186.0</v>
      </c>
      <c r="B2641" s="5">
        <v>514.301582779675</v>
      </c>
      <c r="C2641" s="5">
        <v>466.801460942689</v>
      </c>
      <c r="D2641" s="5">
        <v>594.048205154961</v>
      </c>
      <c r="E2641" s="5">
        <v>514.301582779675</v>
      </c>
      <c r="F2641" s="5">
        <v>514.301582779675</v>
      </c>
      <c r="G2641" s="5">
        <v>15.1641801362022</v>
      </c>
      <c r="H2641" s="5">
        <v>15.1641801362022</v>
      </c>
      <c r="I2641" s="5">
        <v>15.1641801362022</v>
      </c>
      <c r="J2641" s="5">
        <v>0.0905589421228378</v>
      </c>
      <c r="K2641" s="5">
        <v>0.0905589421228378</v>
      </c>
      <c r="L2641" s="5">
        <v>0.0905589421228378</v>
      </c>
      <c r="M2641" s="5">
        <v>15.0736211940793</v>
      </c>
      <c r="N2641" s="5">
        <v>15.0736211940793</v>
      </c>
      <c r="O2641" s="5">
        <v>15.0736211940793</v>
      </c>
      <c r="P2641" s="5">
        <v>0.0</v>
      </c>
      <c r="Q2641" s="5">
        <v>0.0</v>
      </c>
      <c r="R2641" s="5">
        <v>0.0</v>
      </c>
      <c r="S2641" s="5">
        <v>529.465762915877</v>
      </c>
    </row>
    <row r="2642">
      <c r="A2642" s="6">
        <v>44187.0</v>
      </c>
      <c r="B2642" s="5">
        <v>515.472428979188</v>
      </c>
      <c r="C2642" s="5">
        <v>464.95157619277</v>
      </c>
      <c r="D2642" s="5">
        <v>593.606966841852</v>
      </c>
      <c r="E2642" s="5">
        <v>515.472428979188</v>
      </c>
      <c r="F2642" s="5">
        <v>515.472428979188</v>
      </c>
      <c r="G2642" s="5">
        <v>15.5546215163902</v>
      </c>
      <c r="H2642" s="5">
        <v>15.5546215163902</v>
      </c>
      <c r="I2642" s="5">
        <v>15.5546215163902</v>
      </c>
      <c r="J2642" s="5">
        <v>-0.144118857244861</v>
      </c>
      <c r="K2642" s="5">
        <v>-0.144118857244861</v>
      </c>
      <c r="L2642" s="5">
        <v>-0.144118857244861</v>
      </c>
      <c r="M2642" s="5">
        <v>15.698740373635</v>
      </c>
      <c r="N2642" s="5">
        <v>15.698740373635</v>
      </c>
      <c r="O2642" s="5">
        <v>15.698740373635</v>
      </c>
      <c r="P2642" s="5">
        <v>0.0</v>
      </c>
      <c r="Q2642" s="5">
        <v>0.0</v>
      </c>
      <c r="R2642" s="5">
        <v>0.0</v>
      </c>
      <c r="S2642" s="5">
        <v>531.027050495578</v>
      </c>
    </row>
    <row r="2643">
      <c r="A2643" s="6">
        <v>44188.0</v>
      </c>
      <c r="B2643" s="5">
        <v>516.643275178702</v>
      </c>
      <c r="C2643" s="5">
        <v>470.706069894579</v>
      </c>
      <c r="D2643" s="5">
        <v>596.34105700597</v>
      </c>
      <c r="E2643" s="5">
        <v>516.643275178702</v>
      </c>
      <c r="F2643" s="5">
        <v>516.643275178702</v>
      </c>
      <c r="G2643" s="5">
        <v>16.4515012284143</v>
      </c>
      <c r="H2643" s="5">
        <v>16.4515012284143</v>
      </c>
      <c r="I2643" s="5">
        <v>16.4515012284143</v>
      </c>
      <c r="J2643" s="5">
        <v>0.00703780528044083</v>
      </c>
      <c r="K2643" s="5">
        <v>0.00703780528044083</v>
      </c>
      <c r="L2643" s="5">
        <v>0.00703780528044083</v>
      </c>
      <c r="M2643" s="5">
        <v>16.4444634231338</v>
      </c>
      <c r="N2643" s="5">
        <v>16.4444634231338</v>
      </c>
      <c r="O2643" s="5">
        <v>16.4444634231338</v>
      </c>
      <c r="P2643" s="5">
        <v>0.0</v>
      </c>
      <c r="Q2643" s="5">
        <v>0.0</v>
      </c>
      <c r="R2643" s="5">
        <v>0.0</v>
      </c>
      <c r="S2643" s="5">
        <v>533.094776407116</v>
      </c>
    </row>
    <row r="2644">
      <c r="A2644" s="6">
        <v>44189.0</v>
      </c>
      <c r="B2644" s="5">
        <v>517.814121378215</v>
      </c>
      <c r="C2644" s="5">
        <v>472.900954512791</v>
      </c>
      <c r="D2644" s="5">
        <v>596.135522256781</v>
      </c>
      <c r="E2644" s="5">
        <v>517.814121378215</v>
      </c>
      <c r="F2644" s="5">
        <v>517.814121378215</v>
      </c>
      <c r="G2644" s="5">
        <v>16.5243771235569</v>
      </c>
      <c r="H2644" s="5">
        <v>16.5243771235569</v>
      </c>
      <c r="I2644" s="5">
        <v>16.5243771235569</v>
      </c>
      <c r="J2644" s="5">
        <v>-0.776422525902851</v>
      </c>
      <c r="K2644" s="5">
        <v>-0.776422525902851</v>
      </c>
      <c r="L2644" s="5">
        <v>-0.776422525902851</v>
      </c>
      <c r="M2644" s="5">
        <v>17.3007996494597</v>
      </c>
      <c r="N2644" s="5">
        <v>17.3007996494597</v>
      </c>
      <c r="O2644" s="5">
        <v>17.3007996494597</v>
      </c>
      <c r="P2644" s="5">
        <v>0.0</v>
      </c>
      <c r="Q2644" s="5">
        <v>0.0</v>
      </c>
      <c r="R2644" s="5">
        <v>0.0</v>
      </c>
      <c r="S2644" s="5">
        <v>534.338498501771</v>
      </c>
    </row>
    <row r="2645">
      <c r="A2645" s="6">
        <v>44193.0</v>
      </c>
      <c r="B2645" s="5">
        <v>522.497506176268</v>
      </c>
      <c r="C2645" s="5">
        <v>484.016500522893</v>
      </c>
      <c r="D2645" s="5">
        <v>609.626735958186</v>
      </c>
      <c r="E2645" s="5">
        <v>522.497506176268</v>
      </c>
      <c r="F2645" s="5">
        <v>522.497506176268</v>
      </c>
      <c r="G2645" s="5">
        <v>21.6296081701778</v>
      </c>
      <c r="H2645" s="5">
        <v>21.6296081701778</v>
      </c>
      <c r="I2645" s="5">
        <v>21.6296081701778</v>
      </c>
      <c r="J2645" s="5">
        <v>0.0905589421214004</v>
      </c>
      <c r="K2645" s="5">
        <v>0.0905589421214004</v>
      </c>
      <c r="L2645" s="5">
        <v>0.0905589421214004</v>
      </c>
      <c r="M2645" s="5">
        <v>21.5390492280564</v>
      </c>
      <c r="N2645" s="5">
        <v>21.5390492280564</v>
      </c>
      <c r="O2645" s="5">
        <v>21.5390492280564</v>
      </c>
      <c r="P2645" s="5">
        <v>0.0</v>
      </c>
      <c r="Q2645" s="5">
        <v>0.0</v>
      </c>
      <c r="R2645" s="5">
        <v>0.0</v>
      </c>
      <c r="S2645" s="5">
        <v>544.127114346446</v>
      </c>
    </row>
    <row r="2646">
      <c r="A2646" s="6">
        <v>44194.0</v>
      </c>
      <c r="B2646" s="5">
        <v>523.668352375781</v>
      </c>
      <c r="C2646" s="5">
        <v>482.973848250799</v>
      </c>
      <c r="D2646" s="5">
        <v>613.511066936727</v>
      </c>
      <c r="E2646" s="5">
        <v>523.668352375781</v>
      </c>
      <c r="F2646" s="5">
        <v>523.668352375781</v>
      </c>
      <c r="G2646" s="5">
        <v>22.5656178148285</v>
      </c>
      <c r="H2646" s="5">
        <v>22.5656178148285</v>
      </c>
      <c r="I2646" s="5">
        <v>22.5656178148285</v>
      </c>
      <c r="J2646" s="5">
        <v>-0.144118857243773</v>
      </c>
      <c r="K2646" s="5">
        <v>-0.144118857243773</v>
      </c>
      <c r="L2646" s="5">
        <v>-0.144118857243773</v>
      </c>
      <c r="M2646" s="5">
        <v>22.7097366720723</v>
      </c>
      <c r="N2646" s="5">
        <v>22.7097366720723</v>
      </c>
      <c r="O2646" s="5">
        <v>22.7097366720723</v>
      </c>
      <c r="P2646" s="5">
        <v>0.0</v>
      </c>
      <c r="Q2646" s="5">
        <v>0.0</v>
      </c>
      <c r="R2646" s="5">
        <v>0.0</v>
      </c>
      <c r="S2646" s="5">
        <v>546.23397019061</v>
      </c>
    </row>
    <row r="2647">
      <c r="A2647" s="6">
        <v>44195.0</v>
      </c>
      <c r="B2647" s="5">
        <v>524.839198575294</v>
      </c>
      <c r="C2647" s="5">
        <v>486.919126692824</v>
      </c>
      <c r="D2647" s="5">
        <v>614.604829458425</v>
      </c>
      <c r="E2647" s="5">
        <v>524.839198575294</v>
      </c>
      <c r="F2647" s="5">
        <v>524.839198575294</v>
      </c>
      <c r="G2647" s="5">
        <v>23.8898711450504</v>
      </c>
      <c r="H2647" s="5">
        <v>23.8898711450504</v>
      </c>
      <c r="I2647" s="5">
        <v>23.8898711450504</v>
      </c>
      <c r="J2647" s="5">
        <v>0.007037805281752</v>
      </c>
      <c r="K2647" s="5">
        <v>0.007037805281752</v>
      </c>
      <c r="L2647" s="5">
        <v>0.007037805281752</v>
      </c>
      <c r="M2647" s="5">
        <v>23.8828333397686</v>
      </c>
      <c r="N2647" s="5">
        <v>23.8828333397686</v>
      </c>
      <c r="O2647" s="5">
        <v>23.8828333397686</v>
      </c>
      <c r="P2647" s="5">
        <v>0.0</v>
      </c>
      <c r="Q2647" s="5">
        <v>0.0</v>
      </c>
      <c r="R2647" s="5">
        <v>0.0</v>
      </c>
      <c r="S2647" s="5">
        <v>548.729069720344</v>
      </c>
    </row>
    <row r="2648">
      <c r="A2648" s="6">
        <v>44196.0</v>
      </c>
      <c r="B2648" s="5">
        <v>526.010044774807</v>
      </c>
      <c r="C2648" s="5">
        <v>489.171182755621</v>
      </c>
      <c r="D2648" s="5">
        <v>614.936167323527</v>
      </c>
      <c r="E2648" s="5">
        <v>526.010044774807</v>
      </c>
      <c r="F2648" s="5">
        <v>526.010044774807</v>
      </c>
      <c r="G2648" s="5">
        <v>24.2596383231648</v>
      </c>
      <c r="H2648" s="5">
        <v>24.2596383231648</v>
      </c>
      <c r="I2648" s="5">
        <v>24.2596383231648</v>
      </c>
      <c r="J2648" s="5">
        <v>-0.776422525897873</v>
      </c>
      <c r="K2648" s="5">
        <v>-0.776422525897873</v>
      </c>
      <c r="L2648" s="5">
        <v>-0.776422525897873</v>
      </c>
      <c r="M2648" s="5">
        <v>25.0360608490627</v>
      </c>
      <c r="N2648" s="5">
        <v>25.0360608490627</v>
      </c>
      <c r="O2648" s="5">
        <v>25.0360608490627</v>
      </c>
      <c r="P2648" s="5">
        <v>0.0</v>
      </c>
      <c r="Q2648" s="5">
        <v>0.0</v>
      </c>
      <c r="R2648" s="5">
        <v>0.0</v>
      </c>
      <c r="S2648" s="5">
        <v>550.269683097972</v>
      </c>
    </row>
    <row r="2649">
      <c r="A2649" s="6">
        <v>44200.0</v>
      </c>
      <c r="B2649" s="5">
        <v>530.693429572861</v>
      </c>
      <c r="C2649" s="5">
        <v>501.75870438852</v>
      </c>
      <c r="D2649" s="5">
        <v>620.615959993153</v>
      </c>
      <c r="E2649" s="5">
        <v>530.693429572861</v>
      </c>
      <c r="F2649" s="5">
        <v>530.693429572861</v>
      </c>
      <c r="G2649" s="5">
        <v>29.1101351430321</v>
      </c>
      <c r="H2649" s="5">
        <v>29.1101351430321</v>
      </c>
      <c r="I2649" s="5">
        <v>29.1101351430321</v>
      </c>
      <c r="J2649" s="5">
        <v>0.090558942119963</v>
      </c>
      <c r="K2649" s="5">
        <v>0.090558942119963</v>
      </c>
      <c r="L2649" s="5">
        <v>0.090558942119963</v>
      </c>
      <c r="M2649" s="5">
        <v>29.0195762009121</v>
      </c>
      <c r="N2649" s="5">
        <v>29.0195762009121</v>
      </c>
      <c r="O2649" s="5">
        <v>29.0195762009121</v>
      </c>
      <c r="P2649" s="5">
        <v>0.0</v>
      </c>
      <c r="Q2649" s="5">
        <v>0.0</v>
      </c>
      <c r="R2649" s="5">
        <v>0.0</v>
      </c>
      <c r="S2649" s="5">
        <v>559.803564715893</v>
      </c>
    </row>
    <row r="2650">
      <c r="A2650" s="6">
        <v>44201.0</v>
      </c>
      <c r="B2650" s="5">
        <v>531.864275772373</v>
      </c>
      <c r="C2650" s="5">
        <v>502.897743216668</v>
      </c>
      <c r="D2650" s="5">
        <v>628.020233216052</v>
      </c>
      <c r="E2650" s="5">
        <v>531.864275772373</v>
      </c>
      <c r="F2650" s="5">
        <v>531.864275772373</v>
      </c>
      <c r="G2650" s="5">
        <v>29.6171593119025</v>
      </c>
      <c r="H2650" s="5">
        <v>29.6171593119025</v>
      </c>
      <c r="I2650" s="5">
        <v>29.6171593119025</v>
      </c>
      <c r="J2650" s="5">
        <v>-0.144118857245208</v>
      </c>
      <c r="K2650" s="5">
        <v>-0.144118857245208</v>
      </c>
      <c r="L2650" s="5">
        <v>-0.144118857245208</v>
      </c>
      <c r="M2650" s="5">
        <v>29.7612781691477</v>
      </c>
      <c r="N2650" s="5">
        <v>29.7612781691477</v>
      </c>
      <c r="O2650" s="5">
        <v>29.7612781691477</v>
      </c>
      <c r="P2650" s="5">
        <v>0.0</v>
      </c>
      <c r="Q2650" s="5">
        <v>0.0</v>
      </c>
      <c r="R2650" s="5">
        <v>0.0</v>
      </c>
      <c r="S2650" s="5">
        <v>561.481435084276</v>
      </c>
    </row>
    <row r="2651">
      <c r="A2651" s="6">
        <v>44202.0</v>
      </c>
      <c r="B2651" s="5">
        <v>533.035121971887</v>
      </c>
      <c r="C2651" s="5">
        <v>499.678469215169</v>
      </c>
      <c r="D2651" s="5">
        <v>625.042830659582</v>
      </c>
      <c r="E2651" s="5">
        <v>533.035121971887</v>
      </c>
      <c r="F2651" s="5">
        <v>533.035121971887</v>
      </c>
      <c r="G2651" s="5">
        <v>30.3765509818362</v>
      </c>
      <c r="H2651" s="5">
        <v>30.3765509818362</v>
      </c>
      <c r="I2651" s="5">
        <v>30.3765509818362</v>
      </c>
      <c r="J2651" s="5">
        <v>0.00703780528288229</v>
      </c>
      <c r="K2651" s="5">
        <v>0.00703780528288229</v>
      </c>
      <c r="L2651" s="5">
        <v>0.00703780528288229</v>
      </c>
      <c r="M2651" s="5">
        <v>30.3695131765534</v>
      </c>
      <c r="N2651" s="5">
        <v>30.3695131765534</v>
      </c>
      <c r="O2651" s="5">
        <v>30.3695131765534</v>
      </c>
      <c r="P2651" s="5">
        <v>0.0</v>
      </c>
      <c r="Q2651" s="5">
        <v>0.0</v>
      </c>
      <c r="R2651" s="5">
        <v>0.0</v>
      </c>
      <c r="S2651" s="5">
        <v>563.411672953723</v>
      </c>
    </row>
    <row r="2652">
      <c r="A2652" s="6">
        <v>44203.0</v>
      </c>
      <c r="B2652" s="5">
        <v>534.2059681714</v>
      </c>
      <c r="C2652" s="5">
        <v>498.56848531728</v>
      </c>
      <c r="D2652" s="5">
        <v>630.97125368768</v>
      </c>
      <c r="E2652" s="5">
        <v>534.2059681714</v>
      </c>
      <c r="F2652" s="5">
        <v>534.2059681714</v>
      </c>
      <c r="G2652" s="5">
        <v>30.0565229276761</v>
      </c>
      <c r="H2652" s="5">
        <v>30.0565229276761</v>
      </c>
      <c r="I2652" s="5">
        <v>30.0565229276761</v>
      </c>
      <c r="J2652" s="5">
        <v>-0.776422525899971</v>
      </c>
      <c r="K2652" s="5">
        <v>-0.776422525899971</v>
      </c>
      <c r="L2652" s="5">
        <v>-0.776422525899971</v>
      </c>
      <c r="M2652" s="5">
        <v>30.8329454535761</v>
      </c>
      <c r="N2652" s="5">
        <v>30.8329454535761</v>
      </c>
      <c r="O2652" s="5">
        <v>30.8329454535761</v>
      </c>
      <c r="P2652" s="5">
        <v>0.0</v>
      </c>
      <c r="Q2652" s="5">
        <v>0.0</v>
      </c>
      <c r="R2652" s="5">
        <v>0.0</v>
      </c>
      <c r="S2652" s="5">
        <v>564.262491099076</v>
      </c>
    </row>
    <row r="2653">
      <c r="A2653" s="6">
        <v>44204.0</v>
      </c>
      <c r="B2653" s="5">
        <v>535.376814370913</v>
      </c>
      <c r="C2653" s="5">
        <v>502.525296211804</v>
      </c>
      <c r="D2653" s="5">
        <v>621.39947027029</v>
      </c>
      <c r="E2653" s="5">
        <v>535.376814370913</v>
      </c>
      <c r="F2653" s="5">
        <v>535.376814370913</v>
      </c>
      <c r="G2653" s="5">
        <v>29.5517682630013</v>
      </c>
      <c r="H2653" s="5">
        <v>29.5517682630013</v>
      </c>
      <c r="I2653" s="5">
        <v>29.5517682630013</v>
      </c>
      <c r="J2653" s="5">
        <v>-1.59155056649169</v>
      </c>
      <c r="K2653" s="5">
        <v>-1.59155056649169</v>
      </c>
      <c r="L2653" s="5">
        <v>-1.59155056649169</v>
      </c>
      <c r="M2653" s="5">
        <v>31.143318829493</v>
      </c>
      <c r="N2653" s="5">
        <v>31.143318829493</v>
      </c>
      <c r="O2653" s="5">
        <v>31.143318829493</v>
      </c>
      <c r="P2653" s="5">
        <v>0.0</v>
      </c>
      <c r="Q2653" s="5">
        <v>0.0</v>
      </c>
      <c r="R2653" s="5">
        <v>0.0</v>
      </c>
      <c r="S2653" s="5">
        <v>564.928582633915</v>
      </c>
    </row>
    <row r="2654">
      <c r="A2654" s="6">
        <v>44207.0</v>
      </c>
      <c r="B2654" s="5">
        <v>538.889352969453</v>
      </c>
      <c r="C2654" s="5">
        <v>514.611936376285</v>
      </c>
      <c r="D2654" s="5">
        <v>639.242665090787</v>
      </c>
      <c r="E2654" s="5">
        <v>538.889352969453</v>
      </c>
      <c r="F2654" s="5">
        <v>538.889352969453</v>
      </c>
      <c r="G2654" s="5">
        <v>31.2134964071899</v>
      </c>
      <c r="H2654" s="5">
        <v>31.2134964071899</v>
      </c>
      <c r="I2654" s="5">
        <v>31.2134964071899</v>
      </c>
      <c r="J2654" s="5">
        <v>0.0905589421234535</v>
      </c>
      <c r="K2654" s="5">
        <v>0.0905589421234535</v>
      </c>
      <c r="L2654" s="5">
        <v>0.0905589421234535</v>
      </c>
      <c r="M2654" s="5">
        <v>31.1229374650665</v>
      </c>
      <c r="N2654" s="5">
        <v>31.1229374650665</v>
      </c>
      <c r="O2654" s="5">
        <v>31.1229374650665</v>
      </c>
      <c r="P2654" s="5">
        <v>0.0</v>
      </c>
      <c r="Q2654" s="5">
        <v>0.0</v>
      </c>
      <c r="R2654" s="5">
        <v>0.0</v>
      </c>
      <c r="S2654" s="5">
        <v>570.102849376643</v>
      </c>
    </row>
    <row r="2655">
      <c r="A2655" s="6">
        <v>44208.0</v>
      </c>
      <c r="B2655" s="5">
        <v>540.060199168966</v>
      </c>
      <c r="C2655" s="5">
        <v>506.097558313927</v>
      </c>
      <c r="D2655" s="5">
        <v>634.136786519038</v>
      </c>
      <c r="E2655" s="5">
        <v>540.060199168966</v>
      </c>
      <c r="F2655" s="5">
        <v>540.060199168966</v>
      </c>
      <c r="G2655" s="5">
        <v>30.6605554542182</v>
      </c>
      <c r="H2655" s="5">
        <v>30.6605554542182</v>
      </c>
      <c r="I2655" s="5">
        <v>30.6605554542182</v>
      </c>
      <c r="J2655" s="5">
        <v>-0.144118857246644</v>
      </c>
      <c r="K2655" s="5">
        <v>-0.144118857246644</v>
      </c>
      <c r="L2655" s="5">
        <v>-0.144118857246644</v>
      </c>
      <c r="M2655" s="5">
        <v>30.8046743114648</v>
      </c>
      <c r="N2655" s="5">
        <v>30.8046743114648</v>
      </c>
      <c r="O2655" s="5">
        <v>30.8046743114648</v>
      </c>
      <c r="P2655" s="5">
        <v>0.0</v>
      </c>
      <c r="Q2655" s="5">
        <v>0.0</v>
      </c>
      <c r="R2655" s="5">
        <v>0.0</v>
      </c>
      <c r="S2655" s="5">
        <v>570.720754623184</v>
      </c>
    </row>
    <row r="2656">
      <c r="A2656" s="6">
        <v>44209.0</v>
      </c>
      <c r="B2656" s="5">
        <v>541.23104536848</v>
      </c>
      <c r="C2656" s="5">
        <v>508.502695901032</v>
      </c>
      <c r="D2656" s="5">
        <v>632.548937456129</v>
      </c>
      <c r="E2656" s="5">
        <v>541.23104536848</v>
      </c>
      <c r="F2656" s="5">
        <v>541.23104536848</v>
      </c>
      <c r="G2656" s="5">
        <v>30.3486705203776</v>
      </c>
      <c r="H2656" s="5">
        <v>30.3486705203776</v>
      </c>
      <c r="I2656" s="5">
        <v>30.3486705203776</v>
      </c>
      <c r="J2656" s="5">
        <v>0.00703780528202957</v>
      </c>
      <c r="K2656" s="5">
        <v>0.00703780528202957</v>
      </c>
      <c r="L2656" s="5">
        <v>0.00703780528202957</v>
      </c>
      <c r="M2656" s="5">
        <v>30.3416327150956</v>
      </c>
      <c r="N2656" s="5">
        <v>30.3416327150956</v>
      </c>
      <c r="O2656" s="5">
        <v>30.3416327150956</v>
      </c>
      <c r="P2656" s="5">
        <v>0.0</v>
      </c>
      <c r="Q2656" s="5">
        <v>0.0</v>
      </c>
      <c r="R2656" s="5">
        <v>0.0</v>
      </c>
      <c r="S2656" s="5">
        <v>571.579715888857</v>
      </c>
    </row>
    <row r="2657">
      <c r="A2657" s="6">
        <v>44210.0</v>
      </c>
      <c r="B2657" s="5">
        <v>542.401891567993</v>
      </c>
      <c r="C2657" s="5">
        <v>506.117809831373</v>
      </c>
      <c r="D2657" s="5">
        <v>633.123192968399</v>
      </c>
      <c r="E2657" s="5">
        <v>542.401891567993</v>
      </c>
      <c r="F2657" s="5">
        <v>542.401891567993</v>
      </c>
      <c r="G2657" s="5">
        <v>28.968433265228</v>
      </c>
      <c r="H2657" s="5">
        <v>28.968433265228</v>
      </c>
      <c r="I2657" s="5">
        <v>28.968433265228</v>
      </c>
      <c r="J2657" s="5">
        <v>-0.776422525899317</v>
      </c>
      <c r="K2657" s="5">
        <v>-0.776422525899317</v>
      </c>
      <c r="L2657" s="5">
        <v>-0.776422525899317</v>
      </c>
      <c r="M2657" s="5">
        <v>29.7448557911273</v>
      </c>
      <c r="N2657" s="5">
        <v>29.7448557911273</v>
      </c>
      <c r="O2657" s="5">
        <v>29.7448557911273</v>
      </c>
      <c r="P2657" s="5">
        <v>0.0</v>
      </c>
      <c r="Q2657" s="5">
        <v>0.0</v>
      </c>
      <c r="R2657" s="5">
        <v>0.0</v>
      </c>
      <c r="S2657" s="5">
        <v>571.370324833221</v>
      </c>
    </row>
    <row r="2658">
      <c r="A2658" s="6">
        <v>44211.0</v>
      </c>
      <c r="B2658" s="5">
        <v>543.572737767506</v>
      </c>
      <c r="C2658" s="5">
        <v>508.969564051278</v>
      </c>
      <c r="D2658" s="5">
        <v>631.544316193991</v>
      </c>
      <c r="E2658" s="5">
        <v>543.572737767506</v>
      </c>
      <c r="F2658" s="5">
        <v>543.572737767506</v>
      </c>
      <c r="G2658" s="5">
        <v>27.4364071537564</v>
      </c>
      <c r="H2658" s="5">
        <v>27.4364071537564</v>
      </c>
      <c r="I2658" s="5">
        <v>27.4364071537564</v>
      </c>
      <c r="J2658" s="5">
        <v>-1.59155056649076</v>
      </c>
      <c r="K2658" s="5">
        <v>-1.59155056649076</v>
      </c>
      <c r="L2658" s="5">
        <v>-1.59155056649076</v>
      </c>
      <c r="M2658" s="5">
        <v>29.0279577202472</v>
      </c>
      <c r="N2658" s="5">
        <v>29.0279577202472</v>
      </c>
      <c r="O2658" s="5">
        <v>29.0279577202472</v>
      </c>
      <c r="P2658" s="5">
        <v>0.0</v>
      </c>
      <c r="Q2658" s="5">
        <v>0.0</v>
      </c>
      <c r="R2658" s="5">
        <v>0.0</v>
      </c>
      <c r="S2658" s="5">
        <v>571.009144921263</v>
      </c>
    </row>
    <row r="2659">
      <c r="A2659" s="6">
        <v>44215.0</v>
      </c>
      <c r="B2659" s="5">
        <v>548.256122565559</v>
      </c>
      <c r="C2659" s="5">
        <v>507.826876512496</v>
      </c>
      <c r="D2659" s="5">
        <v>633.813960466947</v>
      </c>
      <c r="E2659" s="5">
        <v>548.256122565559</v>
      </c>
      <c r="F2659" s="5">
        <v>548.256122565559</v>
      </c>
      <c r="G2659" s="5">
        <v>25.1544300098503</v>
      </c>
      <c r="H2659" s="5">
        <v>25.1544300098503</v>
      </c>
      <c r="I2659" s="5">
        <v>25.1544300098503</v>
      </c>
      <c r="J2659" s="5">
        <v>-0.144118857245556</v>
      </c>
      <c r="K2659" s="5">
        <v>-0.144118857245556</v>
      </c>
      <c r="L2659" s="5">
        <v>-0.144118857245556</v>
      </c>
      <c r="M2659" s="5">
        <v>25.2985488670959</v>
      </c>
      <c r="N2659" s="5">
        <v>25.2985488670959</v>
      </c>
      <c r="O2659" s="5">
        <v>25.2985488670959</v>
      </c>
      <c r="P2659" s="5">
        <v>0.0</v>
      </c>
      <c r="Q2659" s="5">
        <v>0.0</v>
      </c>
      <c r="R2659" s="5">
        <v>0.0</v>
      </c>
      <c r="S2659" s="5">
        <v>573.41055257541</v>
      </c>
    </row>
    <row r="2660">
      <c r="A2660" s="6">
        <v>44216.0</v>
      </c>
      <c r="B2660" s="5">
        <v>549.426968765072</v>
      </c>
      <c r="C2660" s="5">
        <v>509.764431296689</v>
      </c>
      <c r="D2660" s="5">
        <v>635.201431101364</v>
      </c>
      <c r="E2660" s="5">
        <v>549.426968765072</v>
      </c>
      <c r="F2660" s="5">
        <v>549.426968765072</v>
      </c>
      <c r="G2660" s="5">
        <v>24.2527471106457</v>
      </c>
      <c r="H2660" s="5">
        <v>24.2527471106457</v>
      </c>
      <c r="I2660" s="5">
        <v>24.2527471106457</v>
      </c>
      <c r="J2660" s="5">
        <v>0.00703780528117714</v>
      </c>
      <c r="K2660" s="5">
        <v>0.00703780528117714</v>
      </c>
      <c r="L2660" s="5">
        <v>0.00703780528117714</v>
      </c>
      <c r="M2660" s="5">
        <v>24.2457093053645</v>
      </c>
      <c r="N2660" s="5">
        <v>24.2457093053645</v>
      </c>
      <c r="O2660" s="5">
        <v>24.2457093053645</v>
      </c>
      <c r="P2660" s="5">
        <v>0.0</v>
      </c>
      <c r="Q2660" s="5">
        <v>0.0</v>
      </c>
      <c r="R2660" s="5">
        <v>0.0</v>
      </c>
      <c r="S2660" s="5">
        <v>573.679715875718</v>
      </c>
    </row>
    <row r="2661">
      <c r="A2661" s="6">
        <v>44217.0</v>
      </c>
      <c r="B2661" s="5">
        <v>550.597814964586</v>
      </c>
      <c r="C2661" s="5">
        <v>509.282394150111</v>
      </c>
      <c r="D2661" s="5">
        <v>634.287973167558</v>
      </c>
      <c r="E2661" s="5">
        <v>550.597814964586</v>
      </c>
      <c r="F2661" s="5">
        <v>550.597814964586</v>
      </c>
      <c r="G2661" s="5">
        <v>22.4074021506817</v>
      </c>
      <c r="H2661" s="5">
        <v>22.4074021506817</v>
      </c>
      <c r="I2661" s="5">
        <v>22.4074021506817</v>
      </c>
      <c r="J2661" s="5">
        <v>-0.776422525901414</v>
      </c>
      <c r="K2661" s="5">
        <v>-0.776422525901414</v>
      </c>
      <c r="L2661" s="5">
        <v>-0.776422525901414</v>
      </c>
      <c r="M2661" s="5">
        <v>23.1838246765831</v>
      </c>
      <c r="N2661" s="5">
        <v>23.1838246765831</v>
      </c>
      <c r="O2661" s="5">
        <v>23.1838246765831</v>
      </c>
      <c r="P2661" s="5">
        <v>0.0</v>
      </c>
      <c r="Q2661" s="5">
        <v>0.0</v>
      </c>
      <c r="R2661" s="5">
        <v>0.0</v>
      </c>
      <c r="S2661" s="5">
        <v>573.005217115267</v>
      </c>
    </row>
    <row r="2662">
      <c r="A2662" s="6">
        <v>44218.0</v>
      </c>
      <c r="B2662" s="5">
        <v>551.768661164099</v>
      </c>
      <c r="C2662" s="5">
        <v>510.02152700524</v>
      </c>
      <c r="D2662" s="5">
        <v>637.702810201095</v>
      </c>
      <c r="E2662" s="5">
        <v>551.768661164099</v>
      </c>
      <c r="F2662" s="5">
        <v>551.768661164099</v>
      </c>
      <c r="G2662" s="5">
        <v>20.5400325341259</v>
      </c>
      <c r="H2662" s="5">
        <v>20.5400325341259</v>
      </c>
      <c r="I2662" s="5">
        <v>20.5400325341259</v>
      </c>
      <c r="J2662" s="5">
        <v>-1.59155056649533</v>
      </c>
      <c r="K2662" s="5">
        <v>-1.59155056649533</v>
      </c>
      <c r="L2662" s="5">
        <v>-1.59155056649533</v>
      </c>
      <c r="M2662" s="5">
        <v>22.1315831006212</v>
      </c>
      <c r="N2662" s="5">
        <v>22.1315831006212</v>
      </c>
      <c r="O2662" s="5">
        <v>22.1315831006212</v>
      </c>
      <c r="P2662" s="5">
        <v>0.0</v>
      </c>
      <c r="Q2662" s="5">
        <v>0.0</v>
      </c>
      <c r="R2662" s="5">
        <v>0.0</v>
      </c>
      <c r="S2662" s="5">
        <v>572.308693698225</v>
      </c>
    </row>
    <row r="2663">
      <c r="A2663" s="6">
        <v>44221.0</v>
      </c>
      <c r="B2663" s="5">
        <v>555.281199762639</v>
      </c>
      <c r="C2663" s="5">
        <v>505.294686137526</v>
      </c>
      <c r="D2663" s="5">
        <v>640.070036653538</v>
      </c>
      <c r="E2663" s="5">
        <v>555.281199762639</v>
      </c>
      <c r="F2663" s="5">
        <v>555.281199762639</v>
      </c>
      <c r="G2663" s="5">
        <v>19.287806712577</v>
      </c>
      <c r="H2663" s="5">
        <v>19.287806712577</v>
      </c>
      <c r="I2663" s="5">
        <v>19.287806712577</v>
      </c>
      <c r="J2663" s="5">
        <v>0.0905589421205784</v>
      </c>
      <c r="K2663" s="5">
        <v>0.0905589421205784</v>
      </c>
      <c r="L2663" s="5">
        <v>0.0905589421205784</v>
      </c>
      <c r="M2663" s="5">
        <v>19.1972477704564</v>
      </c>
      <c r="N2663" s="5">
        <v>19.1972477704564</v>
      </c>
      <c r="O2663" s="5">
        <v>19.1972477704564</v>
      </c>
      <c r="P2663" s="5">
        <v>0.0</v>
      </c>
      <c r="Q2663" s="5">
        <v>0.0</v>
      </c>
      <c r="R2663" s="5">
        <v>0.0</v>
      </c>
      <c r="S2663" s="5">
        <v>574.569006475216</v>
      </c>
    </row>
    <row r="2664">
      <c r="A2664" s="6">
        <v>44222.0</v>
      </c>
      <c r="B2664" s="5">
        <v>556.452045962151</v>
      </c>
      <c r="C2664" s="5">
        <v>508.523975264032</v>
      </c>
      <c r="D2664" s="5">
        <v>635.023845340609</v>
      </c>
      <c r="E2664" s="5">
        <v>556.452045962151</v>
      </c>
      <c r="F2664" s="5">
        <v>556.452045962151</v>
      </c>
      <c r="G2664" s="5">
        <v>18.1936205168183</v>
      </c>
      <c r="H2664" s="5">
        <v>18.1936205168183</v>
      </c>
      <c r="I2664" s="5">
        <v>18.1936205168183</v>
      </c>
      <c r="J2664" s="5">
        <v>-0.144118857244468</v>
      </c>
      <c r="K2664" s="5">
        <v>-0.144118857244468</v>
      </c>
      <c r="L2664" s="5">
        <v>-0.144118857244468</v>
      </c>
      <c r="M2664" s="5">
        <v>18.3377393740628</v>
      </c>
      <c r="N2664" s="5">
        <v>18.3377393740628</v>
      </c>
      <c r="O2664" s="5">
        <v>18.3377393740628</v>
      </c>
      <c r="P2664" s="5">
        <v>0.0</v>
      </c>
      <c r="Q2664" s="5">
        <v>0.0</v>
      </c>
      <c r="R2664" s="5">
        <v>0.0</v>
      </c>
      <c r="S2664" s="5">
        <v>574.64566647897</v>
      </c>
    </row>
    <row r="2665">
      <c r="A2665" s="6">
        <v>44223.0</v>
      </c>
      <c r="B2665" s="5">
        <v>557.622892161665</v>
      </c>
      <c r="C2665" s="5">
        <v>508.242388451024</v>
      </c>
      <c r="D2665" s="5">
        <v>640.332706056433</v>
      </c>
      <c r="E2665" s="5">
        <v>557.622892161665</v>
      </c>
      <c r="F2665" s="5">
        <v>557.622892161665</v>
      </c>
      <c r="G2665" s="5">
        <v>17.5604437615223</v>
      </c>
      <c r="H2665" s="5">
        <v>17.5604437615223</v>
      </c>
      <c r="I2665" s="5">
        <v>17.5604437615223</v>
      </c>
      <c r="J2665" s="5">
        <v>0.00703780528230729</v>
      </c>
      <c r="K2665" s="5">
        <v>0.00703780528230729</v>
      </c>
      <c r="L2665" s="5">
        <v>0.00703780528230729</v>
      </c>
      <c r="M2665" s="5">
        <v>17.55340595624</v>
      </c>
      <c r="N2665" s="5">
        <v>17.55340595624</v>
      </c>
      <c r="O2665" s="5">
        <v>17.55340595624</v>
      </c>
      <c r="P2665" s="5">
        <v>0.0</v>
      </c>
      <c r="Q2665" s="5">
        <v>0.0</v>
      </c>
      <c r="R2665" s="5">
        <v>0.0</v>
      </c>
      <c r="S2665" s="5">
        <v>575.183335923187</v>
      </c>
    </row>
    <row r="2666">
      <c r="A2666" s="6">
        <v>44224.0</v>
      </c>
      <c r="B2666" s="5">
        <v>558.793738361178</v>
      </c>
      <c r="C2666" s="5">
        <v>514.351504573004</v>
      </c>
      <c r="D2666" s="5">
        <v>635.467885449689</v>
      </c>
      <c r="E2666" s="5">
        <v>558.793738361178</v>
      </c>
      <c r="F2666" s="5">
        <v>558.793738361178</v>
      </c>
      <c r="G2666" s="5">
        <v>16.0730249129873</v>
      </c>
      <c r="H2666" s="5">
        <v>16.0730249129873</v>
      </c>
      <c r="I2666" s="5">
        <v>16.0730249129873</v>
      </c>
      <c r="J2666" s="5">
        <v>-0.776422525902136</v>
      </c>
      <c r="K2666" s="5">
        <v>-0.776422525902136</v>
      </c>
      <c r="L2666" s="5">
        <v>-0.776422525902136</v>
      </c>
      <c r="M2666" s="5">
        <v>16.8494474388895</v>
      </c>
      <c r="N2666" s="5">
        <v>16.8494474388895</v>
      </c>
      <c r="O2666" s="5">
        <v>16.8494474388895</v>
      </c>
      <c r="P2666" s="5">
        <v>0.0</v>
      </c>
      <c r="Q2666" s="5">
        <v>0.0</v>
      </c>
      <c r="R2666" s="5">
        <v>0.0</v>
      </c>
      <c r="S2666" s="5">
        <v>574.866763274166</v>
      </c>
    </row>
    <row r="2667">
      <c r="A2667" s="6">
        <v>44225.0</v>
      </c>
      <c r="B2667" s="5">
        <v>559.964584560691</v>
      </c>
      <c r="C2667" s="5">
        <v>507.696517019606</v>
      </c>
      <c r="D2667" s="5">
        <v>636.443759598843</v>
      </c>
      <c r="E2667" s="5">
        <v>559.964584560691</v>
      </c>
      <c r="F2667" s="5">
        <v>559.964584560691</v>
      </c>
      <c r="G2667" s="5">
        <v>14.6364427596975</v>
      </c>
      <c r="H2667" s="5">
        <v>14.6364427596975</v>
      </c>
      <c r="I2667" s="5">
        <v>14.6364427596975</v>
      </c>
      <c r="J2667" s="5">
        <v>-1.59155056649409</v>
      </c>
      <c r="K2667" s="5">
        <v>-1.59155056649409</v>
      </c>
      <c r="L2667" s="5">
        <v>-1.59155056649409</v>
      </c>
      <c r="M2667" s="5">
        <v>16.2279933261916</v>
      </c>
      <c r="N2667" s="5">
        <v>16.2279933261916</v>
      </c>
      <c r="O2667" s="5">
        <v>16.2279933261916</v>
      </c>
      <c r="P2667" s="5">
        <v>0.0</v>
      </c>
      <c r="Q2667" s="5">
        <v>0.0</v>
      </c>
      <c r="R2667" s="5">
        <v>0.0</v>
      </c>
      <c r="S2667" s="5">
        <v>574.601027320389</v>
      </c>
    </row>
    <row r="2668">
      <c r="A2668" s="6">
        <v>44228.0</v>
      </c>
      <c r="B2668" s="5">
        <v>563.477123159231</v>
      </c>
      <c r="C2668" s="5">
        <v>514.310622756745</v>
      </c>
      <c r="D2668" s="5">
        <v>645.642034751646</v>
      </c>
      <c r="E2668" s="5">
        <v>563.477123159231</v>
      </c>
      <c r="F2668" s="5">
        <v>563.477123159231</v>
      </c>
      <c r="G2668" s="5">
        <v>14.9246165472364</v>
      </c>
      <c r="H2668" s="5">
        <v>14.9246165472364</v>
      </c>
      <c r="I2668" s="5">
        <v>14.9246165472364</v>
      </c>
      <c r="J2668" s="5">
        <v>0.0905589421215249</v>
      </c>
      <c r="K2668" s="5">
        <v>0.0905589421215249</v>
      </c>
      <c r="L2668" s="5">
        <v>0.0905589421215249</v>
      </c>
      <c r="M2668" s="5">
        <v>14.8340576051149</v>
      </c>
      <c r="N2668" s="5">
        <v>14.8340576051149</v>
      </c>
      <c r="O2668" s="5">
        <v>14.8340576051149</v>
      </c>
      <c r="P2668" s="5">
        <v>0.0</v>
      </c>
      <c r="Q2668" s="5">
        <v>0.0</v>
      </c>
      <c r="R2668" s="5">
        <v>0.0</v>
      </c>
      <c r="S2668" s="5">
        <v>578.401739706467</v>
      </c>
    </row>
    <row r="2669">
      <c r="A2669" s="6">
        <v>44229.0</v>
      </c>
      <c r="B2669" s="5">
        <v>564.647969358744</v>
      </c>
      <c r="C2669" s="5">
        <v>516.564743597155</v>
      </c>
      <c r="D2669" s="5">
        <v>644.124059754016</v>
      </c>
      <c r="E2669" s="5">
        <v>564.647969358744</v>
      </c>
      <c r="F2669" s="5">
        <v>564.647969358744</v>
      </c>
      <c r="G2669" s="5">
        <v>14.3594466686402</v>
      </c>
      <c r="H2669" s="5">
        <v>14.3594466686402</v>
      </c>
      <c r="I2669" s="5">
        <v>14.3594466686402</v>
      </c>
      <c r="J2669" s="5">
        <v>-0.144118857246208</v>
      </c>
      <c r="K2669" s="5">
        <v>-0.144118857246208</v>
      </c>
      <c r="L2669" s="5">
        <v>-0.144118857246208</v>
      </c>
      <c r="M2669" s="5">
        <v>14.5035655258865</v>
      </c>
      <c r="N2669" s="5">
        <v>14.5035655258865</v>
      </c>
      <c r="O2669" s="5">
        <v>14.5035655258865</v>
      </c>
      <c r="P2669" s="5">
        <v>0.0</v>
      </c>
      <c r="Q2669" s="5">
        <v>0.0</v>
      </c>
      <c r="R2669" s="5">
        <v>0.0</v>
      </c>
      <c r="S2669" s="5">
        <v>579.007416027385</v>
      </c>
    </row>
    <row r="2670">
      <c r="A2670" s="6">
        <v>44230.0</v>
      </c>
      <c r="B2670" s="5">
        <v>565.818815558258</v>
      </c>
      <c r="C2670" s="5">
        <v>520.303762178401</v>
      </c>
      <c r="D2670" s="5">
        <v>640.785369118733</v>
      </c>
      <c r="E2670" s="5">
        <v>565.818815558258</v>
      </c>
      <c r="F2670" s="5">
        <v>565.818815558258</v>
      </c>
      <c r="G2670" s="5">
        <v>14.2294247974692</v>
      </c>
      <c r="H2670" s="5">
        <v>14.2294247974692</v>
      </c>
      <c r="I2670" s="5">
        <v>14.2294247974692</v>
      </c>
      <c r="J2670" s="5">
        <v>0.00703780528145471</v>
      </c>
      <c r="K2670" s="5">
        <v>0.00703780528145471</v>
      </c>
      <c r="L2670" s="5">
        <v>0.00703780528145471</v>
      </c>
      <c r="M2670" s="5">
        <v>14.2223869921877</v>
      </c>
      <c r="N2670" s="5">
        <v>14.2223869921877</v>
      </c>
      <c r="O2670" s="5">
        <v>14.2223869921877</v>
      </c>
      <c r="P2670" s="5">
        <v>0.0</v>
      </c>
      <c r="Q2670" s="5">
        <v>0.0</v>
      </c>
      <c r="R2670" s="5">
        <v>0.0</v>
      </c>
      <c r="S2670" s="5">
        <v>580.048240355727</v>
      </c>
    </row>
    <row r="2671">
      <c r="A2671" s="6">
        <v>44231.0</v>
      </c>
      <c r="B2671" s="5">
        <v>566.989661757771</v>
      </c>
      <c r="C2671" s="5">
        <v>519.463885497033</v>
      </c>
      <c r="D2671" s="5">
        <v>639.799692029759</v>
      </c>
      <c r="E2671" s="5">
        <v>566.989661757771</v>
      </c>
      <c r="F2671" s="5">
        <v>566.989661757771</v>
      </c>
      <c r="G2671" s="5">
        <v>13.2002555913538</v>
      </c>
      <c r="H2671" s="5">
        <v>13.2002555913538</v>
      </c>
      <c r="I2671" s="5">
        <v>13.2002555913538</v>
      </c>
      <c r="J2671" s="5">
        <v>-0.776422525904233</v>
      </c>
      <c r="K2671" s="5">
        <v>-0.776422525904233</v>
      </c>
      <c r="L2671" s="5">
        <v>-0.776422525904233</v>
      </c>
      <c r="M2671" s="5">
        <v>13.9766781172581</v>
      </c>
      <c r="N2671" s="5">
        <v>13.9766781172581</v>
      </c>
      <c r="O2671" s="5">
        <v>13.9766781172581</v>
      </c>
      <c r="P2671" s="5">
        <v>0.0</v>
      </c>
      <c r="Q2671" s="5">
        <v>0.0</v>
      </c>
      <c r="R2671" s="5">
        <v>0.0</v>
      </c>
      <c r="S2671" s="5">
        <v>580.189917349124</v>
      </c>
    </row>
    <row r="2672">
      <c r="A2672" s="6">
        <v>44232.0</v>
      </c>
      <c r="B2672" s="5">
        <v>568.160507957284</v>
      </c>
      <c r="C2672" s="5">
        <v>515.967469471162</v>
      </c>
      <c r="D2672" s="5">
        <v>642.920492312646</v>
      </c>
      <c r="E2672" s="5">
        <v>568.160507957284</v>
      </c>
      <c r="F2672" s="5">
        <v>568.160507957284</v>
      </c>
      <c r="G2672" s="5">
        <v>12.1594819516084</v>
      </c>
      <c r="H2672" s="5">
        <v>12.1594819516084</v>
      </c>
      <c r="I2672" s="5">
        <v>12.1594819516084</v>
      </c>
      <c r="J2672" s="5">
        <v>-1.59155056649347</v>
      </c>
      <c r="K2672" s="5">
        <v>-1.59155056649347</v>
      </c>
      <c r="L2672" s="5">
        <v>-1.59155056649347</v>
      </c>
      <c r="M2672" s="5">
        <v>13.7510325181019</v>
      </c>
      <c r="N2672" s="5">
        <v>13.7510325181019</v>
      </c>
      <c r="O2672" s="5">
        <v>13.7510325181019</v>
      </c>
      <c r="P2672" s="5">
        <v>0.0</v>
      </c>
      <c r="Q2672" s="5">
        <v>0.0</v>
      </c>
      <c r="R2672" s="5">
        <v>0.0</v>
      </c>
      <c r="S2672" s="5">
        <v>580.319989908892</v>
      </c>
    </row>
    <row r="2673">
      <c r="A2673" s="6">
        <v>44235.0</v>
      </c>
      <c r="B2673" s="5">
        <v>571.673046555824</v>
      </c>
      <c r="C2673" s="5">
        <v>520.44214765815</v>
      </c>
      <c r="D2673" s="5">
        <v>646.028197337745</v>
      </c>
      <c r="E2673" s="5">
        <v>571.673046555824</v>
      </c>
      <c r="F2673" s="5">
        <v>571.673046555824</v>
      </c>
      <c r="G2673" s="5">
        <v>13.1174280267267</v>
      </c>
      <c r="H2673" s="5">
        <v>13.1174280267267</v>
      </c>
      <c r="I2673" s="5">
        <v>13.1174280267267</v>
      </c>
      <c r="J2673" s="5">
        <v>0.0905589421200876</v>
      </c>
      <c r="K2673" s="5">
        <v>0.0905589421200876</v>
      </c>
      <c r="L2673" s="5">
        <v>0.0905589421200876</v>
      </c>
      <c r="M2673" s="5">
        <v>13.0268690846066</v>
      </c>
      <c r="N2673" s="5">
        <v>13.0268690846066</v>
      </c>
      <c r="O2673" s="5">
        <v>13.0268690846066</v>
      </c>
      <c r="P2673" s="5">
        <v>0.0</v>
      </c>
      <c r="Q2673" s="5">
        <v>0.0</v>
      </c>
      <c r="R2673" s="5">
        <v>0.0</v>
      </c>
      <c r="S2673" s="5">
        <v>584.790474582551</v>
      </c>
    </row>
    <row r="2674">
      <c r="A2674" s="6">
        <v>44236.0</v>
      </c>
      <c r="B2674" s="5">
        <v>572.843892755337</v>
      </c>
      <c r="C2674" s="5">
        <v>517.158588071039</v>
      </c>
      <c r="D2674" s="5">
        <v>648.751976162295</v>
      </c>
      <c r="E2674" s="5">
        <v>572.843892755337</v>
      </c>
      <c r="F2674" s="5">
        <v>572.843892755337</v>
      </c>
      <c r="G2674" s="5">
        <v>12.5687388671724</v>
      </c>
      <c r="H2674" s="5">
        <v>12.5687388671724</v>
      </c>
      <c r="I2674" s="5">
        <v>12.5687388671724</v>
      </c>
      <c r="J2674" s="5">
        <v>-0.144118857247644</v>
      </c>
      <c r="K2674" s="5">
        <v>-0.144118857247644</v>
      </c>
      <c r="L2674" s="5">
        <v>-0.144118857247644</v>
      </c>
      <c r="M2674" s="5">
        <v>12.71285772442</v>
      </c>
      <c r="N2674" s="5">
        <v>12.71285772442</v>
      </c>
      <c r="O2674" s="5">
        <v>12.71285772442</v>
      </c>
      <c r="P2674" s="5">
        <v>0.0</v>
      </c>
      <c r="Q2674" s="5">
        <v>0.0</v>
      </c>
      <c r="R2674" s="5">
        <v>0.0</v>
      </c>
      <c r="S2674" s="5">
        <v>585.41263162251</v>
      </c>
    </row>
    <row r="2675">
      <c r="A2675" s="6">
        <v>44237.0</v>
      </c>
      <c r="B2675" s="5">
        <v>574.01473895485</v>
      </c>
      <c r="C2675" s="5">
        <v>521.143949291241</v>
      </c>
      <c r="D2675" s="5">
        <v>651.136668087389</v>
      </c>
      <c r="E2675" s="5">
        <v>574.01473895485</v>
      </c>
      <c r="F2675" s="5">
        <v>574.01473895485</v>
      </c>
      <c r="G2675" s="5">
        <v>12.342395253092</v>
      </c>
      <c r="H2675" s="5">
        <v>12.342395253092</v>
      </c>
      <c r="I2675" s="5">
        <v>12.342395253092</v>
      </c>
      <c r="J2675" s="5">
        <v>0.00703780528276578</v>
      </c>
      <c r="K2675" s="5">
        <v>0.00703780528276578</v>
      </c>
      <c r="L2675" s="5">
        <v>0.00703780528276578</v>
      </c>
      <c r="M2675" s="5">
        <v>12.3353574478093</v>
      </c>
      <c r="N2675" s="5">
        <v>12.3353574478093</v>
      </c>
      <c r="O2675" s="5">
        <v>12.3353574478093</v>
      </c>
      <c r="P2675" s="5">
        <v>0.0</v>
      </c>
      <c r="Q2675" s="5">
        <v>0.0</v>
      </c>
      <c r="R2675" s="5">
        <v>0.0</v>
      </c>
      <c r="S2675" s="5">
        <v>586.357134207942</v>
      </c>
    </row>
    <row r="2676">
      <c r="A2676" s="6">
        <v>44238.0</v>
      </c>
      <c r="B2676" s="5">
        <v>575.185585154363</v>
      </c>
      <c r="C2676" s="5">
        <v>524.069459019926</v>
      </c>
      <c r="D2676" s="5">
        <v>653.297279437956</v>
      </c>
      <c r="E2676" s="5">
        <v>575.185585154363</v>
      </c>
      <c r="F2676" s="5">
        <v>575.185585154363</v>
      </c>
      <c r="G2676" s="5">
        <v>11.1034211714158</v>
      </c>
      <c r="H2676" s="5">
        <v>11.1034211714158</v>
      </c>
      <c r="I2676" s="5">
        <v>11.1034211714158</v>
      </c>
      <c r="J2676" s="5">
        <v>-0.776422525904955</v>
      </c>
      <c r="K2676" s="5">
        <v>-0.776422525904955</v>
      </c>
      <c r="L2676" s="5">
        <v>-0.776422525904955</v>
      </c>
      <c r="M2676" s="5">
        <v>11.8798436973208</v>
      </c>
      <c r="N2676" s="5">
        <v>11.8798436973208</v>
      </c>
      <c r="O2676" s="5">
        <v>11.8798436973208</v>
      </c>
      <c r="P2676" s="5">
        <v>0.0</v>
      </c>
      <c r="Q2676" s="5">
        <v>0.0</v>
      </c>
      <c r="R2676" s="5">
        <v>0.0</v>
      </c>
      <c r="S2676" s="5">
        <v>586.289006325779</v>
      </c>
    </row>
    <row r="2677">
      <c r="A2677" s="6">
        <v>44239.0</v>
      </c>
      <c r="B2677" s="5">
        <v>576.356431353877</v>
      </c>
      <c r="C2677" s="5">
        <v>517.833362970366</v>
      </c>
      <c r="D2677" s="5">
        <v>645.045525260364</v>
      </c>
      <c r="E2677" s="5">
        <v>576.356431353877</v>
      </c>
      <c r="F2677" s="5">
        <v>576.356431353877</v>
      </c>
      <c r="G2677" s="5">
        <v>9.74205424149233</v>
      </c>
      <c r="H2677" s="5">
        <v>9.74205424149233</v>
      </c>
      <c r="I2677" s="5">
        <v>9.74205424149233</v>
      </c>
      <c r="J2677" s="5">
        <v>-1.59155056649223</v>
      </c>
      <c r="K2677" s="5">
        <v>-1.59155056649223</v>
      </c>
      <c r="L2677" s="5">
        <v>-1.59155056649223</v>
      </c>
      <c r="M2677" s="5">
        <v>11.3336048079845</v>
      </c>
      <c r="N2677" s="5">
        <v>11.3336048079845</v>
      </c>
      <c r="O2677" s="5">
        <v>11.3336048079845</v>
      </c>
      <c r="P2677" s="5">
        <v>0.0</v>
      </c>
      <c r="Q2677" s="5">
        <v>0.0</v>
      </c>
      <c r="R2677" s="5">
        <v>0.0</v>
      </c>
      <c r="S2677" s="5">
        <v>586.098485595369</v>
      </c>
    </row>
    <row r="2678">
      <c r="A2678" s="6">
        <v>44243.0</v>
      </c>
      <c r="B2678" s="5">
        <v>581.03981615193</v>
      </c>
      <c r="C2678" s="5">
        <v>524.594761857529</v>
      </c>
      <c r="D2678" s="5">
        <v>651.776489857142</v>
      </c>
      <c r="E2678" s="5">
        <v>581.03981615193</v>
      </c>
      <c r="F2678" s="5">
        <v>581.03981615193</v>
      </c>
      <c r="G2678" s="5">
        <v>7.92629655969688</v>
      </c>
      <c r="H2678" s="5">
        <v>7.92629655969688</v>
      </c>
      <c r="I2678" s="5">
        <v>7.92629655969688</v>
      </c>
      <c r="J2678" s="5">
        <v>-0.144118857244032</v>
      </c>
      <c r="K2678" s="5">
        <v>-0.144118857244032</v>
      </c>
      <c r="L2678" s="5">
        <v>-0.144118857244032</v>
      </c>
      <c r="M2678" s="5">
        <v>8.07041541694091</v>
      </c>
      <c r="N2678" s="5">
        <v>8.07041541694091</v>
      </c>
      <c r="O2678" s="5">
        <v>8.07041541694091</v>
      </c>
      <c r="P2678" s="5">
        <v>0.0</v>
      </c>
      <c r="Q2678" s="5">
        <v>0.0</v>
      </c>
      <c r="R2678" s="5">
        <v>0.0</v>
      </c>
      <c r="S2678" s="5">
        <v>588.966112711626</v>
      </c>
    </row>
    <row r="2679">
      <c r="A2679" s="6">
        <v>44244.0</v>
      </c>
      <c r="B2679" s="5">
        <v>582.210662351443</v>
      </c>
      <c r="C2679" s="5">
        <v>526.383885201462</v>
      </c>
      <c r="D2679" s="5">
        <v>655.028333076528</v>
      </c>
      <c r="E2679" s="5">
        <v>582.210662351443</v>
      </c>
      <c r="F2679" s="5">
        <v>582.210662351443</v>
      </c>
      <c r="G2679" s="5">
        <v>6.97371687605106</v>
      </c>
      <c r="H2679" s="5">
        <v>6.97371687605106</v>
      </c>
      <c r="I2679" s="5">
        <v>6.97371687605106</v>
      </c>
      <c r="J2679" s="5">
        <v>0.00703780527974963</v>
      </c>
      <c r="K2679" s="5">
        <v>0.00703780527974963</v>
      </c>
      <c r="L2679" s="5">
        <v>0.00703780527974963</v>
      </c>
      <c r="M2679" s="5">
        <v>6.96667907077131</v>
      </c>
      <c r="N2679" s="5">
        <v>6.96667907077131</v>
      </c>
      <c r="O2679" s="5">
        <v>6.96667907077131</v>
      </c>
      <c r="P2679" s="5">
        <v>0.0</v>
      </c>
      <c r="Q2679" s="5">
        <v>0.0</v>
      </c>
      <c r="R2679" s="5">
        <v>0.0</v>
      </c>
      <c r="S2679" s="5">
        <v>589.184379227494</v>
      </c>
    </row>
    <row r="2680">
      <c r="A2680" s="6">
        <v>44245.0</v>
      </c>
      <c r="B2680" s="5">
        <v>583.381508550956</v>
      </c>
      <c r="C2680" s="5">
        <v>525.308639289152</v>
      </c>
      <c r="D2680" s="5">
        <v>650.689990435224</v>
      </c>
      <c r="E2680" s="5">
        <v>583.381508550956</v>
      </c>
      <c r="F2680" s="5">
        <v>583.381508550956</v>
      </c>
      <c r="G2680" s="5">
        <v>4.97452538074775</v>
      </c>
      <c r="H2680" s="5">
        <v>4.97452538074775</v>
      </c>
      <c r="I2680" s="5">
        <v>4.97452538074775</v>
      </c>
      <c r="J2680" s="5">
        <v>-0.776422525899977</v>
      </c>
      <c r="K2680" s="5">
        <v>-0.776422525899977</v>
      </c>
      <c r="L2680" s="5">
        <v>-0.776422525899977</v>
      </c>
      <c r="M2680" s="5">
        <v>5.75094790664773</v>
      </c>
      <c r="N2680" s="5">
        <v>5.75094790664773</v>
      </c>
      <c r="O2680" s="5">
        <v>5.75094790664773</v>
      </c>
      <c r="P2680" s="5">
        <v>0.0</v>
      </c>
      <c r="Q2680" s="5">
        <v>0.0</v>
      </c>
      <c r="R2680" s="5">
        <v>0.0</v>
      </c>
      <c r="S2680" s="5">
        <v>588.356033931704</v>
      </c>
    </row>
    <row r="2681">
      <c r="A2681" s="6">
        <v>44246.0</v>
      </c>
      <c r="B2681" s="5">
        <v>584.552354750469</v>
      </c>
      <c r="C2681" s="5">
        <v>523.7609507133</v>
      </c>
      <c r="D2681" s="5">
        <v>651.528326597127</v>
      </c>
      <c r="E2681" s="5">
        <v>584.552354750469</v>
      </c>
      <c r="F2681" s="5">
        <v>584.552354750469</v>
      </c>
      <c r="G2681" s="5">
        <v>2.838584673021</v>
      </c>
      <c r="H2681" s="5">
        <v>2.838584673021</v>
      </c>
      <c r="I2681" s="5">
        <v>2.838584673021</v>
      </c>
      <c r="J2681" s="5">
        <v>-1.59155056649131</v>
      </c>
      <c r="K2681" s="5">
        <v>-1.59155056649131</v>
      </c>
      <c r="L2681" s="5">
        <v>-1.59155056649131</v>
      </c>
      <c r="M2681" s="5">
        <v>4.43013523951232</v>
      </c>
      <c r="N2681" s="5">
        <v>4.43013523951232</v>
      </c>
      <c r="O2681" s="5">
        <v>4.43013523951232</v>
      </c>
      <c r="P2681" s="5">
        <v>0.0</v>
      </c>
      <c r="Q2681" s="5">
        <v>0.0</v>
      </c>
      <c r="R2681" s="5">
        <v>0.0</v>
      </c>
      <c r="S2681" s="5">
        <v>587.39093942349</v>
      </c>
    </row>
    <row r="2682">
      <c r="A2682" s="6">
        <v>44249.0</v>
      </c>
      <c r="B2682" s="5">
        <v>588.064893349009</v>
      </c>
      <c r="C2682" s="5">
        <v>523.747995616785</v>
      </c>
      <c r="D2682" s="5">
        <v>653.013661254596</v>
      </c>
      <c r="E2682" s="5">
        <v>588.064893349009</v>
      </c>
      <c r="F2682" s="5">
        <v>588.064893349009</v>
      </c>
      <c r="G2682" s="5">
        <v>0.0387391971022519</v>
      </c>
      <c r="H2682" s="5">
        <v>0.0387391971022519</v>
      </c>
      <c r="I2682" s="5">
        <v>0.0387391971022519</v>
      </c>
      <c r="J2682" s="5">
        <v>0.0905589421195965</v>
      </c>
      <c r="K2682" s="5">
        <v>0.0905589421195965</v>
      </c>
      <c r="L2682" s="5">
        <v>0.0905589421195965</v>
      </c>
      <c r="M2682" s="5">
        <v>-0.0518197450173445</v>
      </c>
      <c r="N2682" s="5">
        <v>-0.0518197450173445</v>
      </c>
      <c r="O2682" s="5">
        <v>-0.0518197450173445</v>
      </c>
      <c r="P2682" s="5">
        <v>0.0</v>
      </c>
      <c r="Q2682" s="5">
        <v>0.0</v>
      </c>
      <c r="R2682" s="5">
        <v>0.0</v>
      </c>
      <c r="S2682" s="5">
        <v>588.103632546111</v>
      </c>
    </row>
    <row r="2683">
      <c r="A2683" s="6">
        <v>44250.0</v>
      </c>
      <c r="B2683" s="5">
        <v>589.235739548522</v>
      </c>
      <c r="C2683" s="5">
        <v>521.687777737188</v>
      </c>
      <c r="D2683" s="5">
        <v>647.107223328607</v>
      </c>
      <c r="E2683" s="5">
        <v>589.235739548522</v>
      </c>
      <c r="F2683" s="5">
        <v>589.235739548522</v>
      </c>
      <c r="G2683" s="5">
        <v>-1.81398412124083</v>
      </c>
      <c r="H2683" s="5">
        <v>-1.81398412124083</v>
      </c>
      <c r="I2683" s="5">
        <v>-1.81398412124083</v>
      </c>
      <c r="J2683" s="5">
        <v>-0.144118857248296</v>
      </c>
      <c r="K2683" s="5">
        <v>-0.144118857248296</v>
      </c>
      <c r="L2683" s="5">
        <v>-0.144118857248296</v>
      </c>
      <c r="M2683" s="5">
        <v>-1.66986526399253</v>
      </c>
      <c r="N2683" s="5">
        <v>-1.66986526399253</v>
      </c>
      <c r="O2683" s="5">
        <v>-1.66986526399253</v>
      </c>
      <c r="P2683" s="5">
        <v>0.0</v>
      </c>
      <c r="Q2683" s="5">
        <v>0.0</v>
      </c>
      <c r="R2683" s="5">
        <v>0.0</v>
      </c>
      <c r="S2683" s="5">
        <v>587.421755427281</v>
      </c>
    </row>
    <row r="2684">
      <c r="A2684" s="6">
        <v>44251.0</v>
      </c>
      <c r="B2684" s="5">
        <v>590.406585748036</v>
      </c>
      <c r="C2684" s="5">
        <v>525.824381679156</v>
      </c>
      <c r="D2684" s="5">
        <v>651.171537298752</v>
      </c>
      <c r="E2684" s="5">
        <v>590.406585748036</v>
      </c>
      <c r="F2684" s="5">
        <v>590.406585748036</v>
      </c>
      <c r="G2684" s="5">
        <v>-3.31348597910817</v>
      </c>
      <c r="H2684" s="5">
        <v>-3.31348597910817</v>
      </c>
      <c r="I2684" s="5">
        <v>-3.31348597910817</v>
      </c>
      <c r="J2684" s="5">
        <v>0.00703780528106083</v>
      </c>
      <c r="K2684" s="5">
        <v>0.00703780528106083</v>
      </c>
      <c r="L2684" s="5">
        <v>0.00703780528106083</v>
      </c>
      <c r="M2684" s="5">
        <v>-3.32052378438923</v>
      </c>
      <c r="N2684" s="5">
        <v>-3.32052378438923</v>
      </c>
      <c r="O2684" s="5">
        <v>-3.32052378438923</v>
      </c>
      <c r="P2684" s="5">
        <v>0.0</v>
      </c>
      <c r="Q2684" s="5">
        <v>0.0</v>
      </c>
      <c r="R2684" s="5">
        <v>0.0</v>
      </c>
      <c r="S2684" s="5">
        <v>587.093099768928</v>
      </c>
    </row>
    <row r="2685">
      <c r="A2685" s="6">
        <v>44252.0</v>
      </c>
      <c r="B2685" s="5">
        <v>591.577431947549</v>
      </c>
      <c r="C2685" s="5">
        <v>525.09258025916</v>
      </c>
      <c r="D2685" s="5">
        <v>647.235449486962</v>
      </c>
      <c r="E2685" s="5">
        <v>591.577431947549</v>
      </c>
      <c r="F2685" s="5">
        <v>591.577431947549</v>
      </c>
      <c r="G2685" s="5">
        <v>-5.76050728746759</v>
      </c>
      <c r="H2685" s="5">
        <v>-5.76050728746759</v>
      </c>
      <c r="I2685" s="5">
        <v>-5.76050728746759</v>
      </c>
      <c r="J2685" s="5">
        <v>-0.776422525900699</v>
      </c>
      <c r="K2685" s="5">
        <v>-0.776422525900699</v>
      </c>
      <c r="L2685" s="5">
        <v>-0.776422525900699</v>
      </c>
      <c r="M2685" s="5">
        <v>-4.98408476156689</v>
      </c>
      <c r="N2685" s="5">
        <v>-4.98408476156689</v>
      </c>
      <c r="O2685" s="5">
        <v>-4.98408476156689</v>
      </c>
      <c r="P2685" s="5">
        <v>0.0</v>
      </c>
      <c r="Q2685" s="5">
        <v>0.0</v>
      </c>
      <c r="R2685" s="5">
        <v>0.0</v>
      </c>
      <c r="S2685" s="5">
        <v>585.816924660081</v>
      </c>
    </row>
    <row r="2686">
      <c r="A2686" s="6">
        <v>44253.0</v>
      </c>
      <c r="B2686" s="5">
        <v>592.748278147062</v>
      </c>
      <c r="C2686" s="5">
        <v>518.956792471029</v>
      </c>
      <c r="D2686" s="5">
        <v>644.814123418601</v>
      </c>
      <c r="E2686" s="5">
        <v>592.748278147062</v>
      </c>
      <c r="F2686" s="5">
        <v>592.748278147062</v>
      </c>
      <c r="G2686" s="5">
        <v>-8.23165026855469</v>
      </c>
      <c r="H2686" s="5">
        <v>-8.23165026855469</v>
      </c>
      <c r="I2686" s="5">
        <v>-8.23165026855469</v>
      </c>
      <c r="J2686" s="5">
        <v>-1.59155056649007</v>
      </c>
      <c r="K2686" s="5">
        <v>-1.59155056649007</v>
      </c>
      <c r="L2686" s="5">
        <v>-1.59155056649007</v>
      </c>
      <c r="M2686" s="5">
        <v>-6.64009970206461</v>
      </c>
      <c r="N2686" s="5">
        <v>-6.64009970206461</v>
      </c>
      <c r="O2686" s="5">
        <v>-6.64009970206461</v>
      </c>
      <c r="P2686" s="5">
        <v>0.0</v>
      </c>
      <c r="Q2686" s="5">
        <v>0.0</v>
      </c>
      <c r="R2686" s="5">
        <v>0.0</v>
      </c>
      <c r="S2686" s="5">
        <v>584.516627878507</v>
      </c>
    </row>
    <row r="2687">
      <c r="A2687" s="6">
        <v>44256.0</v>
      </c>
      <c r="B2687" s="5">
        <v>596.260816745602</v>
      </c>
      <c r="C2687" s="5">
        <v>518.783458379059</v>
      </c>
      <c r="D2687" s="5">
        <v>647.578840831959</v>
      </c>
      <c r="E2687" s="5">
        <v>596.260816745602</v>
      </c>
      <c r="F2687" s="5">
        <v>596.260816745602</v>
      </c>
      <c r="G2687" s="5">
        <v>-11.2668138966858</v>
      </c>
      <c r="H2687" s="5">
        <v>-11.2668138966858</v>
      </c>
      <c r="I2687" s="5">
        <v>-11.2668138966858</v>
      </c>
      <c r="J2687" s="5">
        <v>0.090558942123087</v>
      </c>
      <c r="K2687" s="5">
        <v>0.090558942123087</v>
      </c>
      <c r="L2687" s="5">
        <v>0.090558942123087</v>
      </c>
      <c r="M2687" s="5">
        <v>-11.3573728388089</v>
      </c>
      <c r="N2687" s="5">
        <v>-11.3573728388089</v>
      </c>
      <c r="O2687" s="5">
        <v>-11.3573728388089</v>
      </c>
      <c r="P2687" s="5">
        <v>0.0</v>
      </c>
      <c r="Q2687" s="5">
        <v>0.0</v>
      </c>
      <c r="R2687" s="5">
        <v>0.0</v>
      </c>
      <c r="S2687" s="5">
        <v>584.994002848916</v>
      </c>
    </row>
    <row r="2688">
      <c r="A2688" s="6">
        <v>44257.0</v>
      </c>
      <c r="B2688" s="5">
        <v>597.431662945115</v>
      </c>
      <c r="C2688" s="5">
        <v>522.210150342724</v>
      </c>
      <c r="D2688" s="5">
        <v>647.034960587894</v>
      </c>
      <c r="E2688" s="5">
        <v>597.431662945115</v>
      </c>
      <c r="F2688" s="5">
        <v>597.431662945115</v>
      </c>
      <c r="G2688" s="5">
        <v>-12.9247957312607</v>
      </c>
      <c r="H2688" s="5">
        <v>-12.9247957312607</v>
      </c>
      <c r="I2688" s="5">
        <v>-12.9247957312607</v>
      </c>
      <c r="J2688" s="5">
        <v>-0.144118857244684</v>
      </c>
      <c r="K2688" s="5">
        <v>-0.144118857244684</v>
      </c>
      <c r="L2688" s="5">
        <v>-0.144118857244684</v>
      </c>
      <c r="M2688" s="5">
        <v>-12.7806768740161</v>
      </c>
      <c r="N2688" s="5">
        <v>-12.7806768740161</v>
      </c>
      <c r="O2688" s="5">
        <v>-12.7806768740161</v>
      </c>
      <c r="P2688" s="5">
        <v>0.0</v>
      </c>
      <c r="Q2688" s="5">
        <v>0.0</v>
      </c>
      <c r="R2688" s="5">
        <v>0.0</v>
      </c>
      <c r="S2688" s="5">
        <v>584.506867213854</v>
      </c>
    </row>
    <row r="2689">
      <c r="A2689" s="6">
        <v>44258.0</v>
      </c>
      <c r="B2689" s="5">
        <v>598.602509144628</v>
      </c>
      <c r="C2689" s="5">
        <v>522.909385900806</v>
      </c>
      <c r="D2689" s="5">
        <v>647.023328070016</v>
      </c>
      <c r="E2689" s="5">
        <v>598.602509144628</v>
      </c>
      <c r="F2689" s="5">
        <v>598.602509144628</v>
      </c>
      <c r="G2689" s="5">
        <v>-14.0926570224765</v>
      </c>
      <c r="H2689" s="5">
        <v>-14.0926570224765</v>
      </c>
      <c r="I2689" s="5">
        <v>-14.0926570224765</v>
      </c>
      <c r="J2689" s="5">
        <v>0.00703780528237187</v>
      </c>
      <c r="K2689" s="5">
        <v>0.00703780528237187</v>
      </c>
      <c r="L2689" s="5">
        <v>0.00703780528237187</v>
      </c>
      <c r="M2689" s="5">
        <v>-14.0996948277589</v>
      </c>
      <c r="N2689" s="5">
        <v>-14.0996948277589</v>
      </c>
      <c r="O2689" s="5">
        <v>-14.0996948277589</v>
      </c>
      <c r="P2689" s="5">
        <v>0.0</v>
      </c>
      <c r="Q2689" s="5">
        <v>0.0</v>
      </c>
      <c r="R2689" s="5">
        <v>0.0</v>
      </c>
      <c r="S2689" s="5">
        <v>584.509852122152</v>
      </c>
    </row>
    <row r="2690">
      <c r="A2690" s="6">
        <v>44259.0</v>
      </c>
      <c r="B2690" s="5">
        <v>599.773355344142</v>
      </c>
      <c r="C2690" s="5">
        <v>523.074963952792</v>
      </c>
      <c r="D2690" s="5">
        <v>649.187448287245</v>
      </c>
      <c r="E2690" s="5">
        <v>599.773355344142</v>
      </c>
      <c r="F2690" s="5">
        <v>599.773355344142</v>
      </c>
      <c r="G2690" s="5">
        <v>-16.075669657256</v>
      </c>
      <c r="H2690" s="5">
        <v>-16.075669657256</v>
      </c>
      <c r="I2690" s="5">
        <v>-16.075669657256</v>
      </c>
      <c r="J2690" s="5">
        <v>-0.776422525902796</v>
      </c>
      <c r="K2690" s="5">
        <v>-0.776422525902796</v>
      </c>
      <c r="L2690" s="5">
        <v>-0.776422525902796</v>
      </c>
      <c r="M2690" s="5">
        <v>-15.2992471313532</v>
      </c>
      <c r="N2690" s="5">
        <v>-15.2992471313532</v>
      </c>
      <c r="O2690" s="5">
        <v>-15.2992471313532</v>
      </c>
      <c r="P2690" s="5">
        <v>0.0</v>
      </c>
      <c r="Q2690" s="5">
        <v>0.0</v>
      </c>
      <c r="R2690" s="5">
        <v>0.0</v>
      </c>
      <c r="S2690" s="5">
        <v>583.697685686886</v>
      </c>
    </row>
    <row r="2691">
      <c r="A2691" s="6">
        <v>44260.0</v>
      </c>
      <c r="B2691" s="5">
        <v>600.944201543655</v>
      </c>
      <c r="C2691" s="5">
        <v>521.316372079325</v>
      </c>
      <c r="D2691" s="5">
        <v>651.757971092559</v>
      </c>
      <c r="E2691" s="5">
        <v>600.944201543655</v>
      </c>
      <c r="F2691" s="5">
        <v>600.944201543655</v>
      </c>
      <c r="G2691" s="5">
        <v>-17.9579395641056</v>
      </c>
      <c r="H2691" s="5">
        <v>-17.9579395641056</v>
      </c>
      <c r="I2691" s="5">
        <v>-17.9579395641056</v>
      </c>
      <c r="J2691" s="5">
        <v>-1.59155056649495</v>
      </c>
      <c r="K2691" s="5">
        <v>-1.59155056649495</v>
      </c>
      <c r="L2691" s="5">
        <v>-1.59155056649495</v>
      </c>
      <c r="M2691" s="5">
        <v>-16.3663889976107</v>
      </c>
      <c r="N2691" s="5">
        <v>-16.3663889976107</v>
      </c>
      <c r="O2691" s="5">
        <v>-16.3663889976107</v>
      </c>
      <c r="P2691" s="5">
        <v>0.0</v>
      </c>
      <c r="Q2691" s="5">
        <v>0.0</v>
      </c>
      <c r="R2691" s="5">
        <v>0.0</v>
      </c>
      <c r="S2691" s="5">
        <v>582.986261979549</v>
      </c>
    </row>
    <row r="2692">
      <c r="A2692" s="6">
        <v>44263.0</v>
      </c>
      <c r="B2692" s="5">
        <v>604.456740142195</v>
      </c>
      <c r="C2692" s="5">
        <v>522.269657345011</v>
      </c>
      <c r="D2692" s="5">
        <v>653.047746665625</v>
      </c>
      <c r="E2692" s="5">
        <v>604.456740142195</v>
      </c>
      <c r="F2692" s="5">
        <v>604.456740142195</v>
      </c>
      <c r="G2692" s="5">
        <v>-18.5916953092007</v>
      </c>
      <c r="H2692" s="5">
        <v>-18.5916953092007</v>
      </c>
      <c r="I2692" s="5">
        <v>-18.5916953092007</v>
      </c>
      <c r="J2692" s="5">
        <v>0.0905589421216496</v>
      </c>
      <c r="K2692" s="5">
        <v>0.0905589421216496</v>
      </c>
      <c r="L2692" s="5">
        <v>0.0905589421216496</v>
      </c>
      <c r="M2692" s="5">
        <v>-18.6822542513223</v>
      </c>
      <c r="N2692" s="5">
        <v>-18.6822542513223</v>
      </c>
      <c r="O2692" s="5">
        <v>-18.6822542513223</v>
      </c>
      <c r="P2692" s="5">
        <v>0.0</v>
      </c>
      <c r="Q2692" s="5">
        <v>0.0</v>
      </c>
      <c r="R2692" s="5">
        <v>0.0</v>
      </c>
      <c r="S2692" s="5">
        <v>585.865044832994</v>
      </c>
    </row>
    <row r="2693">
      <c r="A2693" s="6">
        <v>44264.0</v>
      </c>
      <c r="B2693" s="5">
        <v>605.627586341708</v>
      </c>
      <c r="C2693" s="5">
        <v>520.768630412966</v>
      </c>
      <c r="D2693" s="5">
        <v>647.583487847713</v>
      </c>
      <c r="E2693" s="5">
        <v>605.627586341708</v>
      </c>
      <c r="F2693" s="5">
        <v>605.627586341708</v>
      </c>
      <c r="G2693" s="5">
        <v>-19.286524568715</v>
      </c>
      <c r="H2693" s="5">
        <v>-19.286524568715</v>
      </c>
      <c r="I2693" s="5">
        <v>-19.286524568715</v>
      </c>
      <c r="J2693" s="5">
        <v>-0.14411885724612</v>
      </c>
      <c r="K2693" s="5">
        <v>-0.14411885724612</v>
      </c>
      <c r="L2693" s="5">
        <v>-0.14411885724612</v>
      </c>
      <c r="M2693" s="5">
        <v>-19.1424057114689</v>
      </c>
      <c r="N2693" s="5">
        <v>-19.1424057114689</v>
      </c>
      <c r="O2693" s="5">
        <v>-19.1424057114689</v>
      </c>
      <c r="P2693" s="5">
        <v>0.0</v>
      </c>
      <c r="Q2693" s="5">
        <v>0.0</v>
      </c>
      <c r="R2693" s="5">
        <v>0.0</v>
      </c>
      <c r="S2693" s="5">
        <v>586.341061772993</v>
      </c>
    </row>
    <row r="2694">
      <c r="A2694" s="6">
        <v>44265.0</v>
      </c>
      <c r="B2694" s="5">
        <v>606.798432541221</v>
      </c>
      <c r="C2694" s="5">
        <v>521.727568892918</v>
      </c>
      <c r="D2694" s="5">
        <v>647.706083306097</v>
      </c>
      <c r="E2694" s="5">
        <v>606.798432541221</v>
      </c>
      <c r="F2694" s="5">
        <v>606.798432541221</v>
      </c>
      <c r="G2694" s="5">
        <v>-19.4383317043366</v>
      </c>
      <c r="H2694" s="5">
        <v>-19.4383317043366</v>
      </c>
      <c r="I2694" s="5">
        <v>-19.4383317043366</v>
      </c>
      <c r="J2694" s="5">
        <v>0.00703780528151931</v>
      </c>
      <c r="K2694" s="5">
        <v>0.00703780528151931</v>
      </c>
      <c r="L2694" s="5">
        <v>0.00703780528151931</v>
      </c>
      <c r="M2694" s="5">
        <v>-19.4453695096181</v>
      </c>
      <c r="N2694" s="5">
        <v>-19.4453695096181</v>
      </c>
      <c r="O2694" s="5">
        <v>-19.4453695096181</v>
      </c>
      <c r="P2694" s="5">
        <v>0.0</v>
      </c>
      <c r="Q2694" s="5">
        <v>0.0</v>
      </c>
      <c r="R2694" s="5">
        <v>0.0</v>
      </c>
      <c r="S2694" s="5">
        <v>587.360100836884</v>
      </c>
    </row>
    <row r="2695">
      <c r="A2695" s="6">
        <v>44266.0</v>
      </c>
      <c r="B2695" s="5">
        <v>607.969278740734</v>
      </c>
      <c r="C2695" s="5">
        <v>516.676346364114</v>
      </c>
      <c r="D2695" s="5">
        <v>646.776390756612</v>
      </c>
      <c r="E2695" s="5">
        <v>607.969278740734</v>
      </c>
      <c r="F2695" s="5">
        <v>607.969278740734</v>
      </c>
      <c r="G2695" s="5">
        <v>-20.3708995374188</v>
      </c>
      <c r="H2695" s="5">
        <v>-20.3708995374188</v>
      </c>
      <c r="I2695" s="5">
        <v>-20.3708995374188</v>
      </c>
      <c r="J2695" s="5">
        <v>-0.776422525902143</v>
      </c>
      <c r="K2695" s="5">
        <v>-0.776422525902143</v>
      </c>
      <c r="L2695" s="5">
        <v>-0.776422525902143</v>
      </c>
      <c r="M2695" s="5">
        <v>-19.5944770115167</v>
      </c>
      <c r="N2695" s="5">
        <v>-19.5944770115167</v>
      </c>
      <c r="O2695" s="5">
        <v>-19.5944770115167</v>
      </c>
      <c r="P2695" s="5">
        <v>0.0</v>
      </c>
      <c r="Q2695" s="5">
        <v>0.0</v>
      </c>
      <c r="R2695" s="5">
        <v>0.0</v>
      </c>
      <c r="S2695" s="5">
        <v>587.598379203316</v>
      </c>
    </row>
    <row r="2696">
      <c r="A2696" s="6">
        <v>44267.0</v>
      </c>
      <c r="B2696" s="5">
        <v>609.140124940247</v>
      </c>
      <c r="C2696" s="5">
        <v>526.235739066049</v>
      </c>
      <c r="D2696" s="5">
        <v>654.320706482583</v>
      </c>
      <c r="E2696" s="5">
        <v>609.140124940247</v>
      </c>
      <c r="F2696" s="5">
        <v>609.140124940247</v>
      </c>
      <c r="G2696" s="5">
        <v>-21.1871454950195</v>
      </c>
      <c r="H2696" s="5">
        <v>-21.1871454950195</v>
      </c>
      <c r="I2696" s="5">
        <v>-21.1871454950195</v>
      </c>
      <c r="J2696" s="5">
        <v>-1.59155056649402</v>
      </c>
      <c r="K2696" s="5">
        <v>-1.59155056649402</v>
      </c>
      <c r="L2696" s="5">
        <v>-1.59155056649402</v>
      </c>
      <c r="M2696" s="5">
        <v>-19.5955949285255</v>
      </c>
      <c r="N2696" s="5">
        <v>-19.5955949285255</v>
      </c>
      <c r="O2696" s="5">
        <v>-19.5955949285255</v>
      </c>
      <c r="P2696" s="5">
        <v>0.0</v>
      </c>
      <c r="Q2696" s="5">
        <v>0.0</v>
      </c>
      <c r="R2696" s="5">
        <v>0.0</v>
      </c>
      <c r="S2696" s="5">
        <v>587.952979445228</v>
      </c>
    </row>
    <row r="2697">
      <c r="A2697" s="6">
        <v>44270.0</v>
      </c>
      <c r="B2697" s="5">
        <v>612.652663538787</v>
      </c>
      <c r="C2697" s="5">
        <v>532.274464131942</v>
      </c>
      <c r="D2697" s="5">
        <v>659.658793106853</v>
      </c>
      <c r="E2697" s="5">
        <v>612.652663538787</v>
      </c>
      <c r="F2697" s="5">
        <v>612.652663538787</v>
      </c>
      <c r="G2697" s="5">
        <v>-18.7120927713701</v>
      </c>
      <c r="H2697" s="5">
        <v>-18.7120927713701</v>
      </c>
      <c r="I2697" s="5">
        <v>-18.7120927713701</v>
      </c>
      <c r="J2697" s="5">
        <v>0.0905589421225961</v>
      </c>
      <c r="K2697" s="5">
        <v>0.0905589421225961</v>
      </c>
      <c r="L2697" s="5">
        <v>0.0905589421225961</v>
      </c>
      <c r="M2697" s="5">
        <v>-18.8026517134927</v>
      </c>
      <c r="N2697" s="5">
        <v>-18.8026517134927</v>
      </c>
      <c r="O2697" s="5">
        <v>-18.8026517134927</v>
      </c>
      <c r="P2697" s="5">
        <v>0.0</v>
      </c>
      <c r="Q2697" s="5">
        <v>0.0</v>
      </c>
      <c r="R2697" s="5">
        <v>0.0</v>
      </c>
      <c r="S2697" s="5">
        <v>593.940570767417</v>
      </c>
    </row>
    <row r="2698">
      <c r="A2698" s="6">
        <v>44271.0</v>
      </c>
      <c r="B2698" s="5">
        <v>613.8235097383</v>
      </c>
      <c r="C2698" s="5">
        <v>531.276655131831</v>
      </c>
      <c r="D2698" s="5">
        <v>663.098684395396</v>
      </c>
      <c r="E2698" s="5">
        <v>613.8235097383</v>
      </c>
      <c r="F2698" s="5">
        <v>613.8235097383</v>
      </c>
      <c r="G2698" s="5">
        <v>-18.4564430177444</v>
      </c>
      <c r="H2698" s="5">
        <v>-18.4564430177444</v>
      </c>
      <c r="I2698" s="5">
        <v>-18.4564430177444</v>
      </c>
      <c r="J2698" s="5">
        <v>-0.144118857245032</v>
      </c>
      <c r="K2698" s="5">
        <v>-0.144118857245032</v>
      </c>
      <c r="L2698" s="5">
        <v>-0.144118857245032</v>
      </c>
      <c r="M2698" s="5">
        <v>-18.3123241604993</v>
      </c>
      <c r="N2698" s="5">
        <v>-18.3123241604993</v>
      </c>
      <c r="O2698" s="5">
        <v>-18.3123241604993</v>
      </c>
      <c r="P2698" s="5">
        <v>0.0</v>
      </c>
      <c r="Q2698" s="5">
        <v>0.0</v>
      </c>
      <c r="R2698" s="5">
        <v>0.0</v>
      </c>
      <c r="S2698" s="5">
        <v>595.367066720556</v>
      </c>
    </row>
    <row r="2699">
      <c r="A2699" s="6">
        <v>44272.0</v>
      </c>
      <c r="B2699" s="5">
        <v>614.994355937814</v>
      </c>
      <c r="C2699" s="5">
        <v>529.903044753884</v>
      </c>
      <c r="D2699" s="5">
        <v>667.039769600432</v>
      </c>
      <c r="E2699" s="5">
        <v>614.994355937814</v>
      </c>
      <c r="F2699" s="5">
        <v>614.994355937814</v>
      </c>
      <c r="G2699" s="5">
        <v>-17.7248798792678</v>
      </c>
      <c r="H2699" s="5">
        <v>-17.7248798792678</v>
      </c>
      <c r="I2699" s="5">
        <v>-17.7248798792678</v>
      </c>
      <c r="J2699" s="5">
        <v>0.00703780528481312</v>
      </c>
      <c r="K2699" s="5">
        <v>0.00703780528481312</v>
      </c>
      <c r="L2699" s="5">
        <v>0.00703780528481312</v>
      </c>
      <c r="M2699" s="5">
        <v>-17.7319176845526</v>
      </c>
      <c r="N2699" s="5">
        <v>-17.7319176845526</v>
      </c>
      <c r="O2699" s="5">
        <v>-17.7319176845526</v>
      </c>
      <c r="P2699" s="5">
        <v>0.0</v>
      </c>
      <c r="Q2699" s="5">
        <v>0.0</v>
      </c>
      <c r="R2699" s="5">
        <v>0.0</v>
      </c>
      <c r="S2699" s="5">
        <v>597.269476058546</v>
      </c>
    </row>
    <row r="2700">
      <c r="A2700" s="6">
        <v>44273.0</v>
      </c>
      <c r="B2700" s="5">
        <v>616.165202137327</v>
      </c>
      <c r="C2700" s="5">
        <v>534.32318514156</v>
      </c>
      <c r="D2700" s="5">
        <v>662.588230046429</v>
      </c>
      <c r="E2700" s="5">
        <v>616.165202137327</v>
      </c>
      <c r="F2700" s="5">
        <v>616.165202137327</v>
      </c>
      <c r="G2700" s="5">
        <v>-17.8527543405818</v>
      </c>
      <c r="H2700" s="5">
        <v>-17.8527543405818</v>
      </c>
      <c r="I2700" s="5">
        <v>-17.8527543405818</v>
      </c>
      <c r="J2700" s="5">
        <v>-0.77642252590424</v>
      </c>
      <c r="K2700" s="5">
        <v>-0.77642252590424</v>
      </c>
      <c r="L2700" s="5">
        <v>-0.77642252590424</v>
      </c>
      <c r="M2700" s="5">
        <v>-17.0763318146776</v>
      </c>
      <c r="N2700" s="5">
        <v>-17.0763318146776</v>
      </c>
      <c r="O2700" s="5">
        <v>-17.0763318146776</v>
      </c>
      <c r="P2700" s="5">
        <v>0.0</v>
      </c>
      <c r="Q2700" s="5">
        <v>0.0</v>
      </c>
      <c r="R2700" s="5">
        <v>0.0</v>
      </c>
      <c r="S2700" s="5">
        <v>598.312447796745</v>
      </c>
    </row>
    <row r="2701">
      <c r="A2701" s="6">
        <v>44274.0</v>
      </c>
      <c r="B2701" s="5">
        <v>617.33604833684</v>
      </c>
      <c r="C2701" s="5">
        <v>539.109491083806</v>
      </c>
      <c r="D2701" s="5">
        <v>662.287904448913</v>
      </c>
      <c r="E2701" s="5">
        <v>617.33604833684</v>
      </c>
      <c r="F2701" s="5">
        <v>617.33604833684</v>
      </c>
      <c r="G2701" s="5">
        <v>-17.9522418689191</v>
      </c>
      <c r="H2701" s="5">
        <v>-17.9522418689191</v>
      </c>
      <c r="I2701" s="5">
        <v>-17.9522418689191</v>
      </c>
      <c r="J2701" s="5">
        <v>-1.5915505664931</v>
      </c>
      <c r="K2701" s="5">
        <v>-1.5915505664931</v>
      </c>
      <c r="L2701" s="5">
        <v>-1.5915505664931</v>
      </c>
      <c r="M2701" s="5">
        <v>-16.360691302426</v>
      </c>
      <c r="N2701" s="5">
        <v>-16.360691302426</v>
      </c>
      <c r="O2701" s="5">
        <v>-16.360691302426</v>
      </c>
      <c r="P2701" s="5">
        <v>0.0</v>
      </c>
      <c r="Q2701" s="5">
        <v>0.0</v>
      </c>
      <c r="R2701" s="5">
        <v>0.0</v>
      </c>
      <c r="S2701" s="5">
        <v>599.383806467921</v>
      </c>
    </row>
    <row r="2702">
      <c r="A2702" s="6">
        <v>44277.0</v>
      </c>
      <c r="B2702" s="5">
        <v>620.84858693538</v>
      </c>
      <c r="C2702" s="5">
        <v>544.025400643209</v>
      </c>
      <c r="D2702" s="5">
        <v>673.174398433737</v>
      </c>
      <c r="E2702" s="5">
        <v>620.84858693538</v>
      </c>
      <c r="F2702" s="5">
        <v>620.84858693538</v>
      </c>
      <c r="G2702" s="5">
        <v>-13.909842863123</v>
      </c>
      <c r="H2702" s="5">
        <v>-13.909842863123</v>
      </c>
      <c r="I2702" s="5">
        <v>-13.909842863123</v>
      </c>
      <c r="J2702" s="5">
        <v>0.0905589421237026</v>
      </c>
      <c r="K2702" s="5">
        <v>0.0905589421237026</v>
      </c>
      <c r="L2702" s="5">
        <v>0.0905589421237026</v>
      </c>
      <c r="M2702" s="5">
        <v>-14.0004018052467</v>
      </c>
      <c r="N2702" s="5">
        <v>-14.0004018052467</v>
      </c>
      <c r="O2702" s="5">
        <v>-14.0004018052467</v>
      </c>
      <c r="P2702" s="5">
        <v>0.0</v>
      </c>
      <c r="Q2702" s="5">
        <v>0.0</v>
      </c>
      <c r="R2702" s="5">
        <v>0.0</v>
      </c>
      <c r="S2702" s="5">
        <v>606.938744072257</v>
      </c>
    </row>
    <row r="2703">
      <c r="A2703" s="6">
        <v>44278.0</v>
      </c>
      <c r="B2703" s="5">
        <v>622.019433134893</v>
      </c>
      <c r="C2703" s="5">
        <v>549.258108391576</v>
      </c>
      <c r="D2703" s="5">
        <v>669.623979563214</v>
      </c>
      <c r="E2703" s="5">
        <v>622.019433134893</v>
      </c>
      <c r="F2703" s="5">
        <v>622.019433134893</v>
      </c>
      <c r="G2703" s="5">
        <v>-13.331887386854</v>
      </c>
      <c r="H2703" s="5">
        <v>-13.331887386854</v>
      </c>
      <c r="I2703" s="5">
        <v>-13.331887386854</v>
      </c>
      <c r="J2703" s="5">
        <v>-0.144118857243944</v>
      </c>
      <c r="K2703" s="5">
        <v>-0.144118857243944</v>
      </c>
      <c r="L2703" s="5">
        <v>-0.144118857243944</v>
      </c>
      <c r="M2703" s="5">
        <v>-13.1877685296101</v>
      </c>
      <c r="N2703" s="5">
        <v>-13.1877685296101</v>
      </c>
      <c r="O2703" s="5">
        <v>-13.1877685296101</v>
      </c>
      <c r="P2703" s="5">
        <v>0.0</v>
      </c>
      <c r="Q2703" s="5">
        <v>0.0</v>
      </c>
      <c r="R2703" s="5">
        <v>0.0</v>
      </c>
      <c r="S2703" s="5">
        <v>608.687545748039</v>
      </c>
    </row>
    <row r="2704">
      <c r="A2704" s="6">
        <v>44279.0</v>
      </c>
      <c r="B2704" s="5">
        <v>623.190279334406</v>
      </c>
      <c r="C2704" s="5">
        <v>546.344556090843</v>
      </c>
      <c r="D2704" s="5">
        <v>673.664109650434</v>
      </c>
      <c r="E2704" s="5">
        <v>623.190279334406</v>
      </c>
      <c r="F2704" s="5">
        <v>623.190279334406</v>
      </c>
      <c r="G2704" s="5">
        <v>-12.3749460823892</v>
      </c>
      <c r="H2704" s="5">
        <v>-12.3749460823892</v>
      </c>
      <c r="I2704" s="5">
        <v>-12.3749460823892</v>
      </c>
      <c r="J2704" s="5">
        <v>0.00703780528179694</v>
      </c>
      <c r="K2704" s="5">
        <v>0.00703780528179694</v>
      </c>
      <c r="L2704" s="5">
        <v>0.00703780528179694</v>
      </c>
      <c r="M2704" s="5">
        <v>-12.381983887671</v>
      </c>
      <c r="N2704" s="5">
        <v>-12.381983887671</v>
      </c>
      <c r="O2704" s="5">
        <v>-12.381983887671</v>
      </c>
      <c r="P2704" s="5">
        <v>0.0</v>
      </c>
      <c r="Q2704" s="5">
        <v>0.0</v>
      </c>
      <c r="R2704" s="5">
        <v>0.0</v>
      </c>
      <c r="S2704" s="5">
        <v>610.815333252017</v>
      </c>
    </row>
    <row r="2705">
      <c r="A2705" s="6">
        <v>44280.0</v>
      </c>
      <c r="B2705" s="5">
        <v>624.36112553392</v>
      </c>
      <c r="C2705" s="5">
        <v>546.872312367117</v>
      </c>
      <c r="D2705" s="5">
        <v>671.55134987456</v>
      </c>
      <c r="E2705" s="5">
        <v>624.36112553392</v>
      </c>
      <c r="F2705" s="5">
        <v>624.36112553392</v>
      </c>
      <c r="G2705" s="5">
        <v>-12.3691809339531</v>
      </c>
      <c r="H2705" s="5">
        <v>-12.3691809339531</v>
      </c>
      <c r="I2705" s="5">
        <v>-12.3691809339531</v>
      </c>
      <c r="J2705" s="5">
        <v>-0.776422525906337</v>
      </c>
      <c r="K2705" s="5">
        <v>-0.776422525906337</v>
      </c>
      <c r="L2705" s="5">
        <v>-0.776422525906337</v>
      </c>
      <c r="M2705" s="5">
        <v>-11.5927584080467</v>
      </c>
      <c r="N2705" s="5">
        <v>-11.5927584080467</v>
      </c>
      <c r="O2705" s="5">
        <v>-11.5927584080467</v>
      </c>
      <c r="P2705" s="5">
        <v>0.0</v>
      </c>
      <c r="Q2705" s="5">
        <v>0.0</v>
      </c>
      <c r="R2705" s="5">
        <v>0.0</v>
      </c>
      <c r="S2705" s="5">
        <v>611.991944599966</v>
      </c>
    </row>
    <row r="2706">
      <c r="A2706" s="6">
        <v>44281.0</v>
      </c>
      <c r="B2706" s="5">
        <v>625.531971733433</v>
      </c>
      <c r="C2706" s="5">
        <v>551.896519069705</v>
      </c>
      <c r="D2706" s="5">
        <v>678.740209955158</v>
      </c>
      <c r="E2706" s="5">
        <v>625.531971733433</v>
      </c>
      <c r="F2706" s="5">
        <v>625.531971733433</v>
      </c>
      <c r="G2706" s="5">
        <v>-12.419710143938</v>
      </c>
      <c r="H2706" s="5">
        <v>-12.419710143938</v>
      </c>
      <c r="I2706" s="5">
        <v>-12.419710143938</v>
      </c>
      <c r="J2706" s="5">
        <v>-1.59155056649186</v>
      </c>
      <c r="K2706" s="5">
        <v>-1.59155056649186</v>
      </c>
      <c r="L2706" s="5">
        <v>-1.59155056649186</v>
      </c>
      <c r="M2706" s="5">
        <v>-10.8281595774461</v>
      </c>
      <c r="N2706" s="5">
        <v>-10.8281595774461</v>
      </c>
      <c r="O2706" s="5">
        <v>-10.8281595774461</v>
      </c>
      <c r="P2706" s="5">
        <v>0.0</v>
      </c>
      <c r="Q2706" s="5">
        <v>0.0</v>
      </c>
      <c r="R2706" s="5">
        <v>0.0</v>
      </c>
      <c r="S2706" s="5">
        <v>613.112261589495</v>
      </c>
    </row>
    <row r="2707">
      <c r="A2707" s="6">
        <v>44284.0</v>
      </c>
      <c r="B2707" s="5">
        <v>629.044510331973</v>
      </c>
      <c r="C2707" s="5">
        <v>556.932075175887</v>
      </c>
      <c r="D2707" s="5">
        <v>681.15912176743</v>
      </c>
      <c r="E2707" s="5">
        <v>629.044510331973</v>
      </c>
      <c r="F2707" s="5">
        <v>629.044510331973</v>
      </c>
      <c r="G2707" s="5">
        <v>-8.64654429791289</v>
      </c>
      <c r="H2707" s="5">
        <v>-8.64654429791289</v>
      </c>
      <c r="I2707" s="5">
        <v>-8.64654429791289</v>
      </c>
      <c r="J2707" s="5">
        <v>0.0905589421246489</v>
      </c>
      <c r="K2707" s="5">
        <v>0.0905589421246489</v>
      </c>
      <c r="L2707" s="5">
        <v>0.0905589421246489</v>
      </c>
      <c r="M2707" s="5">
        <v>-8.73710324003753</v>
      </c>
      <c r="N2707" s="5">
        <v>-8.73710324003753</v>
      </c>
      <c r="O2707" s="5">
        <v>-8.73710324003753</v>
      </c>
      <c r="P2707" s="5">
        <v>0.0</v>
      </c>
      <c r="Q2707" s="5">
        <v>0.0</v>
      </c>
      <c r="R2707" s="5">
        <v>0.0</v>
      </c>
      <c r="S2707" s="5">
        <v>620.39796603406</v>
      </c>
    </row>
    <row r="2708">
      <c r="A2708" s="6">
        <v>44285.0</v>
      </c>
      <c r="B2708" s="5">
        <v>630.215356531486</v>
      </c>
      <c r="C2708" s="5">
        <v>556.386255425506</v>
      </c>
      <c r="D2708" s="5">
        <v>689.542886432601</v>
      </c>
      <c r="E2708" s="5">
        <v>630.215356531486</v>
      </c>
      <c r="F2708" s="5">
        <v>630.215356531486</v>
      </c>
      <c r="G2708" s="5">
        <v>-8.26172541542938</v>
      </c>
      <c r="H2708" s="5">
        <v>-8.26172541542938</v>
      </c>
      <c r="I2708" s="5">
        <v>-8.26172541542938</v>
      </c>
      <c r="J2708" s="5">
        <v>-0.144118857242856</v>
      </c>
      <c r="K2708" s="5">
        <v>-0.144118857242856</v>
      </c>
      <c r="L2708" s="5">
        <v>-0.144118857242856</v>
      </c>
      <c r="M2708" s="5">
        <v>-8.11760655818652</v>
      </c>
      <c r="N2708" s="5">
        <v>-8.11760655818652</v>
      </c>
      <c r="O2708" s="5">
        <v>-8.11760655818652</v>
      </c>
      <c r="P2708" s="5">
        <v>0.0</v>
      </c>
      <c r="Q2708" s="5">
        <v>0.0</v>
      </c>
      <c r="R2708" s="5">
        <v>0.0</v>
      </c>
      <c r="S2708" s="5">
        <v>621.953631116056</v>
      </c>
    </row>
    <row r="2709">
      <c r="A2709" s="6">
        <v>44286.0</v>
      </c>
      <c r="B2709" s="5">
        <v>631.386202730999</v>
      </c>
      <c r="C2709" s="5">
        <v>557.809147240078</v>
      </c>
      <c r="D2709" s="5">
        <v>688.89999321337</v>
      </c>
      <c r="E2709" s="5">
        <v>631.386202730999</v>
      </c>
      <c r="F2709" s="5">
        <v>631.386202730999</v>
      </c>
      <c r="G2709" s="5">
        <v>-7.53094973616171</v>
      </c>
      <c r="H2709" s="5">
        <v>-7.53094973616171</v>
      </c>
      <c r="I2709" s="5">
        <v>-7.53094973616171</v>
      </c>
      <c r="J2709" s="5">
        <v>0.00703780528310791</v>
      </c>
      <c r="K2709" s="5">
        <v>0.00703780528310791</v>
      </c>
      <c r="L2709" s="5">
        <v>0.00703780528310791</v>
      </c>
      <c r="M2709" s="5">
        <v>-7.53798754144482</v>
      </c>
      <c r="N2709" s="5">
        <v>-7.53798754144482</v>
      </c>
      <c r="O2709" s="5">
        <v>-7.53798754144482</v>
      </c>
      <c r="P2709" s="5">
        <v>0.0</v>
      </c>
      <c r="Q2709" s="5">
        <v>0.0</v>
      </c>
      <c r="R2709" s="5">
        <v>0.0</v>
      </c>
      <c r="S2709" s="5">
        <v>623.855252994837</v>
      </c>
    </row>
    <row r="2710">
      <c r="A2710" s="6">
        <v>44287.0</v>
      </c>
      <c r="B2710" s="5">
        <v>632.557048930512</v>
      </c>
      <c r="C2710" s="5">
        <v>559.679087068222</v>
      </c>
      <c r="D2710" s="5">
        <v>682.519016868641</v>
      </c>
      <c r="E2710" s="5">
        <v>632.557048930512</v>
      </c>
      <c r="F2710" s="5">
        <v>632.557048930512</v>
      </c>
      <c r="G2710" s="5">
        <v>-7.77336017040151</v>
      </c>
      <c r="H2710" s="5">
        <v>-7.77336017040151</v>
      </c>
      <c r="I2710" s="5">
        <v>-7.77336017040151</v>
      </c>
      <c r="J2710" s="5">
        <v>-0.776422525907059</v>
      </c>
      <c r="K2710" s="5">
        <v>-0.776422525907059</v>
      </c>
      <c r="L2710" s="5">
        <v>-0.776422525907059</v>
      </c>
      <c r="M2710" s="5">
        <v>-6.99693764449445</v>
      </c>
      <c r="N2710" s="5">
        <v>-6.99693764449445</v>
      </c>
      <c r="O2710" s="5">
        <v>-6.99693764449445</v>
      </c>
      <c r="P2710" s="5">
        <v>0.0</v>
      </c>
      <c r="Q2710" s="5">
        <v>0.0</v>
      </c>
      <c r="R2710" s="5">
        <v>0.0</v>
      </c>
      <c r="S2710" s="5">
        <v>624.783688760111</v>
      </c>
    </row>
    <row r="2711">
      <c r="A2711" s="6">
        <v>44291.0</v>
      </c>
      <c r="B2711" s="5">
        <v>637.240433728565</v>
      </c>
      <c r="C2711" s="5">
        <v>570.142234467141</v>
      </c>
      <c r="D2711" s="5">
        <v>694.013314054546</v>
      </c>
      <c r="E2711" s="5">
        <v>637.240433728565</v>
      </c>
      <c r="F2711" s="5">
        <v>637.240433728565</v>
      </c>
      <c r="G2711" s="5">
        <v>-5.07116611603626</v>
      </c>
      <c r="H2711" s="5">
        <v>-5.07116611603626</v>
      </c>
      <c r="I2711" s="5">
        <v>-5.07116611603626</v>
      </c>
      <c r="J2711" s="5">
        <v>0.0905589421208278</v>
      </c>
      <c r="K2711" s="5">
        <v>0.0905589421208278</v>
      </c>
      <c r="L2711" s="5">
        <v>0.0905589421208278</v>
      </c>
      <c r="M2711" s="5">
        <v>-5.16172505815709</v>
      </c>
      <c r="N2711" s="5">
        <v>-5.16172505815709</v>
      </c>
      <c r="O2711" s="5">
        <v>-5.16172505815709</v>
      </c>
      <c r="P2711" s="5">
        <v>0.0</v>
      </c>
      <c r="Q2711" s="5">
        <v>0.0</v>
      </c>
      <c r="R2711" s="5">
        <v>0.0</v>
      </c>
      <c r="S2711" s="5">
        <v>632.169267612529</v>
      </c>
    </row>
    <row r="2712">
      <c r="A2712" s="6">
        <v>44292.0</v>
      </c>
      <c r="B2712" s="5">
        <v>638.411279928078</v>
      </c>
      <c r="C2712" s="5">
        <v>569.831864546991</v>
      </c>
      <c r="D2712" s="5">
        <v>691.097716292573</v>
      </c>
      <c r="E2712" s="5">
        <v>638.411279928078</v>
      </c>
      <c r="F2712" s="5">
        <v>638.411279928078</v>
      </c>
      <c r="G2712" s="5">
        <v>-4.9111314181189</v>
      </c>
      <c r="H2712" s="5">
        <v>-4.9111314181189</v>
      </c>
      <c r="I2712" s="5">
        <v>-4.9111314181189</v>
      </c>
      <c r="J2712" s="5">
        <v>-0.144118857244291</v>
      </c>
      <c r="K2712" s="5">
        <v>-0.144118857244291</v>
      </c>
      <c r="L2712" s="5">
        <v>-0.144118857244291</v>
      </c>
      <c r="M2712" s="5">
        <v>-4.7670125608746</v>
      </c>
      <c r="N2712" s="5">
        <v>-4.7670125608746</v>
      </c>
      <c r="O2712" s="5">
        <v>-4.7670125608746</v>
      </c>
      <c r="P2712" s="5">
        <v>0.0</v>
      </c>
      <c r="Q2712" s="5">
        <v>0.0</v>
      </c>
      <c r="R2712" s="5">
        <v>0.0</v>
      </c>
      <c r="S2712" s="5">
        <v>633.50014850996</v>
      </c>
    </row>
    <row r="2713">
      <c r="A2713" s="6">
        <v>44293.0</v>
      </c>
      <c r="B2713" s="5">
        <v>639.582126127592</v>
      </c>
      <c r="C2713" s="5">
        <v>573.193362949163</v>
      </c>
      <c r="D2713" s="5">
        <v>705.529240863186</v>
      </c>
      <c r="E2713" s="5">
        <v>639.582126127592</v>
      </c>
      <c r="F2713" s="5">
        <v>639.582126127592</v>
      </c>
      <c r="G2713" s="5">
        <v>-4.38354415531484</v>
      </c>
      <c r="H2713" s="5">
        <v>-4.38354415531484</v>
      </c>
      <c r="I2713" s="5">
        <v>-4.38354415531484</v>
      </c>
      <c r="J2713" s="5">
        <v>0.00703780528225536</v>
      </c>
      <c r="K2713" s="5">
        <v>0.00703780528225536</v>
      </c>
      <c r="L2713" s="5">
        <v>0.00703780528225536</v>
      </c>
      <c r="M2713" s="5">
        <v>-4.3905819605971</v>
      </c>
      <c r="N2713" s="5">
        <v>-4.3905819605971</v>
      </c>
      <c r="O2713" s="5">
        <v>-4.3905819605971</v>
      </c>
      <c r="P2713" s="5">
        <v>0.0</v>
      </c>
      <c r="Q2713" s="5">
        <v>0.0</v>
      </c>
      <c r="R2713" s="5">
        <v>0.0</v>
      </c>
      <c r="S2713" s="5">
        <v>635.198581972277</v>
      </c>
    </row>
    <row r="2714">
      <c r="A2714" s="6">
        <v>44294.0</v>
      </c>
      <c r="B2714" s="5">
        <v>640.752972327105</v>
      </c>
      <c r="C2714" s="5">
        <v>575.283972730595</v>
      </c>
      <c r="D2714" s="5">
        <v>698.976774206154</v>
      </c>
      <c r="E2714" s="5">
        <v>640.752972327105</v>
      </c>
      <c r="F2714" s="5">
        <v>640.752972327105</v>
      </c>
      <c r="G2714" s="5">
        <v>-4.80584590195595</v>
      </c>
      <c r="H2714" s="5">
        <v>-4.80584590195595</v>
      </c>
      <c r="I2714" s="5">
        <v>-4.80584590195595</v>
      </c>
      <c r="J2714" s="5">
        <v>-0.776422525902081</v>
      </c>
      <c r="K2714" s="5">
        <v>-0.776422525902081</v>
      </c>
      <c r="L2714" s="5">
        <v>-0.776422525902081</v>
      </c>
      <c r="M2714" s="5">
        <v>-4.02942337605387</v>
      </c>
      <c r="N2714" s="5">
        <v>-4.02942337605387</v>
      </c>
      <c r="O2714" s="5">
        <v>-4.02942337605387</v>
      </c>
      <c r="P2714" s="5">
        <v>0.0</v>
      </c>
      <c r="Q2714" s="5">
        <v>0.0</v>
      </c>
      <c r="R2714" s="5">
        <v>0.0</v>
      </c>
      <c r="S2714" s="5">
        <v>635.947126425149</v>
      </c>
    </row>
    <row r="2715">
      <c r="A2715" s="6">
        <v>44295.0</v>
      </c>
      <c r="B2715" s="5">
        <v>641.923818526618</v>
      </c>
      <c r="C2715" s="5">
        <v>575.502919913673</v>
      </c>
      <c r="D2715" s="5">
        <v>696.352730311574</v>
      </c>
      <c r="E2715" s="5">
        <v>641.923818526618</v>
      </c>
      <c r="F2715" s="5">
        <v>641.923818526618</v>
      </c>
      <c r="G2715" s="5">
        <v>-5.27281516483753</v>
      </c>
      <c r="H2715" s="5">
        <v>-5.27281516483753</v>
      </c>
      <c r="I2715" s="5">
        <v>-5.27281516483753</v>
      </c>
      <c r="J2715" s="5">
        <v>-1.59155056649518</v>
      </c>
      <c r="K2715" s="5">
        <v>-1.59155056649518</v>
      </c>
      <c r="L2715" s="5">
        <v>-1.59155056649518</v>
      </c>
      <c r="M2715" s="5">
        <v>-3.68126459834234</v>
      </c>
      <c r="N2715" s="5">
        <v>-3.68126459834234</v>
      </c>
      <c r="O2715" s="5">
        <v>-3.68126459834234</v>
      </c>
      <c r="P2715" s="5">
        <v>0.0</v>
      </c>
      <c r="Q2715" s="5">
        <v>0.0</v>
      </c>
      <c r="R2715" s="5">
        <v>0.0</v>
      </c>
      <c r="S2715" s="5">
        <v>636.651003361781</v>
      </c>
    </row>
    <row r="2716">
      <c r="A2716" s="6">
        <v>44298.0</v>
      </c>
      <c r="B2716" s="5">
        <v>645.436357125158</v>
      </c>
      <c r="C2716" s="5">
        <v>575.821880848558</v>
      </c>
      <c r="D2716" s="5">
        <v>705.864564954804</v>
      </c>
      <c r="E2716" s="5">
        <v>645.436357125158</v>
      </c>
      <c r="F2716" s="5">
        <v>645.436357125158</v>
      </c>
      <c r="G2716" s="5">
        <v>-2.61593352869043</v>
      </c>
      <c r="H2716" s="5">
        <v>-2.61593352869043</v>
      </c>
      <c r="I2716" s="5">
        <v>-2.61593352869043</v>
      </c>
      <c r="J2716" s="5">
        <v>0.0905589421217742</v>
      </c>
      <c r="K2716" s="5">
        <v>0.0905589421217742</v>
      </c>
      <c r="L2716" s="5">
        <v>0.0905589421217742</v>
      </c>
      <c r="M2716" s="5">
        <v>-2.70649247081221</v>
      </c>
      <c r="N2716" s="5">
        <v>-2.70649247081221</v>
      </c>
      <c r="O2716" s="5">
        <v>-2.70649247081221</v>
      </c>
      <c r="P2716" s="5">
        <v>0.0</v>
      </c>
      <c r="Q2716" s="5">
        <v>0.0</v>
      </c>
      <c r="R2716" s="5">
        <v>0.0</v>
      </c>
      <c r="S2716" s="5">
        <v>642.820423596467</v>
      </c>
    </row>
    <row r="2717">
      <c r="A2717" s="6">
        <v>44299.0</v>
      </c>
      <c r="B2717" s="5">
        <v>646.607203324671</v>
      </c>
      <c r="C2717" s="5">
        <v>580.265536115767</v>
      </c>
      <c r="D2717" s="5">
        <v>709.071160317132</v>
      </c>
      <c r="E2717" s="5">
        <v>646.607203324671</v>
      </c>
      <c r="F2717" s="5">
        <v>646.607203324671</v>
      </c>
      <c r="G2717" s="5">
        <v>-2.55167931141948</v>
      </c>
      <c r="H2717" s="5">
        <v>-2.55167931141948</v>
      </c>
      <c r="I2717" s="5">
        <v>-2.55167931141948</v>
      </c>
      <c r="J2717" s="5">
        <v>-0.144118857246032</v>
      </c>
      <c r="K2717" s="5">
        <v>-0.144118857246032</v>
      </c>
      <c r="L2717" s="5">
        <v>-0.144118857246032</v>
      </c>
      <c r="M2717" s="5">
        <v>-2.40756045417345</v>
      </c>
      <c r="N2717" s="5">
        <v>-2.40756045417345</v>
      </c>
      <c r="O2717" s="5">
        <v>-2.40756045417345</v>
      </c>
      <c r="P2717" s="5">
        <v>0.0</v>
      </c>
      <c r="Q2717" s="5">
        <v>0.0</v>
      </c>
      <c r="R2717" s="5">
        <v>0.0</v>
      </c>
      <c r="S2717" s="5">
        <v>644.055524013252</v>
      </c>
    </row>
    <row r="2718">
      <c r="A2718" s="6">
        <v>44300.0</v>
      </c>
      <c r="B2718" s="5">
        <v>647.778049524184</v>
      </c>
      <c r="C2718" s="5">
        <v>581.12980734074</v>
      </c>
      <c r="D2718" s="5">
        <v>708.58076956784</v>
      </c>
      <c r="E2718" s="5">
        <v>647.778049524184</v>
      </c>
      <c r="F2718" s="5">
        <v>647.778049524184</v>
      </c>
      <c r="G2718" s="5">
        <v>-2.11885965088756</v>
      </c>
      <c r="H2718" s="5">
        <v>-2.11885965088756</v>
      </c>
      <c r="I2718" s="5">
        <v>-2.11885965088756</v>
      </c>
      <c r="J2718" s="5">
        <v>0.00703780528140293</v>
      </c>
      <c r="K2718" s="5">
        <v>0.00703780528140293</v>
      </c>
      <c r="L2718" s="5">
        <v>0.00703780528140293</v>
      </c>
      <c r="M2718" s="5">
        <v>-2.12589745616896</v>
      </c>
      <c r="N2718" s="5">
        <v>-2.12589745616896</v>
      </c>
      <c r="O2718" s="5">
        <v>-2.12589745616896</v>
      </c>
      <c r="P2718" s="5">
        <v>0.0</v>
      </c>
      <c r="Q2718" s="5">
        <v>0.0</v>
      </c>
      <c r="R2718" s="5">
        <v>0.0</v>
      </c>
      <c r="S2718" s="5">
        <v>645.659189873297</v>
      </c>
    </row>
    <row r="2719">
      <c r="A2719" s="6">
        <v>44301.0</v>
      </c>
      <c r="B2719" s="5">
        <v>648.948895723698</v>
      </c>
      <c r="C2719" s="5">
        <v>581.211439852655</v>
      </c>
      <c r="D2719" s="5">
        <v>709.235459593362</v>
      </c>
      <c r="E2719" s="5">
        <v>648.948895723698</v>
      </c>
      <c r="F2719" s="5">
        <v>648.948895723698</v>
      </c>
      <c r="G2719" s="5">
        <v>-2.64216804137168</v>
      </c>
      <c r="H2719" s="5">
        <v>-2.64216804137168</v>
      </c>
      <c r="I2719" s="5">
        <v>-2.64216804137168</v>
      </c>
      <c r="J2719" s="5">
        <v>-0.776422525901428</v>
      </c>
      <c r="K2719" s="5">
        <v>-0.776422525901428</v>
      </c>
      <c r="L2719" s="5">
        <v>-0.776422525901428</v>
      </c>
      <c r="M2719" s="5">
        <v>-1.86574551547025</v>
      </c>
      <c r="N2719" s="5">
        <v>-1.86574551547025</v>
      </c>
      <c r="O2719" s="5">
        <v>-1.86574551547025</v>
      </c>
      <c r="P2719" s="5">
        <v>0.0</v>
      </c>
      <c r="Q2719" s="5">
        <v>0.0</v>
      </c>
      <c r="R2719" s="5">
        <v>0.0</v>
      </c>
      <c r="S2719" s="5">
        <v>646.306727682326</v>
      </c>
    </row>
    <row r="2720">
      <c r="A2720" s="6">
        <v>44302.0</v>
      </c>
      <c r="B2720" s="5">
        <v>650.119741923211</v>
      </c>
      <c r="C2720" s="5">
        <v>581.597126366661</v>
      </c>
      <c r="D2720" s="5">
        <v>709.560542779166</v>
      </c>
      <c r="E2720" s="5">
        <v>650.119741923211</v>
      </c>
      <c r="F2720" s="5">
        <v>650.119741923211</v>
      </c>
      <c r="G2720" s="5">
        <v>-3.22388688040448</v>
      </c>
      <c r="H2720" s="5">
        <v>-3.22388688040448</v>
      </c>
      <c r="I2720" s="5">
        <v>-3.22388688040448</v>
      </c>
      <c r="J2720" s="5">
        <v>-1.59155056649457</v>
      </c>
      <c r="K2720" s="5">
        <v>-1.59155056649457</v>
      </c>
      <c r="L2720" s="5">
        <v>-1.59155056649457</v>
      </c>
      <c r="M2720" s="5">
        <v>-1.6323363139099</v>
      </c>
      <c r="N2720" s="5">
        <v>-1.6323363139099</v>
      </c>
      <c r="O2720" s="5">
        <v>-1.6323363139099</v>
      </c>
      <c r="P2720" s="5">
        <v>0.0</v>
      </c>
      <c r="Q2720" s="5">
        <v>0.0</v>
      </c>
      <c r="R2720" s="5">
        <v>0.0</v>
      </c>
      <c r="S2720" s="5">
        <v>646.895855042807</v>
      </c>
    </row>
    <row r="2721">
      <c r="A2721" s="6">
        <v>44305.0</v>
      </c>
      <c r="B2721" s="5">
        <v>653.632280521751</v>
      </c>
      <c r="C2721" s="5">
        <v>590.844830908172</v>
      </c>
      <c r="D2721" s="5">
        <v>716.461646866645</v>
      </c>
      <c r="E2721" s="5">
        <v>653.632280521751</v>
      </c>
      <c r="F2721" s="5">
        <v>653.632280521751</v>
      </c>
      <c r="G2721" s="5">
        <v>-1.06571283029199</v>
      </c>
      <c r="H2721" s="5">
        <v>-1.06571283029199</v>
      </c>
      <c r="I2721" s="5">
        <v>-1.06571283029199</v>
      </c>
      <c r="J2721" s="5">
        <v>0.0905589421227205</v>
      </c>
      <c r="K2721" s="5">
        <v>0.0905589421227205</v>
      </c>
      <c r="L2721" s="5">
        <v>0.0905589421227205</v>
      </c>
      <c r="M2721" s="5">
        <v>-1.15627177241471</v>
      </c>
      <c r="N2721" s="5">
        <v>-1.15627177241471</v>
      </c>
      <c r="O2721" s="5">
        <v>-1.15627177241471</v>
      </c>
      <c r="P2721" s="5">
        <v>0.0</v>
      </c>
      <c r="Q2721" s="5">
        <v>0.0</v>
      </c>
      <c r="R2721" s="5">
        <v>0.0</v>
      </c>
      <c r="S2721" s="5">
        <v>652.566567691459</v>
      </c>
    </row>
    <row r="2722">
      <c r="A2722" s="6">
        <v>44306.0</v>
      </c>
      <c r="B2722" s="5">
        <v>654.803126721264</v>
      </c>
      <c r="C2722" s="5">
        <v>588.964841050828</v>
      </c>
      <c r="D2722" s="5">
        <v>713.371338406509</v>
      </c>
      <c r="E2722" s="5">
        <v>654.803126721264</v>
      </c>
      <c r="F2722" s="5">
        <v>654.803126721264</v>
      </c>
      <c r="G2722" s="5">
        <v>-1.23997738438446</v>
      </c>
      <c r="H2722" s="5">
        <v>-1.23997738438446</v>
      </c>
      <c r="I2722" s="5">
        <v>-1.23997738438446</v>
      </c>
      <c r="J2722" s="5">
        <v>-0.144118857247467</v>
      </c>
      <c r="K2722" s="5">
        <v>-0.144118857247467</v>
      </c>
      <c r="L2722" s="5">
        <v>-0.144118857247467</v>
      </c>
      <c r="M2722" s="5">
        <v>-1.09585852713699</v>
      </c>
      <c r="N2722" s="5">
        <v>-1.09585852713699</v>
      </c>
      <c r="O2722" s="5">
        <v>-1.09585852713699</v>
      </c>
      <c r="P2722" s="5">
        <v>0.0</v>
      </c>
      <c r="Q2722" s="5">
        <v>0.0</v>
      </c>
      <c r="R2722" s="5">
        <v>0.0</v>
      </c>
      <c r="S2722" s="5">
        <v>653.563149336879</v>
      </c>
    </row>
    <row r="2723">
      <c r="A2723" s="6">
        <v>44307.0</v>
      </c>
      <c r="B2723" s="5">
        <v>655.973972920777</v>
      </c>
      <c r="C2723" s="5">
        <v>589.965272419233</v>
      </c>
      <c r="D2723" s="5">
        <v>717.605050379206</v>
      </c>
      <c r="E2723" s="5">
        <v>655.973972920777</v>
      </c>
      <c r="F2723" s="5">
        <v>655.973972920777</v>
      </c>
      <c r="G2723" s="5">
        <v>-1.08962111409483</v>
      </c>
      <c r="H2723" s="5">
        <v>-1.08962111409483</v>
      </c>
      <c r="I2723" s="5">
        <v>-1.08962111409483</v>
      </c>
      <c r="J2723" s="5">
        <v>0.00703780528055051</v>
      </c>
      <c r="K2723" s="5">
        <v>0.00703780528055051</v>
      </c>
      <c r="L2723" s="5">
        <v>0.00703780528055051</v>
      </c>
      <c r="M2723" s="5">
        <v>-1.09665891937538</v>
      </c>
      <c r="N2723" s="5">
        <v>-1.09665891937538</v>
      </c>
      <c r="O2723" s="5">
        <v>-1.09665891937538</v>
      </c>
      <c r="P2723" s="5">
        <v>0.0</v>
      </c>
      <c r="Q2723" s="5">
        <v>0.0</v>
      </c>
      <c r="R2723" s="5">
        <v>0.0</v>
      </c>
      <c r="S2723" s="5">
        <v>654.884351806682</v>
      </c>
    </row>
    <row r="2724">
      <c r="A2724" s="6">
        <v>44308.0</v>
      </c>
      <c r="B2724" s="5">
        <v>657.144819120291</v>
      </c>
      <c r="C2724" s="5">
        <v>591.62255845412</v>
      </c>
      <c r="D2724" s="5">
        <v>718.538901080424</v>
      </c>
      <c r="E2724" s="5">
        <v>657.144819120291</v>
      </c>
      <c r="F2724" s="5">
        <v>657.144819120291</v>
      </c>
      <c r="G2724" s="5">
        <v>-1.94196152840345</v>
      </c>
      <c r="H2724" s="5">
        <v>-1.94196152840345</v>
      </c>
      <c r="I2724" s="5">
        <v>-1.94196152840345</v>
      </c>
      <c r="J2724" s="5">
        <v>-0.776422525903525</v>
      </c>
      <c r="K2724" s="5">
        <v>-0.776422525903525</v>
      </c>
      <c r="L2724" s="5">
        <v>-0.776422525903525</v>
      </c>
      <c r="M2724" s="5">
        <v>-1.16553900249992</v>
      </c>
      <c r="N2724" s="5">
        <v>-1.16553900249992</v>
      </c>
      <c r="O2724" s="5">
        <v>-1.16553900249992</v>
      </c>
      <c r="P2724" s="5">
        <v>0.0</v>
      </c>
      <c r="Q2724" s="5">
        <v>0.0</v>
      </c>
      <c r="R2724" s="5">
        <v>0.0</v>
      </c>
      <c r="S2724" s="5">
        <v>655.202857591887</v>
      </c>
    </row>
    <row r="2725">
      <c r="A2725" s="6">
        <v>44309.0</v>
      </c>
      <c r="B2725" s="5">
        <v>658.315665319803</v>
      </c>
      <c r="C2725" s="5">
        <v>596.779086205541</v>
      </c>
      <c r="D2725" s="5">
        <v>711.784410736572</v>
      </c>
      <c r="E2725" s="5">
        <v>658.315665319803</v>
      </c>
      <c r="F2725" s="5">
        <v>658.315665319803</v>
      </c>
      <c r="G2725" s="5">
        <v>-2.90028188610992</v>
      </c>
      <c r="H2725" s="5">
        <v>-2.90028188610992</v>
      </c>
      <c r="I2725" s="5">
        <v>-2.90028188610992</v>
      </c>
      <c r="J2725" s="5">
        <v>-1.59155056649333</v>
      </c>
      <c r="K2725" s="5">
        <v>-1.59155056649333</v>
      </c>
      <c r="L2725" s="5">
        <v>-1.59155056649333</v>
      </c>
      <c r="M2725" s="5">
        <v>-1.30873131961658</v>
      </c>
      <c r="N2725" s="5">
        <v>-1.30873131961658</v>
      </c>
      <c r="O2725" s="5">
        <v>-1.30873131961658</v>
      </c>
      <c r="P2725" s="5">
        <v>0.0</v>
      </c>
      <c r="Q2725" s="5">
        <v>0.0</v>
      </c>
      <c r="R2725" s="5">
        <v>0.0</v>
      </c>
      <c r="S2725" s="5">
        <v>655.415383433693</v>
      </c>
    </row>
    <row r="2726">
      <c r="A2726" s="6">
        <v>44312.0</v>
      </c>
      <c r="B2726" s="5">
        <v>661.828203918343</v>
      </c>
      <c r="C2726" s="5">
        <v>597.872611837006</v>
      </c>
      <c r="D2726" s="5">
        <v>724.268295478093</v>
      </c>
      <c r="E2726" s="5">
        <v>661.828203918343</v>
      </c>
      <c r="F2726" s="5">
        <v>661.828203918343</v>
      </c>
      <c r="G2726" s="5">
        <v>-2.14109278689139</v>
      </c>
      <c r="H2726" s="5">
        <v>-2.14109278689139</v>
      </c>
      <c r="I2726" s="5">
        <v>-2.14109278689139</v>
      </c>
      <c r="J2726" s="5">
        <v>0.0905589421188992</v>
      </c>
      <c r="K2726" s="5">
        <v>0.0905589421188992</v>
      </c>
      <c r="L2726" s="5">
        <v>0.0905589421188992</v>
      </c>
      <c r="M2726" s="5">
        <v>-2.23165172901029</v>
      </c>
      <c r="N2726" s="5">
        <v>-2.23165172901029</v>
      </c>
      <c r="O2726" s="5">
        <v>-2.23165172901029</v>
      </c>
      <c r="P2726" s="5">
        <v>0.0</v>
      </c>
      <c r="Q2726" s="5">
        <v>0.0</v>
      </c>
      <c r="R2726" s="5">
        <v>0.0</v>
      </c>
      <c r="S2726" s="5">
        <v>659.687111131452</v>
      </c>
    </row>
    <row r="2727">
      <c r="A2727" s="6">
        <v>44313.0</v>
      </c>
      <c r="B2727" s="5">
        <v>662.999050117857</v>
      </c>
      <c r="C2727" s="5">
        <v>598.139643110605</v>
      </c>
      <c r="D2727" s="5">
        <v>722.36385715646</v>
      </c>
      <c r="E2727" s="5">
        <v>662.999050117857</v>
      </c>
      <c r="F2727" s="5">
        <v>662.999050117857</v>
      </c>
      <c r="G2727" s="5">
        <v>-2.8571665378799</v>
      </c>
      <c r="H2727" s="5">
        <v>-2.8571665378799</v>
      </c>
      <c r="I2727" s="5">
        <v>-2.8571665378799</v>
      </c>
      <c r="J2727" s="5">
        <v>-0.144118857243856</v>
      </c>
      <c r="K2727" s="5">
        <v>-0.144118857243856</v>
      </c>
      <c r="L2727" s="5">
        <v>-0.144118857243856</v>
      </c>
      <c r="M2727" s="5">
        <v>-2.71304768063604</v>
      </c>
      <c r="N2727" s="5">
        <v>-2.71304768063604</v>
      </c>
      <c r="O2727" s="5">
        <v>-2.71304768063604</v>
      </c>
      <c r="P2727" s="5">
        <v>0.0</v>
      </c>
      <c r="Q2727" s="5">
        <v>0.0</v>
      </c>
      <c r="R2727" s="5">
        <v>0.0</v>
      </c>
      <c r="S2727" s="5">
        <v>660.141883579977</v>
      </c>
    </row>
    <row r="2728">
      <c r="A2728" s="6">
        <v>44314.0</v>
      </c>
      <c r="B2728" s="5">
        <v>664.16989631737</v>
      </c>
      <c r="C2728" s="5">
        <v>597.92305981416</v>
      </c>
      <c r="D2728" s="5">
        <v>724.408337370899</v>
      </c>
      <c r="E2728" s="5">
        <v>664.16989631737</v>
      </c>
      <c r="F2728" s="5">
        <v>664.16989631737</v>
      </c>
      <c r="G2728" s="5">
        <v>-3.27505437485176</v>
      </c>
      <c r="H2728" s="5">
        <v>-3.27505437485176</v>
      </c>
      <c r="I2728" s="5">
        <v>-3.27505437485176</v>
      </c>
      <c r="J2728" s="5">
        <v>0.00703780528186142</v>
      </c>
      <c r="K2728" s="5">
        <v>0.00703780528186142</v>
      </c>
      <c r="L2728" s="5">
        <v>0.00703780528186142</v>
      </c>
      <c r="M2728" s="5">
        <v>-3.28209218013362</v>
      </c>
      <c r="N2728" s="5">
        <v>-3.28209218013362</v>
      </c>
      <c r="O2728" s="5">
        <v>-3.28209218013362</v>
      </c>
      <c r="P2728" s="5">
        <v>0.0</v>
      </c>
      <c r="Q2728" s="5">
        <v>0.0</v>
      </c>
      <c r="R2728" s="5">
        <v>0.0</v>
      </c>
      <c r="S2728" s="5">
        <v>660.894841942518</v>
      </c>
    </row>
    <row r="2729">
      <c r="A2729" s="6">
        <v>44315.0</v>
      </c>
      <c r="B2729" s="5">
        <v>665.340742516883</v>
      </c>
      <c r="C2729" s="5">
        <v>594.058353391281</v>
      </c>
      <c r="D2729" s="5">
        <v>723.072107491209</v>
      </c>
      <c r="E2729" s="5">
        <v>665.340742516883</v>
      </c>
      <c r="F2729" s="5">
        <v>665.340742516883</v>
      </c>
      <c r="G2729" s="5">
        <v>-4.7130812785275</v>
      </c>
      <c r="H2729" s="5">
        <v>-4.7130812785275</v>
      </c>
      <c r="I2729" s="5">
        <v>-4.7130812785275</v>
      </c>
      <c r="J2729" s="5">
        <v>-0.776422525898547</v>
      </c>
      <c r="K2729" s="5">
        <v>-0.776422525898547</v>
      </c>
      <c r="L2729" s="5">
        <v>-0.776422525898547</v>
      </c>
      <c r="M2729" s="5">
        <v>-3.93665875262895</v>
      </c>
      <c r="N2729" s="5">
        <v>-3.93665875262895</v>
      </c>
      <c r="O2729" s="5">
        <v>-3.93665875262895</v>
      </c>
      <c r="P2729" s="5">
        <v>0.0</v>
      </c>
      <c r="Q2729" s="5">
        <v>0.0</v>
      </c>
      <c r="R2729" s="5">
        <v>0.0</v>
      </c>
      <c r="S2729" s="5">
        <v>660.627661238355</v>
      </c>
    </row>
    <row r="2730">
      <c r="A2730" s="6">
        <v>44316.0</v>
      </c>
      <c r="B2730" s="5">
        <v>666.511588716396</v>
      </c>
      <c r="C2730" s="5">
        <v>595.58549746834</v>
      </c>
      <c r="D2730" s="5">
        <v>729.730543584712</v>
      </c>
      <c r="E2730" s="5">
        <v>666.511588716396</v>
      </c>
      <c r="F2730" s="5">
        <v>666.511588716396</v>
      </c>
      <c r="G2730" s="5">
        <v>-6.26436222603794</v>
      </c>
      <c r="H2730" s="5">
        <v>-6.26436222603794</v>
      </c>
      <c r="I2730" s="5">
        <v>-6.26436222603794</v>
      </c>
      <c r="J2730" s="5">
        <v>-1.59155056649209</v>
      </c>
      <c r="K2730" s="5">
        <v>-1.59155056649209</v>
      </c>
      <c r="L2730" s="5">
        <v>-1.59155056649209</v>
      </c>
      <c r="M2730" s="5">
        <v>-4.67281165954584</v>
      </c>
      <c r="N2730" s="5">
        <v>-4.67281165954584</v>
      </c>
      <c r="O2730" s="5">
        <v>-4.67281165954584</v>
      </c>
      <c r="P2730" s="5">
        <v>0.0</v>
      </c>
      <c r="Q2730" s="5">
        <v>0.0</v>
      </c>
      <c r="R2730" s="5">
        <v>0.0</v>
      </c>
      <c r="S2730" s="5">
        <v>660.247226490358</v>
      </c>
    </row>
    <row r="2731">
      <c r="A2731" s="6">
        <v>44319.0</v>
      </c>
      <c r="B2731" s="5">
        <v>670.024127314936</v>
      </c>
      <c r="C2731" s="5">
        <v>599.060709720561</v>
      </c>
      <c r="D2731" s="5">
        <v>724.287636800259</v>
      </c>
      <c r="E2731" s="5">
        <v>670.024127314936</v>
      </c>
      <c r="F2731" s="5">
        <v>670.024127314936</v>
      </c>
      <c r="G2731" s="5">
        <v>-7.21429775970794</v>
      </c>
      <c r="H2731" s="5">
        <v>-7.21429775970794</v>
      </c>
      <c r="I2731" s="5">
        <v>-7.21429775970794</v>
      </c>
      <c r="J2731" s="5">
        <v>0.0905589421198458</v>
      </c>
      <c r="K2731" s="5">
        <v>0.0905589421198458</v>
      </c>
      <c r="L2731" s="5">
        <v>0.0905589421198458</v>
      </c>
      <c r="M2731" s="5">
        <v>-7.30485670182779</v>
      </c>
      <c r="N2731" s="5">
        <v>-7.30485670182779</v>
      </c>
      <c r="O2731" s="5">
        <v>-7.30485670182779</v>
      </c>
      <c r="P2731" s="5">
        <v>0.0</v>
      </c>
      <c r="Q2731" s="5">
        <v>0.0</v>
      </c>
      <c r="R2731" s="5">
        <v>0.0</v>
      </c>
      <c r="S2731" s="5">
        <v>662.809829555228</v>
      </c>
    </row>
    <row r="2732">
      <c r="A2732" s="6">
        <v>44320.0</v>
      </c>
      <c r="B2732" s="5">
        <v>671.194973514449</v>
      </c>
      <c r="C2732" s="5">
        <v>601.147867466761</v>
      </c>
      <c r="D2732" s="5">
        <v>720.74951074168</v>
      </c>
      <c r="E2732" s="5">
        <v>671.194973514449</v>
      </c>
      <c r="F2732" s="5">
        <v>671.194973514449</v>
      </c>
      <c r="G2732" s="5">
        <v>-8.43735934186562</v>
      </c>
      <c r="H2732" s="5">
        <v>-8.43735934186562</v>
      </c>
      <c r="I2732" s="5">
        <v>-8.43735934186562</v>
      </c>
      <c r="J2732" s="5">
        <v>-0.144118857245291</v>
      </c>
      <c r="K2732" s="5">
        <v>-0.144118857245291</v>
      </c>
      <c r="L2732" s="5">
        <v>-0.144118857245291</v>
      </c>
      <c r="M2732" s="5">
        <v>-8.29324048462033</v>
      </c>
      <c r="N2732" s="5">
        <v>-8.29324048462033</v>
      </c>
      <c r="O2732" s="5">
        <v>-8.29324048462033</v>
      </c>
      <c r="P2732" s="5">
        <v>0.0</v>
      </c>
      <c r="Q2732" s="5">
        <v>0.0</v>
      </c>
      <c r="R2732" s="5">
        <v>0.0</v>
      </c>
      <c r="S2732" s="5">
        <v>662.757614172584</v>
      </c>
    </row>
    <row r="2733">
      <c r="A2733" s="6">
        <v>44321.0</v>
      </c>
      <c r="B2733" s="5">
        <v>672.365819713962</v>
      </c>
      <c r="C2733" s="5">
        <v>593.518192130231</v>
      </c>
      <c r="D2733" s="5">
        <v>722.980061160795</v>
      </c>
      <c r="E2733" s="5">
        <v>672.365819713962</v>
      </c>
      <c r="F2733" s="5">
        <v>672.365819713962</v>
      </c>
      <c r="G2733" s="5">
        <v>-9.31150081670077</v>
      </c>
      <c r="H2733" s="5">
        <v>-9.31150081670077</v>
      </c>
      <c r="I2733" s="5">
        <v>-9.31150081670077</v>
      </c>
      <c r="J2733" s="5">
        <v>0.00703780528082804</v>
      </c>
      <c r="K2733" s="5">
        <v>0.00703780528082804</v>
      </c>
      <c r="L2733" s="5">
        <v>0.00703780528082804</v>
      </c>
      <c r="M2733" s="5">
        <v>-9.3185386219816</v>
      </c>
      <c r="N2733" s="5">
        <v>-9.3185386219816</v>
      </c>
      <c r="O2733" s="5">
        <v>-9.3185386219816</v>
      </c>
      <c r="P2733" s="5">
        <v>0.0</v>
      </c>
      <c r="Q2733" s="5">
        <v>0.0</v>
      </c>
      <c r="R2733" s="5">
        <v>0.0</v>
      </c>
      <c r="S2733" s="5">
        <v>663.054318897262</v>
      </c>
    </row>
    <row r="2734">
      <c r="A2734" s="6">
        <v>44322.0</v>
      </c>
      <c r="B2734" s="5">
        <v>673.536665913476</v>
      </c>
      <c r="C2734" s="5">
        <v>600.762729278476</v>
      </c>
      <c r="D2734" s="5">
        <v>722.339175218277</v>
      </c>
      <c r="E2734" s="5">
        <v>673.536665913476</v>
      </c>
      <c r="F2734" s="5">
        <v>673.536665913476</v>
      </c>
      <c r="G2734" s="5">
        <v>-11.1443618588827</v>
      </c>
      <c r="H2734" s="5">
        <v>-11.1443618588827</v>
      </c>
      <c r="I2734" s="5">
        <v>-11.1443618588827</v>
      </c>
      <c r="J2734" s="5">
        <v>-0.776422525900644</v>
      </c>
      <c r="K2734" s="5">
        <v>-0.776422525900644</v>
      </c>
      <c r="L2734" s="5">
        <v>-0.776422525900644</v>
      </c>
      <c r="M2734" s="5">
        <v>-10.3679393329821</v>
      </c>
      <c r="N2734" s="5">
        <v>-10.3679393329821</v>
      </c>
      <c r="O2734" s="5">
        <v>-10.3679393329821</v>
      </c>
      <c r="P2734" s="5">
        <v>0.0</v>
      </c>
      <c r="Q2734" s="5">
        <v>0.0</v>
      </c>
      <c r="R2734" s="5">
        <v>0.0</v>
      </c>
      <c r="S2734" s="5">
        <v>662.392304054593</v>
      </c>
    </row>
    <row r="2735">
      <c r="A2735" s="6">
        <v>44323.0</v>
      </c>
      <c r="B2735" s="5">
        <v>674.707512112989</v>
      </c>
      <c r="C2735" s="5">
        <v>603.582524422026</v>
      </c>
      <c r="D2735" s="5">
        <v>725.641549372293</v>
      </c>
      <c r="E2735" s="5">
        <v>674.707512112989</v>
      </c>
      <c r="F2735" s="5">
        <v>674.707512112989</v>
      </c>
      <c r="G2735" s="5">
        <v>-13.0194593584901</v>
      </c>
      <c r="H2735" s="5">
        <v>-13.0194593584901</v>
      </c>
      <c r="I2735" s="5">
        <v>-13.0194593584901</v>
      </c>
      <c r="J2735" s="5">
        <v>-1.59155056649148</v>
      </c>
      <c r="K2735" s="5">
        <v>-1.59155056649148</v>
      </c>
      <c r="L2735" s="5">
        <v>-1.59155056649148</v>
      </c>
      <c r="M2735" s="5">
        <v>-11.4279087919986</v>
      </c>
      <c r="N2735" s="5">
        <v>-11.4279087919986</v>
      </c>
      <c r="O2735" s="5">
        <v>-11.4279087919986</v>
      </c>
      <c r="P2735" s="5">
        <v>0.0</v>
      </c>
      <c r="Q2735" s="5">
        <v>0.0</v>
      </c>
      <c r="R2735" s="5">
        <v>0.0</v>
      </c>
      <c r="S2735" s="5">
        <v>661.688052754499</v>
      </c>
    </row>
    <row r="2736">
      <c r="A2736" s="6">
        <v>44326.0</v>
      </c>
      <c r="B2736" s="5">
        <v>678.220050711529</v>
      </c>
      <c r="C2736" s="5">
        <v>600.769879816363</v>
      </c>
      <c r="D2736" s="5">
        <v>726.462622267403</v>
      </c>
      <c r="E2736" s="5">
        <v>678.220050711529</v>
      </c>
      <c r="F2736" s="5">
        <v>678.220050711529</v>
      </c>
      <c r="G2736" s="5">
        <v>-14.441035910311</v>
      </c>
      <c r="H2736" s="5">
        <v>-14.441035910311</v>
      </c>
      <c r="I2736" s="5">
        <v>-14.441035910311</v>
      </c>
      <c r="J2736" s="5">
        <v>0.090558942123336</v>
      </c>
      <c r="K2736" s="5">
        <v>0.090558942123336</v>
      </c>
      <c r="L2736" s="5">
        <v>0.090558942123336</v>
      </c>
      <c r="M2736" s="5">
        <v>-14.5315948524343</v>
      </c>
      <c r="N2736" s="5">
        <v>-14.5315948524343</v>
      </c>
      <c r="O2736" s="5">
        <v>-14.5315948524343</v>
      </c>
      <c r="P2736" s="5">
        <v>0.0</v>
      </c>
      <c r="Q2736" s="5">
        <v>0.0</v>
      </c>
      <c r="R2736" s="5">
        <v>0.0</v>
      </c>
      <c r="S2736" s="5">
        <v>663.779014801218</v>
      </c>
    </row>
    <row r="2737">
      <c r="A2737" s="6">
        <v>44327.0</v>
      </c>
      <c r="B2737" s="5">
        <v>679.390896911042</v>
      </c>
      <c r="C2737" s="5">
        <v>600.88541188704</v>
      </c>
      <c r="D2737" s="5">
        <v>727.745049512412</v>
      </c>
      <c r="E2737" s="5">
        <v>679.390896911042</v>
      </c>
      <c r="F2737" s="5">
        <v>679.390896911042</v>
      </c>
      <c r="G2737" s="5">
        <v>-15.6391726834369</v>
      </c>
      <c r="H2737" s="5">
        <v>-15.6391726834369</v>
      </c>
      <c r="I2737" s="5">
        <v>-15.6391726834369</v>
      </c>
      <c r="J2737" s="5">
        <v>-0.144118857246727</v>
      </c>
      <c r="K2737" s="5">
        <v>-0.144118857246727</v>
      </c>
      <c r="L2737" s="5">
        <v>-0.144118857246727</v>
      </c>
      <c r="M2737" s="5">
        <v>-15.4950538261902</v>
      </c>
      <c r="N2737" s="5">
        <v>-15.4950538261902</v>
      </c>
      <c r="O2737" s="5">
        <v>-15.4950538261902</v>
      </c>
      <c r="P2737" s="5">
        <v>0.0</v>
      </c>
      <c r="Q2737" s="5">
        <v>0.0</v>
      </c>
      <c r="R2737" s="5">
        <v>0.0</v>
      </c>
      <c r="S2737" s="5">
        <v>663.751724227605</v>
      </c>
    </row>
    <row r="2738">
      <c r="A2738" s="6">
        <v>44328.0</v>
      </c>
      <c r="B2738" s="5">
        <v>680.561743110555</v>
      </c>
      <c r="C2738" s="5">
        <v>597.928772786832</v>
      </c>
      <c r="D2738" s="5">
        <v>724.087184535773</v>
      </c>
      <c r="E2738" s="5">
        <v>680.561743110555</v>
      </c>
      <c r="F2738" s="5">
        <v>680.561743110555</v>
      </c>
      <c r="G2738" s="5">
        <v>-16.3946367489716</v>
      </c>
      <c r="H2738" s="5">
        <v>-16.3946367489716</v>
      </c>
      <c r="I2738" s="5">
        <v>-16.3946367489716</v>
      </c>
      <c r="J2738" s="5">
        <v>0.00703780528213928</v>
      </c>
      <c r="K2738" s="5">
        <v>0.00703780528213928</v>
      </c>
      <c r="L2738" s="5">
        <v>0.00703780528213928</v>
      </c>
      <c r="M2738" s="5">
        <v>-16.4016745542538</v>
      </c>
      <c r="N2738" s="5">
        <v>-16.4016745542538</v>
      </c>
      <c r="O2738" s="5">
        <v>-16.4016745542538</v>
      </c>
      <c r="P2738" s="5">
        <v>0.0</v>
      </c>
      <c r="Q2738" s="5">
        <v>0.0</v>
      </c>
      <c r="R2738" s="5">
        <v>0.0</v>
      </c>
      <c r="S2738" s="5">
        <v>664.167106361583</v>
      </c>
    </row>
    <row r="2739">
      <c r="A2739" s="6">
        <v>44329.0</v>
      </c>
      <c r="B2739" s="5">
        <v>681.732589310069</v>
      </c>
      <c r="C2739" s="5">
        <v>601.509459870906</v>
      </c>
      <c r="D2739" s="5">
        <v>725.778136222128</v>
      </c>
      <c r="E2739" s="5">
        <v>681.732589310069</v>
      </c>
      <c r="F2739" s="5">
        <v>681.732589310069</v>
      </c>
      <c r="G2739" s="5">
        <v>-18.0166896941523</v>
      </c>
      <c r="H2739" s="5">
        <v>-18.0166896941523</v>
      </c>
      <c r="I2739" s="5">
        <v>-18.0166896941523</v>
      </c>
      <c r="J2739" s="5">
        <v>-0.776422525901366</v>
      </c>
      <c r="K2739" s="5">
        <v>-0.776422525901366</v>
      </c>
      <c r="L2739" s="5">
        <v>-0.776422525901366</v>
      </c>
      <c r="M2739" s="5">
        <v>-17.240267168251</v>
      </c>
      <c r="N2739" s="5">
        <v>-17.240267168251</v>
      </c>
      <c r="O2739" s="5">
        <v>-17.240267168251</v>
      </c>
      <c r="P2739" s="5">
        <v>0.0</v>
      </c>
      <c r="Q2739" s="5">
        <v>0.0</v>
      </c>
      <c r="R2739" s="5">
        <v>0.0</v>
      </c>
      <c r="S2739" s="5">
        <v>663.715899615916</v>
      </c>
    </row>
    <row r="2740">
      <c r="A2740" s="6">
        <v>44330.0</v>
      </c>
      <c r="B2740" s="5">
        <v>682.903435509581</v>
      </c>
      <c r="C2740" s="5">
        <v>603.23651036597</v>
      </c>
      <c r="D2740" s="5">
        <v>727.979774808364</v>
      </c>
      <c r="E2740" s="5">
        <v>682.903435509581</v>
      </c>
      <c r="F2740" s="5">
        <v>682.903435509581</v>
      </c>
      <c r="G2740" s="5">
        <v>-19.5926317520732</v>
      </c>
      <c r="H2740" s="5">
        <v>-19.5926317520732</v>
      </c>
      <c r="I2740" s="5">
        <v>-19.5926317520732</v>
      </c>
      <c r="J2740" s="5">
        <v>-1.59155056649024</v>
      </c>
      <c r="K2740" s="5">
        <v>-1.59155056649024</v>
      </c>
      <c r="L2740" s="5">
        <v>-1.59155056649024</v>
      </c>
      <c r="M2740" s="5">
        <v>-18.0010811855829</v>
      </c>
      <c r="N2740" s="5">
        <v>-18.0010811855829</v>
      </c>
      <c r="O2740" s="5">
        <v>-18.0010811855829</v>
      </c>
      <c r="P2740" s="5">
        <v>0.0</v>
      </c>
      <c r="Q2740" s="5">
        <v>0.0</v>
      </c>
      <c r="R2740" s="5">
        <v>0.0</v>
      </c>
      <c r="S2740" s="5">
        <v>663.310803757508</v>
      </c>
    </row>
    <row r="2741">
      <c r="A2741" s="6">
        <v>44333.0</v>
      </c>
      <c r="B2741" s="5">
        <v>686.415974108121</v>
      </c>
      <c r="C2741" s="5">
        <v>604.096110783791</v>
      </c>
      <c r="D2741" s="5">
        <v>732.60960542873</v>
      </c>
      <c r="E2741" s="5">
        <v>686.415974108121</v>
      </c>
      <c r="F2741" s="5">
        <v>686.415974108121</v>
      </c>
      <c r="G2741" s="5">
        <v>-19.6548559222991</v>
      </c>
      <c r="H2741" s="5">
        <v>-19.6548559222991</v>
      </c>
      <c r="I2741" s="5">
        <v>-19.6548559222991</v>
      </c>
      <c r="J2741" s="5">
        <v>0.0905589421242825</v>
      </c>
      <c r="K2741" s="5">
        <v>0.0905589421242825</v>
      </c>
      <c r="L2741" s="5">
        <v>0.0905589421242825</v>
      </c>
      <c r="M2741" s="5">
        <v>-19.7454148644233</v>
      </c>
      <c r="N2741" s="5">
        <v>-19.7454148644233</v>
      </c>
      <c r="O2741" s="5">
        <v>-19.7454148644233</v>
      </c>
      <c r="P2741" s="5">
        <v>0.0</v>
      </c>
      <c r="Q2741" s="5">
        <v>0.0</v>
      </c>
      <c r="R2741" s="5">
        <v>0.0</v>
      </c>
      <c r="S2741" s="5">
        <v>666.761118185822</v>
      </c>
    </row>
    <row r="2742">
      <c r="A2742" s="6">
        <v>44334.0</v>
      </c>
      <c r="B2742" s="5">
        <v>687.586820307635</v>
      </c>
      <c r="C2742" s="5">
        <v>601.868314112106</v>
      </c>
      <c r="D2742" s="5">
        <v>732.353581750689</v>
      </c>
      <c r="E2742" s="5">
        <v>687.586820307635</v>
      </c>
      <c r="F2742" s="5">
        <v>687.586820307635</v>
      </c>
      <c r="G2742" s="5">
        <v>-20.277541144441</v>
      </c>
      <c r="H2742" s="5">
        <v>-20.277541144441</v>
      </c>
      <c r="I2742" s="5">
        <v>-20.277541144441</v>
      </c>
      <c r="J2742" s="5">
        <v>-0.144118857243115</v>
      </c>
      <c r="K2742" s="5">
        <v>-0.144118857243115</v>
      </c>
      <c r="L2742" s="5">
        <v>-0.144118857243115</v>
      </c>
      <c r="M2742" s="5">
        <v>-20.1334222871978</v>
      </c>
      <c r="N2742" s="5">
        <v>-20.1334222871978</v>
      </c>
      <c r="O2742" s="5">
        <v>-20.1334222871978</v>
      </c>
      <c r="P2742" s="5">
        <v>0.0</v>
      </c>
      <c r="Q2742" s="5">
        <v>0.0</v>
      </c>
      <c r="R2742" s="5">
        <v>0.0</v>
      </c>
      <c r="S2742" s="5">
        <v>667.309279163194</v>
      </c>
    </row>
    <row r="2743">
      <c r="A2743" s="6">
        <v>44335.0</v>
      </c>
      <c r="B2743" s="5">
        <v>688.757666507148</v>
      </c>
      <c r="C2743" s="5">
        <v>607.273950725242</v>
      </c>
      <c r="D2743" s="5">
        <v>731.777117715345</v>
      </c>
      <c r="E2743" s="5">
        <v>688.757666507148</v>
      </c>
      <c r="F2743" s="5">
        <v>688.757666507148</v>
      </c>
      <c r="G2743" s="5">
        <v>-20.4157948915346</v>
      </c>
      <c r="H2743" s="5">
        <v>-20.4157948915346</v>
      </c>
      <c r="I2743" s="5">
        <v>-20.4157948915346</v>
      </c>
      <c r="J2743" s="5">
        <v>0.00703780527912313</v>
      </c>
      <c r="K2743" s="5">
        <v>0.00703780527912313</v>
      </c>
      <c r="L2743" s="5">
        <v>0.00703780527912313</v>
      </c>
      <c r="M2743" s="5">
        <v>-20.4228326968137</v>
      </c>
      <c r="N2743" s="5">
        <v>-20.4228326968137</v>
      </c>
      <c r="O2743" s="5">
        <v>-20.4228326968137</v>
      </c>
      <c r="P2743" s="5">
        <v>0.0</v>
      </c>
      <c r="Q2743" s="5">
        <v>0.0</v>
      </c>
      <c r="R2743" s="5">
        <v>0.0</v>
      </c>
      <c r="S2743" s="5">
        <v>668.341871615613</v>
      </c>
    </row>
    <row r="2744">
      <c r="A2744" s="6">
        <v>44336.0</v>
      </c>
      <c r="B2744" s="5">
        <v>689.928512706661</v>
      </c>
      <c r="C2744" s="5">
        <v>601.700824609352</v>
      </c>
      <c r="D2744" s="5">
        <v>732.064929446364</v>
      </c>
      <c r="E2744" s="5">
        <v>689.928512706661</v>
      </c>
      <c r="F2744" s="5">
        <v>689.928512706661</v>
      </c>
      <c r="G2744" s="5">
        <v>-21.3920492660959</v>
      </c>
      <c r="H2744" s="5">
        <v>-21.3920492660959</v>
      </c>
      <c r="I2744" s="5">
        <v>-21.3920492660959</v>
      </c>
      <c r="J2744" s="5">
        <v>-0.776422525902088</v>
      </c>
      <c r="K2744" s="5">
        <v>-0.776422525902088</v>
      </c>
      <c r="L2744" s="5">
        <v>-0.776422525902088</v>
      </c>
      <c r="M2744" s="5">
        <v>-20.6156267401938</v>
      </c>
      <c r="N2744" s="5">
        <v>-20.6156267401938</v>
      </c>
      <c r="O2744" s="5">
        <v>-20.6156267401938</v>
      </c>
      <c r="P2744" s="5">
        <v>0.0</v>
      </c>
      <c r="Q2744" s="5">
        <v>0.0</v>
      </c>
      <c r="R2744" s="5">
        <v>0.0</v>
      </c>
      <c r="S2744" s="5">
        <v>668.536463440565</v>
      </c>
    </row>
    <row r="2745">
      <c r="A2745" s="6">
        <v>44337.0</v>
      </c>
      <c r="B2745" s="5">
        <v>691.099358906174</v>
      </c>
      <c r="C2745" s="5">
        <v>602.717198694469</v>
      </c>
      <c r="D2745" s="5">
        <v>727.738173457652</v>
      </c>
      <c r="E2745" s="5">
        <v>691.099358906174</v>
      </c>
      <c r="F2745" s="5">
        <v>691.099358906174</v>
      </c>
      <c r="G2745" s="5">
        <v>-22.3073125829156</v>
      </c>
      <c r="H2745" s="5">
        <v>-22.3073125829156</v>
      </c>
      <c r="I2745" s="5">
        <v>-22.3073125829156</v>
      </c>
      <c r="J2745" s="5">
        <v>-1.59155056649481</v>
      </c>
      <c r="K2745" s="5">
        <v>-1.59155056649481</v>
      </c>
      <c r="L2745" s="5">
        <v>-1.59155056649481</v>
      </c>
      <c r="M2745" s="5">
        <v>-20.7157620164208</v>
      </c>
      <c r="N2745" s="5">
        <v>-20.7157620164208</v>
      </c>
      <c r="O2745" s="5">
        <v>-20.7157620164208</v>
      </c>
      <c r="P2745" s="5">
        <v>0.0</v>
      </c>
      <c r="Q2745" s="5">
        <v>0.0</v>
      </c>
      <c r="R2745" s="5">
        <v>0.0</v>
      </c>
      <c r="S2745" s="5">
        <v>668.792046323259</v>
      </c>
    </row>
    <row r="2746">
      <c r="A2746" s="6">
        <v>44340.0</v>
      </c>
      <c r="B2746" s="5">
        <v>694.611897504714</v>
      </c>
      <c r="C2746" s="5">
        <v>613.780931085382</v>
      </c>
      <c r="D2746" s="5">
        <v>737.781175800291</v>
      </c>
      <c r="E2746" s="5">
        <v>694.611897504714</v>
      </c>
      <c r="F2746" s="5">
        <v>694.611897504714</v>
      </c>
      <c r="G2746" s="5">
        <v>-20.4356176727902</v>
      </c>
      <c r="H2746" s="5">
        <v>-20.4356176727902</v>
      </c>
      <c r="I2746" s="5">
        <v>-20.4356176727902</v>
      </c>
      <c r="J2746" s="5">
        <v>0.0905589421228451</v>
      </c>
      <c r="K2746" s="5">
        <v>0.0905589421228451</v>
      </c>
      <c r="L2746" s="5">
        <v>0.0905589421228451</v>
      </c>
      <c r="M2746" s="5">
        <v>-20.526176614913</v>
      </c>
      <c r="N2746" s="5">
        <v>-20.526176614913</v>
      </c>
      <c r="O2746" s="5">
        <v>-20.526176614913</v>
      </c>
      <c r="P2746" s="5">
        <v>0.0</v>
      </c>
      <c r="Q2746" s="5">
        <v>0.0</v>
      </c>
      <c r="R2746" s="5">
        <v>0.0</v>
      </c>
      <c r="S2746" s="5">
        <v>674.176279831924</v>
      </c>
    </row>
    <row r="2747">
      <c r="A2747" s="6">
        <v>44341.0</v>
      </c>
      <c r="B2747" s="5">
        <v>695.782743704227</v>
      </c>
      <c r="C2747" s="5">
        <v>616.895981639496</v>
      </c>
      <c r="D2747" s="5">
        <v>738.37468770881</v>
      </c>
      <c r="E2747" s="5">
        <v>695.782743704227</v>
      </c>
      <c r="F2747" s="5">
        <v>695.782743704227</v>
      </c>
      <c r="G2747" s="5">
        <v>-20.4730344515554</v>
      </c>
      <c r="H2747" s="5">
        <v>-20.4730344515554</v>
      </c>
      <c r="I2747" s="5">
        <v>-20.4730344515554</v>
      </c>
      <c r="J2747" s="5">
        <v>-0.144118857244551</v>
      </c>
      <c r="K2747" s="5">
        <v>-0.144118857244551</v>
      </c>
      <c r="L2747" s="5">
        <v>-0.144118857244551</v>
      </c>
      <c r="M2747" s="5">
        <v>-20.3289155943109</v>
      </c>
      <c r="N2747" s="5">
        <v>-20.3289155943109</v>
      </c>
      <c r="O2747" s="5">
        <v>-20.3289155943109</v>
      </c>
      <c r="P2747" s="5">
        <v>0.0</v>
      </c>
      <c r="Q2747" s="5">
        <v>0.0</v>
      </c>
      <c r="R2747" s="5">
        <v>0.0</v>
      </c>
      <c r="S2747" s="5">
        <v>675.309709252672</v>
      </c>
    </row>
    <row r="2748">
      <c r="A2748" s="6">
        <v>44342.0</v>
      </c>
      <c r="B2748" s="5">
        <v>696.95358990374</v>
      </c>
      <c r="C2748" s="5">
        <v>616.062711535245</v>
      </c>
      <c r="D2748" s="5">
        <v>738.05654226539</v>
      </c>
      <c r="E2748" s="5">
        <v>696.95358990374</v>
      </c>
      <c r="F2748" s="5">
        <v>696.95358990374</v>
      </c>
      <c r="G2748" s="5">
        <v>-20.0749203704803</v>
      </c>
      <c r="H2748" s="5">
        <v>-20.0749203704803</v>
      </c>
      <c r="I2748" s="5">
        <v>-20.0749203704803</v>
      </c>
      <c r="J2748" s="5">
        <v>0.00703780528241671</v>
      </c>
      <c r="K2748" s="5">
        <v>0.00703780528241671</v>
      </c>
      <c r="L2748" s="5">
        <v>0.00703780528241671</v>
      </c>
      <c r="M2748" s="5">
        <v>-20.0819581757627</v>
      </c>
      <c r="N2748" s="5">
        <v>-20.0819581757627</v>
      </c>
      <c r="O2748" s="5">
        <v>-20.0819581757627</v>
      </c>
      <c r="P2748" s="5">
        <v>0.0</v>
      </c>
      <c r="Q2748" s="5">
        <v>0.0</v>
      </c>
      <c r="R2748" s="5">
        <v>0.0</v>
      </c>
      <c r="S2748" s="5">
        <v>676.87866953326</v>
      </c>
    </row>
    <row r="2749">
      <c r="A2749" s="6">
        <v>44343.0</v>
      </c>
      <c r="B2749" s="5">
        <v>698.124436103254</v>
      </c>
      <c r="C2749" s="5">
        <v>615.445541879447</v>
      </c>
      <c r="D2749" s="5">
        <v>743.033621254755</v>
      </c>
      <c r="E2749" s="5">
        <v>698.124436103254</v>
      </c>
      <c r="F2749" s="5">
        <v>698.124436103254</v>
      </c>
      <c r="G2749" s="5">
        <v>-20.5731134267113</v>
      </c>
      <c r="H2749" s="5">
        <v>-20.5731134267113</v>
      </c>
      <c r="I2749" s="5">
        <v>-20.5731134267113</v>
      </c>
      <c r="J2749" s="5">
        <v>-0.77642252590281</v>
      </c>
      <c r="K2749" s="5">
        <v>-0.77642252590281</v>
      </c>
      <c r="L2749" s="5">
        <v>-0.77642252590281</v>
      </c>
      <c r="M2749" s="5">
        <v>-19.7966909008085</v>
      </c>
      <c r="N2749" s="5">
        <v>-19.7966909008085</v>
      </c>
      <c r="O2749" s="5">
        <v>-19.7966909008085</v>
      </c>
      <c r="P2749" s="5">
        <v>0.0</v>
      </c>
      <c r="Q2749" s="5">
        <v>0.0</v>
      </c>
      <c r="R2749" s="5">
        <v>0.0</v>
      </c>
      <c r="S2749" s="5">
        <v>677.551322676542</v>
      </c>
    </row>
    <row r="2750">
      <c r="A2750" s="6">
        <v>44344.0</v>
      </c>
      <c r="B2750" s="5">
        <v>699.295282302767</v>
      </c>
      <c r="C2750" s="5">
        <v>616.433482604765</v>
      </c>
      <c r="D2750" s="5">
        <v>741.523977375868</v>
      </c>
      <c r="E2750" s="5">
        <v>699.295282302767</v>
      </c>
      <c r="F2750" s="5">
        <v>699.295282302767</v>
      </c>
      <c r="G2750" s="5">
        <v>-21.0762515675162</v>
      </c>
      <c r="H2750" s="5">
        <v>-21.0762515675162</v>
      </c>
      <c r="I2750" s="5">
        <v>-21.0762515675162</v>
      </c>
      <c r="J2750" s="5">
        <v>-1.59155056649357</v>
      </c>
      <c r="K2750" s="5">
        <v>-1.59155056649357</v>
      </c>
      <c r="L2750" s="5">
        <v>-1.59155056649357</v>
      </c>
      <c r="M2750" s="5">
        <v>-19.4847010010226</v>
      </c>
      <c r="N2750" s="5">
        <v>-19.4847010010226</v>
      </c>
      <c r="O2750" s="5">
        <v>-19.4847010010226</v>
      </c>
      <c r="P2750" s="5">
        <v>0.0</v>
      </c>
      <c r="Q2750" s="5">
        <v>0.0</v>
      </c>
      <c r="R2750" s="5">
        <v>0.0</v>
      </c>
      <c r="S2750" s="5">
        <v>678.219030735251</v>
      </c>
    </row>
    <row r="2751">
      <c r="A2751" s="6">
        <v>44348.0</v>
      </c>
      <c r="B2751" s="5">
        <v>703.97866710082</v>
      </c>
      <c r="C2751" s="5">
        <v>616.984674016042</v>
      </c>
      <c r="D2751" s="5">
        <v>745.075973798378</v>
      </c>
      <c r="E2751" s="5">
        <v>703.97866710082</v>
      </c>
      <c r="F2751" s="5">
        <v>703.97866710082</v>
      </c>
      <c r="G2751" s="5">
        <v>-18.334165165275</v>
      </c>
      <c r="H2751" s="5">
        <v>-18.334165165275</v>
      </c>
      <c r="I2751" s="5">
        <v>-18.334165165275</v>
      </c>
      <c r="J2751" s="5">
        <v>-0.144118857243767</v>
      </c>
      <c r="K2751" s="5">
        <v>-0.144118857243767</v>
      </c>
      <c r="L2751" s="5">
        <v>-0.144118857243767</v>
      </c>
      <c r="M2751" s="5">
        <v>-18.1900463080312</v>
      </c>
      <c r="N2751" s="5">
        <v>-18.1900463080312</v>
      </c>
      <c r="O2751" s="5">
        <v>-18.1900463080312</v>
      </c>
      <c r="P2751" s="5">
        <v>0.0</v>
      </c>
      <c r="Q2751" s="5">
        <v>0.0</v>
      </c>
      <c r="R2751" s="5">
        <v>0.0</v>
      </c>
      <c r="S2751" s="5">
        <v>685.644501935545</v>
      </c>
    </row>
    <row r="2752">
      <c r="A2752" s="6">
        <v>44349.0</v>
      </c>
      <c r="B2752" s="5">
        <v>705.149513300333</v>
      </c>
      <c r="C2752" s="5">
        <v>628.64919222591</v>
      </c>
      <c r="D2752" s="5">
        <v>750.503391664738</v>
      </c>
      <c r="E2752" s="5">
        <v>705.149513300333</v>
      </c>
      <c r="F2752" s="5">
        <v>705.149513300333</v>
      </c>
      <c r="G2752" s="5">
        <v>-17.8957776527422</v>
      </c>
      <c r="H2752" s="5">
        <v>-17.8957776527422</v>
      </c>
      <c r="I2752" s="5">
        <v>-17.8957776527422</v>
      </c>
      <c r="J2752" s="5">
        <v>0.00703780528156428</v>
      </c>
      <c r="K2752" s="5">
        <v>0.00703780528156428</v>
      </c>
      <c r="L2752" s="5">
        <v>0.00703780528156428</v>
      </c>
      <c r="M2752" s="5">
        <v>-17.9028154580238</v>
      </c>
      <c r="N2752" s="5">
        <v>-17.9028154580238</v>
      </c>
      <c r="O2752" s="5">
        <v>-17.9028154580238</v>
      </c>
      <c r="P2752" s="5">
        <v>0.0</v>
      </c>
      <c r="Q2752" s="5">
        <v>0.0</v>
      </c>
      <c r="R2752" s="5">
        <v>0.0</v>
      </c>
      <c r="S2752" s="5">
        <v>687.253735647591</v>
      </c>
    </row>
    <row r="2753">
      <c r="A2753" s="6">
        <v>44350.0</v>
      </c>
      <c r="B2753" s="5">
        <v>706.320359499847</v>
      </c>
      <c r="C2753" s="5">
        <v>624.745675316994</v>
      </c>
      <c r="D2753" s="5">
        <v>751.245351254331</v>
      </c>
      <c r="E2753" s="5">
        <v>706.320359499847</v>
      </c>
      <c r="F2753" s="5">
        <v>706.320359499847</v>
      </c>
      <c r="G2753" s="5">
        <v>-18.4215616349222</v>
      </c>
      <c r="H2753" s="5">
        <v>-18.4215616349222</v>
      </c>
      <c r="I2753" s="5">
        <v>-18.4215616349222</v>
      </c>
      <c r="J2753" s="5">
        <v>-0.776422525904906</v>
      </c>
      <c r="K2753" s="5">
        <v>-0.776422525904906</v>
      </c>
      <c r="L2753" s="5">
        <v>-0.776422525904906</v>
      </c>
      <c r="M2753" s="5">
        <v>-17.6451391090173</v>
      </c>
      <c r="N2753" s="5">
        <v>-17.6451391090173</v>
      </c>
      <c r="O2753" s="5">
        <v>-17.6451391090173</v>
      </c>
      <c r="P2753" s="5">
        <v>0.0</v>
      </c>
      <c r="Q2753" s="5">
        <v>0.0</v>
      </c>
      <c r="R2753" s="5">
        <v>0.0</v>
      </c>
      <c r="S2753" s="5">
        <v>687.898797864924</v>
      </c>
    </row>
    <row r="2754">
      <c r="A2754" s="6">
        <v>44351.0</v>
      </c>
      <c r="B2754" s="5">
        <v>707.49120569936</v>
      </c>
      <c r="C2754" s="5">
        <v>628.17928197556</v>
      </c>
      <c r="D2754" s="5">
        <v>748.933061729534</v>
      </c>
      <c r="E2754" s="5">
        <v>707.49120569936</v>
      </c>
      <c r="F2754" s="5">
        <v>707.49120569936</v>
      </c>
      <c r="G2754" s="5">
        <v>-19.0133663505787</v>
      </c>
      <c r="H2754" s="5">
        <v>-19.0133663505787</v>
      </c>
      <c r="I2754" s="5">
        <v>-19.0133663505787</v>
      </c>
      <c r="J2754" s="5">
        <v>-1.59155056649264</v>
      </c>
      <c r="K2754" s="5">
        <v>-1.59155056649264</v>
      </c>
      <c r="L2754" s="5">
        <v>-1.59155056649264</v>
      </c>
      <c r="M2754" s="5">
        <v>-17.421815784086</v>
      </c>
      <c r="N2754" s="5">
        <v>-17.421815784086</v>
      </c>
      <c r="O2754" s="5">
        <v>-17.421815784086</v>
      </c>
      <c r="P2754" s="5">
        <v>0.0</v>
      </c>
      <c r="Q2754" s="5">
        <v>0.0</v>
      </c>
      <c r="R2754" s="5">
        <v>0.0</v>
      </c>
      <c r="S2754" s="5">
        <v>688.477839348781</v>
      </c>
    </row>
    <row r="2755">
      <c r="A2755" s="6">
        <v>44354.0</v>
      </c>
      <c r="B2755" s="5">
        <v>711.003744297899</v>
      </c>
      <c r="C2755" s="5">
        <v>631.9858482369</v>
      </c>
      <c r="D2755" s="5">
        <v>758.051981300175</v>
      </c>
      <c r="E2755" s="5">
        <v>711.003744297899</v>
      </c>
      <c r="F2755" s="5">
        <v>711.003744297899</v>
      </c>
      <c r="G2755" s="5">
        <v>-16.8889625697496</v>
      </c>
      <c r="H2755" s="5">
        <v>-16.8889625697496</v>
      </c>
      <c r="I2755" s="5">
        <v>-16.8889625697496</v>
      </c>
      <c r="J2755" s="5">
        <v>0.0905589421199701</v>
      </c>
      <c r="K2755" s="5">
        <v>0.0905589421199701</v>
      </c>
      <c r="L2755" s="5">
        <v>0.0905589421199701</v>
      </c>
      <c r="M2755" s="5">
        <v>-16.9795215118696</v>
      </c>
      <c r="N2755" s="5">
        <v>-16.9795215118696</v>
      </c>
      <c r="O2755" s="5">
        <v>-16.9795215118696</v>
      </c>
      <c r="P2755" s="5">
        <v>0.0</v>
      </c>
      <c r="Q2755" s="5">
        <v>0.0</v>
      </c>
      <c r="R2755" s="5">
        <v>0.0</v>
      </c>
      <c r="S2755" s="5">
        <v>694.11478172815</v>
      </c>
    </row>
    <row r="2756">
      <c r="A2756" s="6">
        <v>44355.0</v>
      </c>
      <c r="B2756" s="5">
        <v>712.174590497413</v>
      </c>
      <c r="C2756" s="5">
        <v>632.72964312948</v>
      </c>
      <c r="D2756" s="5">
        <v>760.911229261702</v>
      </c>
      <c r="E2756" s="5">
        <v>712.174590497413</v>
      </c>
      <c r="F2756" s="5">
        <v>712.174590497413</v>
      </c>
      <c r="G2756" s="5">
        <v>-17.0503862803734</v>
      </c>
      <c r="H2756" s="5">
        <v>-17.0503862803734</v>
      </c>
      <c r="I2756" s="5">
        <v>-17.0503862803734</v>
      </c>
      <c r="J2756" s="5">
        <v>-0.144118857245203</v>
      </c>
      <c r="K2756" s="5">
        <v>-0.144118857245203</v>
      </c>
      <c r="L2756" s="5">
        <v>-0.144118857245203</v>
      </c>
      <c r="M2756" s="5">
        <v>-16.9062674231282</v>
      </c>
      <c r="N2756" s="5">
        <v>-16.9062674231282</v>
      </c>
      <c r="O2756" s="5">
        <v>-16.9062674231282</v>
      </c>
      <c r="P2756" s="5">
        <v>0.0</v>
      </c>
      <c r="Q2756" s="5">
        <v>0.0</v>
      </c>
      <c r="R2756" s="5">
        <v>0.0</v>
      </c>
      <c r="S2756" s="5">
        <v>695.124204217039</v>
      </c>
    </row>
    <row r="2757">
      <c r="A2757" s="6">
        <v>44356.0</v>
      </c>
      <c r="B2757" s="5">
        <v>713.345436696926</v>
      </c>
      <c r="C2757" s="5">
        <v>636.049116761781</v>
      </c>
      <c r="D2757" s="5">
        <v>758.704202298037</v>
      </c>
      <c r="E2757" s="5">
        <v>713.345436696926</v>
      </c>
      <c r="F2757" s="5">
        <v>713.345436696926</v>
      </c>
      <c r="G2757" s="5">
        <v>-16.8579668138258</v>
      </c>
      <c r="H2757" s="5">
        <v>-16.8579668138258</v>
      </c>
      <c r="I2757" s="5">
        <v>-16.8579668138258</v>
      </c>
      <c r="J2757" s="5">
        <v>0.00703780528287532</v>
      </c>
      <c r="K2757" s="5">
        <v>0.00703780528287532</v>
      </c>
      <c r="L2757" s="5">
        <v>0.00703780528287532</v>
      </c>
      <c r="M2757" s="5">
        <v>-16.8650046191087</v>
      </c>
      <c r="N2757" s="5">
        <v>-16.8650046191087</v>
      </c>
      <c r="O2757" s="5">
        <v>-16.8650046191087</v>
      </c>
      <c r="P2757" s="5">
        <v>0.0</v>
      </c>
      <c r="Q2757" s="5">
        <v>0.0</v>
      </c>
      <c r="R2757" s="5">
        <v>0.0</v>
      </c>
      <c r="S2757" s="5">
        <v>696.4874698831</v>
      </c>
    </row>
    <row r="2758">
      <c r="A2758" s="6">
        <v>44357.0</v>
      </c>
      <c r="B2758" s="5">
        <v>714.516282896439</v>
      </c>
      <c r="C2758" s="5">
        <v>634.30137952842</v>
      </c>
      <c r="D2758" s="5">
        <v>756.588927930659</v>
      </c>
      <c r="E2758" s="5">
        <v>714.516282896439</v>
      </c>
      <c r="F2758" s="5">
        <v>714.516282896439</v>
      </c>
      <c r="G2758" s="5">
        <v>-17.626825091959</v>
      </c>
      <c r="H2758" s="5">
        <v>-17.626825091959</v>
      </c>
      <c r="I2758" s="5">
        <v>-17.626825091959</v>
      </c>
      <c r="J2758" s="5">
        <v>-0.776422525904253</v>
      </c>
      <c r="K2758" s="5">
        <v>-0.776422525904253</v>
      </c>
      <c r="L2758" s="5">
        <v>-0.776422525904253</v>
      </c>
      <c r="M2758" s="5">
        <v>-16.8504025660547</v>
      </c>
      <c r="N2758" s="5">
        <v>-16.8504025660547</v>
      </c>
      <c r="O2758" s="5">
        <v>-16.8504025660547</v>
      </c>
      <c r="P2758" s="5">
        <v>0.0</v>
      </c>
      <c r="Q2758" s="5">
        <v>0.0</v>
      </c>
      <c r="R2758" s="5">
        <v>0.0</v>
      </c>
      <c r="S2758" s="5">
        <v>696.88945780448</v>
      </c>
    </row>
    <row r="2759">
      <c r="A2759" s="6">
        <v>44358.0</v>
      </c>
      <c r="B2759" s="5">
        <v>715.687129095952</v>
      </c>
      <c r="C2759" s="5">
        <v>631.015190406626</v>
      </c>
      <c r="D2759" s="5">
        <v>757.820245220944</v>
      </c>
      <c r="E2759" s="5">
        <v>715.687129095952</v>
      </c>
      <c r="F2759" s="5">
        <v>715.687129095952</v>
      </c>
      <c r="G2759" s="5">
        <v>-18.4474354431798</v>
      </c>
      <c r="H2759" s="5">
        <v>-18.4474354431798</v>
      </c>
      <c r="I2759" s="5">
        <v>-18.4474354431798</v>
      </c>
      <c r="J2759" s="5">
        <v>-1.59155056649172</v>
      </c>
      <c r="K2759" s="5">
        <v>-1.59155056649172</v>
      </c>
      <c r="L2759" s="5">
        <v>-1.59155056649172</v>
      </c>
      <c r="M2759" s="5">
        <v>-16.8558848766881</v>
      </c>
      <c r="N2759" s="5">
        <v>-16.8558848766881</v>
      </c>
      <c r="O2759" s="5">
        <v>-16.8558848766881</v>
      </c>
      <c r="P2759" s="5">
        <v>0.0</v>
      </c>
      <c r="Q2759" s="5">
        <v>0.0</v>
      </c>
      <c r="R2759" s="5">
        <v>0.0</v>
      </c>
      <c r="S2759" s="5">
        <v>697.239693652773</v>
      </c>
    </row>
    <row r="2760">
      <c r="A2760" s="6">
        <v>44361.0</v>
      </c>
      <c r="B2760" s="5">
        <v>719.199667694492</v>
      </c>
      <c r="C2760" s="5">
        <v>639.952430616577</v>
      </c>
      <c r="D2760" s="5">
        <v>764.038939012967</v>
      </c>
      <c r="E2760" s="5">
        <v>719.199667694492</v>
      </c>
      <c r="F2760" s="5">
        <v>719.199667694492</v>
      </c>
      <c r="G2760" s="5">
        <v>-16.8231679313344</v>
      </c>
      <c r="H2760" s="5">
        <v>-16.8231679313344</v>
      </c>
      <c r="I2760" s="5">
        <v>-16.8231679313344</v>
      </c>
      <c r="J2760" s="5">
        <v>0.0905589421209167</v>
      </c>
      <c r="K2760" s="5">
        <v>0.0905589421209167</v>
      </c>
      <c r="L2760" s="5">
        <v>0.0905589421209167</v>
      </c>
      <c r="M2760" s="5">
        <v>-16.9137268734554</v>
      </c>
      <c r="N2760" s="5">
        <v>-16.9137268734554</v>
      </c>
      <c r="O2760" s="5">
        <v>-16.9137268734554</v>
      </c>
      <c r="P2760" s="5">
        <v>0.0</v>
      </c>
      <c r="Q2760" s="5">
        <v>0.0</v>
      </c>
      <c r="R2760" s="5">
        <v>0.0</v>
      </c>
      <c r="S2760" s="5">
        <v>702.376499763158</v>
      </c>
    </row>
    <row r="2761">
      <c r="A2761" s="6">
        <v>44362.0</v>
      </c>
      <c r="B2761" s="5">
        <v>720.370513894006</v>
      </c>
      <c r="C2761" s="5">
        <v>637.321202672283</v>
      </c>
      <c r="D2761" s="5">
        <v>763.477110228011</v>
      </c>
      <c r="E2761" s="5">
        <v>720.370513894006</v>
      </c>
      <c r="F2761" s="5">
        <v>720.370513894006</v>
      </c>
      <c r="G2761" s="5">
        <v>-17.0621205859704</v>
      </c>
      <c r="H2761" s="5">
        <v>-17.0621205859704</v>
      </c>
      <c r="I2761" s="5">
        <v>-17.0621205859704</v>
      </c>
      <c r="J2761" s="5">
        <v>-0.144118857244115</v>
      </c>
      <c r="K2761" s="5">
        <v>-0.144118857244115</v>
      </c>
      <c r="L2761" s="5">
        <v>-0.144118857244115</v>
      </c>
      <c r="M2761" s="5">
        <v>-16.9180017287263</v>
      </c>
      <c r="N2761" s="5">
        <v>-16.9180017287263</v>
      </c>
      <c r="O2761" s="5">
        <v>-16.9180017287263</v>
      </c>
      <c r="P2761" s="5">
        <v>0.0</v>
      </c>
      <c r="Q2761" s="5">
        <v>0.0</v>
      </c>
      <c r="R2761" s="5">
        <v>0.0</v>
      </c>
      <c r="S2761" s="5">
        <v>703.308393308035</v>
      </c>
    </row>
    <row r="2762">
      <c r="A2762" s="6">
        <v>44363.0</v>
      </c>
      <c r="B2762" s="5">
        <v>721.541360093518</v>
      </c>
      <c r="C2762" s="5">
        <v>644.332646220983</v>
      </c>
      <c r="D2762" s="5">
        <v>765.778738977663</v>
      </c>
      <c r="E2762" s="5">
        <v>721.541360093518</v>
      </c>
      <c r="F2762" s="5">
        <v>721.541360093518</v>
      </c>
      <c r="G2762" s="5">
        <v>-16.8931887267533</v>
      </c>
      <c r="H2762" s="5">
        <v>-16.8931887267533</v>
      </c>
      <c r="I2762" s="5">
        <v>-16.8931887267533</v>
      </c>
      <c r="J2762" s="5">
        <v>0.00703780528418639</v>
      </c>
      <c r="K2762" s="5">
        <v>0.00703780528418639</v>
      </c>
      <c r="L2762" s="5">
        <v>0.00703780528418639</v>
      </c>
      <c r="M2762" s="5">
        <v>-16.9002265320375</v>
      </c>
      <c r="N2762" s="5">
        <v>-16.9002265320375</v>
      </c>
      <c r="O2762" s="5">
        <v>-16.9002265320375</v>
      </c>
      <c r="P2762" s="5">
        <v>0.0</v>
      </c>
      <c r="Q2762" s="5">
        <v>0.0</v>
      </c>
      <c r="R2762" s="5">
        <v>0.0</v>
      </c>
      <c r="S2762" s="5">
        <v>704.648171366765</v>
      </c>
    </row>
    <row r="2763">
      <c r="A2763" s="6">
        <v>44364.0</v>
      </c>
      <c r="B2763" s="5">
        <v>722.712206293032</v>
      </c>
      <c r="C2763" s="5">
        <v>639.608329397945</v>
      </c>
      <c r="D2763" s="5">
        <v>763.376693302548</v>
      </c>
      <c r="E2763" s="5">
        <v>722.712206293032</v>
      </c>
      <c r="F2763" s="5">
        <v>722.712206293032</v>
      </c>
      <c r="G2763" s="5">
        <v>-17.6286563232738</v>
      </c>
      <c r="H2763" s="5">
        <v>-17.6286563232738</v>
      </c>
      <c r="I2763" s="5">
        <v>-17.6286563232738</v>
      </c>
      <c r="J2763" s="5">
        <v>-0.77642252590065</v>
      </c>
      <c r="K2763" s="5">
        <v>-0.77642252590065</v>
      </c>
      <c r="L2763" s="5">
        <v>-0.77642252590065</v>
      </c>
      <c r="M2763" s="5">
        <v>-16.8522337973732</v>
      </c>
      <c r="N2763" s="5">
        <v>-16.8522337973732</v>
      </c>
      <c r="O2763" s="5">
        <v>-16.8522337973732</v>
      </c>
      <c r="P2763" s="5">
        <v>0.0</v>
      </c>
      <c r="Q2763" s="5">
        <v>0.0</v>
      </c>
      <c r="R2763" s="5">
        <v>0.0</v>
      </c>
      <c r="S2763" s="5">
        <v>705.083549969758</v>
      </c>
    </row>
    <row r="2764">
      <c r="A2764" s="6">
        <v>44365.0</v>
      </c>
      <c r="B2764" s="5">
        <v>723.883052492545</v>
      </c>
      <c r="C2764" s="5">
        <v>644.488612767427</v>
      </c>
      <c r="D2764" s="5">
        <v>765.693184343905</v>
      </c>
      <c r="E2764" s="5">
        <v>723.883052492545</v>
      </c>
      <c r="F2764" s="5">
        <v>723.883052492545</v>
      </c>
      <c r="G2764" s="5">
        <v>-18.3581928736456</v>
      </c>
      <c r="H2764" s="5">
        <v>-18.3581928736456</v>
      </c>
      <c r="I2764" s="5">
        <v>-18.3581928736456</v>
      </c>
      <c r="J2764" s="5">
        <v>-1.5915505664966</v>
      </c>
      <c r="K2764" s="5">
        <v>-1.5915505664966</v>
      </c>
      <c r="L2764" s="5">
        <v>-1.5915505664966</v>
      </c>
      <c r="M2764" s="5">
        <v>-16.766642307149</v>
      </c>
      <c r="N2764" s="5">
        <v>-16.766642307149</v>
      </c>
      <c r="O2764" s="5">
        <v>-16.766642307149</v>
      </c>
      <c r="P2764" s="5">
        <v>0.0</v>
      </c>
      <c r="Q2764" s="5">
        <v>0.0</v>
      </c>
      <c r="R2764" s="5">
        <v>0.0</v>
      </c>
      <c r="S2764" s="5">
        <v>705.5248596189</v>
      </c>
    </row>
    <row r="2765">
      <c r="A2765" s="6">
        <v>44368.0</v>
      </c>
      <c r="B2765" s="5">
        <v>727.395591091085</v>
      </c>
      <c r="C2765" s="5">
        <v>644.533511765235</v>
      </c>
      <c r="D2765" s="5">
        <v>773.923089636379</v>
      </c>
      <c r="E2765" s="5">
        <v>727.395591091085</v>
      </c>
      <c r="F2765" s="5">
        <v>727.395591091085</v>
      </c>
      <c r="G2765" s="5">
        <v>-16.1370291404884</v>
      </c>
      <c r="H2765" s="5">
        <v>-16.1370291404884</v>
      </c>
      <c r="I2765" s="5">
        <v>-16.1370291404884</v>
      </c>
      <c r="J2765" s="5">
        <v>0.0905589421170953</v>
      </c>
      <c r="K2765" s="5">
        <v>0.0905589421170953</v>
      </c>
      <c r="L2765" s="5">
        <v>0.0905589421170953</v>
      </c>
      <c r="M2765" s="5">
        <v>-16.2275880826055</v>
      </c>
      <c r="N2765" s="5">
        <v>-16.2275880826055</v>
      </c>
      <c r="O2765" s="5">
        <v>-16.2275880826055</v>
      </c>
      <c r="P2765" s="5">
        <v>0.0</v>
      </c>
      <c r="Q2765" s="5">
        <v>0.0</v>
      </c>
      <c r="R2765" s="5">
        <v>0.0</v>
      </c>
      <c r="S2765" s="5">
        <v>711.258561950596</v>
      </c>
    </row>
    <row r="2766">
      <c r="A2766" s="6">
        <v>44369.0</v>
      </c>
      <c r="B2766" s="5">
        <v>728.566437290598</v>
      </c>
      <c r="C2766" s="5">
        <v>651.018803155823</v>
      </c>
      <c r="D2766" s="5">
        <v>773.422670127675</v>
      </c>
      <c r="E2766" s="5">
        <v>728.566437290598</v>
      </c>
      <c r="F2766" s="5">
        <v>728.566437290598</v>
      </c>
      <c r="G2766" s="5">
        <v>-16.0861762144691</v>
      </c>
      <c r="H2766" s="5">
        <v>-16.0861762144691</v>
      </c>
      <c r="I2766" s="5">
        <v>-16.0861762144691</v>
      </c>
      <c r="J2766" s="5">
        <v>-0.144118857245855</v>
      </c>
      <c r="K2766" s="5">
        <v>-0.144118857245855</v>
      </c>
      <c r="L2766" s="5">
        <v>-0.144118857245855</v>
      </c>
      <c r="M2766" s="5">
        <v>-15.9420573572232</v>
      </c>
      <c r="N2766" s="5">
        <v>-15.9420573572232</v>
      </c>
      <c r="O2766" s="5">
        <v>-15.9420573572232</v>
      </c>
      <c r="P2766" s="5">
        <v>0.0</v>
      </c>
      <c r="Q2766" s="5">
        <v>0.0</v>
      </c>
      <c r="R2766" s="5">
        <v>0.0</v>
      </c>
      <c r="S2766" s="5">
        <v>712.480261076129</v>
      </c>
    </row>
    <row r="2767">
      <c r="A2767" s="6">
        <v>44370.0</v>
      </c>
      <c r="B2767" s="5">
        <v>729.737283490111</v>
      </c>
      <c r="C2767" s="5">
        <v>650.825678005643</v>
      </c>
      <c r="D2767" s="5">
        <v>778.590045663933</v>
      </c>
      <c r="E2767" s="5">
        <v>729.737283490111</v>
      </c>
      <c r="F2767" s="5">
        <v>729.737283490111</v>
      </c>
      <c r="G2767" s="5">
        <v>-15.5947701218289</v>
      </c>
      <c r="H2767" s="5">
        <v>-15.5947701218289</v>
      </c>
      <c r="I2767" s="5">
        <v>-15.5947701218289</v>
      </c>
      <c r="J2767" s="5">
        <v>0.00703780528117021</v>
      </c>
      <c r="K2767" s="5">
        <v>0.00703780528117021</v>
      </c>
      <c r="L2767" s="5">
        <v>0.00703780528117021</v>
      </c>
      <c r="M2767" s="5">
        <v>-15.60180792711</v>
      </c>
      <c r="N2767" s="5">
        <v>-15.60180792711</v>
      </c>
      <c r="O2767" s="5">
        <v>-15.60180792711</v>
      </c>
      <c r="P2767" s="5">
        <v>0.0</v>
      </c>
      <c r="Q2767" s="5">
        <v>0.0</v>
      </c>
      <c r="R2767" s="5">
        <v>0.0</v>
      </c>
      <c r="S2767" s="5">
        <v>714.142513368282</v>
      </c>
    </row>
    <row r="2768">
      <c r="A2768" s="6">
        <v>44371.0</v>
      </c>
      <c r="B2768" s="5">
        <v>730.908129689625</v>
      </c>
      <c r="C2768" s="5">
        <v>654.51566495119</v>
      </c>
      <c r="D2768" s="5">
        <v>776.890293108909</v>
      </c>
      <c r="E2768" s="5">
        <v>730.908129689625</v>
      </c>
      <c r="F2768" s="5">
        <v>730.908129689625</v>
      </c>
      <c r="G2768" s="5">
        <v>-15.9847976983953</v>
      </c>
      <c r="H2768" s="5">
        <v>-15.9847976983953</v>
      </c>
      <c r="I2768" s="5">
        <v>-15.9847976983953</v>
      </c>
      <c r="J2768" s="5">
        <v>-0.776422525901373</v>
      </c>
      <c r="K2768" s="5">
        <v>-0.776422525901373</v>
      </c>
      <c r="L2768" s="5">
        <v>-0.776422525901373</v>
      </c>
      <c r="M2768" s="5">
        <v>-15.208375172494</v>
      </c>
      <c r="N2768" s="5">
        <v>-15.208375172494</v>
      </c>
      <c r="O2768" s="5">
        <v>-15.208375172494</v>
      </c>
      <c r="P2768" s="5">
        <v>0.0</v>
      </c>
      <c r="Q2768" s="5">
        <v>0.0</v>
      </c>
      <c r="R2768" s="5">
        <v>0.0</v>
      </c>
      <c r="S2768" s="5">
        <v>714.923331991229</v>
      </c>
    </row>
    <row r="2769">
      <c r="A2769" s="6">
        <v>44372.0</v>
      </c>
      <c r="B2769" s="5">
        <v>732.078975889138</v>
      </c>
      <c r="C2769" s="5">
        <v>652.399509252245</v>
      </c>
      <c r="D2769" s="5">
        <v>775.65575586571</v>
      </c>
      <c r="E2769" s="5">
        <v>732.078975889138</v>
      </c>
      <c r="F2769" s="5">
        <v>732.078975889138</v>
      </c>
      <c r="G2769" s="5">
        <v>-16.3565962399877</v>
      </c>
      <c r="H2769" s="5">
        <v>-16.3565962399877</v>
      </c>
      <c r="I2769" s="5">
        <v>-16.3565962399877</v>
      </c>
      <c r="J2769" s="5">
        <v>-1.59155056649536</v>
      </c>
      <c r="K2769" s="5">
        <v>-1.59155056649536</v>
      </c>
      <c r="L2769" s="5">
        <v>-1.59155056649536</v>
      </c>
      <c r="M2769" s="5">
        <v>-14.7650456734923</v>
      </c>
      <c r="N2769" s="5">
        <v>-14.7650456734923</v>
      </c>
      <c r="O2769" s="5">
        <v>-14.7650456734923</v>
      </c>
      <c r="P2769" s="5">
        <v>0.0</v>
      </c>
      <c r="Q2769" s="5">
        <v>0.0</v>
      </c>
      <c r="R2769" s="5">
        <v>0.0</v>
      </c>
      <c r="S2769" s="5">
        <v>715.72237964915</v>
      </c>
    </row>
    <row r="2770">
      <c r="A2770" s="6">
        <v>44375.0</v>
      </c>
      <c r="B2770" s="5">
        <v>735.591514487678</v>
      </c>
      <c r="C2770" s="5">
        <v>657.917915596715</v>
      </c>
      <c r="D2770" s="5">
        <v>785.795548961681</v>
      </c>
      <c r="E2770" s="5">
        <v>735.591514487678</v>
      </c>
      <c r="F2770" s="5">
        <v>735.591514487678</v>
      </c>
      <c r="G2770" s="5">
        <v>-13.1025014269604</v>
      </c>
      <c r="H2770" s="5">
        <v>-13.1025014269604</v>
      </c>
      <c r="I2770" s="5">
        <v>-13.1025014269604</v>
      </c>
      <c r="J2770" s="5">
        <v>0.0905589421229697</v>
      </c>
      <c r="K2770" s="5">
        <v>0.0905589421229697</v>
      </c>
      <c r="L2770" s="5">
        <v>0.0905589421229697</v>
      </c>
      <c r="M2770" s="5">
        <v>-13.1930603690834</v>
      </c>
      <c r="N2770" s="5">
        <v>-13.1930603690834</v>
      </c>
      <c r="O2770" s="5">
        <v>-13.1930603690834</v>
      </c>
      <c r="P2770" s="5">
        <v>0.0</v>
      </c>
      <c r="Q2770" s="5">
        <v>0.0</v>
      </c>
      <c r="R2770" s="5">
        <v>0.0</v>
      </c>
      <c r="S2770" s="5">
        <v>722.489013060717</v>
      </c>
    </row>
    <row r="2771">
      <c r="A2771" s="6">
        <v>44376.0</v>
      </c>
      <c r="B2771" s="5">
        <v>736.762360687191</v>
      </c>
      <c r="C2771" s="5">
        <v>660.690728825309</v>
      </c>
      <c r="D2771" s="5">
        <v>783.212248154855</v>
      </c>
      <c r="E2771" s="5">
        <v>736.762360687191</v>
      </c>
      <c r="F2771" s="5">
        <v>736.762360687191</v>
      </c>
      <c r="G2771" s="5">
        <v>-12.7587645823896</v>
      </c>
      <c r="H2771" s="5">
        <v>-12.7587645823896</v>
      </c>
      <c r="I2771" s="5">
        <v>-12.7587645823896</v>
      </c>
      <c r="J2771" s="5">
        <v>-0.144118857244767</v>
      </c>
      <c r="K2771" s="5">
        <v>-0.144118857244767</v>
      </c>
      <c r="L2771" s="5">
        <v>-0.144118857244767</v>
      </c>
      <c r="M2771" s="5">
        <v>-12.6146457251449</v>
      </c>
      <c r="N2771" s="5">
        <v>-12.6146457251449</v>
      </c>
      <c r="O2771" s="5">
        <v>-12.6146457251449</v>
      </c>
      <c r="P2771" s="5">
        <v>0.0</v>
      </c>
      <c r="Q2771" s="5">
        <v>0.0</v>
      </c>
      <c r="R2771" s="5">
        <v>0.0</v>
      </c>
      <c r="S2771" s="5">
        <v>724.003596104801</v>
      </c>
    </row>
    <row r="2772">
      <c r="A2772" s="6">
        <v>44377.0</v>
      </c>
      <c r="B2772" s="5">
        <v>737.933206886704</v>
      </c>
      <c r="C2772" s="5">
        <v>661.502312146743</v>
      </c>
      <c r="D2772" s="5">
        <v>789.397358611457</v>
      </c>
      <c r="E2772" s="5">
        <v>737.933206886704</v>
      </c>
      <c r="F2772" s="5">
        <v>737.933206886704</v>
      </c>
      <c r="G2772" s="5">
        <v>-12.0179300406266</v>
      </c>
      <c r="H2772" s="5">
        <v>-12.0179300406266</v>
      </c>
      <c r="I2772" s="5">
        <v>-12.0179300406266</v>
      </c>
      <c r="J2772" s="5">
        <v>0.00703780528248141</v>
      </c>
      <c r="K2772" s="5">
        <v>0.00703780528248141</v>
      </c>
      <c r="L2772" s="5">
        <v>0.00703780528248141</v>
      </c>
      <c r="M2772" s="5">
        <v>-12.0249678459091</v>
      </c>
      <c r="N2772" s="5">
        <v>-12.0249678459091</v>
      </c>
      <c r="O2772" s="5">
        <v>-12.0249678459091</v>
      </c>
      <c r="P2772" s="5">
        <v>0.0</v>
      </c>
      <c r="Q2772" s="5">
        <v>0.0</v>
      </c>
      <c r="R2772" s="5">
        <v>0.0</v>
      </c>
      <c r="S2772" s="5">
        <v>725.915276846077</v>
      </c>
    </row>
    <row r="2773">
      <c r="A2773" s="6">
        <v>44378.0</v>
      </c>
      <c r="B2773" s="5">
        <v>739.104053086218</v>
      </c>
      <c r="C2773" s="5">
        <v>663.76022629155</v>
      </c>
      <c r="D2773" s="5">
        <v>787.11471057974</v>
      </c>
      <c r="E2773" s="5">
        <v>739.104053086218</v>
      </c>
      <c r="F2773" s="5">
        <v>739.104053086218</v>
      </c>
      <c r="G2773" s="5">
        <v>-12.2111672317772</v>
      </c>
      <c r="H2773" s="5">
        <v>-12.2111672317772</v>
      </c>
      <c r="I2773" s="5">
        <v>-12.2111672317772</v>
      </c>
      <c r="J2773" s="5">
        <v>-0.776422525903469</v>
      </c>
      <c r="K2773" s="5">
        <v>-0.776422525903469</v>
      </c>
      <c r="L2773" s="5">
        <v>-0.776422525903469</v>
      </c>
      <c r="M2773" s="5">
        <v>-11.4347447058738</v>
      </c>
      <c r="N2773" s="5">
        <v>-11.4347447058738</v>
      </c>
      <c r="O2773" s="5">
        <v>-11.4347447058738</v>
      </c>
      <c r="P2773" s="5">
        <v>0.0</v>
      </c>
      <c r="Q2773" s="5">
        <v>0.0</v>
      </c>
      <c r="R2773" s="5">
        <v>0.0</v>
      </c>
      <c r="S2773" s="5">
        <v>726.89288585444</v>
      </c>
    </row>
    <row r="2774">
      <c r="A2774" s="6">
        <v>44379.0</v>
      </c>
      <c r="B2774" s="5">
        <v>740.27489928573</v>
      </c>
      <c r="C2774" s="5">
        <v>668.065278998624</v>
      </c>
      <c r="D2774" s="5">
        <v>793.681314178108</v>
      </c>
      <c r="E2774" s="5">
        <v>740.27489928573</v>
      </c>
      <c r="F2774" s="5">
        <v>740.27489928573</v>
      </c>
      <c r="G2774" s="5">
        <v>-12.4465985792891</v>
      </c>
      <c r="H2774" s="5">
        <v>-12.4465985792891</v>
      </c>
      <c r="I2774" s="5">
        <v>-12.4465985792891</v>
      </c>
      <c r="J2774" s="5">
        <v>-1.59155056649443</v>
      </c>
      <c r="K2774" s="5">
        <v>-1.59155056649443</v>
      </c>
      <c r="L2774" s="5">
        <v>-1.59155056649443</v>
      </c>
      <c r="M2774" s="5">
        <v>-10.8550480127947</v>
      </c>
      <c r="N2774" s="5">
        <v>-10.8550480127947</v>
      </c>
      <c r="O2774" s="5">
        <v>-10.8550480127947</v>
      </c>
      <c r="P2774" s="5">
        <v>0.0</v>
      </c>
      <c r="Q2774" s="5">
        <v>0.0</v>
      </c>
      <c r="R2774" s="5">
        <v>0.0</v>
      </c>
      <c r="S2774" s="5">
        <v>727.828300706441</v>
      </c>
    </row>
    <row r="2775">
      <c r="A2775" s="6">
        <v>44383.0</v>
      </c>
      <c r="B2775" s="5">
        <v>744.958284083784</v>
      </c>
      <c r="C2775" s="5">
        <v>668.030791193676</v>
      </c>
      <c r="D2775" s="5">
        <v>803.136810079447</v>
      </c>
      <c r="E2775" s="5">
        <v>744.958284083784</v>
      </c>
      <c r="F2775" s="5">
        <v>744.958284083784</v>
      </c>
      <c r="G2775" s="5">
        <v>-9.00172405185773</v>
      </c>
      <c r="H2775" s="5">
        <v>-9.00172405185773</v>
      </c>
      <c r="I2775" s="5">
        <v>-9.00172405185773</v>
      </c>
      <c r="J2775" s="5">
        <v>-0.144118857246203</v>
      </c>
      <c r="K2775" s="5">
        <v>-0.144118857246203</v>
      </c>
      <c r="L2775" s="5">
        <v>-0.144118857246203</v>
      </c>
      <c r="M2775" s="5">
        <v>-8.85760519461152</v>
      </c>
      <c r="N2775" s="5">
        <v>-8.85760519461152</v>
      </c>
      <c r="O2775" s="5">
        <v>-8.85760519461152</v>
      </c>
      <c r="P2775" s="5">
        <v>0.0</v>
      </c>
      <c r="Q2775" s="5">
        <v>0.0</v>
      </c>
      <c r="R2775" s="5">
        <v>0.0</v>
      </c>
      <c r="S2775" s="5">
        <v>735.956560031926</v>
      </c>
    </row>
    <row r="2776">
      <c r="A2776" s="6">
        <v>44384.0</v>
      </c>
      <c r="B2776" s="5">
        <v>746.129130283297</v>
      </c>
      <c r="C2776" s="5">
        <v>678.551060750019</v>
      </c>
      <c r="D2776" s="5">
        <v>800.430779629859</v>
      </c>
      <c r="E2776" s="5">
        <v>746.129130283297</v>
      </c>
      <c r="F2776" s="5">
        <v>746.129130283297</v>
      </c>
      <c r="G2776" s="5">
        <v>-8.47987753343242</v>
      </c>
      <c r="H2776" s="5">
        <v>-8.47987753343242</v>
      </c>
      <c r="I2776" s="5">
        <v>-8.47987753343242</v>
      </c>
      <c r="J2776" s="5">
        <v>0.00703780528162886</v>
      </c>
      <c r="K2776" s="5">
        <v>0.00703780528162886</v>
      </c>
      <c r="L2776" s="5">
        <v>0.00703780528162886</v>
      </c>
      <c r="M2776" s="5">
        <v>-8.48691533871405</v>
      </c>
      <c r="N2776" s="5">
        <v>-8.48691533871405</v>
      </c>
      <c r="O2776" s="5">
        <v>-8.48691533871405</v>
      </c>
      <c r="P2776" s="5">
        <v>0.0</v>
      </c>
      <c r="Q2776" s="5">
        <v>0.0</v>
      </c>
      <c r="R2776" s="5">
        <v>0.0</v>
      </c>
      <c r="S2776" s="5">
        <v>737.649252749865</v>
      </c>
    </row>
    <row r="2777">
      <c r="A2777" s="6">
        <v>44385.0</v>
      </c>
      <c r="B2777" s="5">
        <v>747.29997648281</v>
      </c>
      <c r="C2777" s="5">
        <v>672.52465980669</v>
      </c>
      <c r="D2777" s="5">
        <v>798.215221812051</v>
      </c>
      <c r="E2777" s="5">
        <v>747.29997648281</v>
      </c>
      <c r="F2777" s="5">
        <v>747.29997648281</v>
      </c>
      <c r="G2777" s="5">
        <v>-8.95958298491246</v>
      </c>
      <c r="H2777" s="5">
        <v>-8.95958298491246</v>
      </c>
      <c r="I2777" s="5">
        <v>-8.95958298491246</v>
      </c>
      <c r="J2777" s="5">
        <v>-0.776422525905566</v>
      </c>
      <c r="K2777" s="5">
        <v>-0.776422525905566</v>
      </c>
      <c r="L2777" s="5">
        <v>-0.776422525905566</v>
      </c>
      <c r="M2777" s="5">
        <v>-8.18316045900689</v>
      </c>
      <c r="N2777" s="5">
        <v>-8.18316045900689</v>
      </c>
      <c r="O2777" s="5">
        <v>-8.18316045900689</v>
      </c>
      <c r="P2777" s="5">
        <v>0.0</v>
      </c>
      <c r="Q2777" s="5">
        <v>0.0</v>
      </c>
      <c r="R2777" s="5">
        <v>0.0</v>
      </c>
      <c r="S2777" s="5">
        <v>738.340393497897</v>
      </c>
    </row>
    <row r="2778">
      <c r="A2778" s="6">
        <v>44386.0</v>
      </c>
      <c r="B2778" s="5">
        <v>748.470822682323</v>
      </c>
      <c r="C2778" s="5">
        <v>679.488203539446</v>
      </c>
      <c r="D2778" s="5">
        <v>807.971638475963</v>
      </c>
      <c r="E2778" s="5">
        <v>748.470822682323</v>
      </c>
      <c r="F2778" s="5">
        <v>748.470822682323</v>
      </c>
      <c r="G2778" s="5">
        <v>-9.54301756423796</v>
      </c>
      <c r="H2778" s="5">
        <v>-9.54301756423796</v>
      </c>
      <c r="I2778" s="5">
        <v>-9.54301756423796</v>
      </c>
      <c r="J2778" s="5">
        <v>-1.59155056649319</v>
      </c>
      <c r="K2778" s="5">
        <v>-1.59155056649319</v>
      </c>
      <c r="L2778" s="5">
        <v>-1.59155056649319</v>
      </c>
      <c r="M2778" s="5">
        <v>-7.95146699774476</v>
      </c>
      <c r="N2778" s="5">
        <v>-7.95146699774476</v>
      </c>
      <c r="O2778" s="5">
        <v>-7.95146699774476</v>
      </c>
      <c r="P2778" s="5">
        <v>0.0</v>
      </c>
      <c r="Q2778" s="5">
        <v>0.0</v>
      </c>
      <c r="R2778" s="5">
        <v>0.0</v>
      </c>
      <c r="S2778" s="5">
        <v>738.927805118085</v>
      </c>
    </row>
    <row r="2779">
      <c r="A2779" s="6">
        <v>44389.0</v>
      </c>
      <c r="B2779" s="5">
        <v>751.983361280863</v>
      </c>
      <c r="C2779" s="5">
        <v>680.690540771832</v>
      </c>
      <c r="D2779" s="5">
        <v>807.903490536712</v>
      </c>
      <c r="E2779" s="5">
        <v>751.983361280863</v>
      </c>
      <c r="F2779" s="5">
        <v>751.983361280863</v>
      </c>
      <c r="G2779" s="5">
        <v>-7.62217885708503</v>
      </c>
      <c r="H2779" s="5">
        <v>-7.62217885708503</v>
      </c>
      <c r="I2779" s="5">
        <v>-7.62217885708503</v>
      </c>
      <c r="J2779" s="5">
        <v>0.0905589421200947</v>
      </c>
      <c r="K2779" s="5">
        <v>0.0905589421200947</v>
      </c>
      <c r="L2779" s="5">
        <v>0.0905589421200947</v>
      </c>
      <c r="M2779" s="5">
        <v>-7.71273779920513</v>
      </c>
      <c r="N2779" s="5">
        <v>-7.71273779920513</v>
      </c>
      <c r="O2779" s="5">
        <v>-7.71273779920513</v>
      </c>
      <c r="P2779" s="5">
        <v>0.0</v>
      </c>
      <c r="Q2779" s="5">
        <v>0.0</v>
      </c>
      <c r="R2779" s="5">
        <v>0.0</v>
      </c>
      <c r="S2779" s="5">
        <v>744.361182423778</v>
      </c>
    </row>
    <row r="2780">
      <c r="A2780" s="6">
        <v>44390.0</v>
      </c>
      <c r="B2780" s="5">
        <v>753.154207480376</v>
      </c>
      <c r="C2780" s="5">
        <v>687.96423436099</v>
      </c>
      <c r="D2780" s="5">
        <v>809.814109490505</v>
      </c>
      <c r="E2780" s="5">
        <v>753.154207480376</v>
      </c>
      <c r="F2780" s="5">
        <v>753.154207480376</v>
      </c>
      <c r="G2780" s="5">
        <v>-7.9277868549592</v>
      </c>
      <c r="H2780" s="5">
        <v>-7.9277868549592</v>
      </c>
      <c r="I2780" s="5">
        <v>-7.9277868549592</v>
      </c>
      <c r="J2780" s="5">
        <v>-0.144118857245115</v>
      </c>
      <c r="K2780" s="5">
        <v>-0.144118857245115</v>
      </c>
      <c r="L2780" s="5">
        <v>-0.144118857245115</v>
      </c>
      <c r="M2780" s="5">
        <v>-7.78366799771408</v>
      </c>
      <c r="N2780" s="5">
        <v>-7.78366799771408</v>
      </c>
      <c r="O2780" s="5">
        <v>-7.78366799771408</v>
      </c>
      <c r="P2780" s="5">
        <v>0.0</v>
      </c>
      <c r="Q2780" s="5">
        <v>0.0</v>
      </c>
      <c r="R2780" s="5">
        <v>0.0</v>
      </c>
      <c r="S2780" s="5">
        <v>745.226420625417</v>
      </c>
    </row>
    <row r="2781">
      <c r="A2781" s="6">
        <v>44391.0</v>
      </c>
      <c r="B2781" s="5">
        <v>754.325053679889</v>
      </c>
      <c r="C2781" s="5">
        <v>686.62029238915</v>
      </c>
      <c r="D2781" s="5">
        <v>804.981325102497</v>
      </c>
      <c r="E2781" s="5">
        <v>754.325053679889</v>
      </c>
      <c r="F2781" s="5">
        <v>754.325053679889</v>
      </c>
      <c r="G2781" s="5">
        <v>-7.91720500750196</v>
      </c>
      <c r="H2781" s="5">
        <v>-7.91720500750196</v>
      </c>
      <c r="I2781" s="5">
        <v>-7.91720500750196</v>
      </c>
      <c r="J2781" s="5">
        <v>0.00703780528275894</v>
      </c>
      <c r="K2781" s="5">
        <v>0.00703780528275894</v>
      </c>
      <c r="L2781" s="5">
        <v>0.00703780528275894</v>
      </c>
      <c r="M2781" s="5">
        <v>-7.92424281278472</v>
      </c>
      <c r="N2781" s="5">
        <v>-7.92424281278472</v>
      </c>
      <c r="O2781" s="5">
        <v>-7.92424281278472</v>
      </c>
      <c r="P2781" s="5">
        <v>0.0</v>
      </c>
      <c r="Q2781" s="5">
        <v>0.0</v>
      </c>
      <c r="R2781" s="5">
        <v>0.0</v>
      </c>
      <c r="S2781" s="5">
        <v>746.407848672387</v>
      </c>
    </row>
    <row r="2782">
      <c r="A2782" s="6">
        <v>44392.0</v>
      </c>
      <c r="B2782" s="5">
        <v>755.495899879403</v>
      </c>
      <c r="C2782" s="5">
        <v>682.902183981916</v>
      </c>
      <c r="D2782" s="5">
        <v>808.525166510821</v>
      </c>
      <c r="E2782" s="5">
        <v>755.495899879403</v>
      </c>
      <c r="F2782" s="5">
        <v>755.495899879403</v>
      </c>
      <c r="G2782" s="5">
        <v>-8.90478959854058</v>
      </c>
      <c r="H2782" s="5">
        <v>-8.90478959854058</v>
      </c>
      <c r="I2782" s="5">
        <v>-8.90478959854058</v>
      </c>
      <c r="J2782" s="5">
        <v>-0.776422525897838</v>
      </c>
      <c r="K2782" s="5">
        <v>-0.776422525897838</v>
      </c>
      <c r="L2782" s="5">
        <v>-0.776422525897838</v>
      </c>
      <c r="M2782" s="5">
        <v>-8.12836707264274</v>
      </c>
      <c r="N2782" s="5">
        <v>-8.12836707264274</v>
      </c>
      <c r="O2782" s="5">
        <v>-8.12836707264274</v>
      </c>
      <c r="P2782" s="5">
        <v>0.0</v>
      </c>
      <c r="Q2782" s="5">
        <v>0.0</v>
      </c>
      <c r="R2782" s="5">
        <v>0.0</v>
      </c>
      <c r="S2782" s="5">
        <v>746.591110280862</v>
      </c>
    </row>
    <row r="2783">
      <c r="A2783" s="6">
        <v>44393.0</v>
      </c>
      <c r="B2783" s="5">
        <v>756.666746078916</v>
      </c>
      <c r="C2783" s="5">
        <v>686.687839822032</v>
      </c>
      <c r="D2783" s="5">
        <v>802.911507323992</v>
      </c>
      <c r="E2783" s="5">
        <v>756.666746078916</v>
      </c>
      <c r="F2783" s="5">
        <v>756.666746078916</v>
      </c>
      <c r="G2783" s="5">
        <v>-9.97987475341226</v>
      </c>
      <c r="H2783" s="5">
        <v>-9.97987475341226</v>
      </c>
      <c r="I2783" s="5">
        <v>-9.97987475341226</v>
      </c>
      <c r="J2783" s="5">
        <v>-1.59155056649258</v>
      </c>
      <c r="K2783" s="5">
        <v>-1.59155056649258</v>
      </c>
      <c r="L2783" s="5">
        <v>-1.59155056649258</v>
      </c>
      <c r="M2783" s="5">
        <v>-8.38832418691967</v>
      </c>
      <c r="N2783" s="5">
        <v>-8.38832418691967</v>
      </c>
      <c r="O2783" s="5">
        <v>-8.38832418691967</v>
      </c>
      <c r="P2783" s="5">
        <v>0.0</v>
      </c>
      <c r="Q2783" s="5">
        <v>0.0</v>
      </c>
      <c r="R2783" s="5">
        <v>0.0</v>
      </c>
      <c r="S2783" s="5">
        <v>746.686871325504</v>
      </c>
    </row>
    <row r="2784">
      <c r="A2784" s="6">
        <v>44396.0</v>
      </c>
      <c r="B2784" s="5">
        <v>760.179284677456</v>
      </c>
      <c r="C2784" s="5">
        <v>691.516221890249</v>
      </c>
      <c r="D2784" s="5">
        <v>818.34364927231</v>
      </c>
      <c r="E2784" s="5">
        <v>760.179284677456</v>
      </c>
      <c r="F2784" s="5">
        <v>760.179284677456</v>
      </c>
      <c r="G2784" s="5">
        <v>-9.3157139125018</v>
      </c>
      <c r="H2784" s="5">
        <v>-9.3157139125018</v>
      </c>
      <c r="I2784" s="5">
        <v>-9.3157139125018</v>
      </c>
      <c r="J2784" s="5">
        <v>0.0905589421235853</v>
      </c>
      <c r="K2784" s="5">
        <v>0.0905589421235853</v>
      </c>
      <c r="L2784" s="5">
        <v>0.0905589421235853</v>
      </c>
      <c r="M2784" s="5">
        <v>-9.40627285462538</v>
      </c>
      <c r="N2784" s="5">
        <v>-9.40627285462538</v>
      </c>
      <c r="O2784" s="5">
        <v>-9.40627285462538</v>
      </c>
      <c r="P2784" s="5">
        <v>0.0</v>
      </c>
      <c r="Q2784" s="5">
        <v>0.0</v>
      </c>
      <c r="R2784" s="5">
        <v>0.0</v>
      </c>
      <c r="S2784" s="5">
        <v>750.863570764954</v>
      </c>
    </row>
    <row r="2785">
      <c r="A2785" s="6">
        <v>44397.0</v>
      </c>
      <c r="B2785" s="5">
        <v>761.350130876969</v>
      </c>
      <c r="C2785" s="5">
        <v>690.019703209469</v>
      </c>
      <c r="D2785" s="5">
        <v>814.129734106177</v>
      </c>
      <c r="E2785" s="5">
        <v>761.350130876969</v>
      </c>
      <c r="F2785" s="5">
        <v>761.350130876969</v>
      </c>
      <c r="G2785" s="5">
        <v>-9.93203081958175</v>
      </c>
      <c r="H2785" s="5">
        <v>-9.93203081958175</v>
      </c>
      <c r="I2785" s="5">
        <v>-9.93203081958175</v>
      </c>
      <c r="J2785" s="5">
        <v>-0.14411885724655</v>
      </c>
      <c r="K2785" s="5">
        <v>-0.14411885724655</v>
      </c>
      <c r="L2785" s="5">
        <v>-0.14411885724655</v>
      </c>
      <c r="M2785" s="5">
        <v>-9.7879119623352</v>
      </c>
      <c r="N2785" s="5">
        <v>-9.7879119623352</v>
      </c>
      <c r="O2785" s="5">
        <v>-9.7879119623352</v>
      </c>
      <c r="P2785" s="5">
        <v>0.0</v>
      </c>
      <c r="Q2785" s="5">
        <v>0.0</v>
      </c>
      <c r="R2785" s="5">
        <v>0.0</v>
      </c>
      <c r="S2785" s="5">
        <v>751.418100057387</v>
      </c>
    </row>
    <row r="2786">
      <c r="A2786" s="6">
        <v>44398.0</v>
      </c>
      <c r="B2786" s="5">
        <v>762.520977076482</v>
      </c>
      <c r="C2786" s="5">
        <v>691.980166321451</v>
      </c>
      <c r="D2786" s="5">
        <v>821.234049280609</v>
      </c>
      <c r="E2786" s="5">
        <v>762.520977076482</v>
      </c>
      <c r="F2786" s="5">
        <v>762.520977076482</v>
      </c>
      <c r="G2786" s="5">
        <v>-10.1638387235741</v>
      </c>
      <c r="H2786" s="5">
        <v>-10.1638387235741</v>
      </c>
      <c r="I2786" s="5">
        <v>-10.1638387235741</v>
      </c>
      <c r="J2786" s="5">
        <v>0.00703780528190652</v>
      </c>
      <c r="K2786" s="5">
        <v>0.00703780528190652</v>
      </c>
      <c r="L2786" s="5">
        <v>0.00703780528190652</v>
      </c>
      <c r="M2786" s="5">
        <v>-10.170876528856</v>
      </c>
      <c r="N2786" s="5">
        <v>-10.170876528856</v>
      </c>
      <c r="O2786" s="5">
        <v>-10.170876528856</v>
      </c>
      <c r="P2786" s="5">
        <v>0.0</v>
      </c>
      <c r="Q2786" s="5">
        <v>0.0</v>
      </c>
      <c r="R2786" s="5">
        <v>0.0</v>
      </c>
      <c r="S2786" s="5">
        <v>752.357138352908</v>
      </c>
    </row>
    <row r="2787">
      <c r="A2787" s="6">
        <v>44399.0</v>
      </c>
      <c r="B2787" s="5">
        <v>763.691823275996</v>
      </c>
      <c r="C2787" s="5">
        <v>689.383633488984</v>
      </c>
      <c r="D2787" s="5">
        <v>812.751910157076</v>
      </c>
      <c r="E2787" s="5">
        <v>763.691823275996</v>
      </c>
      <c r="F2787" s="5">
        <v>763.691823275996</v>
      </c>
      <c r="G2787" s="5">
        <v>-11.3195652099873</v>
      </c>
      <c r="H2787" s="5">
        <v>-11.3195652099873</v>
      </c>
      <c r="I2787" s="5">
        <v>-11.3195652099873</v>
      </c>
      <c r="J2787" s="5">
        <v>-0.77642252589856</v>
      </c>
      <c r="K2787" s="5">
        <v>-0.77642252589856</v>
      </c>
      <c r="L2787" s="5">
        <v>-0.77642252589856</v>
      </c>
      <c r="M2787" s="5">
        <v>-10.5431426840888</v>
      </c>
      <c r="N2787" s="5">
        <v>-10.5431426840888</v>
      </c>
      <c r="O2787" s="5">
        <v>-10.5431426840888</v>
      </c>
      <c r="P2787" s="5">
        <v>0.0</v>
      </c>
      <c r="Q2787" s="5">
        <v>0.0</v>
      </c>
      <c r="R2787" s="5">
        <v>0.0</v>
      </c>
      <c r="S2787" s="5">
        <v>752.372258066008</v>
      </c>
    </row>
    <row r="2788">
      <c r="A2788" s="6">
        <v>44400.0</v>
      </c>
      <c r="B2788" s="5">
        <v>764.862669475508</v>
      </c>
      <c r="C2788" s="5">
        <v>688.796539114374</v>
      </c>
      <c r="D2788" s="5">
        <v>815.616982753985</v>
      </c>
      <c r="E2788" s="5">
        <v>764.862669475508</v>
      </c>
      <c r="F2788" s="5">
        <v>764.862669475508</v>
      </c>
      <c r="G2788" s="5">
        <v>-12.4846059392735</v>
      </c>
      <c r="H2788" s="5">
        <v>-12.4846059392735</v>
      </c>
      <c r="I2788" s="5">
        <v>-12.4846059392735</v>
      </c>
      <c r="J2788" s="5">
        <v>-1.59155056649134</v>
      </c>
      <c r="K2788" s="5">
        <v>-1.59155056649134</v>
      </c>
      <c r="L2788" s="5">
        <v>-1.59155056649134</v>
      </c>
      <c r="M2788" s="5">
        <v>-10.8930553727822</v>
      </c>
      <c r="N2788" s="5">
        <v>-10.8930553727822</v>
      </c>
      <c r="O2788" s="5">
        <v>-10.8930553727822</v>
      </c>
      <c r="P2788" s="5">
        <v>0.0</v>
      </c>
      <c r="Q2788" s="5">
        <v>0.0</v>
      </c>
      <c r="R2788" s="5">
        <v>0.0</v>
      </c>
      <c r="S2788" s="5">
        <v>752.378063536235</v>
      </c>
    </row>
    <row r="2789">
      <c r="A2789" s="6">
        <v>44403.0</v>
      </c>
      <c r="B2789" s="5">
        <v>768.375208074048</v>
      </c>
      <c r="C2789" s="5">
        <v>695.974781446423</v>
      </c>
      <c r="D2789" s="5">
        <v>818.47072772414</v>
      </c>
      <c r="E2789" s="5">
        <v>768.375208074048</v>
      </c>
      <c r="F2789" s="5">
        <v>768.375208074048</v>
      </c>
      <c r="G2789" s="5">
        <v>-11.613430155322</v>
      </c>
      <c r="H2789" s="5">
        <v>-11.613430155322</v>
      </c>
      <c r="I2789" s="5">
        <v>-11.613430155322</v>
      </c>
      <c r="J2789" s="5">
        <v>0.090558942122148</v>
      </c>
      <c r="K2789" s="5">
        <v>0.090558942122148</v>
      </c>
      <c r="L2789" s="5">
        <v>0.090558942122148</v>
      </c>
      <c r="M2789" s="5">
        <v>-11.7039890974441</v>
      </c>
      <c r="N2789" s="5">
        <v>-11.7039890974441</v>
      </c>
      <c r="O2789" s="5">
        <v>-11.7039890974441</v>
      </c>
      <c r="P2789" s="5">
        <v>0.0</v>
      </c>
      <c r="Q2789" s="5">
        <v>0.0</v>
      </c>
      <c r="R2789" s="5">
        <v>0.0</v>
      </c>
      <c r="S2789" s="5">
        <v>756.761777918726</v>
      </c>
    </row>
    <row r="2790">
      <c r="A2790" s="6">
        <v>44404.0</v>
      </c>
      <c r="B2790" s="5">
        <v>769.546054273562</v>
      </c>
      <c r="C2790" s="5">
        <v>695.432525145287</v>
      </c>
      <c r="D2790" s="5">
        <v>820.24487982963</v>
      </c>
      <c r="E2790" s="5">
        <v>769.546054273562</v>
      </c>
      <c r="F2790" s="5">
        <v>769.546054273562</v>
      </c>
      <c r="G2790" s="5">
        <v>-12.009751321813</v>
      </c>
      <c r="H2790" s="5">
        <v>-12.009751321813</v>
      </c>
      <c r="I2790" s="5">
        <v>-12.009751321813</v>
      </c>
      <c r="J2790" s="5">
        <v>-0.144118857242939</v>
      </c>
      <c r="K2790" s="5">
        <v>-0.144118857242939</v>
      </c>
      <c r="L2790" s="5">
        <v>-0.144118857242939</v>
      </c>
      <c r="M2790" s="5">
        <v>-11.8656324645701</v>
      </c>
      <c r="N2790" s="5">
        <v>-11.8656324645701</v>
      </c>
      <c r="O2790" s="5">
        <v>-11.8656324645701</v>
      </c>
      <c r="P2790" s="5">
        <v>0.0</v>
      </c>
      <c r="Q2790" s="5">
        <v>0.0</v>
      </c>
      <c r="R2790" s="5">
        <v>0.0</v>
      </c>
      <c r="S2790" s="5">
        <v>757.536302951749</v>
      </c>
    </row>
    <row r="2791">
      <c r="A2791" s="6">
        <v>44405.0</v>
      </c>
      <c r="B2791" s="5">
        <v>770.716900473075</v>
      </c>
      <c r="C2791" s="5">
        <v>694.479814134443</v>
      </c>
      <c r="D2791" s="5">
        <v>825.673071418028</v>
      </c>
      <c r="E2791" s="5">
        <v>770.716900473075</v>
      </c>
      <c r="F2791" s="5">
        <v>770.716900473075</v>
      </c>
      <c r="G2791" s="5">
        <v>-11.9550563490456</v>
      </c>
      <c r="H2791" s="5">
        <v>-11.9550563490456</v>
      </c>
      <c r="I2791" s="5">
        <v>-11.9550563490456</v>
      </c>
      <c r="J2791" s="5">
        <v>0.00703780528321746</v>
      </c>
      <c r="K2791" s="5">
        <v>0.00703780528321746</v>
      </c>
      <c r="L2791" s="5">
        <v>0.00703780528321746</v>
      </c>
      <c r="M2791" s="5">
        <v>-11.9620941543288</v>
      </c>
      <c r="N2791" s="5">
        <v>-11.9620941543288</v>
      </c>
      <c r="O2791" s="5">
        <v>-11.9620941543288</v>
      </c>
      <c r="P2791" s="5">
        <v>0.0</v>
      </c>
      <c r="Q2791" s="5">
        <v>0.0</v>
      </c>
      <c r="R2791" s="5">
        <v>0.0</v>
      </c>
      <c r="S2791" s="5">
        <v>758.761844124029</v>
      </c>
    </row>
    <row r="2792">
      <c r="A2792" s="6">
        <v>44406.0</v>
      </c>
      <c r="B2792" s="5">
        <v>771.887746672588</v>
      </c>
      <c r="C2792" s="5">
        <v>699.761011526615</v>
      </c>
      <c r="D2792" s="5">
        <v>822.66849778968</v>
      </c>
      <c r="E2792" s="5">
        <v>771.887746672588</v>
      </c>
      <c r="F2792" s="5">
        <v>771.887746672588</v>
      </c>
      <c r="G2792" s="5">
        <v>-12.7658410858667</v>
      </c>
      <c r="H2792" s="5">
        <v>-12.7658410858667</v>
      </c>
      <c r="I2792" s="5">
        <v>-12.7658410858667</v>
      </c>
      <c r="J2792" s="5">
        <v>-0.776422525900657</v>
      </c>
      <c r="K2792" s="5">
        <v>-0.776422525900657</v>
      </c>
      <c r="L2792" s="5">
        <v>-0.776422525900657</v>
      </c>
      <c r="M2792" s="5">
        <v>-11.989418559966</v>
      </c>
      <c r="N2792" s="5">
        <v>-11.989418559966</v>
      </c>
      <c r="O2792" s="5">
        <v>-11.989418559966</v>
      </c>
      <c r="P2792" s="5">
        <v>0.0</v>
      </c>
      <c r="Q2792" s="5">
        <v>0.0</v>
      </c>
      <c r="R2792" s="5">
        <v>0.0</v>
      </c>
      <c r="S2792" s="5">
        <v>759.121905586721</v>
      </c>
    </row>
    <row r="2793">
      <c r="A2793" s="6">
        <v>44407.0</v>
      </c>
      <c r="B2793" s="5">
        <v>773.058592872101</v>
      </c>
      <c r="C2793" s="5">
        <v>701.313544342198</v>
      </c>
      <c r="D2793" s="5">
        <v>821.480107424053</v>
      </c>
      <c r="E2793" s="5">
        <v>773.058592872101</v>
      </c>
      <c r="F2793" s="5">
        <v>773.058592872101</v>
      </c>
      <c r="G2793" s="5">
        <v>-13.5370388545717</v>
      </c>
      <c r="H2793" s="5">
        <v>-13.5370388545717</v>
      </c>
      <c r="I2793" s="5">
        <v>-13.5370388545717</v>
      </c>
      <c r="J2793" s="5">
        <v>-1.59155056649591</v>
      </c>
      <c r="K2793" s="5">
        <v>-1.59155056649591</v>
      </c>
      <c r="L2793" s="5">
        <v>-1.59155056649591</v>
      </c>
      <c r="M2793" s="5">
        <v>-11.9454882880757</v>
      </c>
      <c r="N2793" s="5">
        <v>-11.9454882880757</v>
      </c>
      <c r="O2793" s="5">
        <v>-11.9454882880757</v>
      </c>
      <c r="P2793" s="5">
        <v>0.0</v>
      </c>
      <c r="Q2793" s="5">
        <v>0.0</v>
      </c>
      <c r="R2793" s="5">
        <v>0.0</v>
      </c>
      <c r="S2793" s="5">
        <v>759.52155401753</v>
      </c>
    </row>
    <row r="2794">
      <c r="A2794" s="6">
        <v>44410.0</v>
      </c>
      <c r="B2794" s="5">
        <v>776.571131470641</v>
      </c>
      <c r="C2794" s="5">
        <v>702.875833718009</v>
      </c>
      <c r="D2794" s="5">
        <v>829.133231681817</v>
      </c>
      <c r="E2794" s="5">
        <v>776.571131470641</v>
      </c>
      <c r="F2794" s="5">
        <v>776.571131470641</v>
      </c>
      <c r="G2794" s="5">
        <v>-11.3022066957637</v>
      </c>
      <c r="H2794" s="5">
        <v>-11.3022066957637</v>
      </c>
      <c r="I2794" s="5">
        <v>-11.3022066957637</v>
      </c>
      <c r="J2794" s="5">
        <v>0.0905589421207104</v>
      </c>
      <c r="K2794" s="5">
        <v>0.0905589421207104</v>
      </c>
      <c r="L2794" s="5">
        <v>0.0905589421207104</v>
      </c>
      <c r="M2794" s="5">
        <v>-11.3927656378844</v>
      </c>
      <c r="N2794" s="5">
        <v>-11.3927656378844</v>
      </c>
      <c r="O2794" s="5">
        <v>-11.3927656378844</v>
      </c>
      <c r="P2794" s="5">
        <v>0.0</v>
      </c>
      <c r="Q2794" s="5">
        <v>0.0</v>
      </c>
      <c r="R2794" s="5">
        <v>0.0</v>
      </c>
      <c r="S2794" s="5">
        <v>765.268924774877</v>
      </c>
    </row>
    <row r="2795">
      <c r="A2795" s="6">
        <v>44411.0</v>
      </c>
      <c r="B2795" s="5">
        <v>777.741977670154</v>
      </c>
      <c r="C2795" s="5">
        <v>702.919521411166</v>
      </c>
      <c r="D2795" s="5">
        <v>833.944185751231</v>
      </c>
      <c r="E2795" s="5">
        <v>777.741977670154</v>
      </c>
      <c r="F2795" s="5">
        <v>777.741977670154</v>
      </c>
      <c r="G2795" s="5">
        <v>-11.2233625430609</v>
      </c>
      <c r="H2795" s="5">
        <v>-11.2233625430609</v>
      </c>
      <c r="I2795" s="5">
        <v>-11.2233625430609</v>
      </c>
      <c r="J2795" s="5">
        <v>-0.144118857244374</v>
      </c>
      <c r="K2795" s="5">
        <v>-0.144118857244374</v>
      </c>
      <c r="L2795" s="5">
        <v>-0.144118857244374</v>
      </c>
      <c r="M2795" s="5">
        <v>-11.0792436858166</v>
      </c>
      <c r="N2795" s="5">
        <v>-11.0792436858166</v>
      </c>
      <c r="O2795" s="5">
        <v>-11.0792436858166</v>
      </c>
      <c r="P2795" s="5">
        <v>0.0</v>
      </c>
      <c r="Q2795" s="5">
        <v>0.0</v>
      </c>
      <c r="R2795" s="5">
        <v>0.0</v>
      </c>
      <c r="S2795" s="5">
        <v>766.518615127094</v>
      </c>
    </row>
    <row r="2796">
      <c r="A2796" s="6">
        <v>44412.0</v>
      </c>
      <c r="B2796" s="5">
        <v>778.912823869667</v>
      </c>
      <c r="C2796" s="5">
        <v>704.237024078805</v>
      </c>
      <c r="D2796" s="5">
        <v>832.306243354739</v>
      </c>
      <c r="E2796" s="5">
        <v>778.912823869667</v>
      </c>
      <c r="F2796" s="5">
        <v>778.912823869667</v>
      </c>
      <c r="G2796" s="5">
        <v>-10.7035291977684</v>
      </c>
      <c r="H2796" s="5">
        <v>-10.7035291977684</v>
      </c>
      <c r="I2796" s="5">
        <v>-10.7035291977684</v>
      </c>
      <c r="J2796" s="5">
        <v>0.00703780528236503</v>
      </c>
      <c r="K2796" s="5">
        <v>0.00703780528236503</v>
      </c>
      <c r="L2796" s="5">
        <v>0.00703780528236503</v>
      </c>
      <c r="M2796" s="5">
        <v>-10.7105670030508</v>
      </c>
      <c r="N2796" s="5">
        <v>-10.7105670030508</v>
      </c>
      <c r="O2796" s="5">
        <v>-10.7105670030508</v>
      </c>
      <c r="P2796" s="5">
        <v>0.0</v>
      </c>
      <c r="Q2796" s="5">
        <v>0.0</v>
      </c>
      <c r="R2796" s="5">
        <v>0.0</v>
      </c>
      <c r="S2796" s="5">
        <v>768.209294671899</v>
      </c>
    </row>
    <row r="2797">
      <c r="A2797" s="6">
        <v>44413.0</v>
      </c>
      <c r="B2797" s="5">
        <v>780.083670069181</v>
      </c>
      <c r="C2797" s="5">
        <v>704.80616123352</v>
      </c>
      <c r="D2797" s="5">
        <v>832.685068517865</v>
      </c>
      <c r="E2797" s="5">
        <v>780.083670069181</v>
      </c>
      <c r="F2797" s="5">
        <v>780.083670069181</v>
      </c>
      <c r="G2797" s="5">
        <v>-11.0708419801997</v>
      </c>
      <c r="H2797" s="5">
        <v>-11.0708419801997</v>
      </c>
      <c r="I2797" s="5">
        <v>-11.0708419801997</v>
      </c>
      <c r="J2797" s="5">
        <v>-0.776422525902754</v>
      </c>
      <c r="K2797" s="5">
        <v>-0.776422525902754</v>
      </c>
      <c r="L2797" s="5">
        <v>-0.776422525902754</v>
      </c>
      <c r="M2797" s="5">
        <v>-10.2944194542969</v>
      </c>
      <c r="N2797" s="5">
        <v>-10.2944194542969</v>
      </c>
      <c r="O2797" s="5">
        <v>-10.2944194542969</v>
      </c>
      <c r="P2797" s="5">
        <v>0.0</v>
      </c>
      <c r="Q2797" s="5">
        <v>0.0</v>
      </c>
      <c r="R2797" s="5">
        <v>0.0</v>
      </c>
      <c r="S2797" s="5">
        <v>769.012828088981</v>
      </c>
    </row>
    <row r="2798">
      <c r="A2798" s="6">
        <v>44414.0</v>
      </c>
      <c r="B2798" s="5">
        <v>781.254516268694</v>
      </c>
      <c r="C2798" s="5">
        <v>706.133745445689</v>
      </c>
      <c r="D2798" s="5">
        <v>836.545800710843</v>
      </c>
      <c r="E2798" s="5">
        <v>781.254516268694</v>
      </c>
      <c r="F2798" s="5">
        <v>781.254516268694</v>
      </c>
      <c r="G2798" s="5">
        <v>-11.4310352199033</v>
      </c>
      <c r="H2798" s="5">
        <v>-11.4310352199033</v>
      </c>
      <c r="I2798" s="5">
        <v>-11.4310352199033</v>
      </c>
      <c r="J2798" s="5">
        <v>-1.59155056649498</v>
      </c>
      <c r="K2798" s="5">
        <v>-1.59155056649498</v>
      </c>
      <c r="L2798" s="5">
        <v>-1.59155056649498</v>
      </c>
      <c r="M2798" s="5">
        <v>-9.83948465340833</v>
      </c>
      <c r="N2798" s="5">
        <v>-9.83948465340833</v>
      </c>
      <c r="O2798" s="5">
        <v>-9.83948465340833</v>
      </c>
      <c r="P2798" s="5">
        <v>0.0</v>
      </c>
      <c r="Q2798" s="5">
        <v>0.0</v>
      </c>
      <c r="R2798" s="5">
        <v>0.0</v>
      </c>
      <c r="S2798" s="5">
        <v>769.823481048791</v>
      </c>
    </row>
    <row r="2799">
      <c r="A2799" s="6">
        <v>44417.0</v>
      </c>
      <c r="B2799" s="5">
        <v>784.767054867234</v>
      </c>
      <c r="C2799" s="5">
        <v>716.305327467696</v>
      </c>
      <c r="D2799" s="5">
        <v>839.1913401464</v>
      </c>
      <c r="E2799" s="5">
        <v>784.767054867234</v>
      </c>
      <c r="F2799" s="5">
        <v>784.767054867234</v>
      </c>
      <c r="G2799" s="5">
        <v>-8.24742867322038</v>
      </c>
      <c r="H2799" s="5">
        <v>-8.24742867322038</v>
      </c>
      <c r="I2799" s="5">
        <v>-8.24742867322038</v>
      </c>
      <c r="J2799" s="5">
        <v>0.0905589421216569</v>
      </c>
      <c r="K2799" s="5">
        <v>0.0905589421216569</v>
      </c>
      <c r="L2799" s="5">
        <v>0.0905589421216569</v>
      </c>
      <c r="M2799" s="5">
        <v>-8.33798761534203</v>
      </c>
      <c r="N2799" s="5">
        <v>-8.33798761534203</v>
      </c>
      <c r="O2799" s="5">
        <v>-8.33798761534203</v>
      </c>
      <c r="P2799" s="5">
        <v>0.0</v>
      </c>
      <c r="Q2799" s="5">
        <v>0.0</v>
      </c>
      <c r="R2799" s="5">
        <v>0.0</v>
      </c>
      <c r="S2799" s="5">
        <v>776.519626194014</v>
      </c>
    </row>
    <row r="2800">
      <c r="A2800" s="6">
        <v>44418.0</v>
      </c>
      <c r="B2800" s="5">
        <v>785.937901066747</v>
      </c>
      <c r="C2800" s="5">
        <v>713.376467787659</v>
      </c>
      <c r="D2800" s="5">
        <v>839.304740194971</v>
      </c>
      <c r="E2800" s="5">
        <v>785.937901066747</v>
      </c>
      <c r="F2800" s="5">
        <v>785.937901066747</v>
      </c>
      <c r="G2800" s="5">
        <v>-7.96907575757901</v>
      </c>
      <c r="H2800" s="5">
        <v>-7.96907575757901</v>
      </c>
      <c r="I2800" s="5">
        <v>-7.96907575757901</v>
      </c>
      <c r="J2800" s="5">
        <v>-0.144118857246115</v>
      </c>
      <c r="K2800" s="5">
        <v>-0.144118857246115</v>
      </c>
      <c r="L2800" s="5">
        <v>-0.144118857246115</v>
      </c>
      <c r="M2800" s="5">
        <v>-7.82495690033289</v>
      </c>
      <c r="N2800" s="5">
        <v>-7.82495690033289</v>
      </c>
      <c r="O2800" s="5">
        <v>-7.82495690033289</v>
      </c>
      <c r="P2800" s="5">
        <v>0.0</v>
      </c>
      <c r="Q2800" s="5">
        <v>0.0</v>
      </c>
      <c r="R2800" s="5">
        <v>0.0</v>
      </c>
      <c r="S2800" s="5">
        <v>777.968825309168</v>
      </c>
    </row>
    <row r="2801">
      <c r="A2801" s="6">
        <v>44419.0</v>
      </c>
      <c r="B2801" s="5">
        <v>787.10874726626</v>
      </c>
      <c r="C2801" s="5">
        <v>719.075088144465</v>
      </c>
      <c r="D2801" s="5">
        <v>847.01189112979</v>
      </c>
      <c r="E2801" s="5">
        <v>787.10874726626</v>
      </c>
      <c r="F2801" s="5">
        <v>787.10874726626</v>
      </c>
      <c r="G2801" s="5">
        <v>-7.31462789112726</v>
      </c>
      <c r="H2801" s="5">
        <v>-7.31462789112726</v>
      </c>
      <c r="I2801" s="5">
        <v>-7.31462789112726</v>
      </c>
      <c r="J2801" s="5">
        <v>0.00703780528367597</v>
      </c>
      <c r="K2801" s="5">
        <v>0.00703780528367597</v>
      </c>
      <c r="L2801" s="5">
        <v>0.00703780528367597</v>
      </c>
      <c r="M2801" s="5">
        <v>-7.32166569641094</v>
      </c>
      <c r="N2801" s="5">
        <v>-7.32166569641094</v>
      </c>
      <c r="O2801" s="5">
        <v>-7.32166569641094</v>
      </c>
      <c r="P2801" s="5">
        <v>0.0</v>
      </c>
      <c r="Q2801" s="5">
        <v>0.0</v>
      </c>
      <c r="R2801" s="5">
        <v>0.0</v>
      </c>
      <c r="S2801" s="5">
        <v>779.794119375133</v>
      </c>
    </row>
    <row r="2802">
      <c r="A2802" s="6">
        <v>44420.0</v>
      </c>
      <c r="B2802" s="5">
        <v>788.279593465774</v>
      </c>
      <c r="C2802" s="5">
        <v>717.205539019738</v>
      </c>
      <c r="D2802" s="5">
        <v>845.152171817973</v>
      </c>
      <c r="E2802" s="5">
        <v>788.279593465774</v>
      </c>
      <c r="F2802" s="5">
        <v>788.279593465774</v>
      </c>
      <c r="G2802" s="5">
        <v>-7.61325160437307</v>
      </c>
      <c r="H2802" s="5">
        <v>-7.61325160437307</v>
      </c>
      <c r="I2802" s="5">
        <v>-7.61325160437307</v>
      </c>
      <c r="J2802" s="5">
        <v>-0.776422525903476</v>
      </c>
      <c r="K2802" s="5">
        <v>-0.776422525903476</v>
      </c>
      <c r="L2802" s="5">
        <v>-0.776422525903476</v>
      </c>
      <c r="M2802" s="5">
        <v>-6.8368290784696</v>
      </c>
      <c r="N2802" s="5">
        <v>-6.8368290784696</v>
      </c>
      <c r="O2802" s="5">
        <v>-6.8368290784696</v>
      </c>
      <c r="P2802" s="5">
        <v>0.0</v>
      </c>
      <c r="Q2802" s="5">
        <v>0.0</v>
      </c>
      <c r="R2802" s="5">
        <v>0.0</v>
      </c>
      <c r="S2802" s="5">
        <v>780.666341861401</v>
      </c>
    </row>
    <row r="2803">
      <c r="A2803" s="6">
        <v>44421.0</v>
      </c>
      <c r="B2803" s="5">
        <v>789.450439665286</v>
      </c>
      <c r="C2803" s="5">
        <v>718.084040498887</v>
      </c>
      <c r="D2803" s="5">
        <v>846.183177527358</v>
      </c>
      <c r="E2803" s="5">
        <v>789.450439665286</v>
      </c>
      <c r="F2803" s="5">
        <v>789.450439665286</v>
      </c>
      <c r="G2803" s="5">
        <v>-7.96977405971393</v>
      </c>
      <c r="H2803" s="5">
        <v>-7.96977405971393</v>
      </c>
      <c r="I2803" s="5">
        <v>-7.96977405971393</v>
      </c>
      <c r="J2803" s="5">
        <v>-1.59155056649406</v>
      </c>
      <c r="K2803" s="5">
        <v>-1.59155056649406</v>
      </c>
      <c r="L2803" s="5">
        <v>-1.59155056649406</v>
      </c>
      <c r="M2803" s="5">
        <v>-6.37822349321987</v>
      </c>
      <c r="N2803" s="5">
        <v>-6.37822349321987</v>
      </c>
      <c r="O2803" s="5">
        <v>-6.37822349321987</v>
      </c>
      <c r="P2803" s="5">
        <v>0.0</v>
      </c>
      <c r="Q2803" s="5">
        <v>0.0</v>
      </c>
      <c r="R2803" s="5">
        <v>0.0</v>
      </c>
      <c r="S2803" s="5">
        <v>781.480665605573</v>
      </c>
    </row>
    <row r="2804">
      <c r="A2804" s="6">
        <v>44424.0</v>
      </c>
      <c r="B2804" s="5">
        <v>792.962978263826</v>
      </c>
      <c r="C2804" s="5">
        <v>725.528539717016</v>
      </c>
      <c r="D2804" s="5">
        <v>853.665131995181</v>
      </c>
      <c r="E2804" s="5">
        <v>792.962978263826</v>
      </c>
      <c r="F2804" s="5">
        <v>792.962978263826</v>
      </c>
      <c r="G2804" s="5">
        <v>-5.12889272731472</v>
      </c>
      <c r="H2804" s="5">
        <v>-5.12889272731472</v>
      </c>
      <c r="I2804" s="5">
        <v>-5.12889272731472</v>
      </c>
      <c r="J2804" s="5">
        <v>0.0905589421226032</v>
      </c>
      <c r="K2804" s="5">
        <v>0.0905589421226032</v>
      </c>
      <c r="L2804" s="5">
        <v>0.0905589421226032</v>
      </c>
      <c r="M2804" s="5">
        <v>-5.21945166943732</v>
      </c>
      <c r="N2804" s="5">
        <v>-5.21945166943732</v>
      </c>
      <c r="O2804" s="5">
        <v>-5.21945166943732</v>
      </c>
      <c r="P2804" s="5">
        <v>0.0</v>
      </c>
      <c r="Q2804" s="5">
        <v>0.0</v>
      </c>
      <c r="R2804" s="5">
        <v>0.0</v>
      </c>
      <c r="S2804" s="5">
        <v>787.834085536512</v>
      </c>
    </row>
    <row r="2805">
      <c r="A2805" s="6">
        <v>44425.0</v>
      </c>
      <c r="B2805" s="5">
        <v>794.13382446334</v>
      </c>
      <c r="C2805" s="5">
        <v>730.799110015837</v>
      </c>
      <c r="D2805" s="5">
        <v>854.234965276133</v>
      </c>
      <c r="E2805" s="5">
        <v>794.13382446334</v>
      </c>
      <c r="F2805" s="5">
        <v>794.13382446334</v>
      </c>
      <c r="G2805" s="5">
        <v>-5.06256573825316</v>
      </c>
      <c r="H2805" s="5">
        <v>-5.06256573825316</v>
      </c>
      <c r="I2805" s="5">
        <v>-5.06256573825316</v>
      </c>
      <c r="J2805" s="5">
        <v>-0.144118857245027</v>
      </c>
      <c r="K2805" s="5">
        <v>-0.144118857245027</v>
      </c>
      <c r="L2805" s="5">
        <v>-0.144118857245027</v>
      </c>
      <c r="M2805" s="5">
        <v>-4.91844688100813</v>
      </c>
      <c r="N2805" s="5">
        <v>-4.91844688100813</v>
      </c>
      <c r="O2805" s="5">
        <v>-4.91844688100813</v>
      </c>
      <c r="P2805" s="5">
        <v>0.0</v>
      </c>
      <c r="Q2805" s="5">
        <v>0.0</v>
      </c>
      <c r="R2805" s="5">
        <v>0.0</v>
      </c>
      <c r="S2805" s="5">
        <v>789.071258725087</v>
      </c>
    </row>
    <row r="2806">
      <c r="A2806" s="6">
        <v>44426.0</v>
      </c>
      <c r="B2806" s="5">
        <v>795.304670662853</v>
      </c>
      <c r="C2806" s="5">
        <v>727.497170743517</v>
      </c>
      <c r="D2806" s="5">
        <v>853.630625487607</v>
      </c>
      <c r="E2806" s="5">
        <v>795.304670662853</v>
      </c>
      <c r="F2806" s="5">
        <v>795.304670662853</v>
      </c>
      <c r="G2806" s="5">
        <v>-4.65573780057054</v>
      </c>
      <c r="H2806" s="5">
        <v>-4.65573780057054</v>
      </c>
      <c r="I2806" s="5">
        <v>-4.65573780057054</v>
      </c>
      <c r="J2806" s="5">
        <v>0.00703780528047911</v>
      </c>
      <c r="K2806" s="5">
        <v>0.00703780528047911</v>
      </c>
      <c r="L2806" s="5">
        <v>0.00703780528047911</v>
      </c>
      <c r="M2806" s="5">
        <v>-4.66277560585102</v>
      </c>
      <c r="N2806" s="5">
        <v>-4.66277560585102</v>
      </c>
      <c r="O2806" s="5">
        <v>-4.66277560585102</v>
      </c>
      <c r="P2806" s="5">
        <v>0.0</v>
      </c>
      <c r="Q2806" s="5">
        <v>0.0</v>
      </c>
      <c r="R2806" s="5">
        <v>0.0</v>
      </c>
      <c r="S2806" s="5">
        <v>790.648932862282</v>
      </c>
    </row>
    <row r="2807">
      <c r="A2807" s="6">
        <v>44427.0</v>
      </c>
      <c r="B2807" s="5">
        <v>796.475516862366</v>
      </c>
      <c r="C2807" s="5">
        <v>729.962536213019</v>
      </c>
      <c r="D2807" s="5">
        <v>851.228934117344</v>
      </c>
      <c r="E2807" s="5">
        <v>796.475516862366</v>
      </c>
      <c r="F2807" s="5">
        <v>796.475516862366</v>
      </c>
      <c r="G2807" s="5">
        <v>-5.22822384626303</v>
      </c>
      <c r="H2807" s="5">
        <v>-5.22822384626303</v>
      </c>
      <c r="I2807" s="5">
        <v>-5.22822384626303</v>
      </c>
      <c r="J2807" s="5">
        <v>-0.776422525904198</v>
      </c>
      <c r="K2807" s="5">
        <v>-0.776422525904198</v>
      </c>
      <c r="L2807" s="5">
        <v>-0.776422525904198</v>
      </c>
      <c r="M2807" s="5">
        <v>-4.45180132035883</v>
      </c>
      <c r="N2807" s="5">
        <v>-4.45180132035883</v>
      </c>
      <c r="O2807" s="5">
        <v>-4.45180132035883</v>
      </c>
      <c r="P2807" s="5">
        <v>0.0</v>
      </c>
      <c r="Q2807" s="5">
        <v>0.0</v>
      </c>
      <c r="R2807" s="5">
        <v>0.0</v>
      </c>
      <c r="S2807" s="5">
        <v>791.247293016103</v>
      </c>
    </row>
    <row r="2808">
      <c r="A2808" s="6">
        <v>44428.0</v>
      </c>
      <c r="B2808" s="5">
        <v>797.646363061879</v>
      </c>
      <c r="C2808" s="5">
        <v>731.748690619642</v>
      </c>
      <c r="D2808" s="5">
        <v>852.127134106952</v>
      </c>
      <c r="E2808" s="5">
        <v>797.646363061879</v>
      </c>
      <c r="F2808" s="5">
        <v>797.646363061879</v>
      </c>
      <c r="G2808" s="5">
        <v>-5.87501333491252</v>
      </c>
      <c r="H2808" s="5">
        <v>-5.87501333491252</v>
      </c>
      <c r="I2808" s="5">
        <v>-5.87501333491252</v>
      </c>
      <c r="J2808" s="5">
        <v>-1.59155056649282</v>
      </c>
      <c r="K2808" s="5">
        <v>-1.59155056649282</v>
      </c>
      <c r="L2808" s="5">
        <v>-1.59155056649282</v>
      </c>
      <c r="M2808" s="5">
        <v>-4.2834627684197</v>
      </c>
      <c r="N2808" s="5">
        <v>-4.2834627684197</v>
      </c>
      <c r="O2808" s="5">
        <v>-4.2834627684197</v>
      </c>
      <c r="P2808" s="5">
        <v>0.0</v>
      </c>
      <c r="Q2808" s="5">
        <v>0.0</v>
      </c>
      <c r="R2808" s="5">
        <v>0.0</v>
      </c>
      <c r="S2808" s="5">
        <v>791.771349726967</v>
      </c>
    </row>
    <row r="2809">
      <c r="A2809" s="6">
        <v>44431.0</v>
      </c>
      <c r="B2809" s="5">
        <v>801.158901660419</v>
      </c>
      <c r="C2809" s="5">
        <v>736.47348875311</v>
      </c>
      <c r="D2809" s="5">
        <v>860.806243482635</v>
      </c>
      <c r="E2809" s="5">
        <v>801.158901660419</v>
      </c>
      <c r="F2809" s="5">
        <v>801.158901660419</v>
      </c>
      <c r="G2809" s="5">
        <v>-3.90454519466167</v>
      </c>
      <c r="H2809" s="5">
        <v>-3.90454519466167</v>
      </c>
      <c r="I2809" s="5">
        <v>-3.90454519466167</v>
      </c>
      <c r="J2809" s="5">
        <v>0.0905589421211657</v>
      </c>
      <c r="K2809" s="5">
        <v>0.0905589421211657</v>
      </c>
      <c r="L2809" s="5">
        <v>0.0905589421211657</v>
      </c>
      <c r="M2809" s="5">
        <v>-3.99510413678283</v>
      </c>
      <c r="N2809" s="5">
        <v>-3.99510413678283</v>
      </c>
      <c r="O2809" s="5">
        <v>-3.99510413678283</v>
      </c>
      <c r="P2809" s="5">
        <v>0.0</v>
      </c>
      <c r="Q2809" s="5">
        <v>0.0</v>
      </c>
      <c r="R2809" s="5">
        <v>0.0</v>
      </c>
      <c r="S2809" s="5">
        <v>797.254356465758</v>
      </c>
    </row>
    <row r="2810">
      <c r="A2810" s="6">
        <v>44432.0</v>
      </c>
      <c r="B2810" s="5">
        <v>802.329747859932</v>
      </c>
      <c r="C2810" s="5">
        <v>730.946837231248</v>
      </c>
      <c r="D2810" s="5">
        <v>855.240872498296</v>
      </c>
      <c r="E2810" s="5">
        <v>802.329747859932</v>
      </c>
      <c r="F2810" s="5">
        <v>802.329747859932</v>
      </c>
      <c r="G2810" s="5">
        <v>-4.09738708126233</v>
      </c>
      <c r="H2810" s="5">
        <v>-4.09738708126233</v>
      </c>
      <c r="I2810" s="5">
        <v>-4.09738708126233</v>
      </c>
      <c r="J2810" s="5">
        <v>-0.144118857243939</v>
      </c>
      <c r="K2810" s="5">
        <v>-0.144118857243939</v>
      </c>
      <c r="L2810" s="5">
        <v>-0.144118857243939</v>
      </c>
      <c r="M2810" s="5">
        <v>-3.95326822401839</v>
      </c>
      <c r="N2810" s="5">
        <v>-3.95326822401839</v>
      </c>
      <c r="O2810" s="5">
        <v>-3.95326822401839</v>
      </c>
      <c r="P2810" s="5">
        <v>0.0</v>
      </c>
      <c r="Q2810" s="5">
        <v>0.0</v>
      </c>
      <c r="R2810" s="5">
        <v>0.0</v>
      </c>
      <c r="S2810" s="5">
        <v>798.23236077867</v>
      </c>
    </row>
    <row r="2811">
      <c r="A2811" s="6">
        <v>44433.0</v>
      </c>
      <c r="B2811" s="5">
        <v>803.500594059445</v>
      </c>
      <c r="C2811" s="5">
        <v>733.931664924387</v>
      </c>
      <c r="D2811" s="5">
        <v>864.494667944217</v>
      </c>
      <c r="E2811" s="5">
        <v>803.500594059445</v>
      </c>
      <c r="F2811" s="5">
        <v>803.500594059445</v>
      </c>
      <c r="G2811" s="5">
        <v>-3.92091652624072</v>
      </c>
      <c r="H2811" s="5">
        <v>-3.92091652624072</v>
      </c>
      <c r="I2811" s="5">
        <v>-3.92091652624072</v>
      </c>
      <c r="J2811" s="5">
        <v>0.00703780528179017</v>
      </c>
      <c r="K2811" s="5">
        <v>0.00703780528179017</v>
      </c>
      <c r="L2811" s="5">
        <v>0.00703780528179017</v>
      </c>
      <c r="M2811" s="5">
        <v>-3.92795433152251</v>
      </c>
      <c r="N2811" s="5">
        <v>-3.92795433152251</v>
      </c>
      <c r="O2811" s="5">
        <v>-3.92795433152251</v>
      </c>
      <c r="P2811" s="5">
        <v>0.0</v>
      </c>
      <c r="Q2811" s="5">
        <v>0.0</v>
      </c>
      <c r="R2811" s="5">
        <v>0.0</v>
      </c>
      <c r="S2811" s="5">
        <v>799.579677533205</v>
      </c>
    </row>
    <row r="2812">
      <c r="A2812" s="6">
        <v>44434.0</v>
      </c>
      <c r="B2812" s="5">
        <v>804.671440258959</v>
      </c>
      <c r="C2812" s="5">
        <v>738.442799042963</v>
      </c>
      <c r="D2812" s="5">
        <v>867.439568084404</v>
      </c>
      <c r="E2812" s="5">
        <v>804.671440258959</v>
      </c>
      <c r="F2812" s="5">
        <v>804.671440258959</v>
      </c>
      <c r="G2812" s="5">
        <v>-4.6887522685981</v>
      </c>
      <c r="H2812" s="5">
        <v>-4.6887522685981</v>
      </c>
      <c r="I2812" s="5">
        <v>-4.6887522685981</v>
      </c>
      <c r="J2812" s="5">
        <v>-0.77642252589922</v>
      </c>
      <c r="K2812" s="5">
        <v>-0.77642252589922</v>
      </c>
      <c r="L2812" s="5">
        <v>-0.77642252589922</v>
      </c>
      <c r="M2812" s="5">
        <v>-3.91232974269888</v>
      </c>
      <c r="N2812" s="5">
        <v>-3.91232974269888</v>
      </c>
      <c r="O2812" s="5">
        <v>-3.91232974269888</v>
      </c>
      <c r="P2812" s="5">
        <v>0.0</v>
      </c>
      <c r="Q2812" s="5">
        <v>0.0</v>
      </c>
      <c r="R2812" s="5">
        <v>0.0</v>
      </c>
      <c r="S2812" s="5">
        <v>799.982687990361</v>
      </c>
    </row>
    <row r="2813">
      <c r="A2813" s="6">
        <v>44435.0</v>
      </c>
      <c r="B2813" s="5">
        <v>805.842286458472</v>
      </c>
      <c r="C2813" s="5">
        <v>740.678328773366</v>
      </c>
      <c r="D2813" s="5">
        <v>868.271613647349</v>
      </c>
      <c r="E2813" s="5">
        <v>805.842286458472</v>
      </c>
      <c r="F2813" s="5">
        <v>805.842286458472</v>
      </c>
      <c r="G2813" s="5">
        <v>-5.49117650398517</v>
      </c>
      <c r="H2813" s="5">
        <v>-5.49117650398517</v>
      </c>
      <c r="I2813" s="5">
        <v>-5.49117650398517</v>
      </c>
      <c r="J2813" s="5">
        <v>-1.59155056649158</v>
      </c>
      <c r="K2813" s="5">
        <v>-1.59155056649158</v>
      </c>
      <c r="L2813" s="5">
        <v>-1.59155056649158</v>
      </c>
      <c r="M2813" s="5">
        <v>-3.89962593749359</v>
      </c>
      <c r="N2813" s="5">
        <v>-3.89962593749359</v>
      </c>
      <c r="O2813" s="5">
        <v>-3.89962593749359</v>
      </c>
      <c r="P2813" s="5">
        <v>0.0</v>
      </c>
      <c r="Q2813" s="5">
        <v>0.0</v>
      </c>
      <c r="R2813" s="5">
        <v>0.0</v>
      </c>
      <c r="S2813" s="5">
        <v>800.351109954487</v>
      </c>
    </row>
    <row r="2814">
      <c r="A2814" s="6">
        <v>44438.0</v>
      </c>
      <c r="B2814" s="5">
        <v>809.354825057012</v>
      </c>
      <c r="C2814" s="5">
        <v>745.013865042421</v>
      </c>
      <c r="D2814" s="5">
        <v>871.146676081603</v>
      </c>
      <c r="E2814" s="5">
        <v>809.354825057012</v>
      </c>
      <c r="F2814" s="5">
        <v>809.354825057012</v>
      </c>
      <c r="G2814" s="5">
        <v>-3.72718116807578</v>
      </c>
      <c r="H2814" s="5">
        <v>-3.72718116807578</v>
      </c>
      <c r="I2814" s="5">
        <v>-3.72718116807578</v>
      </c>
      <c r="J2814" s="5">
        <v>0.0905589421197282</v>
      </c>
      <c r="K2814" s="5">
        <v>0.0905589421197282</v>
      </c>
      <c r="L2814" s="5">
        <v>0.0905589421197282</v>
      </c>
      <c r="M2814" s="5">
        <v>-3.8177401101955</v>
      </c>
      <c r="N2814" s="5">
        <v>-3.8177401101955</v>
      </c>
      <c r="O2814" s="5">
        <v>-3.8177401101955</v>
      </c>
      <c r="P2814" s="5">
        <v>0.0</v>
      </c>
      <c r="Q2814" s="5">
        <v>0.0</v>
      </c>
      <c r="R2814" s="5">
        <v>0.0</v>
      </c>
      <c r="S2814" s="5">
        <v>805.627643888936</v>
      </c>
    </row>
    <row r="2815">
      <c r="A2815" s="6">
        <v>44439.0</v>
      </c>
      <c r="B2815" s="5">
        <v>810.525671256525</v>
      </c>
      <c r="C2815" s="5">
        <v>743.337726332697</v>
      </c>
      <c r="D2815" s="5">
        <v>871.741678068673</v>
      </c>
      <c r="E2815" s="5">
        <v>810.525671256525</v>
      </c>
      <c r="F2815" s="5">
        <v>810.525671256525</v>
      </c>
      <c r="G2815" s="5">
        <v>-3.90331029908714</v>
      </c>
      <c r="H2815" s="5">
        <v>-3.90331029908714</v>
      </c>
      <c r="I2815" s="5">
        <v>-3.90331029908714</v>
      </c>
      <c r="J2815" s="5">
        <v>-0.144118857245374</v>
      </c>
      <c r="K2815" s="5">
        <v>-0.144118857245374</v>
      </c>
      <c r="L2815" s="5">
        <v>-0.144118857245374</v>
      </c>
      <c r="M2815" s="5">
        <v>-3.75919144184177</v>
      </c>
      <c r="N2815" s="5">
        <v>-3.75919144184177</v>
      </c>
      <c r="O2815" s="5">
        <v>-3.75919144184177</v>
      </c>
      <c r="P2815" s="5">
        <v>0.0</v>
      </c>
      <c r="Q2815" s="5">
        <v>0.0</v>
      </c>
      <c r="R2815" s="5">
        <v>0.0</v>
      </c>
      <c r="S2815" s="5">
        <v>806.622360957438</v>
      </c>
    </row>
    <row r="2816">
      <c r="A2816" s="6">
        <v>44440.0</v>
      </c>
      <c r="B2816" s="5">
        <v>811.696517456038</v>
      </c>
      <c r="C2816" s="5">
        <v>747.378578718974</v>
      </c>
      <c r="D2816" s="5">
        <v>869.700211858927</v>
      </c>
      <c r="E2816" s="5">
        <v>811.696517456038</v>
      </c>
      <c r="F2816" s="5">
        <v>811.696517456038</v>
      </c>
      <c r="G2816" s="5">
        <v>-3.67222461195479</v>
      </c>
      <c r="H2816" s="5">
        <v>-3.67222461195479</v>
      </c>
      <c r="I2816" s="5">
        <v>-3.67222461195479</v>
      </c>
      <c r="J2816" s="5">
        <v>0.00703780528093759</v>
      </c>
      <c r="K2816" s="5">
        <v>0.00703780528093759</v>
      </c>
      <c r="L2816" s="5">
        <v>0.00703780528093759</v>
      </c>
      <c r="M2816" s="5">
        <v>-3.67926241723573</v>
      </c>
      <c r="N2816" s="5">
        <v>-3.67926241723573</v>
      </c>
      <c r="O2816" s="5">
        <v>-3.67926241723573</v>
      </c>
      <c r="P2816" s="5">
        <v>0.0</v>
      </c>
      <c r="Q2816" s="5">
        <v>0.0</v>
      </c>
      <c r="R2816" s="5">
        <v>0.0</v>
      </c>
      <c r="S2816" s="5">
        <v>808.024292844083</v>
      </c>
    </row>
    <row r="2817">
      <c r="A2817" s="6">
        <v>44441.0</v>
      </c>
      <c r="B2817" s="5">
        <v>812.867363655552</v>
      </c>
      <c r="C2817" s="5">
        <v>746.065542359864</v>
      </c>
      <c r="D2817" s="5">
        <v>874.501796032179</v>
      </c>
      <c r="E2817" s="5">
        <v>812.867363655552</v>
      </c>
      <c r="F2817" s="5">
        <v>812.867363655552</v>
      </c>
      <c r="G2817" s="5">
        <v>-4.35278295138747</v>
      </c>
      <c r="H2817" s="5">
        <v>-4.35278295138747</v>
      </c>
      <c r="I2817" s="5">
        <v>-4.35278295138747</v>
      </c>
      <c r="J2817" s="5">
        <v>-0.776422525901317</v>
      </c>
      <c r="K2817" s="5">
        <v>-0.776422525901317</v>
      </c>
      <c r="L2817" s="5">
        <v>-0.776422525901317</v>
      </c>
      <c r="M2817" s="5">
        <v>-3.57636042548615</v>
      </c>
      <c r="N2817" s="5">
        <v>-3.57636042548615</v>
      </c>
      <c r="O2817" s="5">
        <v>-3.57636042548615</v>
      </c>
      <c r="P2817" s="5">
        <v>0.0</v>
      </c>
      <c r="Q2817" s="5">
        <v>0.0</v>
      </c>
      <c r="R2817" s="5">
        <v>0.0</v>
      </c>
      <c r="S2817" s="5">
        <v>808.514580704164</v>
      </c>
    </row>
    <row r="2818">
      <c r="A2818" s="6">
        <v>44442.0</v>
      </c>
      <c r="B2818" s="5">
        <v>814.038209855065</v>
      </c>
      <c r="C2818" s="5">
        <v>745.477219066276</v>
      </c>
      <c r="D2818" s="5">
        <v>869.794227708591</v>
      </c>
      <c r="E2818" s="5">
        <v>814.038209855065</v>
      </c>
      <c r="F2818" s="5">
        <v>814.038209855065</v>
      </c>
      <c r="G2818" s="5">
        <v>-5.04181134997099</v>
      </c>
      <c r="H2818" s="5">
        <v>-5.04181134997099</v>
      </c>
      <c r="I2818" s="5">
        <v>-5.04181134997099</v>
      </c>
      <c r="J2818" s="5">
        <v>-1.59155056649065</v>
      </c>
      <c r="K2818" s="5">
        <v>-1.59155056649065</v>
      </c>
      <c r="L2818" s="5">
        <v>-1.59155056649065</v>
      </c>
      <c r="M2818" s="5">
        <v>-3.45026078348034</v>
      </c>
      <c r="N2818" s="5">
        <v>-3.45026078348034</v>
      </c>
      <c r="O2818" s="5">
        <v>-3.45026078348034</v>
      </c>
      <c r="P2818" s="5">
        <v>0.0</v>
      </c>
      <c r="Q2818" s="5">
        <v>0.0</v>
      </c>
      <c r="R2818" s="5">
        <v>0.0</v>
      </c>
      <c r="S2818" s="5">
        <v>808.996398505094</v>
      </c>
    </row>
    <row r="2819">
      <c r="A2819" s="6">
        <v>44446.0</v>
      </c>
      <c r="B2819" s="5">
        <v>818.721594653118</v>
      </c>
      <c r="C2819" s="5">
        <v>757.272066586174</v>
      </c>
      <c r="D2819" s="5">
        <v>884.150837324417</v>
      </c>
      <c r="E2819" s="5">
        <v>818.721594653118</v>
      </c>
      <c r="F2819" s="5">
        <v>818.721594653118</v>
      </c>
      <c r="G2819" s="5">
        <v>-2.90154764481939</v>
      </c>
      <c r="H2819" s="5">
        <v>-2.90154764481939</v>
      </c>
      <c r="I2819" s="5">
        <v>-2.90154764481939</v>
      </c>
      <c r="J2819" s="5">
        <v>-0.14411885724681</v>
      </c>
      <c r="K2819" s="5">
        <v>-0.14411885724681</v>
      </c>
      <c r="L2819" s="5">
        <v>-0.14411885724681</v>
      </c>
      <c r="M2819" s="5">
        <v>-2.75742878757257</v>
      </c>
      <c r="N2819" s="5">
        <v>-2.75742878757257</v>
      </c>
      <c r="O2819" s="5">
        <v>-2.75742878757257</v>
      </c>
      <c r="P2819" s="5">
        <v>0.0</v>
      </c>
      <c r="Q2819" s="5">
        <v>0.0</v>
      </c>
      <c r="R2819" s="5">
        <v>0.0</v>
      </c>
      <c r="S2819" s="5">
        <v>815.820047008298</v>
      </c>
    </row>
    <row r="2820">
      <c r="A2820" s="6">
        <v>44447.0</v>
      </c>
      <c r="B2820" s="5">
        <v>819.892440852631</v>
      </c>
      <c r="C2820" s="5">
        <v>758.52637649402</v>
      </c>
      <c r="D2820" s="5">
        <v>879.625126108846</v>
      </c>
      <c r="E2820" s="5">
        <v>819.892440852631</v>
      </c>
      <c r="F2820" s="5">
        <v>819.892440852631</v>
      </c>
      <c r="G2820" s="5">
        <v>-2.55197307751693</v>
      </c>
      <c r="H2820" s="5">
        <v>-2.55197307751693</v>
      </c>
      <c r="I2820" s="5">
        <v>-2.55197307751693</v>
      </c>
      <c r="J2820" s="5">
        <v>0.00703780528224862</v>
      </c>
      <c r="K2820" s="5">
        <v>0.00703780528224862</v>
      </c>
      <c r="L2820" s="5">
        <v>0.00703780528224862</v>
      </c>
      <c r="M2820" s="5">
        <v>-2.55901088279918</v>
      </c>
      <c r="N2820" s="5">
        <v>-2.55901088279918</v>
      </c>
      <c r="O2820" s="5">
        <v>-2.55901088279918</v>
      </c>
      <c r="P2820" s="5">
        <v>0.0</v>
      </c>
      <c r="Q2820" s="5">
        <v>0.0</v>
      </c>
      <c r="R2820" s="5">
        <v>0.0</v>
      </c>
      <c r="S2820" s="5">
        <v>817.340467775114</v>
      </c>
    </row>
    <row r="2821">
      <c r="A2821" s="6">
        <v>44448.0</v>
      </c>
      <c r="B2821" s="5">
        <v>821.063287052144</v>
      </c>
      <c r="C2821" s="5">
        <v>756.448027581143</v>
      </c>
      <c r="D2821" s="5">
        <v>882.152885737662</v>
      </c>
      <c r="E2821" s="5">
        <v>821.063287052144</v>
      </c>
      <c r="F2821" s="5">
        <v>821.063287052144</v>
      </c>
      <c r="G2821" s="5">
        <v>-3.13930689645353</v>
      </c>
      <c r="H2821" s="5">
        <v>-3.13930689645353</v>
      </c>
      <c r="I2821" s="5">
        <v>-3.13930689645353</v>
      </c>
      <c r="J2821" s="5">
        <v>-0.776422525900664</v>
      </c>
      <c r="K2821" s="5">
        <v>-0.776422525900664</v>
      </c>
      <c r="L2821" s="5">
        <v>-0.776422525900664</v>
      </c>
      <c r="M2821" s="5">
        <v>-2.36288437055287</v>
      </c>
      <c r="N2821" s="5">
        <v>-2.36288437055287</v>
      </c>
      <c r="O2821" s="5">
        <v>-2.36288437055287</v>
      </c>
      <c r="P2821" s="5">
        <v>0.0</v>
      </c>
      <c r="Q2821" s="5">
        <v>0.0</v>
      </c>
      <c r="R2821" s="5">
        <v>0.0</v>
      </c>
      <c r="S2821" s="5">
        <v>817.923980155691</v>
      </c>
    </row>
    <row r="2822">
      <c r="A2822" s="6">
        <v>44449.0</v>
      </c>
      <c r="B2822" s="5">
        <v>822.234133251657</v>
      </c>
      <c r="C2822" s="5">
        <v>760.482416889587</v>
      </c>
      <c r="D2822" s="5">
        <v>881.871027151524</v>
      </c>
      <c r="E2822" s="5">
        <v>822.234133251657</v>
      </c>
      <c r="F2822" s="5">
        <v>822.234133251657</v>
      </c>
      <c r="G2822" s="5">
        <v>-3.76803007995173</v>
      </c>
      <c r="H2822" s="5">
        <v>-3.76803007995173</v>
      </c>
      <c r="I2822" s="5">
        <v>-3.76803007995173</v>
      </c>
      <c r="J2822" s="5">
        <v>-1.59155056648973</v>
      </c>
      <c r="K2822" s="5">
        <v>-1.59155056648973</v>
      </c>
      <c r="L2822" s="5">
        <v>-1.59155056648973</v>
      </c>
      <c r="M2822" s="5">
        <v>-2.176479513462</v>
      </c>
      <c r="N2822" s="5">
        <v>-2.176479513462</v>
      </c>
      <c r="O2822" s="5">
        <v>-2.176479513462</v>
      </c>
      <c r="P2822" s="5">
        <v>0.0</v>
      </c>
      <c r="Q2822" s="5">
        <v>0.0</v>
      </c>
      <c r="R2822" s="5">
        <v>0.0</v>
      </c>
      <c r="S2822" s="5">
        <v>818.466103171706</v>
      </c>
    </row>
    <row r="2823">
      <c r="A2823" s="6">
        <v>44452.0</v>
      </c>
      <c r="B2823" s="5">
        <v>825.746671850197</v>
      </c>
      <c r="C2823" s="5">
        <v>756.690364208408</v>
      </c>
      <c r="D2823" s="5">
        <v>889.31654298688</v>
      </c>
      <c r="E2823" s="5">
        <v>825.746671850197</v>
      </c>
      <c r="F2823" s="5">
        <v>825.746671850197</v>
      </c>
      <c r="G2823" s="5">
        <v>-1.6622775812669</v>
      </c>
      <c r="H2823" s="5">
        <v>-1.6622775812669</v>
      </c>
      <c r="I2823" s="5">
        <v>-1.6622775812669</v>
      </c>
      <c r="J2823" s="5">
        <v>0.0905589421241653</v>
      </c>
      <c r="K2823" s="5">
        <v>0.0905589421241653</v>
      </c>
      <c r="L2823" s="5">
        <v>0.0905589421241653</v>
      </c>
      <c r="M2823" s="5">
        <v>-1.75283652339106</v>
      </c>
      <c r="N2823" s="5">
        <v>-1.75283652339106</v>
      </c>
      <c r="O2823" s="5">
        <v>-1.75283652339106</v>
      </c>
      <c r="P2823" s="5">
        <v>0.0</v>
      </c>
      <c r="Q2823" s="5">
        <v>0.0</v>
      </c>
      <c r="R2823" s="5">
        <v>0.0</v>
      </c>
      <c r="S2823" s="5">
        <v>824.08439426893</v>
      </c>
    </row>
    <row r="2824">
      <c r="A2824" s="6">
        <v>44453.0</v>
      </c>
      <c r="B2824" s="5">
        <v>826.917518049711</v>
      </c>
      <c r="C2824" s="5">
        <v>761.994467757279</v>
      </c>
      <c r="D2824" s="5">
        <v>887.532949150504</v>
      </c>
      <c r="E2824" s="5">
        <v>826.917518049711</v>
      </c>
      <c r="F2824" s="5">
        <v>826.917518049711</v>
      </c>
      <c r="G2824" s="5">
        <v>-1.82564572620597</v>
      </c>
      <c r="H2824" s="5">
        <v>-1.82564572620597</v>
      </c>
      <c r="I2824" s="5">
        <v>-1.82564572620597</v>
      </c>
      <c r="J2824" s="5">
        <v>-0.144118857246027</v>
      </c>
      <c r="K2824" s="5">
        <v>-0.144118857246027</v>
      </c>
      <c r="L2824" s="5">
        <v>-0.144118857246027</v>
      </c>
      <c r="M2824" s="5">
        <v>-1.68152686895995</v>
      </c>
      <c r="N2824" s="5">
        <v>-1.68152686895995</v>
      </c>
      <c r="O2824" s="5">
        <v>-1.68152686895995</v>
      </c>
      <c r="P2824" s="5">
        <v>0.0</v>
      </c>
      <c r="Q2824" s="5">
        <v>0.0</v>
      </c>
      <c r="R2824" s="5">
        <v>0.0</v>
      </c>
      <c r="S2824" s="5">
        <v>825.091872323505</v>
      </c>
    </row>
    <row r="2825">
      <c r="A2825" s="6">
        <v>44454.0</v>
      </c>
      <c r="B2825" s="5">
        <v>828.088364249223</v>
      </c>
      <c r="C2825" s="5">
        <v>764.018277963639</v>
      </c>
      <c r="D2825" s="5">
        <v>892.178324872156</v>
      </c>
      <c r="E2825" s="5">
        <v>828.088364249223</v>
      </c>
      <c r="F2825" s="5">
        <v>828.088364249223</v>
      </c>
      <c r="G2825" s="5">
        <v>-1.64895958526806</v>
      </c>
      <c r="H2825" s="5">
        <v>-1.64895958526806</v>
      </c>
      <c r="I2825" s="5">
        <v>-1.64895958526806</v>
      </c>
      <c r="J2825" s="5">
        <v>0.00703780528139623</v>
      </c>
      <c r="K2825" s="5">
        <v>0.00703780528139623</v>
      </c>
      <c r="L2825" s="5">
        <v>0.00703780528139623</v>
      </c>
      <c r="M2825" s="5">
        <v>-1.65599739054946</v>
      </c>
      <c r="N2825" s="5">
        <v>-1.65599739054946</v>
      </c>
      <c r="O2825" s="5">
        <v>-1.65599739054946</v>
      </c>
      <c r="P2825" s="5">
        <v>0.0</v>
      </c>
      <c r="Q2825" s="5">
        <v>0.0</v>
      </c>
      <c r="R2825" s="5">
        <v>0.0</v>
      </c>
      <c r="S2825" s="5">
        <v>826.439404663955</v>
      </c>
    </row>
    <row r="2826">
      <c r="A2826" s="6">
        <v>44455.0</v>
      </c>
      <c r="B2826" s="5">
        <v>829.259210448737</v>
      </c>
      <c r="C2826" s="5">
        <v>764.522450833664</v>
      </c>
      <c r="D2826" s="5">
        <v>895.147514292297</v>
      </c>
      <c r="E2826" s="5">
        <v>829.259210448737</v>
      </c>
      <c r="F2826" s="5">
        <v>829.259210448737</v>
      </c>
      <c r="G2826" s="5">
        <v>-2.45767181434739</v>
      </c>
      <c r="H2826" s="5">
        <v>-2.45767181434739</v>
      </c>
      <c r="I2826" s="5">
        <v>-2.45767181434739</v>
      </c>
      <c r="J2826" s="5">
        <v>-0.776422525902761</v>
      </c>
      <c r="K2826" s="5">
        <v>-0.776422525902761</v>
      </c>
      <c r="L2826" s="5">
        <v>-0.776422525902761</v>
      </c>
      <c r="M2826" s="5">
        <v>-1.68124928844463</v>
      </c>
      <c r="N2826" s="5">
        <v>-1.68124928844463</v>
      </c>
      <c r="O2826" s="5">
        <v>-1.68124928844463</v>
      </c>
      <c r="P2826" s="5">
        <v>0.0</v>
      </c>
      <c r="Q2826" s="5">
        <v>0.0</v>
      </c>
      <c r="R2826" s="5">
        <v>0.0</v>
      </c>
      <c r="S2826" s="5">
        <v>826.80153863439</v>
      </c>
    </row>
    <row r="2827">
      <c r="A2827" s="6">
        <v>44456.0</v>
      </c>
      <c r="B2827" s="5">
        <v>830.43005664825</v>
      </c>
      <c r="C2827" s="5">
        <v>765.338226442873</v>
      </c>
      <c r="D2827" s="5">
        <v>890.213497391169</v>
      </c>
      <c r="E2827" s="5">
        <v>830.43005664825</v>
      </c>
      <c r="F2827" s="5">
        <v>830.43005664825</v>
      </c>
      <c r="G2827" s="5">
        <v>-3.35249349415326</v>
      </c>
      <c r="H2827" s="5">
        <v>-3.35249349415326</v>
      </c>
      <c r="I2827" s="5">
        <v>-3.35249349415326</v>
      </c>
      <c r="J2827" s="5">
        <v>-1.59155056649429</v>
      </c>
      <c r="K2827" s="5">
        <v>-1.59155056649429</v>
      </c>
      <c r="L2827" s="5">
        <v>-1.59155056649429</v>
      </c>
      <c r="M2827" s="5">
        <v>-1.76094292765896</v>
      </c>
      <c r="N2827" s="5">
        <v>-1.76094292765896</v>
      </c>
      <c r="O2827" s="5">
        <v>-1.76094292765896</v>
      </c>
      <c r="P2827" s="5">
        <v>0.0</v>
      </c>
      <c r="Q2827" s="5">
        <v>0.0</v>
      </c>
      <c r="R2827" s="5">
        <v>0.0</v>
      </c>
      <c r="S2827" s="5">
        <v>827.077563154097</v>
      </c>
    </row>
    <row r="2828">
      <c r="A2828" s="6">
        <v>44459.0</v>
      </c>
      <c r="B2828" s="5">
        <v>833.94259524679</v>
      </c>
      <c r="C2828" s="5">
        <v>770.069523431538</v>
      </c>
      <c r="D2828" s="5">
        <v>897.193511681084</v>
      </c>
      <c r="E2828" s="5">
        <v>833.94259524679</v>
      </c>
      <c r="F2828" s="5">
        <v>833.94259524679</v>
      </c>
      <c r="G2828" s="5">
        <v>-2.24867418576427</v>
      </c>
      <c r="H2828" s="5">
        <v>-2.24867418576427</v>
      </c>
      <c r="I2828" s="5">
        <v>-2.24867418576427</v>
      </c>
      <c r="J2828" s="5">
        <v>0.090558942120344</v>
      </c>
      <c r="K2828" s="5">
        <v>0.090558942120344</v>
      </c>
      <c r="L2828" s="5">
        <v>0.090558942120344</v>
      </c>
      <c r="M2828" s="5">
        <v>-2.33923312788462</v>
      </c>
      <c r="N2828" s="5">
        <v>-2.33923312788462</v>
      </c>
      <c r="O2828" s="5">
        <v>-2.33923312788462</v>
      </c>
      <c r="P2828" s="5">
        <v>0.0</v>
      </c>
      <c r="Q2828" s="5">
        <v>0.0</v>
      </c>
      <c r="R2828" s="5">
        <v>0.0</v>
      </c>
      <c r="S2828" s="5">
        <v>831.693921061026</v>
      </c>
    </row>
    <row r="2829">
      <c r="A2829" s="6">
        <v>44460.0</v>
      </c>
      <c r="B2829" s="5">
        <v>835.113441446303</v>
      </c>
      <c r="C2829" s="5">
        <v>766.212815805381</v>
      </c>
      <c r="D2829" s="5">
        <v>892.615794152581</v>
      </c>
      <c r="E2829" s="5">
        <v>835.113441446303</v>
      </c>
      <c r="F2829" s="5">
        <v>835.113441446303</v>
      </c>
      <c r="G2829" s="5">
        <v>-2.78447048227303</v>
      </c>
      <c r="H2829" s="5">
        <v>-2.78447048227303</v>
      </c>
      <c r="I2829" s="5">
        <v>-2.78447048227303</v>
      </c>
      <c r="J2829" s="5">
        <v>-0.144118857242415</v>
      </c>
      <c r="K2829" s="5">
        <v>-0.144118857242415</v>
      </c>
      <c r="L2829" s="5">
        <v>-0.144118857242415</v>
      </c>
      <c r="M2829" s="5">
        <v>-2.64035162503062</v>
      </c>
      <c r="N2829" s="5">
        <v>-2.64035162503062</v>
      </c>
      <c r="O2829" s="5">
        <v>-2.64035162503062</v>
      </c>
      <c r="P2829" s="5">
        <v>0.0</v>
      </c>
      <c r="Q2829" s="5">
        <v>0.0</v>
      </c>
      <c r="R2829" s="5">
        <v>0.0</v>
      </c>
      <c r="S2829" s="5">
        <v>832.32897096403</v>
      </c>
    </row>
    <row r="2830">
      <c r="A2830" s="6">
        <v>44461.0</v>
      </c>
      <c r="B2830" s="5">
        <v>836.284287645816</v>
      </c>
      <c r="C2830" s="5">
        <v>769.069963752802</v>
      </c>
      <c r="D2830" s="5">
        <v>894.398851600227</v>
      </c>
      <c r="E2830" s="5">
        <v>836.284287645816</v>
      </c>
      <c r="F2830" s="5">
        <v>836.284287645816</v>
      </c>
      <c r="G2830" s="5">
        <v>-2.98160002696501</v>
      </c>
      <c r="H2830" s="5">
        <v>-2.98160002696501</v>
      </c>
      <c r="I2830" s="5">
        <v>-2.98160002696501</v>
      </c>
      <c r="J2830" s="5">
        <v>0.00703780528252625</v>
      </c>
      <c r="K2830" s="5">
        <v>0.00703780528252625</v>
      </c>
      <c r="L2830" s="5">
        <v>0.00703780528252625</v>
      </c>
      <c r="M2830" s="5">
        <v>-2.98863783224753</v>
      </c>
      <c r="N2830" s="5">
        <v>-2.98863783224753</v>
      </c>
      <c r="O2830" s="5">
        <v>-2.98863783224753</v>
      </c>
      <c r="P2830" s="5">
        <v>0.0</v>
      </c>
      <c r="Q2830" s="5">
        <v>0.0</v>
      </c>
      <c r="R2830" s="5">
        <v>0.0</v>
      </c>
      <c r="S2830" s="5">
        <v>833.302687618851</v>
      </c>
    </row>
    <row r="2831">
      <c r="A2831" s="6">
        <v>44462.0</v>
      </c>
      <c r="B2831" s="5">
        <v>837.45513384533</v>
      </c>
      <c r="C2831" s="5">
        <v>771.454728749021</v>
      </c>
      <c r="D2831" s="5">
        <v>897.542090135772</v>
      </c>
      <c r="E2831" s="5">
        <v>837.45513384533</v>
      </c>
      <c r="F2831" s="5">
        <v>837.45513384533</v>
      </c>
      <c r="G2831" s="5">
        <v>-4.15355055630458</v>
      </c>
      <c r="H2831" s="5">
        <v>-4.15355055630458</v>
      </c>
      <c r="I2831" s="5">
        <v>-4.15355055630458</v>
      </c>
      <c r="J2831" s="5">
        <v>-0.776422525903483</v>
      </c>
      <c r="K2831" s="5">
        <v>-0.776422525903483</v>
      </c>
      <c r="L2831" s="5">
        <v>-0.776422525903483</v>
      </c>
      <c r="M2831" s="5">
        <v>-3.3771280304011</v>
      </c>
      <c r="N2831" s="5">
        <v>-3.3771280304011</v>
      </c>
      <c r="O2831" s="5">
        <v>-3.3771280304011</v>
      </c>
      <c r="P2831" s="5">
        <v>0.0</v>
      </c>
      <c r="Q2831" s="5">
        <v>0.0</v>
      </c>
      <c r="R2831" s="5">
        <v>0.0</v>
      </c>
      <c r="S2831" s="5">
        <v>833.301583289025</v>
      </c>
    </row>
    <row r="2832">
      <c r="A2832" s="6">
        <v>44463.0</v>
      </c>
      <c r="B2832" s="5">
        <v>838.625980044843</v>
      </c>
      <c r="C2832" s="5">
        <v>766.351563337769</v>
      </c>
      <c r="D2832" s="5">
        <v>896.458402864314</v>
      </c>
      <c r="E2832" s="5">
        <v>838.625980044843</v>
      </c>
      <c r="F2832" s="5">
        <v>838.625980044843</v>
      </c>
      <c r="G2832" s="5">
        <v>-5.38869821744036</v>
      </c>
      <c r="H2832" s="5">
        <v>-5.38869821744036</v>
      </c>
      <c r="I2832" s="5">
        <v>-5.38869821744036</v>
      </c>
      <c r="J2832" s="5">
        <v>-1.59155056649305</v>
      </c>
      <c r="K2832" s="5">
        <v>-1.59155056649305</v>
      </c>
      <c r="L2832" s="5">
        <v>-1.59155056649305</v>
      </c>
      <c r="M2832" s="5">
        <v>-3.7971476509473</v>
      </c>
      <c r="N2832" s="5">
        <v>-3.7971476509473</v>
      </c>
      <c r="O2832" s="5">
        <v>-3.7971476509473</v>
      </c>
      <c r="P2832" s="5">
        <v>0.0</v>
      </c>
      <c r="Q2832" s="5">
        <v>0.0</v>
      </c>
      <c r="R2832" s="5">
        <v>0.0</v>
      </c>
      <c r="S2832" s="5">
        <v>833.237281827402</v>
      </c>
    </row>
    <row r="2833">
      <c r="A2833" s="6">
        <v>44466.0</v>
      </c>
      <c r="B2833" s="5">
        <v>842.138518643382</v>
      </c>
      <c r="C2833" s="5">
        <v>778.464889895343</v>
      </c>
      <c r="D2833" s="5">
        <v>897.187381646994</v>
      </c>
      <c r="E2833" s="5">
        <v>842.138518643382</v>
      </c>
      <c r="F2833" s="5">
        <v>842.138518643382</v>
      </c>
      <c r="G2833" s="5">
        <v>-5.04720988480253</v>
      </c>
      <c r="H2833" s="5">
        <v>-5.04720988480253</v>
      </c>
      <c r="I2833" s="5">
        <v>-5.04720988480253</v>
      </c>
      <c r="J2833" s="5">
        <v>0.0905589421212904</v>
      </c>
      <c r="K2833" s="5">
        <v>0.0905589421212904</v>
      </c>
      <c r="L2833" s="5">
        <v>0.0905589421212904</v>
      </c>
      <c r="M2833" s="5">
        <v>-5.13776882692382</v>
      </c>
      <c r="N2833" s="5">
        <v>-5.13776882692382</v>
      </c>
      <c r="O2833" s="5">
        <v>-5.13776882692382</v>
      </c>
      <c r="P2833" s="5">
        <v>0.0</v>
      </c>
      <c r="Q2833" s="5">
        <v>0.0</v>
      </c>
      <c r="R2833" s="5">
        <v>0.0</v>
      </c>
      <c r="S2833" s="5">
        <v>837.09130875858</v>
      </c>
    </row>
    <row r="2834">
      <c r="A2834" s="6">
        <v>44467.0</v>
      </c>
      <c r="B2834" s="5">
        <v>843.309364842896</v>
      </c>
      <c r="C2834" s="5">
        <v>774.734104908293</v>
      </c>
      <c r="D2834" s="5">
        <v>899.77165625964</v>
      </c>
      <c r="E2834" s="5">
        <v>843.309364842896</v>
      </c>
      <c r="F2834" s="5">
        <v>843.309364842896</v>
      </c>
      <c r="G2834" s="5">
        <v>-5.71382585649191</v>
      </c>
      <c r="H2834" s="5">
        <v>-5.71382585649191</v>
      </c>
      <c r="I2834" s="5">
        <v>-5.71382585649191</v>
      </c>
      <c r="J2834" s="5">
        <v>-0.14411885724385</v>
      </c>
      <c r="K2834" s="5">
        <v>-0.14411885724385</v>
      </c>
      <c r="L2834" s="5">
        <v>-0.14411885724385</v>
      </c>
      <c r="M2834" s="5">
        <v>-5.56970699924806</v>
      </c>
      <c r="N2834" s="5">
        <v>-5.56970699924806</v>
      </c>
      <c r="O2834" s="5">
        <v>-5.56970699924806</v>
      </c>
      <c r="P2834" s="5">
        <v>0.0</v>
      </c>
      <c r="Q2834" s="5">
        <v>0.0</v>
      </c>
      <c r="R2834" s="5">
        <v>0.0</v>
      </c>
      <c r="S2834" s="5">
        <v>837.595538986404</v>
      </c>
    </row>
    <row r="2835">
      <c r="A2835" s="6">
        <v>44468.0</v>
      </c>
      <c r="B2835" s="5">
        <v>844.480211042409</v>
      </c>
      <c r="C2835" s="5">
        <v>775.340295040077</v>
      </c>
      <c r="D2835" s="5">
        <v>901.757271893108</v>
      </c>
      <c r="E2835" s="5">
        <v>844.480211042409</v>
      </c>
      <c r="F2835" s="5">
        <v>844.480211042409</v>
      </c>
      <c r="G2835" s="5">
        <v>-5.96448617658209</v>
      </c>
      <c r="H2835" s="5">
        <v>-5.96448617658209</v>
      </c>
      <c r="I2835" s="5">
        <v>-5.96448617658209</v>
      </c>
      <c r="J2835" s="5">
        <v>0.0070378052816737</v>
      </c>
      <c r="K2835" s="5">
        <v>0.0070378052816737</v>
      </c>
      <c r="L2835" s="5">
        <v>0.0070378052816737</v>
      </c>
      <c r="M2835" s="5">
        <v>-5.97152398186376</v>
      </c>
      <c r="N2835" s="5">
        <v>-5.97152398186376</v>
      </c>
      <c r="O2835" s="5">
        <v>-5.97152398186376</v>
      </c>
      <c r="P2835" s="5">
        <v>0.0</v>
      </c>
      <c r="Q2835" s="5">
        <v>0.0</v>
      </c>
      <c r="R2835" s="5">
        <v>0.0</v>
      </c>
      <c r="S2835" s="5">
        <v>838.515724865827</v>
      </c>
    </row>
    <row r="2836">
      <c r="A2836" s="6">
        <v>44469.0</v>
      </c>
      <c r="B2836" s="5">
        <v>845.651057241922</v>
      </c>
      <c r="C2836" s="5">
        <v>773.314764983611</v>
      </c>
      <c r="D2836" s="5">
        <v>903.958179209065</v>
      </c>
      <c r="E2836" s="5">
        <v>845.651057241922</v>
      </c>
      <c r="F2836" s="5">
        <v>845.651057241922</v>
      </c>
      <c r="G2836" s="5">
        <v>-7.10569580214039</v>
      </c>
      <c r="H2836" s="5">
        <v>-7.10569580214039</v>
      </c>
      <c r="I2836" s="5">
        <v>-7.10569580214039</v>
      </c>
      <c r="J2836" s="5">
        <v>-0.77642252590558</v>
      </c>
      <c r="K2836" s="5">
        <v>-0.77642252590558</v>
      </c>
      <c r="L2836" s="5">
        <v>-0.77642252590558</v>
      </c>
      <c r="M2836" s="5">
        <v>-6.32927327623481</v>
      </c>
      <c r="N2836" s="5">
        <v>-6.32927327623481</v>
      </c>
      <c r="O2836" s="5">
        <v>-6.32927327623481</v>
      </c>
      <c r="P2836" s="5">
        <v>0.0</v>
      </c>
      <c r="Q2836" s="5">
        <v>0.0</v>
      </c>
      <c r="R2836" s="5">
        <v>0.0</v>
      </c>
      <c r="S2836" s="5">
        <v>838.545361439782</v>
      </c>
    </row>
    <row r="2837">
      <c r="A2837" s="6">
        <v>44470.0</v>
      </c>
      <c r="B2837" s="5">
        <v>846.821903441435</v>
      </c>
      <c r="C2837" s="5">
        <v>776.287396512181</v>
      </c>
      <c r="D2837" s="5">
        <v>904.740922433121</v>
      </c>
      <c r="E2837" s="5">
        <v>846.821903441435</v>
      </c>
      <c r="F2837" s="5">
        <v>846.821903441435</v>
      </c>
      <c r="G2837" s="5">
        <v>-8.22082143733258</v>
      </c>
      <c r="H2837" s="5">
        <v>-8.22082143733258</v>
      </c>
      <c r="I2837" s="5">
        <v>-8.22082143733258</v>
      </c>
      <c r="J2837" s="5">
        <v>-1.59155056649244</v>
      </c>
      <c r="K2837" s="5">
        <v>-1.59155056649244</v>
      </c>
      <c r="L2837" s="5">
        <v>-1.59155056649244</v>
      </c>
      <c r="M2837" s="5">
        <v>-6.62927087084014</v>
      </c>
      <c r="N2837" s="5">
        <v>-6.62927087084014</v>
      </c>
      <c r="O2837" s="5">
        <v>-6.62927087084014</v>
      </c>
      <c r="P2837" s="5">
        <v>0.0</v>
      </c>
      <c r="Q2837" s="5">
        <v>0.0</v>
      </c>
      <c r="R2837" s="5">
        <v>0.0</v>
      </c>
      <c r="S2837" s="5">
        <v>838.601082004103</v>
      </c>
    </row>
    <row r="2838">
      <c r="A2838" s="6">
        <v>44473.0</v>
      </c>
      <c r="B2838" s="5">
        <v>850.334442039975</v>
      </c>
      <c r="C2838" s="5">
        <v>782.913962217521</v>
      </c>
      <c r="D2838" s="5">
        <v>907.231991883205</v>
      </c>
      <c r="E2838" s="5">
        <v>850.334442039975</v>
      </c>
      <c r="F2838" s="5">
        <v>850.334442039975</v>
      </c>
      <c r="G2838" s="5">
        <v>-6.96681691500286</v>
      </c>
      <c r="H2838" s="5">
        <v>-6.96681691500286</v>
      </c>
      <c r="I2838" s="5">
        <v>-6.96681691500286</v>
      </c>
      <c r="J2838" s="5">
        <v>0.0905589421198528</v>
      </c>
      <c r="K2838" s="5">
        <v>0.0905589421198528</v>
      </c>
      <c r="L2838" s="5">
        <v>0.0905589421198528</v>
      </c>
      <c r="M2838" s="5">
        <v>-7.05737585712272</v>
      </c>
      <c r="N2838" s="5">
        <v>-7.05737585712272</v>
      </c>
      <c r="O2838" s="5">
        <v>-7.05737585712272</v>
      </c>
      <c r="P2838" s="5">
        <v>0.0</v>
      </c>
      <c r="Q2838" s="5">
        <v>0.0</v>
      </c>
      <c r="R2838" s="5">
        <v>0.0</v>
      </c>
      <c r="S2838" s="5">
        <v>843.367625124972</v>
      </c>
    </row>
    <row r="2839">
      <c r="A2839" s="6">
        <v>44474.0</v>
      </c>
      <c r="B2839" s="5">
        <v>851.505288239489</v>
      </c>
      <c r="C2839" s="5">
        <v>781.368005357843</v>
      </c>
      <c r="D2839" s="5">
        <v>906.367332820295</v>
      </c>
      <c r="E2839" s="5">
        <v>851.505288239489</v>
      </c>
      <c r="F2839" s="5">
        <v>851.505288239489</v>
      </c>
      <c r="G2839" s="5">
        <v>-7.15129861392499</v>
      </c>
      <c r="H2839" s="5">
        <v>-7.15129861392499</v>
      </c>
      <c r="I2839" s="5">
        <v>-7.15129861392499</v>
      </c>
      <c r="J2839" s="5">
        <v>-0.144118857245286</v>
      </c>
      <c r="K2839" s="5">
        <v>-0.144118857245286</v>
      </c>
      <c r="L2839" s="5">
        <v>-0.144118857245286</v>
      </c>
      <c r="M2839" s="5">
        <v>-7.0071797566797</v>
      </c>
      <c r="N2839" s="5">
        <v>-7.0071797566797</v>
      </c>
      <c r="O2839" s="5">
        <v>-7.0071797566797</v>
      </c>
      <c r="P2839" s="5">
        <v>0.0</v>
      </c>
      <c r="Q2839" s="5">
        <v>0.0</v>
      </c>
      <c r="R2839" s="5">
        <v>0.0</v>
      </c>
      <c r="S2839" s="5">
        <v>844.353989625564</v>
      </c>
    </row>
    <row r="2840">
      <c r="A2840" s="6">
        <v>44475.0</v>
      </c>
      <c r="B2840" s="5">
        <v>852.676134439001</v>
      </c>
      <c r="C2840" s="5">
        <v>778.335451349202</v>
      </c>
      <c r="D2840" s="5">
        <v>907.517203121002</v>
      </c>
      <c r="E2840" s="5">
        <v>852.676134439001</v>
      </c>
      <c r="F2840" s="5">
        <v>852.676134439001</v>
      </c>
      <c r="G2840" s="5">
        <v>-6.83984817595574</v>
      </c>
      <c r="H2840" s="5">
        <v>-6.83984817595574</v>
      </c>
      <c r="I2840" s="5">
        <v>-6.83984817595574</v>
      </c>
      <c r="J2840" s="5">
        <v>0.0070378052829849</v>
      </c>
      <c r="K2840" s="5">
        <v>0.0070378052829849</v>
      </c>
      <c r="L2840" s="5">
        <v>0.0070378052829849</v>
      </c>
      <c r="M2840" s="5">
        <v>-6.84688598123872</v>
      </c>
      <c r="N2840" s="5">
        <v>-6.84688598123872</v>
      </c>
      <c r="O2840" s="5">
        <v>-6.84688598123872</v>
      </c>
      <c r="P2840" s="5">
        <v>0.0</v>
      </c>
      <c r="Q2840" s="5">
        <v>0.0</v>
      </c>
      <c r="R2840" s="5">
        <v>0.0</v>
      </c>
      <c r="S2840" s="5">
        <v>845.836286263046</v>
      </c>
    </row>
    <row r="2841">
      <c r="A2841" s="6">
        <v>44476.0</v>
      </c>
      <c r="B2841" s="5">
        <v>853.846980638515</v>
      </c>
      <c r="C2841" s="5">
        <v>786.043341209772</v>
      </c>
      <c r="D2841" s="5">
        <v>908.834905570557</v>
      </c>
      <c r="E2841" s="5">
        <v>853.846980638515</v>
      </c>
      <c r="F2841" s="5">
        <v>853.846980638515</v>
      </c>
      <c r="G2841" s="5">
        <v>-7.34774404813077</v>
      </c>
      <c r="H2841" s="5">
        <v>-7.34774404813077</v>
      </c>
      <c r="I2841" s="5">
        <v>-7.34774404813077</v>
      </c>
      <c r="J2841" s="5">
        <v>-0.776422525906302</v>
      </c>
      <c r="K2841" s="5">
        <v>-0.776422525906302</v>
      </c>
      <c r="L2841" s="5">
        <v>-0.776422525906302</v>
      </c>
      <c r="M2841" s="5">
        <v>-6.57132152222447</v>
      </c>
      <c r="N2841" s="5">
        <v>-6.57132152222447</v>
      </c>
      <c r="O2841" s="5">
        <v>-6.57132152222447</v>
      </c>
      <c r="P2841" s="5">
        <v>0.0</v>
      </c>
      <c r="Q2841" s="5">
        <v>0.0</v>
      </c>
      <c r="R2841" s="5">
        <v>0.0</v>
      </c>
      <c r="S2841" s="5">
        <v>846.499236590384</v>
      </c>
    </row>
    <row r="2842">
      <c r="A2842" s="6">
        <v>44477.0</v>
      </c>
      <c r="B2842" s="5">
        <v>855.017826838028</v>
      </c>
      <c r="C2842" s="5">
        <v>788.863519049739</v>
      </c>
      <c r="D2842" s="5">
        <v>911.807672461211</v>
      </c>
      <c r="E2842" s="5">
        <v>855.017826838028</v>
      </c>
      <c r="F2842" s="5">
        <v>855.017826838028</v>
      </c>
      <c r="G2842" s="5">
        <v>-7.76913371857611</v>
      </c>
      <c r="H2842" s="5">
        <v>-7.76913371857611</v>
      </c>
      <c r="I2842" s="5">
        <v>-7.76913371857611</v>
      </c>
      <c r="J2842" s="5">
        <v>-1.59155056649669</v>
      </c>
      <c r="K2842" s="5">
        <v>-1.59155056649669</v>
      </c>
      <c r="L2842" s="5">
        <v>-1.59155056649669</v>
      </c>
      <c r="M2842" s="5">
        <v>-6.17758315207941</v>
      </c>
      <c r="N2842" s="5">
        <v>-6.17758315207941</v>
      </c>
      <c r="O2842" s="5">
        <v>-6.17758315207941</v>
      </c>
      <c r="P2842" s="5">
        <v>0.0</v>
      </c>
      <c r="Q2842" s="5">
        <v>0.0</v>
      </c>
      <c r="R2842" s="5">
        <v>0.0</v>
      </c>
      <c r="S2842" s="5">
        <v>847.248693119452</v>
      </c>
    </row>
    <row r="2843">
      <c r="A2843" s="6">
        <v>44480.0</v>
      </c>
      <c r="B2843" s="5">
        <v>858.530365436568</v>
      </c>
      <c r="C2843" s="5">
        <v>794.892700821196</v>
      </c>
      <c r="D2843" s="5">
        <v>918.887929815607</v>
      </c>
      <c r="E2843" s="5">
        <v>858.530365436568</v>
      </c>
      <c r="F2843" s="5">
        <v>858.530365436568</v>
      </c>
      <c r="G2843" s="5">
        <v>-4.20364845192132</v>
      </c>
      <c r="H2843" s="5">
        <v>-4.20364845192132</v>
      </c>
      <c r="I2843" s="5">
        <v>-4.20364845192132</v>
      </c>
      <c r="J2843" s="5">
        <v>0.0905589421233434</v>
      </c>
      <c r="K2843" s="5">
        <v>0.0905589421233434</v>
      </c>
      <c r="L2843" s="5">
        <v>0.0905589421233434</v>
      </c>
      <c r="M2843" s="5">
        <v>-4.29420739404466</v>
      </c>
      <c r="N2843" s="5">
        <v>-4.29420739404466</v>
      </c>
      <c r="O2843" s="5">
        <v>-4.29420739404466</v>
      </c>
      <c r="P2843" s="5">
        <v>0.0</v>
      </c>
      <c r="Q2843" s="5">
        <v>0.0</v>
      </c>
      <c r="R2843" s="5">
        <v>0.0</v>
      </c>
      <c r="S2843" s="5">
        <v>854.326716984647</v>
      </c>
    </row>
    <row r="2844">
      <c r="A2844" s="6">
        <v>44481.0</v>
      </c>
      <c r="B2844" s="5">
        <v>859.701211636081</v>
      </c>
      <c r="C2844" s="5">
        <v>794.426439009949</v>
      </c>
      <c r="D2844" s="5">
        <v>920.371005559567</v>
      </c>
      <c r="E2844" s="5">
        <v>859.701211636081</v>
      </c>
      <c r="F2844" s="5">
        <v>859.701211636081</v>
      </c>
      <c r="G2844" s="5">
        <v>-3.5907852354811</v>
      </c>
      <c r="H2844" s="5">
        <v>-3.5907852354811</v>
      </c>
      <c r="I2844" s="5">
        <v>-3.5907852354811</v>
      </c>
      <c r="J2844" s="5">
        <v>-0.144118857244198</v>
      </c>
      <c r="K2844" s="5">
        <v>-0.144118857244198</v>
      </c>
      <c r="L2844" s="5">
        <v>-0.144118857244198</v>
      </c>
      <c r="M2844" s="5">
        <v>-3.44666637823691</v>
      </c>
      <c r="N2844" s="5">
        <v>-3.44666637823691</v>
      </c>
      <c r="O2844" s="5">
        <v>-3.44666637823691</v>
      </c>
      <c r="P2844" s="5">
        <v>0.0</v>
      </c>
      <c r="Q2844" s="5">
        <v>0.0</v>
      </c>
      <c r="R2844" s="5">
        <v>0.0</v>
      </c>
      <c r="S2844" s="5">
        <v>856.1104264006</v>
      </c>
    </row>
    <row r="2845">
      <c r="A2845" s="6">
        <v>44482.0</v>
      </c>
      <c r="B2845" s="5">
        <v>860.872057835594</v>
      </c>
      <c r="C2845" s="5">
        <v>794.988452490811</v>
      </c>
      <c r="D2845" s="5">
        <v>922.266743179346</v>
      </c>
      <c r="E2845" s="5">
        <v>860.872057835594</v>
      </c>
      <c r="F2845" s="5">
        <v>860.872057835594</v>
      </c>
      <c r="G2845" s="5">
        <v>-2.49509414087336</v>
      </c>
      <c r="H2845" s="5">
        <v>-2.49509414087336</v>
      </c>
      <c r="I2845" s="5">
        <v>-2.49509414087336</v>
      </c>
      <c r="J2845" s="5">
        <v>0.00703780527996872</v>
      </c>
      <c r="K2845" s="5">
        <v>0.00703780527996872</v>
      </c>
      <c r="L2845" s="5">
        <v>0.00703780527996872</v>
      </c>
      <c r="M2845" s="5">
        <v>-2.50213194615332</v>
      </c>
      <c r="N2845" s="5">
        <v>-2.50213194615332</v>
      </c>
      <c r="O2845" s="5">
        <v>-2.50213194615332</v>
      </c>
      <c r="P2845" s="5">
        <v>0.0</v>
      </c>
      <c r="Q2845" s="5">
        <v>0.0</v>
      </c>
      <c r="R2845" s="5">
        <v>0.0</v>
      </c>
      <c r="S2845" s="5">
        <v>858.376963694721</v>
      </c>
    </row>
    <row r="2846">
      <c r="A2846" s="6">
        <v>44483.0</v>
      </c>
      <c r="B2846" s="5">
        <v>862.042904035108</v>
      </c>
      <c r="C2846" s="5">
        <v>798.044347499545</v>
      </c>
      <c r="D2846" s="5">
        <v>925.647267034359</v>
      </c>
      <c r="E2846" s="5">
        <v>862.042904035108</v>
      </c>
      <c r="F2846" s="5">
        <v>862.042904035108</v>
      </c>
      <c r="G2846" s="5">
        <v>-2.24785588959709</v>
      </c>
      <c r="H2846" s="5">
        <v>-2.24785588959709</v>
      </c>
      <c r="I2846" s="5">
        <v>-2.24785588959709</v>
      </c>
      <c r="J2846" s="5">
        <v>-0.776422525901324</v>
      </c>
      <c r="K2846" s="5">
        <v>-0.776422525901324</v>
      </c>
      <c r="L2846" s="5">
        <v>-0.776422525901324</v>
      </c>
      <c r="M2846" s="5">
        <v>-1.47143336369577</v>
      </c>
      <c r="N2846" s="5">
        <v>-1.47143336369577</v>
      </c>
      <c r="O2846" s="5">
        <v>-1.47143336369577</v>
      </c>
      <c r="P2846" s="5">
        <v>0.0</v>
      </c>
      <c r="Q2846" s="5">
        <v>0.0</v>
      </c>
      <c r="R2846" s="5">
        <v>0.0</v>
      </c>
      <c r="S2846" s="5">
        <v>859.795048145511</v>
      </c>
    </row>
    <row r="2847">
      <c r="A2847" s="6">
        <v>44484.0</v>
      </c>
      <c r="B2847" s="5">
        <v>863.213750234621</v>
      </c>
      <c r="C2847" s="5">
        <v>800.291011935954</v>
      </c>
      <c r="D2847" s="5">
        <v>919.482460393503</v>
      </c>
      <c r="E2847" s="5">
        <v>863.213750234621</v>
      </c>
      <c r="F2847" s="5">
        <v>863.213750234621</v>
      </c>
      <c r="G2847" s="5">
        <v>-1.95868842967801</v>
      </c>
      <c r="H2847" s="5">
        <v>-1.95868842967801</v>
      </c>
      <c r="I2847" s="5">
        <v>-1.95868842967801</v>
      </c>
      <c r="J2847" s="5">
        <v>-1.59155056649608</v>
      </c>
      <c r="K2847" s="5">
        <v>-1.59155056649608</v>
      </c>
      <c r="L2847" s="5">
        <v>-1.59155056649608</v>
      </c>
      <c r="M2847" s="5">
        <v>-0.367137863181931</v>
      </c>
      <c r="N2847" s="5">
        <v>-0.367137863181931</v>
      </c>
      <c r="O2847" s="5">
        <v>-0.367137863181931</v>
      </c>
      <c r="P2847" s="5">
        <v>0.0</v>
      </c>
      <c r="Q2847" s="5">
        <v>0.0</v>
      </c>
      <c r="R2847" s="5">
        <v>0.0</v>
      </c>
      <c r="S2847" s="5">
        <v>861.255061804943</v>
      </c>
    </row>
    <row r="2848">
      <c r="A2848" s="6">
        <v>44487.0</v>
      </c>
      <c r="B2848" s="5">
        <v>866.72628883316</v>
      </c>
      <c r="C2848" s="5">
        <v>808.051473879844</v>
      </c>
      <c r="D2848" s="5">
        <v>932.743748623589</v>
      </c>
      <c r="E2848" s="5">
        <v>866.72628883316</v>
      </c>
      <c r="F2848" s="5">
        <v>866.72628883316</v>
      </c>
      <c r="G2848" s="5">
        <v>3.33269563554355</v>
      </c>
      <c r="H2848" s="5">
        <v>3.33269563554355</v>
      </c>
      <c r="I2848" s="5">
        <v>3.33269563554355</v>
      </c>
      <c r="J2848" s="5">
        <v>0.090558942121906</v>
      </c>
      <c r="K2848" s="5">
        <v>0.090558942121906</v>
      </c>
      <c r="L2848" s="5">
        <v>0.090558942121906</v>
      </c>
      <c r="M2848" s="5">
        <v>3.24213669342164</v>
      </c>
      <c r="N2848" s="5">
        <v>3.24213669342164</v>
      </c>
      <c r="O2848" s="5">
        <v>3.24213669342164</v>
      </c>
      <c r="P2848" s="5">
        <v>0.0</v>
      </c>
      <c r="Q2848" s="5">
        <v>0.0</v>
      </c>
      <c r="R2848" s="5">
        <v>0.0</v>
      </c>
      <c r="S2848" s="5">
        <v>870.058984468704</v>
      </c>
    </row>
    <row r="2849">
      <c r="A2849" s="6">
        <v>44488.0</v>
      </c>
      <c r="B2849" s="5">
        <v>867.897135032674</v>
      </c>
      <c r="C2849" s="5">
        <v>808.516973451751</v>
      </c>
      <c r="D2849" s="5">
        <v>934.887370622085</v>
      </c>
      <c r="E2849" s="5">
        <v>867.897135032674</v>
      </c>
      <c r="F2849" s="5">
        <v>867.897135032674</v>
      </c>
      <c r="G2849" s="5">
        <v>4.34749039590951</v>
      </c>
      <c r="H2849" s="5">
        <v>4.34749039590951</v>
      </c>
      <c r="I2849" s="5">
        <v>4.34749039590951</v>
      </c>
      <c r="J2849" s="5">
        <v>-0.144118857248462</v>
      </c>
      <c r="K2849" s="5">
        <v>-0.144118857248462</v>
      </c>
      <c r="L2849" s="5">
        <v>-0.144118857248462</v>
      </c>
      <c r="M2849" s="5">
        <v>4.49160925315797</v>
      </c>
      <c r="N2849" s="5">
        <v>4.49160925315797</v>
      </c>
      <c r="O2849" s="5">
        <v>4.49160925315797</v>
      </c>
      <c r="P2849" s="5">
        <v>0.0</v>
      </c>
      <c r="Q2849" s="5">
        <v>0.0</v>
      </c>
      <c r="R2849" s="5">
        <v>0.0</v>
      </c>
      <c r="S2849" s="5">
        <v>872.244625428583</v>
      </c>
    </row>
    <row r="2850">
      <c r="A2850" s="6">
        <v>44489.0</v>
      </c>
      <c r="B2850" s="5">
        <v>869.067981232187</v>
      </c>
      <c r="C2850" s="5">
        <v>808.381461443195</v>
      </c>
      <c r="D2850" s="5">
        <v>935.620141089548</v>
      </c>
      <c r="E2850" s="5">
        <v>869.067981232187</v>
      </c>
      <c r="F2850" s="5">
        <v>869.067981232187</v>
      </c>
      <c r="G2850" s="5">
        <v>5.74443323843475</v>
      </c>
      <c r="H2850" s="5">
        <v>5.74443323843475</v>
      </c>
      <c r="I2850" s="5">
        <v>5.74443323843475</v>
      </c>
      <c r="J2850" s="5">
        <v>0.00703780528127989</v>
      </c>
      <c r="K2850" s="5">
        <v>0.00703780528127989</v>
      </c>
      <c r="L2850" s="5">
        <v>0.00703780528127989</v>
      </c>
      <c r="M2850" s="5">
        <v>5.73739543315347</v>
      </c>
      <c r="N2850" s="5">
        <v>5.73739543315347</v>
      </c>
      <c r="O2850" s="5">
        <v>5.73739543315347</v>
      </c>
      <c r="P2850" s="5">
        <v>0.0</v>
      </c>
      <c r="Q2850" s="5">
        <v>0.0</v>
      </c>
      <c r="R2850" s="5">
        <v>0.0</v>
      </c>
      <c r="S2850" s="5">
        <v>874.812414470622</v>
      </c>
    </row>
    <row r="2851">
      <c r="A2851" s="6">
        <v>44490.0</v>
      </c>
      <c r="B2851" s="5">
        <v>870.2388274317</v>
      </c>
      <c r="C2851" s="5">
        <v>817.132305167958</v>
      </c>
      <c r="D2851" s="5">
        <v>941.195788566354</v>
      </c>
      <c r="E2851" s="5">
        <v>870.2388274317</v>
      </c>
      <c r="F2851" s="5">
        <v>870.2388274317</v>
      </c>
      <c r="G2851" s="5">
        <v>6.18736663041239</v>
      </c>
      <c r="H2851" s="5">
        <v>6.18736663041239</v>
      </c>
      <c r="I2851" s="5">
        <v>6.18736663041239</v>
      </c>
      <c r="J2851" s="5">
        <v>-0.776422525902046</v>
      </c>
      <c r="K2851" s="5">
        <v>-0.776422525902046</v>
      </c>
      <c r="L2851" s="5">
        <v>-0.776422525902046</v>
      </c>
      <c r="M2851" s="5">
        <v>6.96378915631444</v>
      </c>
      <c r="N2851" s="5">
        <v>6.96378915631444</v>
      </c>
      <c r="O2851" s="5">
        <v>6.96378915631444</v>
      </c>
      <c r="P2851" s="5">
        <v>0.0</v>
      </c>
      <c r="Q2851" s="5">
        <v>0.0</v>
      </c>
      <c r="R2851" s="5">
        <v>0.0</v>
      </c>
      <c r="S2851" s="5">
        <v>876.426194062112</v>
      </c>
    </row>
    <row r="2852">
      <c r="A2852" s="6">
        <v>44491.0</v>
      </c>
      <c r="B2852" s="5">
        <v>871.409673631214</v>
      </c>
      <c r="C2852" s="5">
        <v>811.106418217164</v>
      </c>
      <c r="D2852" s="5">
        <v>936.838441675928</v>
      </c>
      <c r="E2852" s="5">
        <v>871.409673631214</v>
      </c>
      <c r="F2852" s="5">
        <v>871.409673631214</v>
      </c>
      <c r="G2852" s="5">
        <v>6.56434752125526</v>
      </c>
      <c r="H2852" s="5">
        <v>6.56434752125526</v>
      </c>
      <c r="I2852" s="5">
        <v>6.56434752125526</v>
      </c>
      <c r="J2852" s="5">
        <v>-1.59155056649484</v>
      </c>
      <c r="K2852" s="5">
        <v>-1.59155056649484</v>
      </c>
      <c r="L2852" s="5">
        <v>-1.59155056649484</v>
      </c>
      <c r="M2852" s="5">
        <v>8.1558980877501</v>
      </c>
      <c r="N2852" s="5">
        <v>8.1558980877501</v>
      </c>
      <c r="O2852" s="5">
        <v>8.1558980877501</v>
      </c>
      <c r="P2852" s="5">
        <v>0.0</v>
      </c>
      <c r="Q2852" s="5">
        <v>0.0</v>
      </c>
      <c r="R2852" s="5">
        <v>0.0</v>
      </c>
      <c r="S2852" s="5">
        <v>877.974021152469</v>
      </c>
    </row>
    <row r="2853">
      <c r="A2853" s="6">
        <v>44494.0</v>
      </c>
      <c r="B2853" s="5">
        <v>874.922212229753</v>
      </c>
      <c r="C2853" s="5">
        <v>825.763686095678</v>
      </c>
      <c r="D2853" s="5">
        <v>954.608928548969</v>
      </c>
      <c r="E2853" s="5">
        <v>874.922212229753</v>
      </c>
      <c r="F2853" s="5">
        <v>874.922212229753</v>
      </c>
      <c r="G2853" s="5">
        <v>11.4875161315619</v>
      </c>
      <c r="H2853" s="5">
        <v>11.4875161315619</v>
      </c>
      <c r="I2853" s="5">
        <v>11.4875161315619</v>
      </c>
      <c r="J2853" s="5">
        <v>0.0905589421204686</v>
      </c>
      <c r="K2853" s="5">
        <v>0.0905589421204686</v>
      </c>
      <c r="L2853" s="5">
        <v>0.0905589421204686</v>
      </c>
      <c r="M2853" s="5">
        <v>11.3969571894414</v>
      </c>
      <c r="N2853" s="5">
        <v>11.3969571894414</v>
      </c>
      <c r="O2853" s="5">
        <v>11.3969571894414</v>
      </c>
      <c r="P2853" s="5">
        <v>0.0</v>
      </c>
      <c r="Q2853" s="5">
        <v>0.0</v>
      </c>
      <c r="R2853" s="5">
        <v>0.0</v>
      </c>
      <c r="S2853" s="5">
        <v>886.409728361315</v>
      </c>
    </row>
    <row r="2854">
      <c r="A2854" s="6">
        <v>44495.0</v>
      </c>
      <c r="B2854" s="5">
        <v>876.093058429267</v>
      </c>
      <c r="C2854" s="5">
        <v>825.040488550069</v>
      </c>
      <c r="D2854" s="5">
        <v>950.156162107643</v>
      </c>
      <c r="E2854" s="5">
        <v>876.093058429267</v>
      </c>
      <c r="F2854" s="5">
        <v>876.093058429267</v>
      </c>
      <c r="G2854" s="5">
        <v>12.1867235391844</v>
      </c>
      <c r="H2854" s="5">
        <v>12.1867235391844</v>
      </c>
      <c r="I2854" s="5">
        <v>12.1867235391844</v>
      </c>
      <c r="J2854" s="5">
        <v>-0.14411885724485</v>
      </c>
      <c r="K2854" s="5">
        <v>-0.14411885724485</v>
      </c>
      <c r="L2854" s="5">
        <v>-0.14411885724485</v>
      </c>
      <c r="M2854" s="5">
        <v>12.3308423964292</v>
      </c>
      <c r="N2854" s="5">
        <v>12.3308423964292</v>
      </c>
      <c r="O2854" s="5">
        <v>12.3308423964292</v>
      </c>
      <c r="P2854" s="5">
        <v>0.0</v>
      </c>
      <c r="Q2854" s="5">
        <v>0.0</v>
      </c>
      <c r="R2854" s="5">
        <v>0.0</v>
      </c>
      <c r="S2854" s="5">
        <v>888.279781968451</v>
      </c>
    </row>
    <row r="2855">
      <c r="A2855" s="6">
        <v>44496.0</v>
      </c>
      <c r="B2855" s="5">
        <v>877.26390462878</v>
      </c>
      <c r="C2855" s="5">
        <v>827.387402865446</v>
      </c>
      <c r="D2855" s="5">
        <v>947.624625643095</v>
      </c>
      <c r="E2855" s="5">
        <v>877.26390462878</v>
      </c>
      <c r="F2855" s="5">
        <v>877.26390462878</v>
      </c>
      <c r="G2855" s="5">
        <v>13.1861914927523</v>
      </c>
      <c r="H2855" s="5">
        <v>13.1861914927523</v>
      </c>
      <c r="I2855" s="5">
        <v>13.1861914927523</v>
      </c>
      <c r="J2855" s="5">
        <v>0.00703780528259082</v>
      </c>
      <c r="K2855" s="5">
        <v>0.00703780528259082</v>
      </c>
      <c r="L2855" s="5">
        <v>0.00703780528259082</v>
      </c>
      <c r="M2855" s="5">
        <v>13.1791536874697</v>
      </c>
      <c r="N2855" s="5">
        <v>13.1791536874697</v>
      </c>
      <c r="O2855" s="5">
        <v>13.1791536874697</v>
      </c>
      <c r="P2855" s="5">
        <v>0.0</v>
      </c>
      <c r="Q2855" s="5">
        <v>0.0</v>
      </c>
      <c r="R2855" s="5">
        <v>0.0</v>
      </c>
      <c r="S2855" s="5">
        <v>890.450096121532</v>
      </c>
    </row>
    <row r="2856">
      <c r="A2856" s="6">
        <v>44497.0</v>
      </c>
      <c r="B2856" s="5">
        <v>878.434750828293</v>
      </c>
      <c r="C2856" s="5">
        <v>829.952681190601</v>
      </c>
      <c r="D2856" s="5">
        <v>953.948527071742</v>
      </c>
      <c r="E2856" s="5">
        <v>878.434750828293</v>
      </c>
      <c r="F2856" s="5">
        <v>878.434750828293</v>
      </c>
      <c r="G2856" s="5">
        <v>13.1613805419181</v>
      </c>
      <c r="H2856" s="5">
        <v>13.1613805419181</v>
      </c>
      <c r="I2856" s="5">
        <v>13.1613805419181</v>
      </c>
      <c r="J2856" s="5">
        <v>-0.776422525902768</v>
      </c>
      <c r="K2856" s="5">
        <v>-0.776422525902768</v>
      </c>
      <c r="L2856" s="5">
        <v>-0.776422525902768</v>
      </c>
      <c r="M2856" s="5">
        <v>13.9378030678209</v>
      </c>
      <c r="N2856" s="5">
        <v>13.9378030678209</v>
      </c>
      <c r="O2856" s="5">
        <v>13.9378030678209</v>
      </c>
      <c r="P2856" s="5">
        <v>0.0</v>
      </c>
      <c r="Q2856" s="5">
        <v>0.0</v>
      </c>
      <c r="R2856" s="5">
        <v>0.0</v>
      </c>
      <c r="S2856" s="5">
        <v>891.596131370211</v>
      </c>
    </row>
    <row r="2857">
      <c r="A2857" s="6">
        <v>44498.0</v>
      </c>
      <c r="B2857" s="5">
        <v>879.605597027806</v>
      </c>
      <c r="C2857" s="5">
        <v>828.478415321398</v>
      </c>
      <c r="D2857" s="5">
        <v>952.936516960835</v>
      </c>
      <c r="E2857" s="5">
        <v>879.605597027806</v>
      </c>
      <c r="F2857" s="5">
        <v>879.605597027806</v>
      </c>
      <c r="G2857" s="5">
        <v>13.0134498727933</v>
      </c>
      <c r="H2857" s="5">
        <v>13.0134498727933</v>
      </c>
      <c r="I2857" s="5">
        <v>13.0134498727933</v>
      </c>
      <c r="J2857" s="5">
        <v>-1.59155056649391</v>
      </c>
      <c r="K2857" s="5">
        <v>-1.59155056649391</v>
      </c>
      <c r="L2857" s="5">
        <v>-1.59155056649391</v>
      </c>
      <c r="M2857" s="5">
        <v>14.6050004392872</v>
      </c>
      <c r="N2857" s="5">
        <v>14.6050004392872</v>
      </c>
      <c r="O2857" s="5">
        <v>14.6050004392872</v>
      </c>
      <c r="P2857" s="5">
        <v>0.0</v>
      </c>
      <c r="Q2857" s="5">
        <v>0.0</v>
      </c>
      <c r="R2857" s="5">
        <v>0.0</v>
      </c>
      <c r="S2857" s="5">
        <v>892.6190469006</v>
      </c>
    </row>
    <row r="2858">
      <c r="A2858" s="6">
        <v>44501.0</v>
      </c>
      <c r="B2858" s="5">
        <v>883.118135626346</v>
      </c>
      <c r="C2858" s="5">
        <v>837.166223254379</v>
      </c>
      <c r="D2858" s="5">
        <v>966.323721891869</v>
      </c>
      <c r="E2858" s="5">
        <v>883.118135626346</v>
      </c>
      <c r="F2858" s="5">
        <v>883.118135626346</v>
      </c>
      <c r="G2858" s="5">
        <v>16.1640456713268</v>
      </c>
      <c r="H2858" s="5">
        <v>16.1640456713268</v>
      </c>
      <c r="I2858" s="5">
        <v>16.1640456713268</v>
      </c>
      <c r="J2858" s="5">
        <v>0.0905589421190311</v>
      </c>
      <c r="K2858" s="5">
        <v>0.0905589421190311</v>
      </c>
      <c r="L2858" s="5">
        <v>0.0905589421190311</v>
      </c>
      <c r="M2858" s="5">
        <v>16.0734867292078</v>
      </c>
      <c r="N2858" s="5">
        <v>16.0734867292078</v>
      </c>
      <c r="O2858" s="5">
        <v>16.0734867292078</v>
      </c>
      <c r="P2858" s="5">
        <v>0.0</v>
      </c>
      <c r="Q2858" s="5">
        <v>0.0</v>
      </c>
      <c r="R2858" s="5">
        <v>0.0</v>
      </c>
      <c r="S2858" s="5">
        <v>899.282181297673</v>
      </c>
    </row>
    <row r="2859">
      <c r="A2859" s="6">
        <v>44502.0</v>
      </c>
      <c r="B2859" s="5">
        <v>884.288981825859</v>
      </c>
      <c r="C2859" s="5">
        <v>837.707008071647</v>
      </c>
      <c r="D2859" s="5">
        <v>960.917152732527</v>
      </c>
      <c r="E2859" s="5">
        <v>884.288981825859</v>
      </c>
      <c r="F2859" s="5">
        <v>884.288981825859</v>
      </c>
      <c r="G2859" s="5">
        <v>16.2566284898911</v>
      </c>
      <c r="H2859" s="5">
        <v>16.2566284898911</v>
      </c>
      <c r="I2859" s="5">
        <v>16.2566284898911</v>
      </c>
      <c r="J2859" s="5">
        <v>-0.144118857246286</v>
      </c>
      <c r="K2859" s="5">
        <v>-0.144118857246286</v>
      </c>
      <c r="L2859" s="5">
        <v>-0.144118857246286</v>
      </c>
      <c r="M2859" s="5">
        <v>16.4007473471374</v>
      </c>
      <c r="N2859" s="5">
        <v>16.4007473471374</v>
      </c>
      <c r="O2859" s="5">
        <v>16.4007473471374</v>
      </c>
      <c r="P2859" s="5">
        <v>0.0</v>
      </c>
      <c r="Q2859" s="5">
        <v>0.0</v>
      </c>
      <c r="R2859" s="5">
        <v>0.0</v>
      </c>
      <c r="S2859" s="5">
        <v>900.54561031575</v>
      </c>
    </row>
    <row r="2860">
      <c r="A2860" s="6">
        <v>44503.0</v>
      </c>
      <c r="B2860" s="5">
        <v>885.459828025372</v>
      </c>
      <c r="C2860" s="5">
        <v>841.103763231266</v>
      </c>
      <c r="D2860" s="5">
        <v>965.786707538486</v>
      </c>
      <c r="E2860" s="5">
        <v>885.459828025372</v>
      </c>
      <c r="F2860" s="5">
        <v>885.459828025372</v>
      </c>
      <c r="G2860" s="5">
        <v>16.6660760347316</v>
      </c>
      <c r="H2860" s="5">
        <v>16.6660760347316</v>
      </c>
      <c r="I2860" s="5">
        <v>16.6660760347316</v>
      </c>
      <c r="J2860" s="5">
        <v>0.0070378052817384</v>
      </c>
      <c r="K2860" s="5">
        <v>0.0070378052817384</v>
      </c>
      <c r="L2860" s="5">
        <v>0.0070378052817384</v>
      </c>
      <c r="M2860" s="5">
        <v>16.6590382294498</v>
      </c>
      <c r="N2860" s="5">
        <v>16.6590382294498</v>
      </c>
      <c r="O2860" s="5">
        <v>16.6590382294498</v>
      </c>
      <c r="P2860" s="5">
        <v>0.0</v>
      </c>
      <c r="Q2860" s="5">
        <v>0.0</v>
      </c>
      <c r="R2860" s="5">
        <v>0.0</v>
      </c>
      <c r="S2860" s="5">
        <v>902.125904060104</v>
      </c>
    </row>
    <row r="2861">
      <c r="A2861" s="6">
        <v>44504.0</v>
      </c>
      <c r="B2861" s="5">
        <v>886.630674224886</v>
      </c>
      <c r="C2861" s="5">
        <v>839.069602660254</v>
      </c>
      <c r="D2861" s="5">
        <v>961.182334102433</v>
      </c>
      <c r="E2861" s="5">
        <v>886.630674224886</v>
      </c>
      <c r="F2861" s="5">
        <v>886.630674224886</v>
      </c>
      <c r="G2861" s="5">
        <v>16.08130579814</v>
      </c>
      <c r="H2861" s="5">
        <v>16.08130579814</v>
      </c>
      <c r="I2861" s="5">
        <v>16.08130579814</v>
      </c>
      <c r="J2861" s="5">
        <v>-0.77642252589779</v>
      </c>
      <c r="K2861" s="5">
        <v>-0.77642252589779</v>
      </c>
      <c r="L2861" s="5">
        <v>-0.77642252589779</v>
      </c>
      <c r="M2861" s="5">
        <v>16.8577283240378</v>
      </c>
      <c r="N2861" s="5">
        <v>16.8577283240378</v>
      </c>
      <c r="O2861" s="5">
        <v>16.8577283240378</v>
      </c>
      <c r="P2861" s="5">
        <v>0.0</v>
      </c>
      <c r="Q2861" s="5">
        <v>0.0</v>
      </c>
      <c r="R2861" s="5">
        <v>0.0</v>
      </c>
      <c r="S2861" s="5">
        <v>902.711980023026</v>
      </c>
    </row>
    <row r="2862">
      <c r="A2862" s="6">
        <v>44505.0</v>
      </c>
      <c r="B2862" s="5">
        <v>887.801520424399</v>
      </c>
      <c r="C2862" s="5">
        <v>839.502120296128</v>
      </c>
      <c r="D2862" s="5">
        <v>967.461992275064</v>
      </c>
      <c r="E2862" s="5">
        <v>887.801520424399</v>
      </c>
      <c r="F2862" s="5">
        <v>887.801520424399</v>
      </c>
      <c r="G2862" s="5">
        <v>15.4155723404867</v>
      </c>
      <c r="H2862" s="5">
        <v>15.4155723404867</v>
      </c>
      <c r="I2862" s="5">
        <v>15.4155723404867</v>
      </c>
      <c r="J2862" s="5">
        <v>-1.59155056649299</v>
      </c>
      <c r="K2862" s="5">
        <v>-1.59155056649299</v>
      </c>
      <c r="L2862" s="5">
        <v>-1.59155056649299</v>
      </c>
      <c r="M2862" s="5">
        <v>17.0071229069797</v>
      </c>
      <c r="N2862" s="5">
        <v>17.0071229069797</v>
      </c>
      <c r="O2862" s="5">
        <v>17.0071229069797</v>
      </c>
      <c r="P2862" s="5">
        <v>0.0</v>
      </c>
      <c r="Q2862" s="5">
        <v>0.0</v>
      </c>
      <c r="R2862" s="5">
        <v>0.0</v>
      </c>
      <c r="S2862" s="5">
        <v>903.217092764885</v>
      </c>
    </row>
    <row r="2863">
      <c r="A2863" s="6">
        <v>44508.0</v>
      </c>
      <c r="B2863" s="5">
        <v>891.314059022938</v>
      </c>
      <c r="C2863" s="5">
        <v>843.538142521516</v>
      </c>
      <c r="D2863" s="5">
        <v>971.646566075974</v>
      </c>
      <c r="E2863" s="5">
        <v>891.314059022938</v>
      </c>
      <c r="F2863" s="5">
        <v>891.314059022938</v>
      </c>
      <c r="G2863" s="5">
        <v>17.3596243225642</v>
      </c>
      <c r="H2863" s="5">
        <v>17.3596243225642</v>
      </c>
      <c r="I2863" s="5">
        <v>17.3596243225642</v>
      </c>
      <c r="J2863" s="5">
        <v>0.0905589421199776</v>
      </c>
      <c r="K2863" s="5">
        <v>0.0905589421199776</v>
      </c>
      <c r="L2863" s="5">
        <v>0.0905589421199776</v>
      </c>
      <c r="M2863" s="5">
        <v>17.2690653804443</v>
      </c>
      <c r="N2863" s="5">
        <v>17.2690653804443</v>
      </c>
      <c r="O2863" s="5">
        <v>17.2690653804443</v>
      </c>
      <c r="P2863" s="5">
        <v>0.0</v>
      </c>
      <c r="Q2863" s="5">
        <v>0.0</v>
      </c>
      <c r="R2863" s="5">
        <v>0.0</v>
      </c>
      <c r="S2863" s="5">
        <v>908.673683345503</v>
      </c>
    </row>
    <row r="2864">
      <c r="A2864" s="6">
        <v>44509.0</v>
      </c>
      <c r="B2864" s="5">
        <v>892.484905222452</v>
      </c>
      <c r="C2864" s="5">
        <v>845.106452943875</v>
      </c>
      <c r="D2864" s="5">
        <v>970.642282937451</v>
      </c>
      <c r="E2864" s="5">
        <v>892.484905222452</v>
      </c>
      <c r="F2864" s="5">
        <v>892.484905222452</v>
      </c>
      <c r="G2864" s="5">
        <v>17.1862722876628</v>
      </c>
      <c r="H2864" s="5">
        <v>17.1862722876628</v>
      </c>
      <c r="I2864" s="5">
        <v>17.1862722876628</v>
      </c>
      <c r="J2864" s="5">
        <v>-0.144118857245198</v>
      </c>
      <c r="K2864" s="5">
        <v>-0.144118857245198</v>
      </c>
      <c r="L2864" s="5">
        <v>-0.144118857245198</v>
      </c>
      <c r="M2864" s="5">
        <v>17.330391144908</v>
      </c>
      <c r="N2864" s="5">
        <v>17.330391144908</v>
      </c>
      <c r="O2864" s="5">
        <v>17.330391144908</v>
      </c>
      <c r="P2864" s="5">
        <v>0.0</v>
      </c>
      <c r="Q2864" s="5">
        <v>0.0</v>
      </c>
      <c r="R2864" s="5">
        <v>0.0</v>
      </c>
      <c r="S2864" s="5">
        <v>909.671177510115</v>
      </c>
    </row>
    <row r="2865">
      <c r="A2865" s="6">
        <v>44510.0</v>
      </c>
      <c r="B2865" s="5">
        <v>893.655751421965</v>
      </c>
      <c r="C2865" s="5">
        <v>845.509273681197</v>
      </c>
      <c r="D2865" s="5">
        <v>972.936712402894</v>
      </c>
      <c r="E2865" s="5">
        <v>893.655751421965</v>
      </c>
      <c r="F2865" s="5">
        <v>893.655751421965</v>
      </c>
      <c r="G2865" s="5">
        <v>17.4023471192744</v>
      </c>
      <c r="H2865" s="5">
        <v>17.4023471192744</v>
      </c>
      <c r="I2865" s="5">
        <v>17.4023471192744</v>
      </c>
      <c r="J2865" s="5">
        <v>0.00703780528503224</v>
      </c>
      <c r="K2865" s="5">
        <v>0.00703780528503224</v>
      </c>
      <c r="L2865" s="5">
        <v>0.00703780528503224</v>
      </c>
      <c r="M2865" s="5">
        <v>17.3953093139893</v>
      </c>
      <c r="N2865" s="5">
        <v>17.3953093139893</v>
      </c>
      <c r="O2865" s="5">
        <v>17.3953093139893</v>
      </c>
      <c r="P2865" s="5">
        <v>0.0</v>
      </c>
      <c r="Q2865" s="5">
        <v>0.0</v>
      </c>
      <c r="R2865" s="5">
        <v>0.0</v>
      </c>
      <c r="S2865" s="5">
        <v>911.05809854124</v>
      </c>
    </row>
    <row r="2866">
      <c r="A2866" s="6">
        <v>44511.0</v>
      </c>
      <c r="B2866" s="5">
        <v>894.826597621478</v>
      </c>
      <c r="C2866" s="5">
        <v>844.391831299936</v>
      </c>
      <c r="D2866" s="5">
        <v>973.655438329675</v>
      </c>
      <c r="E2866" s="5">
        <v>894.826597621478</v>
      </c>
      <c r="F2866" s="5">
        <v>894.826597621478</v>
      </c>
      <c r="G2866" s="5">
        <v>16.6957861603893</v>
      </c>
      <c r="H2866" s="5">
        <v>16.6957861603893</v>
      </c>
      <c r="I2866" s="5">
        <v>16.6957861603893</v>
      </c>
      <c r="J2866" s="5">
        <v>-0.776422525899887</v>
      </c>
      <c r="K2866" s="5">
        <v>-0.776422525899887</v>
      </c>
      <c r="L2866" s="5">
        <v>-0.776422525899887</v>
      </c>
      <c r="M2866" s="5">
        <v>17.4722086862892</v>
      </c>
      <c r="N2866" s="5">
        <v>17.4722086862892</v>
      </c>
      <c r="O2866" s="5">
        <v>17.4722086862892</v>
      </c>
      <c r="P2866" s="5">
        <v>0.0</v>
      </c>
      <c r="Q2866" s="5">
        <v>0.0</v>
      </c>
      <c r="R2866" s="5">
        <v>0.0</v>
      </c>
      <c r="S2866" s="5">
        <v>911.522383781868</v>
      </c>
    </row>
    <row r="2867">
      <c r="A2867" s="6">
        <v>44512.0</v>
      </c>
      <c r="B2867" s="5">
        <v>895.997443820992</v>
      </c>
      <c r="C2867" s="5">
        <v>850.90952697803</v>
      </c>
      <c r="D2867" s="5">
        <v>975.845745717999</v>
      </c>
      <c r="E2867" s="5">
        <v>895.997443820992</v>
      </c>
      <c r="F2867" s="5">
        <v>895.997443820992</v>
      </c>
      <c r="G2867" s="5">
        <v>15.9764929391579</v>
      </c>
      <c r="H2867" s="5">
        <v>15.9764929391579</v>
      </c>
      <c r="I2867" s="5">
        <v>15.9764929391579</v>
      </c>
      <c r="J2867" s="5">
        <v>-1.59155056649206</v>
      </c>
      <c r="K2867" s="5">
        <v>-1.59155056649206</v>
      </c>
      <c r="L2867" s="5">
        <v>-1.59155056649206</v>
      </c>
      <c r="M2867" s="5">
        <v>17.56804350565</v>
      </c>
      <c r="N2867" s="5">
        <v>17.56804350565</v>
      </c>
      <c r="O2867" s="5">
        <v>17.56804350565</v>
      </c>
      <c r="P2867" s="5">
        <v>0.0</v>
      </c>
      <c r="Q2867" s="5">
        <v>0.0</v>
      </c>
      <c r="R2867" s="5">
        <v>0.0</v>
      </c>
      <c r="S2867" s="5">
        <v>911.97393676015</v>
      </c>
    </row>
    <row r="2868">
      <c r="A2868" s="6">
        <v>44515.0</v>
      </c>
      <c r="B2868" s="5">
        <v>899.509982419531</v>
      </c>
      <c r="C2868" s="5">
        <v>856.460134713999</v>
      </c>
      <c r="D2868" s="5">
        <v>976.21379345115</v>
      </c>
      <c r="E2868" s="5">
        <v>899.509982419531</v>
      </c>
      <c r="F2868" s="5">
        <v>899.509982419531</v>
      </c>
      <c r="G2868" s="5">
        <v>18.1035582578699</v>
      </c>
      <c r="H2868" s="5">
        <v>18.1035582578699</v>
      </c>
      <c r="I2868" s="5">
        <v>18.1035582578699</v>
      </c>
      <c r="J2868" s="5">
        <v>0.090558942123468</v>
      </c>
      <c r="K2868" s="5">
        <v>0.090558942123468</v>
      </c>
      <c r="L2868" s="5">
        <v>0.090558942123468</v>
      </c>
      <c r="M2868" s="5">
        <v>18.0129993157465</v>
      </c>
      <c r="N2868" s="5">
        <v>18.0129993157465</v>
      </c>
      <c r="O2868" s="5">
        <v>18.0129993157465</v>
      </c>
      <c r="P2868" s="5">
        <v>0.0</v>
      </c>
      <c r="Q2868" s="5">
        <v>0.0</v>
      </c>
      <c r="R2868" s="5">
        <v>0.0</v>
      </c>
      <c r="S2868" s="5">
        <v>917.613540677401</v>
      </c>
    </row>
    <row r="2869">
      <c r="A2869" s="6">
        <v>44516.0</v>
      </c>
      <c r="B2869" s="5">
        <v>900.680828619045</v>
      </c>
      <c r="C2869" s="5">
        <v>850.77160035723</v>
      </c>
      <c r="D2869" s="5">
        <v>981.055421616283</v>
      </c>
      <c r="E2869" s="5">
        <v>900.680828619045</v>
      </c>
      <c r="F2869" s="5">
        <v>900.680828619045</v>
      </c>
      <c r="G2869" s="5">
        <v>18.0748788209189</v>
      </c>
      <c r="H2869" s="5">
        <v>18.0748788209189</v>
      </c>
      <c r="I2869" s="5">
        <v>18.0748788209189</v>
      </c>
      <c r="J2869" s="5">
        <v>-0.14411885724411</v>
      </c>
      <c r="K2869" s="5">
        <v>-0.14411885724411</v>
      </c>
      <c r="L2869" s="5">
        <v>-0.14411885724411</v>
      </c>
      <c r="M2869" s="5">
        <v>18.218997678163</v>
      </c>
      <c r="N2869" s="5">
        <v>18.218997678163</v>
      </c>
      <c r="O2869" s="5">
        <v>18.218997678163</v>
      </c>
      <c r="P2869" s="5">
        <v>0.0</v>
      </c>
      <c r="Q2869" s="5">
        <v>0.0</v>
      </c>
      <c r="R2869" s="5">
        <v>0.0</v>
      </c>
      <c r="S2869" s="5">
        <v>918.755707439964</v>
      </c>
    </row>
    <row r="2870">
      <c r="A2870" s="6">
        <v>44517.0</v>
      </c>
      <c r="B2870" s="5">
        <v>901.851674818558</v>
      </c>
      <c r="C2870" s="5">
        <v>857.795941424831</v>
      </c>
      <c r="D2870" s="5">
        <v>984.381043732784</v>
      </c>
      <c r="E2870" s="5">
        <v>901.851674818558</v>
      </c>
      <c r="F2870" s="5">
        <v>901.851674818558</v>
      </c>
      <c r="G2870" s="5">
        <v>18.4586341512316</v>
      </c>
      <c r="H2870" s="5">
        <v>18.4586341512316</v>
      </c>
      <c r="I2870" s="5">
        <v>18.4586341512316</v>
      </c>
      <c r="J2870" s="5">
        <v>0.00703780528201606</v>
      </c>
      <c r="K2870" s="5">
        <v>0.00703780528201606</v>
      </c>
      <c r="L2870" s="5">
        <v>0.00703780528201606</v>
      </c>
      <c r="M2870" s="5">
        <v>18.4515963459496</v>
      </c>
      <c r="N2870" s="5">
        <v>18.4515963459496</v>
      </c>
      <c r="O2870" s="5">
        <v>18.4515963459496</v>
      </c>
      <c r="P2870" s="5">
        <v>0.0</v>
      </c>
      <c r="Q2870" s="5">
        <v>0.0</v>
      </c>
      <c r="R2870" s="5">
        <v>0.0</v>
      </c>
      <c r="S2870" s="5">
        <v>920.310308969789</v>
      </c>
    </row>
    <row r="2871">
      <c r="A2871" s="6">
        <v>44518.0</v>
      </c>
      <c r="B2871" s="5">
        <v>903.022521018071</v>
      </c>
      <c r="C2871" s="5">
        <v>861.221815635145</v>
      </c>
      <c r="D2871" s="5">
        <v>988.03946901099</v>
      </c>
      <c r="E2871" s="5">
        <v>903.022521018071</v>
      </c>
      <c r="F2871" s="5">
        <v>903.022521018071</v>
      </c>
      <c r="G2871" s="5">
        <v>17.9302310836258</v>
      </c>
      <c r="H2871" s="5">
        <v>17.9302310836258</v>
      </c>
      <c r="I2871" s="5">
        <v>17.9302310836258</v>
      </c>
      <c r="J2871" s="5">
        <v>-0.776422525899234</v>
      </c>
      <c r="K2871" s="5">
        <v>-0.776422525899234</v>
      </c>
      <c r="L2871" s="5">
        <v>-0.776422525899234</v>
      </c>
      <c r="M2871" s="5">
        <v>18.706653609525</v>
      </c>
      <c r="N2871" s="5">
        <v>18.706653609525</v>
      </c>
      <c r="O2871" s="5">
        <v>18.706653609525</v>
      </c>
      <c r="P2871" s="5">
        <v>0.0</v>
      </c>
      <c r="Q2871" s="5">
        <v>0.0</v>
      </c>
      <c r="R2871" s="5">
        <v>0.0</v>
      </c>
      <c r="S2871" s="5">
        <v>920.952752101697</v>
      </c>
    </row>
    <row r="2872">
      <c r="A2872" s="6">
        <v>44519.0</v>
      </c>
      <c r="B2872" s="5">
        <v>904.193367217584</v>
      </c>
      <c r="C2872" s="5">
        <v>858.65383632937</v>
      </c>
      <c r="D2872" s="5">
        <v>986.521047338137</v>
      </c>
      <c r="E2872" s="5">
        <v>904.193367217584</v>
      </c>
      <c r="F2872" s="5">
        <v>904.193367217584</v>
      </c>
      <c r="G2872" s="5">
        <v>17.3868002451511</v>
      </c>
      <c r="H2872" s="5">
        <v>17.3868002451511</v>
      </c>
      <c r="I2872" s="5">
        <v>17.3868002451511</v>
      </c>
      <c r="J2872" s="5">
        <v>-1.59155056649082</v>
      </c>
      <c r="K2872" s="5">
        <v>-1.59155056649082</v>
      </c>
      <c r="L2872" s="5">
        <v>-1.59155056649082</v>
      </c>
      <c r="M2872" s="5">
        <v>18.978350811642</v>
      </c>
      <c r="N2872" s="5">
        <v>18.978350811642</v>
      </c>
      <c r="O2872" s="5">
        <v>18.978350811642</v>
      </c>
      <c r="P2872" s="5">
        <v>0.0</v>
      </c>
      <c r="Q2872" s="5">
        <v>0.0</v>
      </c>
      <c r="R2872" s="5">
        <v>0.0</v>
      </c>
      <c r="S2872" s="5">
        <v>921.580167462736</v>
      </c>
    </row>
    <row r="2873">
      <c r="A2873" s="6">
        <v>44522.0</v>
      </c>
      <c r="B2873" s="5">
        <v>907.705905816124</v>
      </c>
      <c r="C2873" s="5">
        <v>866.156947854516</v>
      </c>
      <c r="D2873" s="5">
        <v>987.932643349056</v>
      </c>
      <c r="E2873" s="5">
        <v>907.705905816124</v>
      </c>
      <c r="F2873" s="5">
        <v>907.705905816124</v>
      </c>
      <c r="G2873" s="5">
        <v>19.9053294742225</v>
      </c>
      <c r="H2873" s="5">
        <v>19.9053294742225</v>
      </c>
      <c r="I2873" s="5">
        <v>19.9053294742225</v>
      </c>
      <c r="J2873" s="5">
        <v>0.0905589421244143</v>
      </c>
      <c r="K2873" s="5">
        <v>0.0905589421244143</v>
      </c>
      <c r="L2873" s="5">
        <v>0.0905589421244143</v>
      </c>
      <c r="M2873" s="5">
        <v>19.8147705320981</v>
      </c>
      <c r="N2873" s="5">
        <v>19.8147705320981</v>
      </c>
      <c r="O2873" s="5">
        <v>19.8147705320981</v>
      </c>
      <c r="P2873" s="5">
        <v>0.0</v>
      </c>
      <c r="Q2873" s="5">
        <v>0.0</v>
      </c>
      <c r="R2873" s="5">
        <v>0.0</v>
      </c>
      <c r="S2873" s="5">
        <v>927.611235290347</v>
      </c>
    </row>
    <row r="2874">
      <c r="A2874" s="6">
        <v>44523.0</v>
      </c>
      <c r="B2874" s="5">
        <v>908.876752015637</v>
      </c>
      <c r="C2874" s="5">
        <v>868.518894995148</v>
      </c>
      <c r="D2874" s="5">
        <v>994.873235992731</v>
      </c>
      <c r="E2874" s="5">
        <v>908.876752015637</v>
      </c>
      <c r="F2874" s="5">
        <v>908.876752015637</v>
      </c>
      <c r="G2874" s="5">
        <v>19.9256685566145</v>
      </c>
      <c r="H2874" s="5">
        <v>19.9256685566145</v>
      </c>
      <c r="I2874" s="5">
        <v>19.9256685566145</v>
      </c>
      <c r="J2874" s="5">
        <v>-0.144118857243022</v>
      </c>
      <c r="K2874" s="5">
        <v>-0.144118857243022</v>
      </c>
      <c r="L2874" s="5">
        <v>-0.144118857243022</v>
      </c>
      <c r="M2874" s="5">
        <v>20.0697874138575</v>
      </c>
      <c r="N2874" s="5">
        <v>20.0697874138575</v>
      </c>
      <c r="O2874" s="5">
        <v>20.0697874138575</v>
      </c>
      <c r="P2874" s="5">
        <v>0.0</v>
      </c>
      <c r="Q2874" s="5">
        <v>0.0</v>
      </c>
      <c r="R2874" s="5">
        <v>0.0</v>
      </c>
      <c r="S2874" s="5">
        <v>928.802420572252</v>
      </c>
    </row>
    <row r="2875">
      <c r="A2875" s="6">
        <v>44524.0</v>
      </c>
      <c r="B2875" s="5">
        <v>910.04759821515</v>
      </c>
      <c r="C2875" s="5">
        <v>868.528832822998</v>
      </c>
      <c r="D2875" s="5">
        <v>995.309571564553</v>
      </c>
      <c r="E2875" s="5">
        <v>910.04759821515</v>
      </c>
      <c r="F2875" s="5">
        <v>910.04759821515</v>
      </c>
      <c r="G2875" s="5">
        <v>20.3033215547189</v>
      </c>
      <c r="H2875" s="5">
        <v>20.3033215547189</v>
      </c>
      <c r="I2875" s="5">
        <v>20.3033215547189</v>
      </c>
      <c r="J2875" s="5">
        <v>0.00703780528332703</v>
      </c>
      <c r="K2875" s="5">
        <v>0.00703780528332703</v>
      </c>
      <c r="L2875" s="5">
        <v>0.00703780528332703</v>
      </c>
      <c r="M2875" s="5">
        <v>20.2962837494356</v>
      </c>
      <c r="N2875" s="5">
        <v>20.2962837494356</v>
      </c>
      <c r="O2875" s="5">
        <v>20.2962837494356</v>
      </c>
      <c r="P2875" s="5">
        <v>0.0</v>
      </c>
      <c r="Q2875" s="5">
        <v>0.0</v>
      </c>
      <c r="R2875" s="5">
        <v>0.0</v>
      </c>
      <c r="S2875" s="5">
        <v>930.350919769869</v>
      </c>
    </row>
    <row r="2876">
      <c r="A2876" s="6">
        <v>44526.0</v>
      </c>
      <c r="B2876" s="5">
        <v>912.389290614177</v>
      </c>
      <c r="C2876" s="5">
        <v>871.527500743795</v>
      </c>
      <c r="D2876" s="5">
        <v>990.703733922408</v>
      </c>
      <c r="E2876" s="5">
        <v>912.389290614177</v>
      </c>
      <c r="F2876" s="5">
        <v>912.389290614177</v>
      </c>
      <c r="G2876" s="5">
        <v>19.033114668174</v>
      </c>
      <c r="H2876" s="5">
        <v>19.033114668174</v>
      </c>
      <c r="I2876" s="5">
        <v>19.033114668174</v>
      </c>
      <c r="J2876" s="5">
        <v>-1.59155056649539</v>
      </c>
      <c r="K2876" s="5">
        <v>-1.59155056649539</v>
      </c>
      <c r="L2876" s="5">
        <v>-1.59155056649539</v>
      </c>
      <c r="M2876" s="5">
        <v>20.6246652346694</v>
      </c>
      <c r="N2876" s="5">
        <v>20.6246652346694</v>
      </c>
      <c r="O2876" s="5">
        <v>20.6246652346694</v>
      </c>
      <c r="P2876" s="5">
        <v>0.0</v>
      </c>
      <c r="Q2876" s="5">
        <v>0.0</v>
      </c>
      <c r="R2876" s="5">
        <v>0.0</v>
      </c>
      <c r="S2876" s="5">
        <v>931.422405282351</v>
      </c>
    </row>
    <row r="2877">
      <c r="A2877" s="6">
        <v>44529.0</v>
      </c>
      <c r="B2877" s="5">
        <v>915.901829212717</v>
      </c>
      <c r="C2877" s="5">
        <v>872.754337437032</v>
      </c>
      <c r="D2877" s="5">
        <v>997.870438208673</v>
      </c>
      <c r="E2877" s="5">
        <v>915.901829212717</v>
      </c>
      <c r="F2877" s="5">
        <v>915.901829212717</v>
      </c>
      <c r="G2877" s="5">
        <v>20.7725403324168</v>
      </c>
      <c r="H2877" s="5">
        <v>20.7725403324168</v>
      </c>
      <c r="I2877" s="5">
        <v>20.7725403324168</v>
      </c>
      <c r="J2877" s="5">
        <v>0.0905589421205932</v>
      </c>
      <c r="K2877" s="5">
        <v>0.0905589421205932</v>
      </c>
      <c r="L2877" s="5">
        <v>0.0905589421205932</v>
      </c>
      <c r="M2877" s="5">
        <v>20.6819813902962</v>
      </c>
      <c r="N2877" s="5">
        <v>20.6819813902962</v>
      </c>
      <c r="O2877" s="5">
        <v>20.6819813902962</v>
      </c>
      <c r="P2877" s="5">
        <v>0.0</v>
      </c>
      <c r="Q2877" s="5">
        <v>0.0</v>
      </c>
      <c r="R2877" s="5">
        <v>0.0</v>
      </c>
      <c r="S2877" s="5">
        <v>936.674369545133</v>
      </c>
    </row>
    <row r="2878">
      <c r="A2878" s="6">
        <v>44530.0</v>
      </c>
      <c r="B2878" s="5">
        <v>917.07267541223</v>
      </c>
      <c r="C2878" s="5">
        <v>877.435170226802</v>
      </c>
      <c r="D2878" s="5">
        <v>999.17890768239</v>
      </c>
      <c r="E2878" s="5">
        <v>917.07267541223</v>
      </c>
      <c r="F2878" s="5">
        <v>917.07267541223</v>
      </c>
      <c r="G2878" s="5">
        <v>20.4177324144632</v>
      </c>
      <c r="H2878" s="5">
        <v>20.4177324144632</v>
      </c>
      <c r="I2878" s="5">
        <v>20.4177324144632</v>
      </c>
      <c r="J2878" s="5">
        <v>-0.144118857244457</v>
      </c>
      <c r="K2878" s="5">
        <v>-0.144118857244457</v>
      </c>
      <c r="L2878" s="5">
        <v>-0.144118857244457</v>
      </c>
      <c r="M2878" s="5">
        <v>20.5618512717077</v>
      </c>
      <c r="N2878" s="5">
        <v>20.5618512717077</v>
      </c>
      <c r="O2878" s="5">
        <v>20.5618512717077</v>
      </c>
      <c r="P2878" s="5">
        <v>0.0</v>
      </c>
      <c r="Q2878" s="5">
        <v>0.0</v>
      </c>
      <c r="R2878" s="5">
        <v>0.0</v>
      </c>
      <c r="S2878" s="5">
        <v>937.490407826693</v>
      </c>
    </row>
    <row r="2879">
      <c r="A2879" s="6">
        <v>44531.0</v>
      </c>
      <c r="B2879" s="5">
        <v>918.243521611743</v>
      </c>
      <c r="C2879" s="5">
        <v>874.64246788169</v>
      </c>
      <c r="D2879" s="5">
        <v>1003.8567067747</v>
      </c>
      <c r="E2879" s="5">
        <v>918.243521611743</v>
      </c>
      <c r="F2879" s="5">
        <v>918.243521611743</v>
      </c>
      <c r="G2879" s="5">
        <v>20.3748902598233</v>
      </c>
      <c r="H2879" s="5">
        <v>20.3748902598233</v>
      </c>
      <c r="I2879" s="5">
        <v>20.3748902598233</v>
      </c>
      <c r="J2879" s="5">
        <v>0.00703780528229363</v>
      </c>
      <c r="K2879" s="5">
        <v>0.00703780528229363</v>
      </c>
      <c r="L2879" s="5">
        <v>0.00703780528229363</v>
      </c>
      <c r="M2879" s="5">
        <v>20.367852454541</v>
      </c>
      <c r="N2879" s="5">
        <v>20.367852454541</v>
      </c>
      <c r="O2879" s="5">
        <v>20.367852454541</v>
      </c>
      <c r="P2879" s="5">
        <v>0.0</v>
      </c>
      <c r="Q2879" s="5">
        <v>0.0</v>
      </c>
      <c r="R2879" s="5">
        <v>0.0</v>
      </c>
      <c r="S2879" s="5">
        <v>938.618411871567</v>
      </c>
    </row>
    <row r="2880">
      <c r="A2880" s="6">
        <v>44532.0</v>
      </c>
      <c r="B2880" s="5">
        <v>919.414367811256</v>
      </c>
      <c r="C2880" s="5">
        <v>877.925047759636</v>
      </c>
      <c r="D2880" s="5">
        <v>1007.06752556074</v>
      </c>
      <c r="E2880" s="5">
        <v>919.414367811256</v>
      </c>
      <c r="F2880" s="5">
        <v>919.414367811256</v>
      </c>
      <c r="G2880" s="5">
        <v>19.3242786260072</v>
      </c>
      <c r="H2880" s="5">
        <v>19.3242786260072</v>
      </c>
      <c r="I2880" s="5">
        <v>19.3242786260072</v>
      </c>
      <c r="J2880" s="5">
        <v>-0.776422525903428</v>
      </c>
      <c r="K2880" s="5">
        <v>-0.776422525903428</v>
      </c>
      <c r="L2880" s="5">
        <v>-0.776422525903428</v>
      </c>
      <c r="M2880" s="5">
        <v>20.1007011519106</v>
      </c>
      <c r="N2880" s="5">
        <v>20.1007011519106</v>
      </c>
      <c r="O2880" s="5">
        <v>20.1007011519106</v>
      </c>
      <c r="P2880" s="5">
        <v>0.0</v>
      </c>
      <c r="Q2880" s="5">
        <v>0.0</v>
      </c>
      <c r="R2880" s="5">
        <v>0.0</v>
      </c>
      <c r="S2880" s="5">
        <v>938.738646437263</v>
      </c>
    </row>
    <row r="2881">
      <c r="A2881" s="6">
        <v>44533.0</v>
      </c>
      <c r="B2881" s="5">
        <v>920.58521401077</v>
      </c>
      <c r="C2881" s="5">
        <v>872.278807725505</v>
      </c>
      <c r="D2881" s="5">
        <v>1001.52173905542</v>
      </c>
      <c r="E2881" s="5">
        <v>920.58521401077</v>
      </c>
      <c r="F2881" s="5">
        <v>920.58521401077</v>
      </c>
      <c r="G2881" s="5">
        <v>18.171896351571</v>
      </c>
      <c r="H2881" s="5">
        <v>18.171896351571</v>
      </c>
      <c r="I2881" s="5">
        <v>18.171896351571</v>
      </c>
      <c r="J2881" s="5">
        <v>-1.59155056649415</v>
      </c>
      <c r="K2881" s="5">
        <v>-1.59155056649415</v>
      </c>
      <c r="L2881" s="5">
        <v>-1.59155056649415</v>
      </c>
      <c r="M2881" s="5">
        <v>19.7634469180651</v>
      </c>
      <c r="N2881" s="5">
        <v>19.7634469180651</v>
      </c>
      <c r="O2881" s="5">
        <v>19.7634469180651</v>
      </c>
      <c r="P2881" s="5">
        <v>0.0</v>
      </c>
      <c r="Q2881" s="5">
        <v>0.0</v>
      </c>
      <c r="R2881" s="5">
        <v>0.0</v>
      </c>
      <c r="S2881" s="5">
        <v>938.757110362341</v>
      </c>
    </row>
    <row r="2882">
      <c r="A2882" s="6">
        <v>44536.0</v>
      </c>
      <c r="B2882" s="5">
        <v>924.097752609309</v>
      </c>
      <c r="C2882" s="5">
        <v>879.150835866339</v>
      </c>
      <c r="D2882" s="5">
        <v>1006.31954181171</v>
      </c>
      <c r="E2882" s="5">
        <v>924.097752609309</v>
      </c>
      <c r="F2882" s="5">
        <v>924.097752609309</v>
      </c>
      <c r="G2882" s="5">
        <v>18.4870205268299</v>
      </c>
      <c r="H2882" s="5">
        <v>18.4870205268299</v>
      </c>
      <c r="I2882" s="5">
        <v>18.4870205268299</v>
      </c>
      <c r="J2882" s="5">
        <v>0.0905589421215394</v>
      </c>
      <c r="K2882" s="5">
        <v>0.0905589421215394</v>
      </c>
      <c r="L2882" s="5">
        <v>0.0905589421215394</v>
      </c>
      <c r="M2882" s="5">
        <v>18.3964615847083</v>
      </c>
      <c r="N2882" s="5">
        <v>18.3964615847083</v>
      </c>
      <c r="O2882" s="5">
        <v>18.3964615847083</v>
      </c>
      <c r="P2882" s="5">
        <v>0.0</v>
      </c>
      <c r="Q2882" s="5">
        <v>0.0</v>
      </c>
      <c r="R2882" s="5">
        <v>0.0</v>
      </c>
      <c r="S2882" s="5">
        <v>942.584773136139</v>
      </c>
    </row>
    <row r="2883">
      <c r="A2883" s="6">
        <v>44537.0</v>
      </c>
      <c r="B2883" s="5">
        <v>925.268598808823</v>
      </c>
      <c r="C2883" s="5">
        <v>883.318329845685</v>
      </c>
      <c r="D2883" s="5">
        <v>1000.78841288059</v>
      </c>
      <c r="E2883" s="5">
        <v>925.268598808823</v>
      </c>
      <c r="F2883" s="5">
        <v>925.268598808823</v>
      </c>
      <c r="G2883" s="5">
        <v>17.7110028615468</v>
      </c>
      <c r="H2883" s="5">
        <v>17.7110028615468</v>
      </c>
      <c r="I2883" s="5">
        <v>17.7110028615468</v>
      </c>
      <c r="J2883" s="5">
        <v>-0.144118857246198</v>
      </c>
      <c r="K2883" s="5">
        <v>-0.144118857246198</v>
      </c>
      <c r="L2883" s="5">
        <v>-0.144118857246198</v>
      </c>
      <c r="M2883" s="5">
        <v>17.855121718793</v>
      </c>
      <c r="N2883" s="5">
        <v>17.855121718793</v>
      </c>
      <c r="O2883" s="5">
        <v>17.855121718793</v>
      </c>
      <c r="P2883" s="5">
        <v>0.0</v>
      </c>
      <c r="Q2883" s="5">
        <v>0.0</v>
      </c>
      <c r="R2883" s="5">
        <v>0.0</v>
      </c>
      <c r="S2883" s="5">
        <v>942.97960167037</v>
      </c>
    </row>
    <row r="2884">
      <c r="A2884" s="6">
        <v>44538.0</v>
      </c>
      <c r="B2884" s="5">
        <v>926.439445008336</v>
      </c>
      <c r="C2884" s="5">
        <v>880.674675149145</v>
      </c>
      <c r="D2884" s="5">
        <v>1007.74994348956</v>
      </c>
      <c r="E2884" s="5">
        <v>926.439445008336</v>
      </c>
      <c r="F2884" s="5">
        <v>926.439445008336</v>
      </c>
      <c r="G2884" s="5">
        <v>17.2991365177081</v>
      </c>
      <c r="H2884" s="5">
        <v>17.2991365177081</v>
      </c>
      <c r="I2884" s="5">
        <v>17.2991365177081</v>
      </c>
      <c r="J2884" s="5">
        <v>0.0070378052836047</v>
      </c>
      <c r="K2884" s="5">
        <v>0.0070378052836047</v>
      </c>
      <c r="L2884" s="5">
        <v>0.0070378052836047</v>
      </c>
      <c r="M2884" s="5">
        <v>17.2920987124245</v>
      </c>
      <c r="N2884" s="5">
        <v>17.2920987124245</v>
      </c>
      <c r="O2884" s="5">
        <v>17.2920987124245</v>
      </c>
      <c r="P2884" s="5">
        <v>0.0</v>
      </c>
      <c r="Q2884" s="5">
        <v>0.0</v>
      </c>
      <c r="R2884" s="5">
        <v>0.0</v>
      </c>
      <c r="S2884" s="5">
        <v>943.738581526044</v>
      </c>
    </row>
    <row r="2885">
      <c r="A2885" s="6">
        <v>44539.0</v>
      </c>
      <c r="B2885" s="5">
        <v>927.610291207849</v>
      </c>
      <c r="C2885" s="5">
        <v>882.305124802689</v>
      </c>
      <c r="D2885" s="5">
        <v>1006.91308939313</v>
      </c>
      <c r="E2885" s="5">
        <v>927.610291207849</v>
      </c>
      <c r="F2885" s="5">
        <v>927.610291207849</v>
      </c>
      <c r="G2885" s="5">
        <v>15.9459553842553</v>
      </c>
      <c r="H2885" s="5">
        <v>15.9459553842553</v>
      </c>
      <c r="I2885" s="5">
        <v>15.9459553842553</v>
      </c>
      <c r="J2885" s="5">
        <v>-0.776422525902774</v>
      </c>
      <c r="K2885" s="5">
        <v>-0.776422525902774</v>
      </c>
      <c r="L2885" s="5">
        <v>-0.776422525902774</v>
      </c>
      <c r="M2885" s="5">
        <v>16.7223779101581</v>
      </c>
      <c r="N2885" s="5">
        <v>16.7223779101581</v>
      </c>
      <c r="O2885" s="5">
        <v>16.7223779101581</v>
      </c>
      <c r="P2885" s="5">
        <v>0.0</v>
      </c>
      <c r="Q2885" s="5">
        <v>0.0</v>
      </c>
      <c r="R2885" s="5">
        <v>0.0</v>
      </c>
      <c r="S2885" s="5">
        <v>943.556246592104</v>
      </c>
    </row>
    <row r="2886">
      <c r="A2886" s="6">
        <v>44540.0</v>
      </c>
      <c r="B2886" s="5">
        <v>928.781137407363</v>
      </c>
      <c r="C2886" s="5">
        <v>882.376124633413</v>
      </c>
      <c r="D2886" s="5">
        <v>1005.71903571982</v>
      </c>
      <c r="E2886" s="5">
        <v>928.781137407363</v>
      </c>
      <c r="F2886" s="5">
        <v>928.781137407363</v>
      </c>
      <c r="G2886" s="5">
        <v>14.5704308111934</v>
      </c>
      <c r="H2886" s="5">
        <v>14.5704308111934</v>
      </c>
      <c r="I2886" s="5">
        <v>14.5704308111934</v>
      </c>
      <c r="J2886" s="5">
        <v>-1.59155056649354</v>
      </c>
      <c r="K2886" s="5">
        <v>-1.59155056649354</v>
      </c>
      <c r="L2886" s="5">
        <v>-1.59155056649354</v>
      </c>
      <c r="M2886" s="5">
        <v>16.1619813776869</v>
      </c>
      <c r="N2886" s="5">
        <v>16.1619813776869</v>
      </c>
      <c r="O2886" s="5">
        <v>16.1619813776869</v>
      </c>
      <c r="P2886" s="5">
        <v>0.0</v>
      </c>
      <c r="Q2886" s="5">
        <v>0.0</v>
      </c>
      <c r="R2886" s="5">
        <v>0.0</v>
      </c>
      <c r="S2886" s="5">
        <v>943.351568218556</v>
      </c>
    </row>
    <row r="2887">
      <c r="A2887" s="6">
        <v>44543.0</v>
      </c>
      <c r="B2887" s="5">
        <v>932.293676005902</v>
      </c>
      <c r="C2887" s="5">
        <v>888.102518633855</v>
      </c>
      <c r="D2887" s="5">
        <v>1011.27198787488</v>
      </c>
      <c r="E2887" s="5">
        <v>932.293676005902</v>
      </c>
      <c r="F2887" s="5">
        <v>932.293676005902</v>
      </c>
      <c r="G2887" s="5">
        <v>14.7942883700503</v>
      </c>
      <c r="H2887" s="5">
        <v>14.7942883700503</v>
      </c>
      <c r="I2887" s="5">
        <v>14.7942883700503</v>
      </c>
      <c r="J2887" s="5">
        <v>0.0905589421224859</v>
      </c>
      <c r="K2887" s="5">
        <v>0.0905589421224859</v>
      </c>
      <c r="L2887" s="5">
        <v>0.0905589421224859</v>
      </c>
      <c r="M2887" s="5">
        <v>14.7037294279278</v>
      </c>
      <c r="N2887" s="5">
        <v>14.7037294279278</v>
      </c>
      <c r="O2887" s="5">
        <v>14.7037294279278</v>
      </c>
      <c r="P2887" s="5">
        <v>0.0</v>
      </c>
      <c r="Q2887" s="5">
        <v>0.0</v>
      </c>
      <c r="R2887" s="5">
        <v>0.0</v>
      </c>
      <c r="S2887" s="5">
        <v>947.087964375952</v>
      </c>
    </row>
    <row r="2888">
      <c r="A2888" s="6">
        <v>44544.0</v>
      </c>
      <c r="B2888" s="5">
        <v>933.464522205415</v>
      </c>
      <c r="C2888" s="5">
        <v>888.0412403412</v>
      </c>
      <c r="D2888" s="5">
        <v>1012.43228255483</v>
      </c>
      <c r="E2888" s="5">
        <v>933.464522205415</v>
      </c>
      <c r="F2888" s="5">
        <v>933.464522205415</v>
      </c>
      <c r="G2888" s="5">
        <v>14.2026217426553</v>
      </c>
      <c r="H2888" s="5">
        <v>14.2026217426553</v>
      </c>
      <c r="I2888" s="5">
        <v>14.2026217426553</v>
      </c>
      <c r="J2888" s="5">
        <v>-0.144118857247633</v>
      </c>
      <c r="K2888" s="5">
        <v>-0.144118857247633</v>
      </c>
      <c r="L2888" s="5">
        <v>-0.144118857247633</v>
      </c>
      <c r="M2888" s="5">
        <v>14.3467405999029</v>
      </c>
      <c r="N2888" s="5">
        <v>14.3467405999029</v>
      </c>
      <c r="O2888" s="5">
        <v>14.3467405999029</v>
      </c>
      <c r="P2888" s="5">
        <v>0.0</v>
      </c>
      <c r="Q2888" s="5">
        <v>0.0</v>
      </c>
      <c r="R2888" s="5">
        <v>0.0</v>
      </c>
      <c r="S2888" s="5">
        <v>947.66714394807</v>
      </c>
    </row>
    <row r="2889">
      <c r="A2889" s="6">
        <v>44545.0</v>
      </c>
      <c r="B2889" s="5">
        <v>934.635368404929</v>
      </c>
      <c r="C2889" s="5">
        <v>884.613853124798</v>
      </c>
      <c r="D2889" s="5">
        <v>1013.64278569428</v>
      </c>
      <c r="E2889" s="5">
        <v>934.635368404929</v>
      </c>
      <c r="F2889" s="5">
        <v>934.635368404929</v>
      </c>
      <c r="G2889" s="5">
        <v>14.0866873857189</v>
      </c>
      <c r="H2889" s="5">
        <v>14.0866873857189</v>
      </c>
      <c r="I2889" s="5">
        <v>14.0866873857189</v>
      </c>
      <c r="J2889" s="5">
        <v>0.00703780528275227</v>
      </c>
      <c r="K2889" s="5">
        <v>0.00703780528275227</v>
      </c>
      <c r="L2889" s="5">
        <v>0.00703780528275227</v>
      </c>
      <c r="M2889" s="5">
        <v>14.0796495804361</v>
      </c>
      <c r="N2889" s="5">
        <v>14.0796495804361</v>
      </c>
      <c r="O2889" s="5">
        <v>14.0796495804361</v>
      </c>
      <c r="P2889" s="5">
        <v>0.0</v>
      </c>
      <c r="Q2889" s="5">
        <v>0.0</v>
      </c>
      <c r="R2889" s="5">
        <v>0.0</v>
      </c>
      <c r="S2889" s="5">
        <v>948.722055790647</v>
      </c>
    </row>
    <row r="2890">
      <c r="A2890" s="6">
        <v>44546.0</v>
      </c>
      <c r="B2890" s="5">
        <v>935.806214604442</v>
      </c>
      <c r="C2890" s="5">
        <v>885.096425200868</v>
      </c>
      <c r="D2890" s="5">
        <v>1014.1621267891</v>
      </c>
      <c r="E2890" s="5">
        <v>935.806214604442</v>
      </c>
      <c r="F2890" s="5">
        <v>935.806214604442</v>
      </c>
      <c r="G2890" s="5">
        <v>13.139086940585</v>
      </c>
      <c r="H2890" s="5">
        <v>13.139086940585</v>
      </c>
      <c r="I2890" s="5">
        <v>13.139086940585</v>
      </c>
      <c r="J2890" s="5">
        <v>-0.776422525904872</v>
      </c>
      <c r="K2890" s="5">
        <v>-0.776422525904872</v>
      </c>
      <c r="L2890" s="5">
        <v>-0.776422525904872</v>
      </c>
      <c r="M2890" s="5">
        <v>13.9155094664898</v>
      </c>
      <c r="N2890" s="5">
        <v>13.9155094664898</v>
      </c>
      <c r="O2890" s="5">
        <v>13.9155094664898</v>
      </c>
      <c r="P2890" s="5">
        <v>0.0</v>
      </c>
      <c r="Q2890" s="5">
        <v>0.0</v>
      </c>
      <c r="R2890" s="5">
        <v>0.0</v>
      </c>
      <c r="S2890" s="5">
        <v>948.945301545027</v>
      </c>
    </row>
    <row r="2891">
      <c r="A2891" s="6">
        <v>44547.0</v>
      </c>
      <c r="B2891" s="5">
        <v>936.977060803955</v>
      </c>
      <c r="C2891" s="5">
        <v>890.278842492864</v>
      </c>
      <c r="D2891" s="5">
        <v>1011.46752292064</v>
      </c>
      <c r="E2891" s="5">
        <v>936.977060803955</v>
      </c>
      <c r="F2891" s="5">
        <v>936.977060803955</v>
      </c>
      <c r="G2891" s="5">
        <v>12.2738123797786</v>
      </c>
      <c r="H2891" s="5">
        <v>12.2738123797786</v>
      </c>
      <c r="I2891" s="5">
        <v>12.2738123797786</v>
      </c>
      <c r="J2891" s="5">
        <v>-1.5915505664923</v>
      </c>
      <c r="K2891" s="5">
        <v>-1.5915505664923</v>
      </c>
      <c r="L2891" s="5">
        <v>-1.5915505664923</v>
      </c>
      <c r="M2891" s="5">
        <v>13.8653629462709</v>
      </c>
      <c r="N2891" s="5">
        <v>13.8653629462709</v>
      </c>
      <c r="O2891" s="5">
        <v>13.8653629462709</v>
      </c>
      <c r="P2891" s="5">
        <v>0.0</v>
      </c>
      <c r="Q2891" s="5">
        <v>0.0</v>
      </c>
      <c r="R2891" s="5">
        <v>0.0</v>
      </c>
      <c r="S2891" s="5">
        <v>949.250873183733</v>
      </c>
    </row>
    <row r="2892">
      <c r="A2892" s="6">
        <v>44550.0</v>
      </c>
      <c r="B2892" s="5">
        <v>940.489599402495</v>
      </c>
      <c r="C2892" s="5">
        <v>892.707250058757</v>
      </c>
      <c r="D2892" s="5">
        <v>1018.04635360972</v>
      </c>
      <c r="E2892" s="5">
        <v>940.489599402495</v>
      </c>
      <c r="F2892" s="5">
        <v>940.489599402495</v>
      </c>
      <c r="G2892" s="5">
        <v>14.5627022439978</v>
      </c>
      <c r="H2892" s="5">
        <v>14.5627022439978</v>
      </c>
      <c r="I2892" s="5">
        <v>14.5627022439978</v>
      </c>
      <c r="J2892" s="5">
        <v>0.0905589421186646</v>
      </c>
      <c r="K2892" s="5">
        <v>0.0905589421186646</v>
      </c>
      <c r="L2892" s="5">
        <v>0.0905589421186646</v>
      </c>
      <c r="M2892" s="5">
        <v>14.4721433018792</v>
      </c>
      <c r="N2892" s="5">
        <v>14.4721433018792</v>
      </c>
      <c r="O2892" s="5">
        <v>14.4721433018792</v>
      </c>
      <c r="P2892" s="5">
        <v>0.0</v>
      </c>
      <c r="Q2892" s="5">
        <v>0.0</v>
      </c>
      <c r="R2892" s="5">
        <v>0.0</v>
      </c>
      <c r="S2892" s="5">
        <v>955.052301646492</v>
      </c>
    </row>
    <row r="2893">
      <c r="A2893" s="6">
        <v>44551.0</v>
      </c>
      <c r="B2893" s="5">
        <v>941.660445602008</v>
      </c>
      <c r="C2893" s="5">
        <v>892.262133841189</v>
      </c>
      <c r="D2893" s="5">
        <v>1024.13693271344</v>
      </c>
      <c r="E2893" s="5">
        <v>941.660445602008</v>
      </c>
      <c r="F2893" s="5">
        <v>941.660445602008</v>
      </c>
      <c r="G2893" s="5">
        <v>14.7929518773873</v>
      </c>
      <c r="H2893" s="5">
        <v>14.7929518773873</v>
      </c>
      <c r="I2893" s="5">
        <v>14.7929518773873</v>
      </c>
      <c r="J2893" s="5">
        <v>-0.144118857244022</v>
      </c>
      <c r="K2893" s="5">
        <v>-0.144118857244022</v>
      </c>
      <c r="L2893" s="5">
        <v>-0.144118857244022</v>
      </c>
      <c r="M2893" s="5">
        <v>14.9370707346313</v>
      </c>
      <c r="N2893" s="5">
        <v>14.9370707346313</v>
      </c>
      <c r="O2893" s="5">
        <v>14.9370707346313</v>
      </c>
      <c r="P2893" s="5">
        <v>0.0</v>
      </c>
      <c r="Q2893" s="5">
        <v>0.0</v>
      </c>
      <c r="R2893" s="5">
        <v>0.0</v>
      </c>
      <c r="S2893" s="5">
        <v>956.453397479395</v>
      </c>
    </row>
    <row r="2894">
      <c r="A2894" s="6">
        <v>44552.0</v>
      </c>
      <c r="B2894" s="5">
        <v>942.831291801521</v>
      </c>
      <c r="C2894" s="5">
        <v>897.177418435444</v>
      </c>
      <c r="D2894" s="5">
        <v>1020.82393875252</v>
      </c>
      <c r="E2894" s="5">
        <v>942.831291801521</v>
      </c>
      <c r="F2894" s="5">
        <v>942.831291801521</v>
      </c>
      <c r="G2894" s="5">
        <v>15.5378668069939</v>
      </c>
      <c r="H2894" s="5">
        <v>15.5378668069939</v>
      </c>
      <c r="I2894" s="5">
        <v>15.5378668069939</v>
      </c>
      <c r="J2894" s="5">
        <v>0.00703780528189972</v>
      </c>
      <c r="K2894" s="5">
        <v>0.00703780528189972</v>
      </c>
      <c r="L2894" s="5">
        <v>0.00703780528189972</v>
      </c>
      <c r="M2894" s="5">
        <v>15.530829001712</v>
      </c>
      <c r="N2894" s="5">
        <v>15.530829001712</v>
      </c>
      <c r="O2894" s="5">
        <v>15.530829001712</v>
      </c>
      <c r="P2894" s="5">
        <v>0.0</v>
      </c>
      <c r="Q2894" s="5">
        <v>0.0</v>
      </c>
      <c r="R2894" s="5">
        <v>0.0</v>
      </c>
      <c r="S2894" s="5">
        <v>958.369158608515</v>
      </c>
    </row>
    <row r="2895">
      <c r="A2895" s="6">
        <v>44553.0</v>
      </c>
      <c r="B2895" s="5">
        <v>944.002138001034</v>
      </c>
      <c r="C2895" s="5">
        <v>899.999565605866</v>
      </c>
      <c r="D2895" s="5">
        <v>1023.2789062229</v>
      </c>
      <c r="E2895" s="5">
        <v>944.002138001034</v>
      </c>
      <c r="F2895" s="5">
        <v>944.002138001034</v>
      </c>
      <c r="G2895" s="5">
        <v>15.4707997042098</v>
      </c>
      <c r="H2895" s="5">
        <v>15.4707997042098</v>
      </c>
      <c r="I2895" s="5">
        <v>15.4707997042098</v>
      </c>
      <c r="J2895" s="5">
        <v>-0.776422525899894</v>
      </c>
      <c r="K2895" s="5">
        <v>-0.776422525899894</v>
      </c>
      <c r="L2895" s="5">
        <v>-0.776422525899894</v>
      </c>
      <c r="M2895" s="5">
        <v>16.2472222301097</v>
      </c>
      <c r="N2895" s="5">
        <v>16.2472222301097</v>
      </c>
      <c r="O2895" s="5">
        <v>16.2472222301097</v>
      </c>
      <c r="P2895" s="5">
        <v>0.0</v>
      </c>
      <c r="Q2895" s="5">
        <v>0.0</v>
      </c>
      <c r="R2895" s="5">
        <v>0.0</v>
      </c>
      <c r="S2895" s="5">
        <v>959.472937705244</v>
      </c>
    </row>
    <row r="2896">
      <c r="A2896" s="6">
        <v>44557.0</v>
      </c>
      <c r="B2896" s="5">
        <v>948.685522799087</v>
      </c>
      <c r="C2896" s="5">
        <v>906.544935974715</v>
      </c>
      <c r="D2896" s="5">
        <v>1029.7164427587</v>
      </c>
      <c r="E2896" s="5">
        <v>948.685522799087</v>
      </c>
      <c r="F2896" s="5">
        <v>948.685522799087</v>
      </c>
      <c r="G2896" s="5">
        <v>20.2028596604044</v>
      </c>
      <c r="H2896" s="5">
        <v>20.2028596604044</v>
      </c>
      <c r="I2896" s="5">
        <v>20.2028596604044</v>
      </c>
      <c r="J2896" s="5">
        <v>0.090558942119611</v>
      </c>
      <c r="K2896" s="5">
        <v>0.090558942119611</v>
      </c>
      <c r="L2896" s="5">
        <v>0.090558942119611</v>
      </c>
      <c r="M2896" s="5">
        <v>20.1123007182848</v>
      </c>
      <c r="N2896" s="5">
        <v>20.1123007182848</v>
      </c>
      <c r="O2896" s="5">
        <v>20.1123007182848</v>
      </c>
      <c r="P2896" s="5">
        <v>0.0</v>
      </c>
      <c r="Q2896" s="5">
        <v>0.0</v>
      </c>
      <c r="R2896" s="5">
        <v>0.0</v>
      </c>
      <c r="S2896" s="5">
        <v>968.888382459492</v>
      </c>
    </row>
    <row r="2897">
      <c r="A2897" s="6">
        <v>44558.0</v>
      </c>
      <c r="B2897" s="5">
        <v>949.856368998601</v>
      </c>
      <c r="C2897" s="5">
        <v>914.555922173074</v>
      </c>
      <c r="D2897" s="5">
        <v>1034.97116496728</v>
      </c>
      <c r="E2897" s="5">
        <v>949.856368998601</v>
      </c>
      <c r="F2897" s="5">
        <v>949.856368998601</v>
      </c>
      <c r="G2897" s="5">
        <v>21.1052134076296</v>
      </c>
      <c r="H2897" s="5">
        <v>21.1052134076296</v>
      </c>
      <c r="I2897" s="5">
        <v>21.1052134076296</v>
      </c>
      <c r="J2897" s="5">
        <v>-0.144118857245762</v>
      </c>
      <c r="K2897" s="5">
        <v>-0.144118857245762</v>
      </c>
      <c r="L2897" s="5">
        <v>-0.144118857245762</v>
      </c>
      <c r="M2897" s="5">
        <v>21.2493322648753</v>
      </c>
      <c r="N2897" s="5">
        <v>21.2493322648753</v>
      </c>
      <c r="O2897" s="5">
        <v>21.2493322648753</v>
      </c>
      <c r="P2897" s="5">
        <v>0.0</v>
      </c>
      <c r="Q2897" s="5">
        <v>0.0</v>
      </c>
      <c r="R2897" s="5">
        <v>0.0</v>
      </c>
      <c r="S2897" s="5">
        <v>970.961582406231</v>
      </c>
    </row>
    <row r="2898">
      <c r="A2898" s="6">
        <v>44559.0</v>
      </c>
      <c r="B2898" s="5">
        <v>951.027215198114</v>
      </c>
      <c r="C2898" s="5">
        <v>909.600079622409</v>
      </c>
      <c r="D2898" s="5">
        <v>1037.9612522189</v>
      </c>
      <c r="E2898" s="5">
        <v>951.027215198114</v>
      </c>
      <c r="F2898" s="5">
        <v>951.027215198114</v>
      </c>
      <c r="G2898" s="5">
        <v>22.4230116475439</v>
      </c>
      <c r="H2898" s="5">
        <v>22.4230116475439</v>
      </c>
      <c r="I2898" s="5">
        <v>22.4230116475439</v>
      </c>
      <c r="J2898" s="5">
        <v>0.00703780528104716</v>
      </c>
      <c r="K2898" s="5">
        <v>0.00703780528104716</v>
      </c>
      <c r="L2898" s="5">
        <v>0.00703780528104716</v>
      </c>
      <c r="M2898" s="5">
        <v>22.4159738422629</v>
      </c>
      <c r="N2898" s="5">
        <v>22.4159738422629</v>
      </c>
      <c r="O2898" s="5">
        <v>22.4159738422629</v>
      </c>
      <c r="P2898" s="5">
        <v>0.0</v>
      </c>
      <c r="Q2898" s="5">
        <v>0.0</v>
      </c>
      <c r="R2898" s="5">
        <v>0.0</v>
      </c>
      <c r="S2898" s="5">
        <v>973.450226845658</v>
      </c>
    </row>
    <row r="2899">
      <c r="A2899" s="6">
        <v>44560.0</v>
      </c>
      <c r="B2899" s="5">
        <v>952.198061397627</v>
      </c>
      <c r="C2899" s="5">
        <v>915.701701691658</v>
      </c>
      <c r="D2899" s="5">
        <v>1037.90219105755</v>
      </c>
      <c r="E2899" s="5">
        <v>952.198061397627</v>
      </c>
      <c r="F2899" s="5">
        <v>952.198061397627</v>
      </c>
      <c r="G2899" s="5">
        <v>22.8141269375588</v>
      </c>
      <c r="H2899" s="5">
        <v>22.8141269375588</v>
      </c>
      <c r="I2899" s="5">
        <v>22.8141269375588</v>
      </c>
      <c r="J2899" s="5">
        <v>-0.776422525901991</v>
      </c>
      <c r="K2899" s="5">
        <v>-0.776422525901991</v>
      </c>
      <c r="L2899" s="5">
        <v>-0.776422525901991</v>
      </c>
      <c r="M2899" s="5">
        <v>23.5905494634608</v>
      </c>
      <c r="N2899" s="5">
        <v>23.5905494634608</v>
      </c>
      <c r="O2899" s="5">
        <v>23.5905494634608</v>
      </c>
      <c r="P2899" s="5">
        <v>0.0</v>
      </c>
      <c r="Q2899" s="5">
        <v>0.0</v>
      </c>
      <c r="R2899" s="5">
        <v>0.0</v>
      </c>
      <c r="S2899" s="5">
        <v>975.012188335186</v>
      </c>
    </row>
    <row r="2900">
      <c r="A2900" s="6">
        <v>44561.0</v>
      </c>
      <c r="B2900" s="5">
        <v>953.36890759714</v>
      </c>
      <c r="C2900" s="5">
        <v>913.214045142203</v>
      </c>
      <c r="D2900" s="5">
        <v>1038.75451895977</v>
      </c>
      <c r="E2900" s="5">
        <v>953.36890759714</v>
      </c>
      <c r="F2900" s="5">
        <v>953.36890759714</v>
      </c>
      <c r="G2900" s="5">
        <v>23.1592853200695</v>
      </c>
      <c r="H2900" s="5">
        <v>23.1592853200695</v>
      </c>
      <c r="I2900" s="5">
        <v>23.1592853200695</v>
      </c>
      <c r="J2900" s="5">
        <v>-1.59155056649045</v>
      </c>
      <c r="K2900" s="5">
        <v>-1.59155056649045</v>
      </c>
      <c r="L2900" s="5">
        <v>-1.59155056649045</v>
      </c>
      <c r="M2900" s="5">
        <v>24.75083588656</v>
      </c>
      <c r="N2900" s="5">
        <v>24.75083588656</v>
      </c>
      <c r="O2900" s="5">
        <v>24.75083588656</v>
      </c>
      <c r="P2900" s="5">
        <v>0.0</v>
      </c>
      <c r="Q2900" s="5">
        <v>0.0</v>
      </c>
      <c r="R2900" s="5">
        <v>0.0</v>
      </c>
      <c r="S2900" s="5">
        <v>976.528192917209</v>
      </c>
    </row>
    <row r="2901">
      <c r="A2901" s="6">
        <v>44564.0</v>
      </c>
      <c r="B2901" s="5">
        <v>956.88144619568</v>
      </c>
      <c r="C2901" s="5">
        <v>920.508125332139</v>
      </c>
      <c r="D2901" s="5">
        <v>1045.34754881205</v>
      </c>
      <c r="E2901" s="5">
        <v>956.88144619568</v>
      </c>
      <c r="F2901" s="5">
        <v>956.88144619568</v>
      </c>
      <c r="G2901" s="5">
        <v>28.0171257543371</v>
      </c>
      <c r="H2901" s="5">
        <v>28.0171257543371</v>
      </c>
      <c r="I2901" s="5">
        <v>28.0171257543371</v>
      </c>
      <c r="J2901" s="5">
        <v>0.0905589421231015</v>
      </c>
      <c r="K2901" s="5">
        <v>0.0905589421231015</v>
      </c>
      <c r="L2901" s="5">
        <v>0.0905589421231015</v>
      </c>
      <c r="M2901" s="5">
        <v>27.926566812214</v>
      </c>
      <c r="N2901" s="5">
        <v>27.926566812214</v>
      </c>
      <c r="O2901" s="5">
        <v>27.926566812214</v>
      </c>
      <c r="P2901" s="5">
        <v>0.0</v>
      </c>
      <c r="Q2901" s="5">
        <v>0.0</v>
      </c>
      <c r="R2901" s="5">
        <v>0.0</v>
      </c>
      <c r="S2901" s="5">
        <v>984.898571950017</v>
      </c>
    </row>
    <row r="2902">
      <c r="A2902" s="6">
        <v>44565.0</v>
      </c>
      <c r="B2902" s="5">
        <v>958.052292395194</v>
      </c>
      <c r="C2902" s="5">
        <v>925.260206982898</v>
      </c>
      <c r="D2902" s="5">
        <v>1047.85594402875</v>
      </c>
      <c r="E2902" s="5">
        <v>958.052292395194</v>
      </c>
      <c r="F2902" s="5">
        <v>958.052292395194</v>
      </c>
      <c r="G2902" s="5">
        <v>28.6707789287003</v>
      </c>
      <c r="H2902" s="5">
        <v>28.6707789287003</v>
      </c>
      <c r="I2902" s="5">
        <v>28.6707789287003</v>
      </c>
      <c r="J2902" s="5">
        <v>-0.144118857244674</v>
      </c>
      <c r="K2902" s="5">
        <v>-0.144118857244674</v>
      </c>
      <c r="L2902" s="5">
        <v>-0.144118857244674</v>
      </c>
      <c r="M2902" s="5">
        <v>28.8148977859449</v>
      </c>
      <c r="N2902" s="5">
        <v>28.8148977859449</v>
      </c>
      <c r="O2902" s="5">
        <v>28.8148977859449</v>
      </c>
      <c r="P2902" s="5">
        <v>0.0</v>
      </c>
      <c r="Q2902" s="5">
        <v>0.0</v>
      </c>
      <c r="R2902" s="5">
        <v>0.0</v>
      </c>
      <c r="S2902" s="5">
        <v>986.723071323894</v>
      </c>
    </row>
    <row r="2903">
      <c r="A2903" s="6">
        <v>44566.0</v>
      </c>
      <c r="B2903" s="5">
        <v>959.223138594706</v>
      </c>
      <c r="C2903" s="5">
        <v>923.839429466805</v>
      </c>
      <c r="D2903" s="5">
        <v>1049.49844854111</v>
      </c>
      <c r="E2903" s="5">
        <v>959.223138594706</v>
      </c>
      <c r="F2903" s="5">
        <v>959.223138594706</v>
      </c>
      <c r="G2903" s="5">
        <v>29.5948959485238</v>
      </c>
      <c r="H2903" s="5">
        <v>29.5948959485238</v>
      </c>
      <c r="I2903" s="5">
        <v>29.5948959485238</v>
      </c>
      <c r="J2903" s="5">
        <v>0.0070378052823582</v>
      </c>
      <c r="K2903" s="5">
        <v>0.0070378052823582</v>
      </c>
      <c r="L2903" s="5">
        <v>0.0070378052823582</v>
      </c>
      <c r="M2903" s="5">
        <v>29.5878581432414</v>
      </c>
      <c r="N2903" s="5">
        <v>29.5878581432414</v>
      </c>
      <c r="O2903" s="5">
        <v>29.5878581432414</v>
      </c>
      <c r="P2903" s="5">
        <v>0.0</v>
      </c>
      <c r="Q2903" s="5">
        <v>0.0</v>
      </c>
      <c r="R2903" s="5">
        <v>0.0</v>
      </c>
      <c r="S2903" s="5">
        <v>988.81803454323</v>
      </c>
    </row>
    <row r="2904">
      <c r="A2904" s="6">
        <v>44567.0</v>
      </c>
      <c r="B2904" s="5">
        <v>960.393984794219</v>
      </c>
      <c r="C2904" s="5">
        <v>927.983052780814</v>
      </c>
      <c r="D2904" s="5">
        <v>1051.53184172965</v>
      </c>
      <c r="E2904" s="5">
        <v>960.393984794219</v>
      </c>
      <c r="F2904" s="5">
        <v>960.393984794219</v>
      </c>
      <c r="G2904" s="5">
        <v>29.454215245625</v>
      </c>
      <c r="H2904" s="5">
        <v>29.454215245625</v>
      </c>
      <c r="I2904" s="5">
        <v>29.454215245625</v>
      </c>
      <c r="J2904" s="5">
        <v>-0.776422525902712</v>
      </c>
      <c r="K2904" s="5">
        <v>-0.776422525902712</v>
      </c>
      <c r="L2904" s="5">
        <v>-0.776422525902712</v>
      </c>
      <c r="M2904" s="5">
        <v>30.2306377715277</v>
      </c>
      <c r="N2904" s="5">
        <v>30.2306377715277</v>
      </c>
      <c r="O2904" s="5">
        <v>30.2306377715277</v>
      </c>
      <c r="P2904" s="5">
        <v>0.0</v>
      </c>
      <c r="Q2904" s="5">
        <v>0.0</v>
      </c>
      <c r="R2904" s="5">
        <v>0.0</v>
      </c>
      <c r="S2904" s="5">
        <v>989.848200039844</v>
      </c>
    </row>
    <row r="2905">
      <c r="A2905" s="6">
        <v>44568.0</v>
      </c>
      <c r="B2905" s="5">
        <v>961.564830993733</v>
      </c>
      <c r="C2905" s="5">
        <v>928.782191396553</v>
      </c>
      <c r="D2905" s="5">
        <v>1055.41707162839</v>
      </c>
      <c r="E2905" s="5">
        <v>961.564830993733</v>
      </c>
      <c r="F2905" s="5">
        <v>961.564830993733</v>
      </c>
      <c r="G2905" s="5">
        <v>29.1396182089886</v>
      </c>
      <c r="H2905" s="5">
        <v>29.1396182089886</v>
      </c>
      <c r="I2905" s="5">
        <v>29.1396182089886</v>
      </c>
      <c r="J2905" s="5">
        <v>-1.59155056648921</v>
      </c>
      <c r="K2905" s="5">
        <v>-1.59155056648921</v>
      </c>
      <c r="L2905" s="5">
        <v>-1.59155056648921</v>
      </c>
      <c r="M2905" s="5">
        <v>30.7311687754778</v>
      </c>
      <c r="N2905" s="5">
        <v>30.7311687754778</v>
      </c>
      <c r="O2905" s="5">
        <v>30.7311687754778</v>
      </c>
      <c r="P2905" s="5">
        <v>0.0</v>
      </c>
      <c r="Q2905" s="5">
        <v>0.0</v>
      </c>
      <c r="R2905" s="5">
        <v>0.0</v>
      </c>
      <c r="S2905" s="5">
        <v>990.704449202722</v>
      </c>
    </row>
    <row r="2906">
      <c r="A2906" s="6">
        <v>44571.0</v>
      </c>
      <c r="B2906" s="5">
        <v>965.077369592273</v>
      </c>
      <c r="C2906" s="5">
        <v>929.509328019405</v>
      </c>
      <c r="D2906" s="5">
        <v>1051.66782009318</v>
      </c>
      <c r="E2906" s="5">
        <v>965.077369592273</v>
      </c>
      <c r="F2906" s="5">
        <v>965.077369592273</v>
      </c>
      <c r="G2906" s="5">
        <v>31.3956021571087</v>
      </c>
      <c r="H2906" s="5">
        <v>31.3956021571087</v>
      </c>
      <c r="I2906" s="5">
        <v>31.3956021571087</v>
      </c>
      <c r="J2906" s="5">
        <v>0.0905589421240478</v>
      </c>
      <c r="K2906" s="5">
        <v>0.0905589421240478</v>
      </c>
      <c r="L2906" s="5">
        <v>0.0905589421240478</v>
      </c>
      <c r="M2906" s="5">
        <v>31.3050432149846</v>
      </c>
      <c r="N2906" s="5">
        <v>31.3050432149846</v>
      </c>
      <c r="O2906" s="5">
        <v>31.3050432149846</v>
      </c>
      <c r="P2906" s="5">
        <v>0.0</v>
      </c>
      <c r="Q2906" s="5">
        <v>0.0</v>
      </c>
      <c r="R2906" s="5">
        <v>0.0</v>
      </c>
      <c r="S2906" s="5">
        <v>996.472971749382</v>
      </c>
    </row>
    <row r="2907">
      <c r="A2907" s="6">
        <v>44572.0</v>
      </c>
      <c r="B2907" s="5">
        <v>966.248215791786</v>
      </c>
      <c r="C2907" s="5">
        <v>938.981865233018</v>
      </c>
      <c r="D2907" s="5">
        <v>1056.67178062288</v>
      </c>
      <c r="E2907" s="5">
        <v>966.248215791786</v>
      </c>
      <c r="F2907" s="5">
        <v>966.248215791786</v>
      </c>
      <c r="G2907" s="5">
        <v>31.0347398303518</v>
      </c>
      <c r="H2907" s="5">
        <v>31.0347398303518</v>
      </c>
      <c r="I2907" s="5">
        <v>31.0347398303518</v>
      </c>
      <c r="J2907" s="5">
        <v>-0.14411885724611</v>
      </c>
      <c r="K2907" s="5">
        <v>-0.14411885724611</v>
      </c>
      <c r="L2907" s="5">
        <v>-0.14411885724611</v>
      </c>
      <c r="M2907" s="5">
        <v>31.1788586875979</v>
      </c>
      <c r="N2907" s="5">
        <v>31.1788586875979</v>
      </c>
      <c r="O2907" s="5">
        <v>31.1788586875979</v>
      </c>
      <c r="P2907" s="5">
        <v>0.0</v>
      </c>
      <c r="Q2907" s="5">
        <v>0.0</v>
      </c>
      <c r="R2907" s="5">
        <v>0.0</v>
      </c>
      <c r="S2907" s="5">
        <v>997.282955622138</v>
      </c>
    </row>
    <row r="2908">
      <c r="A2908" s="6">
        <v>44573.0</v>
      </c>
      <c r="B2908" s="5">
        <v>967.419061991299</v>
      </c>
      <c r="C2908" s="5">
        <v>939.105784288887</v>
      </c>
      <c r="D2908" s="5">
        <v>1061.6525826105</v>
      </c>
      <c r="E2908" s="5">
        <v>967.419061991299</v>
      </c>
      <c r="F2908" s="5">
        <v>967.419061991299</v>
      </c>
      <c r="G2908" s="5">
        <v>30.9052209402132</v>
      </c>
      <c r="H2908" s="5">
        <v>30.9052209402132</v>
      </c>
      <c r="I2908" s="5">
        <v>30.9052209402132</v>
      </c>
      <c r="J2908" s="5">
        <v>0.00703780527934205</v>
      </c>
      <c r="K2908" s="5">
        <v>0.00703780527934205</v>
      </c>
      <c r="L2908" s="5">
        <v>0.00703780527934205</v>
      </c>
      <c r="M2908" s="5">
        <v>30.8981831349339</v>
      </c>
      <c r="N2908" s="5">
        <v>30.8981831349339</v>
      </c>
      <c r="O2908" s="5">
        <v>30.8981831349339</v>
      </c>
      <c r="P2908" s="5">
        <v>0.0</v>
      </c>
      <c r="Q2908" s="5">
        <v>0.0</v>
      </c>
      <c r="R2908" s="5">
        <v>0.0</v>
      </c>
      <c r="S2908" s="5">
        <v>998.324282931512</v>
      </c>
    </row>
    <row r="2909">
      <c r="A2909" s="6">
        <v>44574.0</v>
      </c>
      <c r="B2909" s="5">
        <v>968.589908190813</v>
      </c>
      <c r="C2909" s="5">
        <v>935.077815065653</v>
      </c>
      <c r="D2909" s="5">
        <v>1064.25103747554</v>
      </c>
      <c r="E2909" s="5">
        <v>968.589908190813</v>
      </c>
      <c r="F2909" s="5">
        <v>968.589908190813</v>
      </c>
      <c r="G2909" s="5">
        <v>29.6939862698753</v>
      </c>
      <c r="H2909" s="5">
        <v>29.6939862698753</v>
      </c>
      <c r="I2909" s="5">
        <v>29.6939862698753</v>
      </c>
      <c r="J2909" s="5">
        <v>-0.776422525903434</v>
      </c>
      <c r="K2909" s="5">
        <v>-0.776422525903434</v>
      </c>
      <c r="L2909" s="5">
        <v>-0.776422525903434</v>
      </c>
      <c r="M2909" s="5">
        <v>30.4704087957787</v>
      </c>
      <c r="N2909" s="5">
        <v>30.4704087957787</v>
      </c>
      <c r="O2909" s="5">
        <v>30.4704087957787</v>
      </c>
      <c r="P2909" s="5">
        <v>0.0</v>
      </c>
      <c r="Q2909" s="5">
        <v>0.0</v>
      </c>
      <c r="R2909" s="5">
        <v>0.0</v>
      </c>
      <c r="S2909" s="5">
        <v>998.283894460688</v>
      </c>
    </row>
    <row r="2910">
      <c r="A2910" s="6">
        <v>44575.0</v>
      </c>
      <c r="B2910" s="5">
        <v>969.760754390326</v>
      </c>
      <c r="C2910" s="5">
        <v>935.862825918504</v>
      </c>
      <c r="D2910" s="5">
        <v>1059.34092034238</v>
      </c>
      <c r="E2910" s="5">
        <v>969.760754390326</v>
      </c>
      <c r="F2910" s="5">
        <v>969.760754390326</v>
      </c>
      <c r="G2910" s="5">
        <v>28.314333173678</v>
      </c>
      <c r="H2910" s="5">
        <v>28.314333173678</v>
      </c>
      <c r="I2910" s="5">
        <v>28.314333173678</v>
      </c>
      <c r="J2910" s="5">
        <v>-1.59155056649409</v>
      </c>
      <c r="K2910" s="5">
        <v>-1.59155056649409</v>
      </c>
      <c r="L2910" s="5">
        <v>-1.59155056649409</v>
      </c>
      <c r="M2910" s="5">
        <v>29.9058837401721</v>
      </c>
      <c r="N2910" s="5">
        <v>29.9058837401721</v>
      </c>
      <c r="O2910" s="5">
        <v>29.9058837401721</v>
      </c>
      <c r="P2910" s="5">
        <v>0.0</v>
      </c>
      <c r="Q2910" s="5">
        <v>0.0</v>
      </c>
      <c r="R2910" s="5">
        <v>0.0</v>
      </c>
      <c r="S2910" s="5">
        <v>998.075087564004</v>
      </c>
    </row>
    <row r="2911">
      <c r="A2911" s="6">
        <v>44579.0</v>
      </c>
      <c r="B2911" s="5">
        <v>974.444139188378</v>
      </c>
      <c r="C2911" s="5">
        <v>937.925592034577</v>
      </c>
      <c r="D2911" s="5">
        <v>1066.06450928365</v>
      </c>
      <c r="E2911" s="5">
        <v>974.444139188378</v>
      </c>
      <c r="F2911" s="5">
        <v>974.444139188378</v>
      </c>
      <c r="G2911" s="5">
        <v>26.4280044094917</v>
      </c>
      <c r="H2911" s="5">
        <v>26.4280044094917</v>
      </c>
      <c r="I2911" s="5">
        <v>26.4280044094917</v>
      </c>
      <c r="J2911" s="5">
        <v>-0.144118857247545</v>
      </c>
      <c r="K2911" s="5">
        <v>-0.144118857247545</v>
      </c>
      <c r="L2911" s="5">
        <v>-0.144118857247545</v>
      </c>
      <c r="M2911" s="5">
        <v>26.5721232667393</v>
      </c>
      <c r="N2911" s="5">
        <v>26.5721232667393</v>
      </c>
      <c r="O2911" s="5">
        <v>26.5721232667393</v>
      </c>
      <c r="P2911" s="5">
        <v>0.0</v>
      </c>
      <c r="Q2911" s="5">
        <v>0.0</v>
      </c>
      <c r="R2911" s="5">
        <v>0.0</v>
      </c>
      <c r="S2911" s="5">
        <v>1000.87214359787</v>
      </c>
    </row>
    <row r="2912">
      <c r="A2912" s="6">
        <v>44580.0</v>
      </c>
      <c r="B2912" s="5">
        <v>975.614985387892</v>
      </c>
      <c r="C2912" s="5">
        <v>935.735524080293</v>
      </c>
      <c r="D2912" s="5">
        <v>1061.57240616147</v>
      </c>
      <c r="E2912" s="5">
        <v>975.614985387892</v>
      </c>
      <c r="F2912" s="5">
        <v>975.614985387892</v>
      </c>
      <c r="G2912" s="5">
        <v>25.565107864171</v>
      </c>
      <c r="H2912" s="5">
        <v>25.565107864171</v>
      </c>
      <c r="I2912" s="5">
        <v>25.565107864171</v>
      </c>
      <c r="J2912" s="5">
        <v>0.00703780528263593</v>
      </c>
      <c r="K2912" s="5">
        <v>0.00703780528263593</v>
      </c>
      <c r="L2912" s="5">
        <v>0.00703780528263593</v>
      </c>
      <c r="M2912" s="5">
        <v>25.5580700588884</v>
      </c>
      <c r="N2912" s="5">
        <v>25.5580700588884</v>
      </c>
      <c r="O2912" s="5">
        <v>25.5580700588884</v>
      </c>
      <c r="P2912" s="5">
        <v>0.0</v>
      </c>
      <c r="Q2912" s="5">
        <v>0.0</v>
      </c>
      <c r="R2912" s="5">
        <v>0.0</v>
      </c>
      <c r="S2912" s="5">
        <v>1001.18009325206</v>
      </c>
    </row>
    <row r="2913">
      <c r="A2913" s="6">
        <v>44581.0</v>
      </c>
      <c r="B2913" s="5">
        <v>976.785831587405</v>
      </c>
      <c r="C2913" s="5">
        <v>933.974996296028</v>
      </c>
      <c r="D2913" s="5">
        <v>1058.99513884351</v>
      </c>
      <c r="E2913" s="5">
        <v>976.785831587405</v>
      </c>
      <c r="F2913" s="5">
        <v>976.785831587405</v>
      </c>
      <c r="G2913" s="5">
        <v>23.7340965816396</v>
      </c>
      <c r="H2913" s="5">
        <v>23.7340965816396</v>
      </c>
      <c r="I2913" s="5">
        <v>23.7340965816396</v>
      </c>
      <c r="J2913" s="5">
        <v>-0.776422525904156</v>
      </c>
      <c r="K2913" s="5">
        <v>-0.776422525904156</v>
      </c>
      <c r="L2913" s="5">
        <v>-0.776422525904156</v>
      </c>
      <c r="M2913" s="5">
        <v>24.5105191075438</v>
      </c>
      <c r="N2913" s="5">
        <v>24.5105191075438</v>
      </c>
      <c r="O2913" s="5">
        <v>24.5105191075438</v>
      </c>
      <c r="P2913" s="5">
        <v>0.0</v>
      </c>
      <c r="Q2913" s="5">
        <v>0.0</v>
      </c>
      <c r="R2913" s="5">
        <v>0.0</v>
      </c>
      <c r="S2913" s="5">
        <v>1000.51992816904</v>
      </c>
    </row>
    <row r="2914">
      <c r="A2914" s="6">
        <v>44582.0</v>
      </c>
      <c r="B2914" s="5">
        <v>977.956677786918</v>
      </c>
      <c r="C2914" s="5">
        <v>935.985553043811</v>
      </c>
      <c r="D2914" s="5">
        <v>1065.402003744</v>
      </c>
      <c r="E2914" s="5">
        <v>977.956677786918</v>
      </c>
      <c r="F2914" s="5">
        <v>977.956677786918</v>
      </c>
      <c r="G2914" s="5">
        <v>21.8575524788647</v>
      </c>
      <c r="H2914" s="5">
        <v>21.8575524788647</v>
      </c>
      <c r="I2914" s="5">
        <v>21.8575524788647</v>
      </c>
      <c r="J2914" s="5">
        <v>-1.59155056649285</v>
      </c>
      <c r="K2914" s="5">
        <v>-1.59155056649285</v>
      </c>
      <c r="L2914" s="5">
        <v>-1.59155056649285</v>
      </c>
      <c r="M2914" s="5">
        <v>23.4491030453575</v>
      </c>
      <c r="N2914" s="5">
        <v>23.4491030453575</v>
      </c>
      <c r="O2914" s="5">
        <v>23.4491030453575</v>
      </c>
      <c r="P2914" s="5">
        <v>0.0</v>
      </c>
      <c r="Q2914" s="5">
        <v>0.0</v>
      </c>
      <c r="R2914" s="5">
        <v>0.0</v>
      </c>
      <c r="S2914" s="5">
        <v>999.814230265783</v>
      </c>
    </row>
    <row r="2915">
      <c r="A2915" s="6">
        <v>44585.0</v>
      </c>
      <c r="B2915" s="5">
        <v>981.469216385458</v>
      </c>
      <c r="C2915" s="5">
        <v>940.112239712345</v>
      </c>
      <c r="D2915" s="5">
        <v>1066.01553823246</v>
      </c>
      <c r="E2915" s="5">
        <v>981.469216385458</v>
      </c>
      <c r="F2915" s="5">
        <v>981.469216385458</v>
      </c>
      <c r="G2915" s="5">
        <v>20.4552024227632</v>
      </c>
      <c r="H2915" s="5">
        <v>20.4552024227632</v>
      </c>
      <c r="I2915" s="5">
        <v>20.4552024227632</v>
      </c>
      <c r="J2915" s="5">
        <v>0.0905589421237172</v>
      </c>
      <c r="K2915" s="5">
        <v>0.0905589421237172</v>
      </c>
      <c r="L2915" s="5">
        <v>0.0905589421237172</v>
      </c>
      <c r="M2915" s="5">
        <v>20.3646434806395</v>
      </c>
      <c r="N2915" s="5">
        <v>20.3646434806395</v>
      </c>
      <c r="O2915" s="5">
        <v>20.3646434806395</v>
      </c>
      <c r="P2915" s="5">
        <v>0.0</v>
      </c>
      <c r="Q2915" s="5">
        <v>0.0</v>
      </c>
      <c r="R2915" s="5">
        <v>0.0</v>
      </c>
      <c r="S2915" s="5">
        <v>1001.92441880822</v>
      </c>
    </row>
    <row r="2916">
      <c r="A2916" s="6">
        <v>44586.0</v>
      </c>
      <c r="B2916" s="5">
        <v>982.640062584972</v>
      </c>
      <c r="C2916" s="5">
        <v>939.656027862341</v>
      </c>
      <c r="D2916" s="5">
        <v>1064.32148353808</v>
      </c>
      <c r="E2916" s="5">
        <v>982.640062584972</v>
      </c>
      <c r="F2916" s="5">
        <v>982.640062584972</v>
      </c>
      <c r="G2916" s="5">
        <v>19.2788581633008</v>
      </c>
      <c r="H2916" s="5">
        <v>19.2788581633008</v>
      </c>
      <c r="I2916" s="5">
        <v>19.2788581633008</v>
      </c>
      <c r="J2916" s="5">
        <v>-0.144118857243933</v>
      </c>
      <c r="K2916" s="5">
        <v>-0.144118857243933</v>
      </c>
      <c r="L2916" s="5">
        <v>-0.144118857243933</v>
      </c>
      <c r="M2916" s="5">
        <v>19.4229770205447</v>
      </c>
      <c r="N2916" s="5">
        <v>19.4229770205447</v>
      </c>
      <c r="O2916" s="5">
        <v>19.4229770205447</v>
      </c>
      <c r="P2916" s="5">
        <v>0.0</v>
      </c>
      <c r="Q2916" s="5">
        <v>0.0</v>
      </c>
      <c r="R2916" s="5">
        <v>0.0</v>
      </c>
      <c r="S2916" s="5">
        <v>1001.91892074827</v>
      </c>
    </row>
    <row r="2917">
      <c r="A2917" s="6">
        <v>44587.0</v>
      </c>
      <c r="B2917" s="5">
        <v>983.810908784485</v>
      </c>
      <c r="C2917" s="5">
        <v>939.061623749913</v>
      </c>
      <c r="D2917" s="5">
        <v>1065.88490960635</v>
      </c>
      <c r="E2917" s="5">
        <v>983.810908784485</v>
      </c>
      <c r="F2917" s="5">
        <v>983.810908784485</v>
      </c>
      <c r="G2917" s="5">
        <v>18.5528760415336</v>
      </c>
      <c r="H2917" s="5">
        <v>18.5528760415336</v>
      </c>
      <c r="I2917" s="5">
        <v>18.5528760415336</v>
      </c>
      <c r="J2917" s="5">
        <v>0.00703780528178337</v>
      </c>
      <c r="K2917" s="5">
        <v>0.00703780528178337</v>
      </c>
      <c r="L2917" s="5">
        <v>0.00703780528178337</v>
      </c>
      <c r="M2917" s="5">
        <v>18.5458382362518</v>
      </c>
      <c r="N2917" s="5">
        <v>18.5458382362518</v>
      </c>
      <c r="O2917" s="5">
        <v>18.5458382362518</v>
      </c>
      <c r="P2917" s="5">
        <v>0.0</v>
      </c>
      <c r="Q2917" s="5">
        <v>0.0</v>
      </c>
      <c r="R2917" s="5">
        <v>0.0</v>
      </c>
      <c r="S2917" s="5">
        <v>1002.36378482601</v>
      </c>
    </row>
    <row r="2918">
      <c r="A2918" s="6">
        <v>44588.0</v>
      </c>
      <c r="B2918" s="5">
        <v>984.981754983997</v>
      </c>
      <c r="C2918" s="5">
        <v>941.149250514414</v>
      </c>
      <c r="D2918" s="5">
        <v>1064.583432892</v>
      </c>
      <c r="E2918" s="5">
        <v>984.981754983997</v>
      </c>
      <c r="F2918" s="5">
        <v>984.981754983997</v>
      </c>
      <c r="G2918" s="5">
        <v>16.9656828068998</v>
      </c>
      <c r="H2918" s="5">
        <v>16.9656828068998</v>
      </c>
      <c r="I2918" s="5">
        <v>16.9656828068998</v>
      </c>
      <c r="J2918" s="5">
        <v>-0.776422525906253</v>
      </c>
      <c r="K2918" s="5">
        <v>-0.776422525906253</v>
      </c>
      <c r="L2918" s="5">
        <v>-0.776422525906253</v>
      </c>
      <c r="M2918" s="5">
        <v>17.742105332806</v>
      </c>
      <c r="N2918" s="5">
        <v>17.742105332806</v>
      </c>
      <c r="O2918" s="5">
        <v>17.742105332806</v>
      </c>
      <c r="P2918" s="5">
        <v>0.0</v>
      </c>
      <c r="Q2918" s="5">
        <v>0.0</v>
      </c>
      <c r="R2918" s="5">
        <v>0.0</v>
      </c>
      <c r="S2918" s="5">
        <v>1001.94743779089</v>
      </c>
    </row>
    <row r="2919">
      <c r="A2919" s="6">
        <v>44589.0</v>
      </c>
      <c r="B2919" s="5">
        <v>986.152601183511</v>
      </c>
      <c r="C2919" s="5">
        <v>938.370068944775</v>
      </c>
      <c r="D2919" s="5">
        <v>1064.58596578067</v>
      </c>
      <c r="E2919" s="5">
        <v>986.152601183511</v>
      </c>
      <c r="F2919" s="5">
        <v>986.152601183511</v>
      </c>
      <c r="G2919" s="5">
        <v>15.4261819240251</v>
      </c>
      <c r="H2919" s="5">
        <v>15.4261819240251</v>
      </c>
      <c r="I2919" s="5">
        <v>15.4261819240251</v>
      </c>
      <c r="J2919" s="5">
        <v>-1.59155056649192</v>
      </c>
      <c r="K2919" s="5">
        <v>-1.59155056649192</v>
      </c>
      <c r="L2919" s="5">
        <v>-1.59155056649192</v>
      </c>
      <c r="M2919" s="5">
        <v>17.017732490517</v>
      </c>
      <c r="N2919" s="5">
        <v>17.017732490517</v>
      </c>
      <c r="O2919" s="5">
        <v>17.017732490517</v>
      </c>
      <c r="P2919" s="5">
        <v>0.0</v>
      </c>
      <c r="Q2919" s="5">
        <v>0.0</v>
      </c>
      <c r="R2919" s="5">
        <v>0.0</v>
      </c>
      <c r="S2919" s="5">
        <v>1001.57878310753</v>
      </c>
    </row>
    <row r="2920">
      <c r="A2920" s="6">
        <v>44592.0</v>
      </c>
      <c r="B2920" s="5">
        <v>989.665139782051</v>
      </c>
      <c r="C2920" s="5">
        <v>937.424980221997</v>
      </c>
      <c r="D2920" s="5">
        <v>1070.13879678027</v>
      </c>
      <c r="E2920" s="5">
        <v>989.665139782051</v>
      </c>
      <c r="F2920" s="5">
        <v>989.665139782051</v>
      </c>
      <c r="G2920" s="5">
        <v>15.4249305538703</v>
      </c>
      <c r="H2920" s="5">
        <v>15.4249305538703</v>
      </c>
      <c r="I2920" s="5">
        <v>15.4249305538703</v>
      </c>
      <c r="J2920" s="5">
        <v>0.0905589421222797</v>
      </c>
      <c r="K2920" s="5">
        <v>0.0905589421222797</v>
      </c>
      <c r="L2920" s="5">
        <v>0.0905589421222797</v>
      </c>
      <c r="M2920" s="5">
        <v>15.334371611748</v>
      </c>
      <c r="N2920" s="5">
        <v>15.334371611748</v>
      </c>
      <c r="O2920" s="5">
        <v>15.334371611748</v>
      </c>
      <c r="P2920" s="5">
        <v>0.0</v>
      </c>
      <c r="Q2920" s="5">
        <v>0.0</v>
      </c>
      <c r="R2920" s="5">
        <v>0.0</v>
      </c>
      <c r="S2920" s="5">
        <v>1005.09007033592</v>
      </c>
    </row>
    <row r="2921">
      <c r="A2921" s="6">
        <v>44593.0</v>
      </c>
      <c r="B2921" s="5">
        <v>990.835985981564</v>
      </c>
      <c r="C2921" s="5">
        <v>940.977172015043</v>
      </c>
      <c r="D2921" s="5">
        <v>1068.45987030495</v>
      </c>
      <c r="E2921" s="5">
        <v>990.835985981564</v>
      </c>
      <c r="F2921" s="5">
        <v>990.835985981564</v>
      </c>
      <c r="G2921" s="5">
        <v>14.7817060866666</v>
      </c>
      <c r="H2921" s="5">
        <v>14.7817060866666</v>
      </c>
      <c r="I2921" s="5">
        <v>14.7817060866666</v>
      </c>
      <c r="J2921" s="5">
        <v>-0.144118857245369</v>
      </c>
      <c r="K2921" s="5">
        <v>-0.144118857245369</v>
      </c>
      <c r="L2921" s="5">
        <v>-0.144118857245369</v>
      </c>
      <c r="M2921" s="5">
        <v>14.925824943912</v>
      </c>
      <c r="N2921" s="5">
        <v>14.925824943912</v>
      </c>
      <c r="O2921" s="5">
        <v>14.925824943912</v>
      </c>
      <c r="P2921" s="5">
        <v>0.0</v>
      </c>
      <c r="Q2921" s="5">
        <v>0.0</v>
      </c>
      <c r="R2921" s="5">
        <v>0.0</v>
      </c>
      <c r="S2921" s="5">
        <v>1005.61769206823</v>
      </c>
    </row>
    <row r="2922">
      <c r="A2922" s="6">
        <v>44594.0</v>
      </c>
      <c r="B2922" s="5">
        <v>992.006832181077</v>
      </c>
      <c r="C2922" s="5">
        <v>942.720062310877</v>
      </c>
      <c r="D2922" s="5">
        <v>1067.64372642907</v>
      </c>
      <c r="E2922" s="5">
        <v>992.006832181077</v>
      </c>
      <c r="F2922" s="5">
        <v>992.006832181077</v>
      </c>
      <c r="G2922" s="5">
        <v>14.5881029616917</v>
      </c>
      <c r="H2922" s="5">
        <v>14.5881029616917</v>
      </c>
      <c r="I2922" s="5">
        <v>14.5881029616917</v>
      </c>
      <c r="J2922" s="5">
        <v>0.00703780528309444</v>
      </c>
      <c r="K2922" s="5">
        <v>0.00703780528309444</v>
      </c>
      <c r="L2922" s="5">
        <v>0.00703780528309444</v>
      </c>
      <c r="M2922" s="5">
        <v>14.5810651564086</v>
      </c>
      <c r="N2922" s="5">
        <v>14.5810651564086</v>
      </c>
      <c r="O2922" s="5">
        <v>14.5810651564086</v>
      </c>
      <c r="P2922" s="5">
        <v>0.0</v>
      </c>
      <c r="Q2922" s="5">
        <v>0.0</v>
      </c>
      <c r="R2922" s="5">
        <v>0.0</v>
      </c>
      <c r="S2922" s="5">
        <v>1006.59493514276</v>
      </c>
    </row>
    <row r="2923">
      <c r="A2923" s="6">
        <v>44595.0</v>
      </c>
      <c r="B2923" s="5">
        <v>993.177678380591</v>
      </c>
      <c r="C2923" s="5">
        <v>942.183633048988</v>
      </c>
      <c r="D2923" s="5">
        <v>1070.14999714586</v>
      </c>
      <c r="E2923" s="5">
        <v>993.177678380591</v>
      </c>
      <c r="F2923" s="5">
        <v>993.177678380591</v>
      </c>
      <c r="G2923" s="5">
        <v>13.5123629430846</v>
      </c>
      <c r="H2923" s="5">
        <v>13.5123629430846</v>
      </c>
      <c r="I2923" s="5">
        <v>13.5123629430846</v>
      </c>
      <c r="J2923" s="5">
        <v>-0.7764225259056</v>
      </c>
      <c r="K2923" s="5">
        <v>-0.7764225259056</v>
      </c>
      <c r="L2923" s="5">
        <v>-0.7764225259056</v>
      </c>
      <c r="M2923" s="5">
        <v>14.2887854689902</v>
      </c>
      <c r="N2923" s="5">
        <v>14.2887854689902</v>
      </c>
      <c r="O2923" s="5">
        <v>14.2887854689902</v>
      </c>
      <c r="P2923" s="5">
        <v>0.0</v>
      </c>
      <c r="Q2923" s="5">
        <v>0.0</v>
      </c>
      <c r="R2923" s="5">
        <v>0.0</v>
      </c>
      <c r="S2923" s="5">
        <v>1006.69004132367</v>
      </c>
    </row>
    <row r="2924">
      <c r="A2924" s="6">
        <v>44596.0</v>
      </c>
      <c r="B2924" s="5">
        <v>994.348524580104</v>
      </c>
      <c r="C2924" s="5">
        <v>944.411296297653</v>
      </c>
      <c r="D2924" s="5">
        <v>1066.22717289421</v>
      </c>
      <c r="E2924" s="5">
        <v>994.348524580104</v>
      </c>
      <c r="F2924" s="5">
        <v>994.348524580104</v>
      </c>
      <c r="G2924" s="5">
        <v>12.4440495392327</v>
      </c>
      <c r="H2924" s="5">
        <v>12.4440495392327</v>
      </c>
      <c r="I2924" s="5">
        <v>12.4440495392327</v>
      </c>
      <c r="J2924" s="5">
        <v>-1.59155056649649</v>
      </c>
      <c r="K2924" s="5">
        <v>-1.59155056649649</v>
      </c>
      <c r="L2924" s="5">
        <v>-1.59155056649649</v>
      </c>
      <c r="M2924" s="5">
        <v>14.0356001057292</v>
      </c>
      <c r="N2924" s="5">
        <v>14.0356001057292</v>
      </c>
      <c r="O2924" s="5">
        <v>14.0356001057292</v>
      </c>
      <c r="P2924" s="5">
        <v>0.0</v>
      </c>
      <c r="Q2924" s="5">
        <v>0.0</v>
      </c>
      <c r="R2924" s="5">
        <v>0.0</v>
      </c>
      <c r="S2924" s="5">
        <v>1006.79257411933</v>
      </c>
    </row>
    <row r="2925">
      <c r="A2925" s="6">
        <v>44599.0</v>
      </c>
      <c r="B2925" s="5">
        <v>997.861063178643</v>
      </c>
      <c r="C2925" s="5">
        <v>948.315540469918</v>
      </c>
      <c r="D2925" s="5">
        <v>1075.52801089636</v>
      </c>
      <c r="E2925" s="5">
        <v>997.861063178643</v>
      </c>
      <c r="F2925" s="5">
        <v>997.861063178643</v>
      </c>
      <c r="G2925" s="5">
        <v>13.444981552512</v>
      </c>
      <c r="H2925" s="5">
        <v>13.444981552512</v>
      </c>
      <c r="I2925" s="5">
        <v>13.444981552512</v>
      </c>
      <c r="J2925" s="5">
        <v>0.0905589421232261</v>
      </c>
      <c r="K2925" s="5">
        <v>0.0905589421232261</v>
      </c>
      <c r="L2925" s="5">
        <v>0.0905589421232261</v>
      </c>
      <c r="M2925" s="5">
        <v>13.3544226103887</v>
      </c>
      <c r="N2925" s="5">
        <v>13.3544226103887</v>
      </c>
      <c r="O2925" s="5">
        <v>13.3544226103887</v>
      </c>
      <c r="P2925" s="5">
        <v>0.0</v>
      </c>
      <c r="Q2925" s="5">
        <v>0.0</v>
      </c>
      <c r="R2925" s="5">
        <v>0.0</v>
      </c>
      <c r="S2925" s="5">
        <v>1011.30604473115</v>
      </c>
    </row>
    <row r="2926">
      <c r="A2926" s="6">
        <v>44600.0</v>
      </c>
      <c r="B2926" s="5">
        <v>999.031909378156</v>
      </c>
      <c r="C2926" s="5">
        <v>948.581173011643</v>
      </c>
      <c r="D2926" s="5">
        <v>1074.79945246956</v>
      </c>
      <c r="E2926" s="5">
        <v>999.031909378156</v>
      </c>
      <c r="F2926" s="5">
        <v>999.031909378156</v>
      </c>
      <c r="G2926" s="5">
        <v>12.9531728949442</v>
      </c>
      <c r="H2926" s="5">
        <v>12.9531728949442</v>
      </c>
      <c r="I2926" s="5">
        <v>12.9531728949442</v>
      </c>
      <c r="J2926" s="5">
        <v>-0.144118857244281</v>
      </c>
      <c r="K2926" s="5">
        <v>-0.144118857244281</v>
      </c>
      <c r="L2926" s="5">
        <v>-0.144118857244281</v>
      </c>
      <c r="M2926" s="5">
        <v>13.0972917521885</v>
      </c>
      <c r="N2926" s="5">
        <v>13.0972917521885</v>
      </c>
      <c r="O2926" s="5">
        <v>13.0972917521885</v>
      </c>
      <c r="P2926" s="5">
        <v>0.0</v>
      </c>
      <c r="Q2926" s="5">
        <v>0.0</v>
      </c>
      <c r="R2926" s="5">
        <v>0.0</v>
      </c>
      <c r="S2926" s="5">
        <v>1011.9850822731</v>
      </c>
    </row>
    <row r="2927">
      <c r="A2927" s="6">
        <v>44601.0</v>
      </c>
      <c r="B2927" s="5">
        <v>1000.20275557767</v>
      </c>
      <c r="C2927" s="5">
        <v>951.428507611722</v>
      </c>
      <c r="D2927" s="5">
        <v>1075.44606687361</v>
      </c>
      <c r="E2927" s="5">
        <v>1000.20275557767</v>
      </c>
      <c r="F2927" s="5">
        <v>1000.20275557767</v>
      </c>
      <c r="G2927" s="5">
        <v>12.8037492814767</v>
      </c>
      <c r="H2927" s="5">
        <v>12.8037492814767</v>
      </c>
      <c r="I2927" s="5">
        <v>12.8037492814767</v>
      </c>
      <c r="J2927" s="5">
        <v>0.00703780528440551</v>
      </c>
      <c r="K2927" s="5">
        <v>0.00703780528440551</v>
      </c>
      <c r="L2927" s="5">
        <v>0.00703780528440551</v>
      </c>
      <c r="M2927" s="5">
        <v>12.7967114761923</v>
      </c>
      <c r="N2927" s="5">
        <v>12.7967114761923</v>
      </c>
      <c r="O2927" s="5">
        <v>12.7967114761923</v>
      </c>
      <c r="P2927" s="5">
        <v>0.0</v>
      </c>
      <c r="Q2927" s="5">
        <v>0.0</v>
      </c>
      <c r="R2927" s="5">
        <v>0.0</v>
      </c>
      <c r="S2927" s="5">
        <v>1013.00650485914</v>
      </c>
    </row>
    <row r="2928">
      <c r="A2928" s="6">
        <v>44602.0</v>
      </c>
      <c r="B2928" s="5">
        <v>1001.37360177718</v>
      </c>
      <c r="C2928" s="5">
        <v>952.338922787559</v>
      </c>
      <c r="D2928" s="5">
        <v>1072.24191096661</v>
      </c>
      <c r="E2928" s="5">
        <v>1001.37360177718</v>
      </c>
      <c r="F2928" s="5">
        <v>1001.37360177718</v>
      </c>
      <c r="G2928" s="5">
        <v>11.6600841872309</v>
      </c>
      <c r="H2928" s="5">
        <v>11.6600841872309</v>
      </c>
      <c r="I2928" s="5">
        <v>11.6600841872309</v>
      </c>
      <c r="J2928" s="5">
        <v>-0.776422525901997</v>
      </c>
      <c r="K2928" s="5">
        <v>-0.776422525901997</v>
      </c>
      <c r="L2928" s="5">
        <v>-0.776422525901997</v>
      </c>
      <c r="M2928" s="5">
        <v>12.4365067131329</v>
      </c>
      <c r="N2928" s="5">
        <v>12.4365067131329</v>
      </c>
      <c r="O2928" s="5">
        <v>12.4365067131329</v>
      </c>
      <c r="P2928" s="5">
        <v>0.0</v>
      </c>
      <c r="Q2928" s="5">
        <v>0.0</v>
      </c>
      <c r="R2928" s="5">
        <v>0.0</v>
      </c>
      <c r="S2928" s="5">
        <v>1013.03368596441</v>
      </c>
    </row>
    <row r="2929">
      <c r="A2929" s="6">
        <v>44603.0</v>
      </c>
      <c r="B2929" s="5">
        <v>1002.54444797669</v>
      </c>
      <c r="C2929" s="5">
        <v>947.629388561461</v>
      </c>
      <c r="D2929" s="5">
        <v>1073.46947081149</v>
      </c>
      <c r="E2929" s="5">
        <v>1002.54444797669</v>
      </c>
      <c r="F2929" s="5">
        <v>1002.54444797669</v>
      </c>
      <c r="G2929" s="5">
        <v>10.4102152943944</v>
      </c>
      <c r="H2929" s="5">
        <v>10.4102152943944</v>
      </c>
      <c r="I2929" s="5">
        <v>10.4102152943944</v>
      </c>
      <c r="J2929" s="5">
        <v>-1.59155056649556</v>
      </c>
      <c r="K2929" s="5">
        <v>-1.59155056649556</v>
      </c>
      <c r="L2929" s="5">
        <v>-1.59155056649556</v>
      </c>
      <c r="M2929" s="5">
        <v>12.00176586089</v>
      </c>
      <c r="N2929" s="5">
        <v>12.00176586089</v>
      </c>
      <c r="O2929" s="5">
        <v>12.00176586089</v>
      </c>
      <c r="P2929" s="5">
        <v>0.0</v>
      </c>
      <c r="Q2929" s="5">
        <v>0.0</v>
      </c>
      <c r="R2929" s="5">
        <v>0.0</v>
      </c>
      <c r="S2929" s="5">
        <v>1012.95466327109</v>
      </c>
    </row>
    <row r="2930">
      <c r="A2930" s="6">
        <v>44606.0</v>
      </c>
      <c r="B2930" s="5">
        <v>1006.05698657523</v>
      </c>
      <c r="C2930" s="5">
        <v>954.978556426164</v>
      </c>
      <c r="D2930" s="5">
        <v>1080.41145761044</v>
      </c>
      <c r="E2930" s="5">
        <v>1006.05698657523</v>
      </c>
      <c r="F2930" s="5">
        <v>1006.05698657523</v>
      </c>
      <c r="G2930" s="5">
        <v>10.2197288195731</v>
      </c>
      <c r="H2930" s="5">
        <v>10.2197288195731</v>
      </c>
      <c r="I2930" s="5">
        <v>10.2197288195731</v>
      </c>
      <c r="J2930" s="5">
        <v>0.0905589421217887</v>
      </c>
      <c r="K2930" s="5">
        <v>0.0905589421217887</v>
      </c>
      <c r="L2930" s="5">
        <v>0.0905589421217887</v>
      </c>
      <c r="M2930" s="5">
        <v>10.1291698774513</v>
      </c>
      <c r="N2930" s="5">
        <v>10.1291698774513</v>
      </c>
      <c r="O2930" s="5">
        <v>10.1291698774513</v>
      </c>
      <c r="P2930" s="5">
        <v>0.0</v>
      </c>
      <c r="Q2930" s="5">
        <v>0.0</v>
      </c>
      <c r="R2930" s="5">
        <v>0.0</v>
      </c>
      <c r="S2930" s="5">
        <v>1016.2767153948</v>
      </c>
    </row>
    <row r="2931">
      <c r="A2931" s="6">
        <v>44607.0</v>
      </c>
      <c r="B2931" s="5">
        <v>1007.22783277475</v>
      </c>
      <c r="C2931" s="5">
        <v>958.05766512616</v>
      </c>
      <c r="D2931" s="5">
        <v>1082.20737716004</v>
      </c>
      <c r="E2931" s="5">
        <v>1007.22783277475</v>
      </c>
      <c r="F2931" s="5">
        <v>1007.22783277475</v>
      </c>
      <c r="G2931" s="5">
        <v>9.14283830325849</v>
      </c>
      <c r="H2931" s="5">
        <v>9.14283830325849</v>
      </c>
      <c r="I2931" s="5">
        <v>9.14283830325849</v>
      </c>
      <c r="J2931" s="5">
        <v>-0.144118857246021</v>
      </c>
      <c r="K2931" s="5">
        <v>-0.144118857246021</v>
      </c>
      <c r="L2931" s="5">
        <v>-0.144118857246021</v>
      </c>
      <c r="M2931" s="5">
        <v>9.28695716050451</v>
      </c>
      <c r="N2931" s="5">
        <v>9.28695716050451</v>
      </c>
      <c r="O2931" s="5">
        <v>9.28695716050451</v>
      </c>
      <c r="P2931" s="5">
        <v>0.0</v>
      </c>
      <c r="Q2931" s="5">
        <v>0.0</v>
      </c>
      <c r="R2931" s="5">
        <v>0.0</v>
      </c>
      <c r="S2931" s="5">
        <v>1016.370671078</v>
      </c>
    </row>
    <row r="2932">
      <c r="A2932" s="6">
        <v>44608.0</v>
      </c>
      <c r="B2932" s="5">
        <v>1008.39867897426</v>
      </c>
      <c r="C2932" s="5">
        <v>952.683380938215</v>
      </c>
      <c r="D2932" s="5">
        <v>1076.08920588922</v>
      </c>
      <c r="E2932" s="5">
        <v>1008.39867897426</v>
      </c>
      <c r="F2932" s="5">
        <v>1008.39867897426</v>
      </c>
      <c r="G2932" s="5">
        <v>8.33536440950414</v>
      </c>
      <c r="H2932" s="5">
        <v>8.33536440950414</v>
      </c>
      <c r="I2932" s="5">
        <v>8.33536440950414</v>
      </c>
      <c r="J2932" s="5">
        <v>0.00703780528138933</v>
      </c>
      <c r="K2932" s="5">
        <v>0.00703780528138933</v>
      </c>
      <c r="L2932" s="5">
        <v>0.00703780528138933</v>
      </c>
      <c r="M2932" s="5">
        <v>8.32832660422275</v>
      </c>
      <c r="N2932" s="5">
        <v>8.32832660422275</v>
      </c>
      <c r="O2932" s="5">
        <v>8.32832660422275</v>
      </c>
      <c r="P2932" s="5">
        <v>0.0</v>
      </c>
      <c r="Q2932" s="5">
        <v>0.0</v>
      </c>
      <c r="R2932" s="5">
        <v>0.0</v>
      </c>
      <c r="S2932" s="5">
        <v>1016.73404338376</v>
      </c>
    </row>
    <row r="2933">
      <c r="A2933" s="6">
        <v>44609.0</v>
      </c>
      <c r="B2933" s="5">
        <v>1009.56952517377</v>
      </c>
      <c r="C2933" s="5">
        <v>953.654662850766</v>
      </c>
      <c r="D2933" s="5">
        <v>1080.09416587897</v>
      </c>
      <c r="E2933" s="5">
        <v>1009.56952517377</v>
      </c>
      <c r="F2933" s="5">
        <v>1009.56952517377</v>
      </c>
      <c r="G2933" s="5">
        <v>6.47689457145109</v>
      </c>
      <c r="H2933" s="5">
        <v>6.47689457145109</v>
      </c>
      <c r="I2933" s="5">
        <v>6.47689457145109</v>
      </c>
      <c r="J2933" s="5">
        <v>-0.776422525901344</v>
      </c>
      <c r="K2933" s="5">
        <v>-0.776422525901344</v>
      </c>
      <c r="L2933" s="5">
        <v>-0.776422525901344</v>
      </c>
      <c r="M2933" s="5">
        <v>7.25331709735244</v>
      </c>
      <c r="N2933" s="5">
        <v>7.25331709735244</v>
      </c>
      <c r="O2933" s="5">
        <v>7.25331709735244</v>
      </c>
      <c r="P2933" s="5">
        <v>0.0</v>
      </c>
      <c r="Q2933" s="5">
        <v>0.0</v>
      </c>
      <c r="R2933" s="5">
        <v>0.0</v>
      </c>
      <c r="S2933" s="5">
        <v>1016.04641974522</v>
      </c>
    </row>
    <row r="2934">
      <c r="A2934" s="6">
        <v>44610.0</v>
      </c>
      <c r="B2934" s="5">
        <v>1010.74037137328</v>
      </c>
      <c r="C2934" s="5">
        <v>952.720777052993</v>
      </c>
      <c r="D2934" s="5">
        <v>1079.03173912264</v>
      </c>
      <c r="E2934" s="5">
        <v>1010.74037137328</v>
      </c>
      <c r="F2934" s="5">
        <v>1010.74037137328</v>
      </c>
      <c r="G2934" s="5">
        <v>4.47350215404606</v>
      </c>
      <c r="H2934" s="5">
        <v>4.47350215404606</v>
      </c>
      <c r="I2934" s="5">
        <v>4.47350215404606</v>
      </c>
      <c r="J2934" s="5">
        <v>-1.59155056649432</v>
      </c>
      <c r="K2934" s="5">
        <v>-1.59155056649432</v>
      </c>
      <c r="L2934" s="5">
        <v>-1.59155056649432</v>
      </c>
      <c r="M2934" s="5">
        <v>6.06505272054039</v>
      </c>
      <c r="N2934" s="5">
        <v>6.06505272054039</v>
      </c>
      <c r="O2934" s="5">
        <v>6.06505272054039</v>
      </c>
      <c r="P2934" s="5">
        <v>0.0</v>
      </c>
      <c r="Q2934" s="5">
        <v>0.0</v>
      </c>
      <c r="R2934" s="5">
        <v>0.0</v>
      </c>
      <c r="S2934" s="5">
        <v>1015.21387352733</v>
      </c>
    </row>
    <row r="2935">
      <c r="A2935" s="6">
        <v>44614.0</v>
      </c>
      <c r="B2935" s="5">
        <v>1015.42375617134</v>
      </c>
      <c r="C2935" s="5">
        <v>958.243359931779</v>
      </c>
      <c r="D2935" s="5">
        <v>1081.21160329106</v>
      </c>
      <c r="E2935" s="5">
        <v>1015.42375617134</v>
      </c>
      <c r="F2935" s="5">
        <v>1015.42375617134</v>
      </c>
      <c r="G2935" s="5">
        <v>0.201275212967047</v>
      </c>
      <c r="H2935" s="5">
        <v>0.201275212967047</v>
      </c>
      <c r="I2935" s="5">
        <v>0.201275212967047</v>
      </c>
      <c r="J2935" s="5">
        <v>-0.144118857244933</v>
      </c>
      <c r="K2935" s="5">
        <v>-0.144118857244933</v>
      </c>
      <c r="L2935" s="5">
        <v>-0.144118857244933</v>
      </c>
      <c r="M2935" s="5">
        <v>0.345394070211981</v>
      </c>
      <c r="N2935" s="5">
        <v>0.345394070211981</v>
      </c>
      <c r="O2935" s="5">
        <v>0.345394070211981</v>
      </c>
      <c r="P2935" s="5">
        <v>0.0</v>
      </c>
      <c r="Q2935" s="5">
        <v>0.0</v>
      </c>
      <c r="R2935" s="5">
        <v>0.0</v>
      </c>
      <c r="S2935" s="5">
        <v>1015.6250313843</v>
      </c>
    </row>
    <row r="2936">
      <c r="A2936" s="6">
        <v>44615.0</v>
      </c>
      <c r="B2936" s="5">
        <v>1016.59460237085</v>
      </c>
      <c r="C2936" s="5">
        <v>954.176445591003</v>
      </c>
      <c r="D2936" s="5">
        <v>1073.22553941896</v>
      </c>
      <c r="E2936" s="5">
        <v>1016.59460237085</v>
      </c>
      <c r="F2936" s="5">
        <v>1016.59460237085</v>
      </c>
      <c r="G2936" s="5">
        <v>-1.25451160043941</v>
      </c>
      <c r="H2936" s="5">
        <v>-1.25451160043941</v>
      </c>
      <c r="I2936" s="5">
        <v>-1.25451160043941</v>
      </c>
      <c r="J2936" s="5">
        <v>0.00703780528270037</v>
      </c>
      <c r="K2936" s="5">
        <v>0.00703780528270037</v>
      </c>
      <c r="L2936" s="5">
        <v>0.00703780528270037</v>
      </c>
      <c r="M2936" s="5">
        <v>-1.26154940572211</v>
      </c>
      <c r="N2936" s="5">
        <v>-1.26154940572211</v>
      </c>
      <c r="O2936" s="5">
        <v>-1.26154940572211</v>
      </c>
      <c r="P2936" s="5">
        <v>0.0</v>
      </c>
      <c r="Q2936" s="5">
        <v>0.0</v>
      </c>
      <c r="R2936" s="5">
        <v>0.0</v>
      </c>
      <c r="S2936" s="5">
        <v>1015.34009077041</v>
      </c>
    </row>
    <row r="2937">
      <c r="A2937" s="6">
        <v>44616.0</v>
      </c>
      <c r="B2937" s="5">
        <v>1017.76544857036</v>
      </c>
      <c r="C2937" s="5">
        <v>950.036457323579</v>
      </c>
      <c r="D2937" s="5">
        <v>1074.82357304192</v>
      </c>
      <c r="E2937" s="5">
        <v>1017.76544857036</v>
      </c>
      <c r="F2937" s="5">
        <v>1017.76544857036</v>
      </c>
      <c r="G2937" s="5">
        <v>-3.68228587952585</v>
      </c>
      <c r="H2937" s="5">
        <v>-3.68228587952585</v>
      </c>
      <c r="I2937" s="5">
        <v>-3.68228587952585</v>
      </c>
      <c r="J2937" s="5">
        <v>-0.776422525903441</v>
      </c>
      <c r="K2937" s="5">
        <v>-0.776422525903441</v>
      </c>
      <c r="L2937" s="5">
        <v>-0.776422525903441</v>
      </c>
      <c r="M2937" s="5">
        <v>-2.9058633536224</v>
      </c>
      <c r="N2937" s="5">
        <v>-2.9058633536224</v>
      </c>
      <c r="O2937" s="5">
        <v>-2.9058633536224</v>
      </c>
      <c r="P2937" s="5">
        <v>0.0</v>
      </c>
      <c r="Q2937" s="5">
        <v>0.0</v>
      </c>
      <c r="R2937" s="5">
        <v>0.0</v>
      </c>
      <c r="S2937" s="5">
        <v>1014.08316269084</v>
      </c>
    </row>
    <row r="2938">
      <c r="A2938" s="6">
        <v>44617.0</v>
      </c>
      <c r="B2938" s="5">
        <v>1018.93629476988</v>
      </c>
      <c r="C2938" s="5">
        <v>946.561616635445</v>
      </c>
      <c r="D2938" s="5">
        <v>1074.70610168313</v>
      </c>
      <c r="E2938" s="5">
        <v>1018.93629476988</v>
      </c>
      <c r="F2938" s="5">
        <v>1018.93629476988</v>
      </c>
      <c r="G2938" s="5">
        <v>-6.1596456161025</v>
      </c>
      <c r="H2938" s="5">
        <v>-6.1596456161025</v>
      </c>
      <c r="I2938" s="5">
        <v>-6.1596456161025</v>
      </c>
      <c r="J2938" s="5">
        <v>-1.5915505664934</v>
      </c>
      <c r="K2938" s="5">
        <v>-1.5915505664934</v>
      </c>
      <c r="L2938" s="5">
        <v>-1.5915505664934</v>
      </c>
      <c r="M2938" s="5">
        <v>-4.56809504960909</v>
      </c>
      <c r="N2938" s="5">
        <v>-4.56809504960909</v>
      </c>
      <c r="O2938" s="5">
        <v>-4.56809504960909</v>
      </c>
      <c r="P2938" s="5">
        <v>0.0</v>
      </c>
      <c r="Q2938" s="5">
        <v>0.0</v>
      </c>
      <c r="R2938" s="5">
        <v>0.0</v>
      </c>
      <c r="S2938" s="5">
        <v>1012.77664915377</v>
      </c>
    </row>
    <row r="2939">
      <c r="A2939" s="6">
        <v>44620.0</v>
      </c>
      <c r="B2939" s="5">
        <v>1022.44883336842</v>
      </c>
      <c r="C2939" s="5">
        <v>948.705747087782</v>
      </c>
      <c r="D2939" s="5">
        <v>1077.04096007279</v>
      </c>
      <c r="E2939" s="5">
        <v>1022.44883336842</v>
      </c>
      <c r="F2939" s="5">
        <v>1022.44883336842</v>
      </c>
      <c r="G2939" s="5">
        <v>-9.36723654808136</v>
      </c>
      <c r="H2939" s="5">
        <v>-9.36723654808136</v>
      </c>
      <c r="I2939" s="5">
        <v>-9.36723654808136</v>
      </c>
      <c r="J2939" s="5">
        <v>0.0905589421189137</v>
      </c>
      <c r="K2939" s="5">
        <v>0.0905589421189137</v>
      </c>
      <c r="L2939" s="5">
        <v>0.0905589421189137</v>
      </c>
      <c r="M2939" s="5">
        <v>-9.45779549020027</v>
      </c>
      <c r="N2939" s="5">
        <v>-9.45779549020027</v>
      </c>
      <c r="O2939" s="5">
        <v>-9.45779549020027</v>
      </c>
      <c r="P2939" s="5">
        <v>0.0</v>
      </c>
      <c r="Q2939" s="5">
        <v>0.0</v>
      </c>
      <c r="R2939" s="5">
        <v>0.0</v>
      </c>
      <c r="S2939" s="5">
        <v>1013.08159682034</v>
      </c>
    </row>
    <row r="2940">
      <c r="A2940" s="6">
        <v>44621.0</v>
      </c>
      <c r="B2940" s="5">
        <v>1023.61967956793</v>
      </c>
      <c r="C2940" s="5">
        <v>950.187775254328</v>
      </c>
      <c r="D2940" s="5">
        <v>1071.55214184642</v>
      </c>
      <c r="E2940" s="5">
        <v>1023.61967956793</v>
      </c>
      <c r="F2940" s="5">
        <v>1023.61967956793</v>
      </c>
      <c r="G2940" s="5">
        <v>-11.1313377874088</v>
      </c>
      <c r="H2940" s="5">
        <v>-11.1313377874088</v>
      </c>
      <c r="I2940" s="5">
        <v>-11.1313377874088</v>
      </c>
      <c r="J2940" s="5">
        <v>-0.144118857246369</v>
      </c>
      <c r="K2940" s="5">
        <v>-0.144118857246369</v>
      </c>
      <c r="L2940" s="5">
        <v>-0.144118857246369</v>
      </c>
      <c r="M2940" s="5">
        <v>-10.9872189301624</v>
      </c>
      <c r="N2940" s="5">
        <v>-10.9872189301624</v>
      </c>
      <c r="O2940" s="5">
        <v>-10.9872189301624</v>
      </c>
      <c r="P2940" s="5">
        <v>0.0</v>
      </c>
      <c r="Q2940" s="5">
        <v>0.0</v>
      </c>
      <c r="R2940" s="5">
        <v>0.0</v>
      </c>
      <c r="S2940" s="5">
        <v>1012.48834178052</v>
      </c>
    </row>
    <row r="2941">
      <c r="A2941" s="6">
        <v>44622.0</v>
      </c>
      <c r="B2941" s="5">
        <v>1024.79052576744</v>
      </c>
      <c r="C2941" s="5">
        <v>951.497977051737</v>
      </c>
      <c r="D2941" s="5">
        <v>1079.54088974398</v>
      </c>
      <c r="E2941" s="5">
        <v>1024.79052576744</v>
      </c>
      <c r="F2941" s="5">
        <v>1024.79052576744</v>
      </c>
      <c r="G2941" s="5">
        <v>-12.4269520690829</v>
      </c>
      <c r="H2941" s="5">
        <v>-12.4269520690829</v>
      </c>
      <c r="I2941" s="5">
        <v>-12.4269520690829</v>
      </c>
      <c r="J2941" s="5">
        <v>0.00703780528184795</v>
      </c>
      <c r="K2941" s="5">
        <v>0.00703780528184795</v>
      </c>
      <c r="L2941" s="5">
        <v>0.00703780528184795</v>
      </c>
      <c r="M2941" s="5">
        <v>-12.4339898743648</v>
      </c>
      <c r="N2941" s="5">
        <v>-12.4339898743648</v>
      </c>
      <c r="O2941" s="5">
        <v>-12.4339898743648</v>
      </c>
      <c r="P2941" s="5">
        <v>0.0</v>
      </c>
      <c r="Q2941" s="5">
        <v>0.0</v>
      </c>
      <c r="R2941" s="5">
        <v>0.0</v>
      </c>
      <c r="S2941" s="5">
        <v>1012.36357369836</v>
      </c>
    </row>
    <row r="2942">
      <c r="A2942" s="6">
        <v>44623.0</v>
      </c>
      <c r="B2942" s="5">
        <v>1025.96137196696</v>
      </c>
      <c r="C2942" s="5">
        <v>950.704750846703</v>
      </c>
      <c r="D2942" s="5">
        <v>1074.57338686768</v>
      </c>
      <c r="E2942" s="5">
        <v>1025.96137196696</v>
      </c>
      <c r="F2942" s="5">
        <v>1025.96137196696</v>
      </c>
      <c r="G2942" s="5">
        <v>-14.5570058015995</v>
      </c>
      <c r="H2942" s="5">
        <v>-14.5570058015995</v>
      </c>
      <c r="I2942" s="5">
        <v>-14.5570058015995</v>
      </c>
      <c r="J2942" s="5">
        <v>-0.776422525898463</v>
      </c>
      <c r="K2942" s="5">
        <v>-0.776422525898463</v>
      </c>
      <c r="L2942" s="5">
        <v>-0.776422525898463</v>
      </c>
      <c r="M2942" s="5">
        <v>-13.7805832757011</v>
      </c>
      <c r="N2942" s="5">
        <v>-13.7805832757011</v>
      </c>
      <c r="O2942" s="5">
        <v>-13.7805832757011</v>
      </c>
      <c r="P2942" s="5">
        <v>0.0</v>
      </c>
      <c r="Q2942" s="5">
        <v>0.0</v>
      </c>
      <c r="R2942" s="5">
        <v>0.0</v>
      </c>
      <c r="S2942" s="5">
        <v>1011.40436616536</v>
      </c>
    </row>
    <row r="2943">
      <c r="A2943" s="6">
        <v>44624.0</v>
      </c>
      <c r="B2943" s="5">
        <v>1027.13221816647</v>
      </c>
      <c r="C2943" s="5">
        <v>955.875277868551</v>
      </c>
      <c r="D2943" s="5">
        <v>1073.14466062391</v>
      </c>
      <c r="E2943" s="5">
        <v>1027.13221816647</v>
      </c>
      <c r="F2943" s="5">
        <v>1027.13221816647</v>
      </c>
      <c r="G2943" s="5">
        <v>-16.6028582385466</v>
      </c>
      <c r="H2943" s="5">
        <v>-16.6028582385466</v>
      </c>
      <c r="I2943" s="5">
        <v>-16.6028582385466</v>
      </c>
      <c r="J2943" s="5">
        <v>-1.59155056649216</v>
      </c>
      <c r="K2943" s="5">
        <v>-1.59155056649216</v>
      </c>
      <c r="L2943" s="5">
        <v>-1.59155056649216</v>
      </c>
      <c r="M2943" s="5">
        <v>-15.0113076720544</v>
      </c>
      <c r="N2943" s="5">
        <v>-15.0113076720544</v>
      </c>
      <c r="O2943" s="5">
        <v>-15.0113076720544</v>
      </c>
      <c r="P2943" s="5">
        <v>0.0</v>
      </c>
      <c r="Q2943" s="5">
        <v>0.0</v>
      </c>
      <c r="R2943" s="5">
        <v>0.0</v>
      </c>
      <c r="S2943" s="5">
        <v>1010.52935992792</v>
      </c>
    </row>
    <row r="2944">
      <c r="A2944" s="6">
        <v>44627.0</v>
      </c>
      <c r="B2944" s="5">
        <v>1030.64475676501</v>
      </c>
      <c r="C2944" s="5">
        <v>948.057647542222</v>
      </c>
      <c r="D2944" s="5">
        <v>1074.9347130984</v>
      </c>
      <c r="E2944" s="5">
        <v>1030.64475676501</v>
      </c>
      <c r="F2944" s="5">
        <v>1030.64475676501</v>
      </c>
      <c r="G2944" s="5">
        <v>-17.7947649919293</v>
      </c>
      <c r="H2944" s="5">
        <v>-17.7947649919293</v>
      </c>
      <c r="I2944" s="5">
        <v>-17.7947649919293</v>
      </c>
      <c r="J2944" s="5">
        <v>0.0905589421198601</v>
      </c>
      <c r="K2944" s="5">
        <v>0.0905589421198601</v>
      </c>
      <c r="L2944" s="5">
        <v>0.0905589421198601</v>
      </c>
      <c r="M2944" s="5">
        <v>-17.8853239340491</v>
      </c>
      <c r="N2944" s="5">
        <v>-17.8853239340491</v>
      </c>
      <c r="O2944" s="5">
        <v>-17.8853239340491</v>
      </c>
      <c r="P2944" s="5">
        <v>0.0</v>
      </c>
      <c r="Q2944" s="5">
        <v>0.0</v>
      </c>
      <c r="R2944" s="5">
        <v>0.0</v>
      </c>
      <c r="S2944" s="5">
        <v>1012.84999177308</v>
      </c>
    </row>
    <row r="2945">
      <c r="A2945" s="6">
        <v>44628.0</v>
      </c>
      <c r="B2945" s="5">
        <v>1031.81560296452</v>
      </c>
      <c r="C2945" s="5">
        <v>947.603530128699</v>
      </c>
      <c r="D2945" s="5">
        <v>1078.37947500104</v>
      </c>
      <c r="E2945" s="5">
        <v>1031.81560296452</v>
      </c>
      <c r="F2945" s="5">
        <v>1031.81560296452</v>
      </c>
      <c r="G2945" s="5">
        <v>-18.6866396624917</v>
      </c>
      <c r="H2945" s="5">
        <v>-18.6866396624917</v>
      </c>
      <c r="I2945" s="5">
        <v>-18.6866396624917</v>
      </c>
      <c r="J2945" s="5">
        <v>-0.144118857245281</v>
      </c>
      <c r="K2945" s="5">
        <v>-0.144118857245281</v>
      </c>
      <c r="L2945" s="5">
        <v>-0.144118857245281</v>
      </c>
      <c r="M2945" s="5">
        <v>-18.5425208052464</v>
      </c>
      <c r="N2945" s="5">
        <v>-18.5425208052464</v>
      </c>
      <c r="O2945" s="5">
        <v>-18.5425208052464</v>
      </c>
      <c r="P2945" s="5">
        <v>0.0</v>
      </c>
      <c r="Q2945" s="5">
        <v>0.0</v>
      </c>
      <c r="R2945" s="5">
        <v>0.0</v>
      </c>
      <c r="S2945" s="5">
        <v>1013.12896330203</v>
      </c>
    </row>
    <row r="2946">
      <c r="A2946" s="6">
        <v>44629.0</v>
      </c>
      <c r="B2946" s="5">
        <v>1032.98644916404</v>
      </c>
      <c r="C2946" s="5">
        <v>953.071550040321</v>
      </c>
      <c r="D2946" s="5">
        <v>1079.63429279378</v>
      </c>
      <c r="E2946" s="5">
        <v>1032.98644916404</v>
      </c>
      <c r="F2946" s="5">
        <v>1032.98644916404</v>
      </c>
      <c r="G2946" s="5">
        <v>-19.0351381908502</v>
      </c>
      <c r="H2946" s="5">
        <v>-19.0351381908502</v>
      </c>
      <c r="I2946" s="5">
        <v>-19.0351381908502</v>
      </c>
      <c r="J2946" s="5">
        <v>0.00703780528297816</v>
      </c>
      <c r="K2946" s="5">
        <v>0.00703780528297816</v>
      </c>
      <c r="L2946" s="5">
        <v>0.00703780528297816</v>
      </c>
      <c r="M2946" s="5">
        <v>-19.0421759961331</v>
      </c>
      <c r="N2946" s="5">
        <v>-19.0421759961331</v>
      </c>
      <c r="O2946" s="5">
        <v>-19.0421759961331</v>
      </c>
      <c r="P2946" s="5">
        <v>0.0</v>
      </c>
      <c r="Q2946" s="5">
        <v>0.0</v>
      </c>
      <c r="R2946" s="5">
        <v>0.0</v>
      </c>
      <c r="S2946" s="5">
        <v>1013.95131097319</v>
      </c>
    </row>
    <row r="2947">
      <c r="A2947" s="6">
        <v>44630.0</v>
      </c>
      <c r="B2947" s="5">
        <v>1034.15729536355</v>
      </c>
      <c r="C2947" s="5">
        <v>952.856895130107</v>
      </c>
      <c r="D2947" s="5">
        <v>1081.06628912258</v>
      </c>
      <c r="E2947" s="5">
        <v>1034.15729536355</v>
      </c>
      <c r="F2947" s="5">
        <v>1034.15729536355</v>
      </c>
      <c r="G2947" s="5">
        <v>-20.1606500610276</v>
      </c>
      <c r="H2947" s="5">
        <v>-20.1606500610276</v>
      </c>
      <c r="I2947" s="5">
        <v>-20.1606500610276</v>
      </c>
      <c r="J2947" s="5">
        <v>-0.776422525899185</v>
      </c>
      <c r="K2947" s="5">
        <v>-0.776422525899185</v>
      </c>
      <c r="L2947" s="5">
        <v>-0.776422525899185</v>
      </c>
      <c r="M2947" s="5">
        <v>-19.3842275351284</v>
      </c>
      <c r="N2947" s="5">
        <v>-19.3842275351284</v>
      </c>
      <c r="O2947" s="5">
        <v>-19.3842275351284</v>
      </c>
      <c r="P2947" s="5">
        <v>0.0</v>
      </c>
      <c r="Q2947" s="5">
        <v>0.0</v>
      </c>
      <c r="R2947" s="5">
        <v>0.0</v>
      </c>
      <c r="S2947" s="5">
        <v>1013.99664530252</v>
      </c>
    </row>
    <row r="2948">
      <c r="A2948" s="6">
        <v>44631.0</v>
      </c>
      <c r="B2948" s="5">
        <v>1035.32814156306</v>
      </c>
      <c r="C2948" s="5">
        <v>946.848040138272</v>
      </c>
      <c r="D2948" s="5">
        <v>1074.25928425042</v>
      </c>
      <c r="E2948" s="5">
        <v>1035.32814156306</v>
      </c>
      <c r="F2948" s="5">
        <v>1035.32814156306</v>
      </c>
      <c r="G2948" s="5">
        <v>-21.1628953131584</v>
      </c>
      <c r="H2948" s="5">
        <v>-21.1628953131584</v>
      </c>
      <c r="I2948" s="5">
        <v>-21.1628953131584</v>
      </c>
      <c r="J2948" s="5">
        <v>-1.59155056649155</v>
      </c>
      <c r="K2948" s="5">
        <v>-1.59155056649155</v>
      </c>
      <c r="L2948" s="5">
        <v>-1.59155056649155</v>
      </c>
      <c r="M2948" s="5">
        <v>-19.5713447466668</v>
      </c>
      <c r="N2948" s="5">
        <v>-19.5713447466668</v>
      </c>
      <c r="O2948" s="5">
        <v>-19.5713447466668</v>
      </c>
      <c r="P2948" s="5">
        <v>0.0</v>
      </c>
      <c r="Q2948" s="5">
        <v>0.0</v>
      </c>
      <c r="R2948" s="5">
        <v>0.0</v>
      </c>
      <c r="S2948" s="5">
        <v>1014.1652462499</v>
      </c>
    </row>
    <row r="2949">
      <c r="A2949" s="6">
        <v>44634.0</v>
      </c>
      <c r="B2949" s="5">
        <v>1038.8406801616</v>
      </c>
      <c r="C2949" s="5">
        <v>956.389152161954</v>
      </c>
      <c r="D2949" s="5">
        <v>1080.0069116145</v>
      </c>
      <c r="E2949" s="5">
        <v>1038.8406801616</v>
      </c>
      <c r="F2949" s="5">
        <v>1038.8406801616</v>
      </c>
      <c r="G2949" s="5">
        <v>-19.1766472481349</v>
      </c>
      <c r="H2949" s="5">
        <v>-19.1766472481349</v>
      </c>
      <c r="I2949" s="5">
        <v>-19.1766472481349</v>
      </c>
      <c r="J2949" s="5">
        <v>0.0905589421233507</v>
      </c>
      <c r="K2949" s="5">
        <v>0.0905589421233507</v>
      </c>
      <c r="L2949" s="5">
        <v>0.0905589421233507</v>
      </c>
      <c r="M2949" s="5">
        <v>-19.2672061902583</v>
      </c>
      <c r="N2949" s="5">
        <v>-19.2672061902583</v>
      </c>
      <c r="O2949" s="5">
        <v>-19.2672061902583</v>
      </c>
      <c r="P2949" s="5">
        <v>0.0</v>
      </c>
      <c r="Q2949" s="5">
        <v>0.0</v>
      </c>
      <c r="R2949" s="5">
        <v>0.0</v>
      </c>
      <c r="S2949" s="5">
        <v>1019.66403291347</v>
      </c>
    </row>
    <row r="2950">
      <c r="A2950" s="6">
        <v>44635.0</v>
      </c>
      <c r="B2950" s="5">
        <v>1040.01152636112</v>
      </c>
      <c r="C2950" s="5">
        <v>955.753427941191</v>
      </c>
      <c r="D2950" s="5">
        <v>1083.07475957481</v>
      </c>
      <c r="E2950" s="5">
        <v>1040.01152636112</v>
      </c>
      <c r="F2950" s="5">
        <v>1040.01152636112</v>
      </c>
      <c r="G2950" s="5">
        <v>-19.0535840675889</v>
      </c>
      <c r="H2950" s="5">
        <v>-19.0535840675889</v>
      </c>
      <c r="I2950" s="5">
        <v>-19.0535840675889</v>
      </c>
      <c r="J2950" s="5">
        <v>-0.144118857246716</v>
      </c>
      <c r="K2950" s="5">
        <v>-0.144118857246716</v>
      </c>
      <c r="L2950" s="5">
        <v>-0.144118857246716</v>
      </c>
      <c r="M2950" s="5">
        <v>-18.9094652103422</v>
      </c>
      <c r="N2950" s="5">
        <v>-18.9094652103422</v>
      </c>
      <c r="O2950" s="5">
        <v>-18.9094652103422</v>
      </c>
      <c r="P2950" s="5">
        <v>0.0</v>
      </c>
      <c r="Q2950" s="5">
        <v>0.0</v>
      </c>
      <c r="R2950" s="5">
        <v>0.0</v>
      </c>
      <c r="S2950" s="5">
        <v>1020.95794229353</v>
      </c>
    </row>
    <row r="2951">
      <c r="A2951" s="6">
        <v>44636.0</v>
      </c>
      <c r="B2951" s="5">
        <v>1041.18237256063</v>
      </c>
      <c r="C2951" s="5">
        <v>955.479777430291</v>
      </c>
      <c r="D2951" s="5">
        <v>1086.61512849579</v>
      </c>
      <c r="E2951" s="5">
        <v>1041.18237256063</v>
      </c>
      <c r="F2951" s="5">
        <v>1041.18237256063</v>
      </c>
      <c r="G2951" s="5">
        <v>-18.43688474376</v>
      </c>
      <c r="H2951" s="5">
        <v>-18.43688474376</v>
      </c>
      <c r="I2951" s="5">
        <v>-18.43688474376</v>
      </c>
      <c r="J2951" s="5">
        <v>0.00703780528212561</v>
      </c>
      <c r="K2951" s="5">
        <v>0.00703780528212561</v>
      </c>
      <c r="L2951" s="5">
        <v>0.00703780528212561</v>
      </c>
      <c r="M2951" s="5">
        <v>-18.4439225490421</v>
      </c>
      <c r="N2951" s="5">
        <v>-18.4439225490421</v>
      </c>
      <c r="O2951" s="5">
        <v>-18.4439225490421</v>
      </c>
      <c r="P2951" s="5">
        <v>0.0</v>
      </c>
      <c r="Q2951" s="5">
        <v>0.0</v>
      </c>
      <c r="R2951" s="5">
        <v>0.0</v>
      </c>
      <c r="S2951" s="5">
        <v>1022.74548781687</v>
      </c>
    </row>
    <row r="2952">
      <c r="A2952" s="6">
        <v>44637.0</v>
      </c>
      <c r="B2952" s="5">
        <v>1042.35321876014</v>
      </c>
      <c r="C2952" s="5">
        <v>962.613350639027</v>
      </c>
      <c r="D2952" s="5">
        <v>1089.3302169806</v>
      </c>
      <c r="E2952" s="5">
        <v>1042.35321876014</v>
      </c>
      <c r="F2952" s="5">
        <v>1042.35321876014</v>
      </c>
      <c r="G2952" s="5">
        <v>-18.6610786895749</v>
      </c>
      <c r="H2952" s="5">
        <v>-18.6610786895749</v>
      </c>
      <c r="I2952" s="5">
        <v>-18.6610786895749</v>
      </c>
      <c r="J2952" s="5">
        <v>-0.776422525899907</v>
      </c>
      <c r="K2952" s="5">
        <v>-0.776422525899907</v>
      </c>
      <c r="L2952" s="5">
        <v>-0.776422525899907</v>
      </c>
      <c r="M2952" s="5">
        <v>-17.884656163675</v>
      </c>
      <c r="N2952" s="5">
        <v>-17.884656163675</v>
      </c>
      <c r="O2952" s="5">
        <v>-17.884656163675</v>
      </c>
      <c r="P2952" s="5">
        <v>0.0</v>
      </c>
      <c r="Q2952" s="5">
        <v>0.0</v>
      </c>
      <c r="R2952" s="5">
        <v>0.0</v>
      </c>
      <c r="S2952" s="5">
        <v>1023.69214007057</v>
      </c>
    </row>
    <row r="2953">
      <c r="A2953" s="6">
        <v>44638.0</v>
      </c>
      <c r="B2953" s="5">
        <v>1043.52406495966</v>
      </c>
      <c r="C2953" s="5">
        <v>964.506765166472</v>
      </c>
      <c r="D2953" s="5">
        <v>1082.02677076363</v>
      </c>
      <c r="E2953" s="5">
        <v>1043.52406495966</v>
      </c>
      <c r="F2953" s="5">
        <v>1043.52406495966</v>
      </c>
      <c r="G2953" s="5">
        <v>-18.8380000685986</v>
      </c>
      <c r="H2953" s="5">
        <v>-18.8380000685986</v>
      </c>
      <c r="I2953" s="5">
        <v>-18.8380000685986</v>
      </c>
      <c r="J2953" s="5">
        <v>-1.59155056649031</v>
      </c>
      <c r="K2953" s="5">
        <v>-1.59155056649031</v>
      </c>
      <c r="L2953" s="5">
        <v>-1.59155056649031</v>
      </c>
      <c r="M2953" s="5">
        <v>-17.2464495021083</v>
      </c>
      <c r="N2953" s="5">
        <v>-17.2464495021083</v>
      </c>
      <c r="O2953" s="5">
        <v>-17.2464495021083</v>
      </c>
      <c r="P2953" s="5">
        <v>0.0</v>
      </c>
      <c r="Q2953" s="5">
        <v>0.0</v>
      </c>
      <c r="R2953" s="5">
        <v>0.0</v>
      </c>
      <c r="S2953" s="5">
        <v>1024.68606489106</v>
      </c>
    </row>
    <row r="2954">
      <c r="A2954" s="6">
        <v>44641.0</v>
      </c>
      <c r="B2954" s="5">
        <v>1047.0366035582</v>
      </c>
      <c r="C2954" s="5">
        <v>967.799715357242</v>
      </c>
      <c r="D2954" s="5">
        <v>1087.95314325086</v>
      </c>
      <c r="E2954" s="5">
        <v>1047.0366035582</v>
      </c>
      <c r="F2954" s="5">
        <v>1047.0366035582</v>
      </c>
      <c r="G2954" s="5">
        <v>-14.9180319452402</v>
      </c>
      <c r="H2954" s="5">
        <v>-14.9180319452402</v>
      </c>
      <c r="I2954" s="5">
        <v>-14.9180319452402</v>
      </c>
      <c r="J2954" s="5">
        <v>0.0905589421219132</v>
      </c>
      <c r="K2954" s="5">
        <v>0.0905589421219132</v>
      </c>
      <c r="L2954" s="5">
        <v>0.0905589421219132</v>
      </c>
      <c r="M2954" s="5">
        <v>-15.0085908873621</v>
      </c>
      <c r="N2954" s="5">
        <v>-15.0085908873621</v>
      </c>
      <c r="O2954" s="5">
        <v>-15.0085908873621</v>
      </c>
      <c r="P2954" s="5">
        <v>0.0</v>
      </c>
      <c r="Q2954" s="5">
        <v>0.0</v>
      </c>
      <c r="R2954" s="5">
        <v>0.0</v>
      </c>
      <c r="S2954" s="5">
        <v>1032.11857161295</v>
      </c>
    </row>
    <row r="2955">
      <c r="A2955" s="6">
        <v>44642.0</v>
      </c>
      <c r="B2955" s="5">
        <v>1048.20744975771</v>
      </c>
      <c r="C2955" s="5">
        <v>970.07563073203</v>
      </c>
      <c r="D2955" s="5">
        <v>1096.97629781185</v>
      </c>
      <c r="E2955" s="5">
        <v>1048.20744975771</v>
      </c>
      <c r="F2955" s="5">
        <v>1048.20744975771</v>
      </c>
      <c r="G2955" s="5">
        <v>-14.3474643780699</v>
      </c>
      <c r="H2955" s="5">
        <v>-14.3474643780699</v>
      </c>
      <c r="I2955" s="5">
        <v>-14.3474643780699</v>
      </c>
      <c r="J2955" s="5">
        <v>-0.144118857243105</v>
      </c>
      <c r="K2955" s="5">
        <v>-0.144118857243105</v>
      </c>
      <c r="L2955" s="5">
        <v>-0.144118857243105</v>
      </c>
      <c r="M2955" s="5">
        <v>-14.2033455208268</v>
      </c>
      <c r="N2955" s="5">
        <v>-14.2033455208268</v>
      </c>
      <c r="O2955" s="5">
        <v>-14.2033455208268</v>
      </c>
      <c r="P2955" s="5">
        <v>0.0</v>
      </c>
      <c r="Q2955" s="5">
        <v>0.0</v>
      </c>
      <c r="R2955" s="5">
        <v>0.0</v>
      </c>
      <c r="S2955" s="5">
        <v>1033.85998537964</v>
      </c>
    </row>
    <row r="2956">
      <c r="A2956" s="6">
        <v>44643.0</v>
      </c>
      <c r="B2956" s="5">
        <v>1049.37829595722</v>
      </c>
      <c r="C2956" s="5">
        <v>971.406850419447</v>
      </c>
      <c r="D2956" s="5">
        <v>1095.46491918511</v>
      </c>
      <c r="E2956" s="5">
        <v>1049.37829595722</v>
      </c>
      <c r="F2956" s="5">
        <v>1049.37829595722</v>
      </c>
      <c r="G2956" s="5">
        <v>-13.383660828841</v>
      </c>
      <c r="H2956" s="5">
        <v>-13.383660828841</v>
      </c>
      <c r="I2956" s="5">
        <v>-13.383660828841</v>
      </c>
      <c r="J2956" s="5">
        <v>0.00703780528127309</v>
      </c>
      <c r="K2956" s="5">
        <v>0.00703780528127309</v>
      </c>
      <c r="L2956" s="5">
        <v>0.00703780528127309</v>
      </c>
      <c r="M2956" s="5">
        <v>-13.3906986341223</v>
      </c>
      <c r="N2956" s="5">
        <v>-13.3906986341223</v>
      </c>
      <c r="O2956" s="5">
        <v>-13.3906986341223</v>
      </c>
      <c r="P2956" s="5">
        <v>0.0</v>
      </c>
      <c r="Q2956" s="5">
        <v>0.0</v>
      </c>
      <c r="R2956" s="5">
        <v>0.0</v>
      </c>
      <c r="S2956" s="5">
        <v>1035.99463512838</v>
      </c>
    </row>
    <row r="2957">
      <c r="A2957" s="6">
        <v>44644.0</v>
      </c>
      <c r="B2957" s="5">
        <v>1050.54914215673</v>
      </c>
      <c r="C2957" s="5">
        <v>976.999194817992</v>
      </c>
      <c r="D2957" s="5">
        <v>1098.86072693793</v>
      </c>
      <c r="E2957" s="5">
        <v>1050.54914215673</v>
      </c>
      <c r="F2957" s="5">
        <v>1050.54914215673</v>
      </c>
      <c r="G2957" s="5">
        <v>-13.3586521647139</v>
      </c>
      <c r="H2957" s="5">
        <v>-13.3586521647139</v>
      </c>
      <c r="I2957" s="5">
        <v>-13.3586521647139</v>
      </c>
      <c r="J2957" s="5">
        <v>-0.776422525902004</v>
      </c>
      <c r="K2957" s="5">
        <v>-0.776422525902004</v>
      </c>
      <c r="L2957" s="5">
        <v>-0.776422525902004</v>
      </c>
      <c r="M2957" s="5">
        <v>-12.5822296388119</v>
      </c>
      <c r="N2957" s="5">
        <v>-12.5822296388119</v>
      </c>
      <c r="O2957" s="5">
        <v>-12.5822296388119</v>
      </c>
      <c r="P2957" s="5">
        <v>0.0</v>
      </c>
      <c r="Q2957" s="5">
        <v>0.0</v>
      </c>
      <c r="R2957" s="5">
        <v>0.0</v>
      </c>
      <c r="S2957" s="5">
        <v>1037.19048999202</v>
      </c>
    </row>
    <row r="2958">
      <c r="A2958" s="6">
        <v>44645.0</v>
      </c>
      <c r="B2958" s="5">
        <v>1051.71998835625</v>
      </c>
      <c r="C2958" s="5">
        <v>974.73203243925</v>
      </c>
      <c r="D2958" s="5">
        <v>1096.8339914745</v>
      </c>
      <c r="E2958" s="5">
        <v>1051.71998835625</v>
      </c>
      <c r="F2958" s="5">
        <v>1051.71998835625</v>
      </c>
      <c r="G2958" s="5">
        <v>-13.3795927979307</v>
      </c>
      <c r="H2958" s="5">
        <v>-13.3795927979307</v>
      </c>
      <c r="I2958" s="5">
        <v>-13.3795927979307</v>
      </c>
      <c r="J2958" s="5">
        <v>-1.59155056649487</v>
      </c>
      <c r="K2958" s="5">
        <v>-1.59155056649487</v>
      </c>
      <c r="L2958" s="5">
        <v>-1.59155056649487</v>
      </c>
      <c r="M2958" s="5">
        <v>-11.7880422314358</v>
      </c>
      <c r="N2958" s="5">
        <v>-11.7880422314358</v>
      </c>
      <c r="O2958" s="5">
        <v>-11.7880422314358</v>
      </c>
      <c r="P2958" s="5">
        <v>0.0</v>
      </c>
      <c r="Q2958" s="5">
        <v>0.0</v>
      </c>
      <c r="R2958" s="5">
        <v>0.0</v>
      </c>
      <c r="S2958" s="5">
        <v>1038.34039555832</v>
      </c>
    </row>
    <row r="2959">
      <c r="A2959" s="6">
        <v>44646.0</v>
      </c>
      <c r="B2959" s="5">
        <v>1052.89083455576</v>
      </c>
      <c r="C2959" s="5">
        <v>977.988630289762</v>
      </c>
      <c r="D2959" s="5">
        <v>1103.59219560909</v>
      </c>
      <c r="E2959" s="5">
        <v>1052.89083455576</v>
      </c>
      <c r="F2959" s="5">
        <v>1052.89083455576</v>
      </c>
      <c r="G2959" s="5">
        <v>-9.80937700239677</v>
      </c>
      <c r="H2959" s="5">
        <v>-9.80937700239677</v>
      </c>
      <c r="I2959" s="5">
        <v>-9.80937700239677</v>
      </c>
      <c r="J2959" s="5">
        <v>1.20724640990406</v>
      </c>
      <c r="K2959" s="5">
        <v>1.20724640990406</v>
      </c>
      <c r="L2959" s="5">
        <v>1.20724640990406</v>
      </c>
      <c r="M2959" s="5">
        <v>-11.0166234123008</v>
      </c>
      <c r="N2959" s="5">
        <v>-11.0166234123008</v>
      </c>
      <c r="O2959" s="5">
        <v>-11.0166234123008</v>
      </c>
      <c r="P2959" s="5">
        <v>0.0</v>
      </c>
      <c r="Q2959" s="5">
        <v>0.0</v>
      </c>
      <c r="R2959" s="5">
        <v>0.0</v>
      </c>
      <c r="S2959" s="5">
        <v>1043.08145755336</v>
      </c>
    </row>
    <row r="2960">
      <c r="A2960" s="6">
        <v>44647.0</v>
      </c>
      <c r="B2960" s="5">
        <v>1054.06168075527</v>
      </c>
      <c r="C2960" s="5">
        <v>981.555681506879</v>
      </c>
      <c r="D2960" s="5">
        <v>1106.92429768669</v>
      </c>
      <c r="E2960" s="5">
        <v>1054.06168075527</v>
      </c>
      <c r="F2960" s="5">
        <v>1054.06168075527</v>
      </c>
      <c r="G2960" s="5">
        <v>-9.06751103054764</v>
      </c>
      <c r="H2960" s="5">
        <v>-9.06751103054764</v>
      </c>
      <c r="I2960" s="5">
        <v>-9.06751103054764</v>
      </c>
      <c r="J2960" s="5">
        <v>1.20724879232736</v>
      </c>
      <c r="K2960" s="5">
        <v>1.20724879232736</v>
      </c>
      <c r="L2960" s="5">
        <v>1.20724879232736</v>
      </c>
      <c r="M2960" s="5">
        <v>-10.274759822875</v>
      </c>
      <c r="N2960" s="5">
        <v>-10.274759822875</v>
      </c>
      <c r="O2960" s="5">
        <v>-10.274759822875</v>
      </c>
      <c r="P2960" s="5">
        <v>0.0</v>
      </c>
      <c r="Q2960" s="5">
        <v>0.0</v>
      </c>
      <c r="R2960" s="5">
        <v>0.0</v>
      </c>
      <c r="S2960" s="5">
        <v>1044.99416972473</v>
      </c>
    </row>
    <row r="2961">
      <c r="A2961" s="6">
        <v>44648.0</v>
      </c>
      <c r="B2961" s="5">
        <v>1055.23252695479</v>
      </c>
      <c r="C2961" s="5">
        <v>982.807360804485</v>
      </c>
      <c r="D2961" s="5">
        <v>1108.53680345137</v>
      </c>
      <c r="E2961" s="5">
        <v>1055.23252695479</v>
      </c>
      <c r="F2961" s="5">
        <v>1055.23252695479</v>
      </c>
      <c r="G2961" s="5">
        <v>-9.47695311247606</v>
      </c>
      <c r="H2961" s="5">
        <v>-9.47695311247606</v>
      </c>
      <c r="I2961" s="5">
        <v>-9.47695311247606</v>
      </c>
      <c r="J2961" s="5">
        <v>0.0905589421204759</v>
      </c>
      <c r="K2961" s="5">
        <v>0.0905589421204759</v>
      </c>
      <c r="L2961" s="5">
        <v>0.0905589421204759</v>
      </c>
      <c r="M2961" s="5">
        <v>-9.56751205459654</v>
      </c>
      <c r="N2961" s="5">
        <v>-9.56751205459654</v>
      </c>
      <c r="O2961" s="5">
        <v>-9.56751205459654</v>
      </c>
      <c r="P2961" s="5">
        <v>0.0</v>
      </c>
      <c r="Q2961" s="5">
        <v>0.0</v>
      </c>
      <c r="R2961" s="5">
        <v>0.0</v>
      </c>
      <c r="S2961" s="5">
        <v>1045.75557384231</v>
      </c>
    </row>
    <row r="2962">
      <c r="A2962" s="6">
        <v>44649.0</v>
      </c>
      <c r="B2962" s="5">
        <v>1056.4033731543</v>
      </c>
      <c r="C2962" s="5">
        <v>985.022279150996</v>
      </c>
      <c r="D2962" s="5">
        <v>1109.0450793524</v>
      </c>
      <c r="E2962" s="5">
        <v>1056.4033731543</v>
      </c>
      <c r="F2962" s="5">
        <v>1056.4033731543</v>
      </c>
      <c r="G2962" s="5">
        <v>-9.04236464590166</v>
      </c>
      <c r="H2962" s="5">
        <v>-9.04236464590166</v>
      </c>
      <c r="I2962" s="5">
        <v>-9.04236464590166</v>
      </c>
      <c r="J2962" s="5">
        <v>-0.14411885724454</v>
      </c>
      <c r="K2962" s="5">
        <v>-0.14411885724454</v>
      </c>
      <c r="L2962" s="5">
        <v>-0.14411885724454</v>
      </c>
      <c r="M2962" s="5">
        <v>-8.89824578865712</v>
      </c>
      <c r="N2962" s="5">
        <v>-8.89824578865712</v>
      </c>
      <c r="O2962" s="5">
        <v>-8.89824578865712</v>
      </c>
      <c r="P2962" s="5">
        <v>0.0</v>
      </c>
      <c r="Q2962" s="5">
        <v>0.0</v>
      </c>
      <c r="R2962" s="5">
        <v>0.0</v>
      </c>
      <c r="S2962" s="5">
        <v>1047.3610085084</v>
      </c>
    </row>
    <row r="2963">
      <c r="A2963" s="6">
        <v>44650.0</v>
      </c>
      <c r="B2963" s="5">
        <v>1057.57421935381</v>
      </c>
      <c r="C2963" s="5">
        <v>985.655669494778</v>
      </c>
      <c r="D2963" s="5">
        <v>1116.156208625</v>
      </c>
      <c r="E2963" s="5">
        <v>1057.57421935381</v>
      </c>
      <c r="F2963" s="5">
        <v>1057.57421935381</v>
      </c>
      <c r="G2963" s="5">
        <v>-8.26167909006549</v>
      </c>
      <c r="H2963" s="5">
        <v>-8.26167909006549</v>
      </c>
      <c r="I2963" s="5">
        <v>-8.26167909006549</v>
      </c>
      <c r="J2963" s="5">
        <v>0.00703780528240317</v>
      </c>
      <c r="K2963" s="5">
        <v>0.00703780528240317</v>
      </c>
      <c r="L2963" s="5">
        <v>0.00703780528240317</v>
      </c>
      <c r="M2963" s="5">
        <v>-8.26871689534789</v>
      </c>
      <c r="N2963" s="5">
        <v>-8.26871689534789</v>
      </c>
      <c r="O2963" s="5">
        <v>-8.26871689534789</v>
      </c>
      <c r="P2963" s="5">
        <v>0.0</v>
      </c>
      <c r="Q2963" s="5">
        <v>0.0</v>
      </c>
      <c r="R2963" s="5">
        <v>0.0</v>
      </c>
      <c r="S2963" s="5">
        <v>1049.31254026375</v>
      </c>
    </row>
    <row r="2964">
      <c r="A2964" s="6">
        <v>44651.0</v>
      </c>
      <c r="B2964" s="5">
        <v>1058.74506555333</v>
      </c>
      <c r="C2964" s="5">
        <v>984.454628135012</v>
      </c>
      <c r="D2964" s="5">
        <v>1115.96578597619</v>
      </c>
      <c r="E2964" s="5">
        <v>1058.74506555333</v>
      </c>
      <c r="F2964" s="5">
        <v>1058.74506555333</v>
      </c>
      <c r="G2964" s="5">
        <v>-8.45562852983992</v>
      </c>
      <c r="H2964" s="5">
        <v>-8.45562852983992</v>
      </c>
      <c r="I2964" s="5">
        <v>-8.45562852983992</v>
      </c>
      <c r="J2964" s="5">
        <v>-0.776422525904101</v>
      </c>
      <c r="K2964" s="5">
        <v>-0.776422525904101</v>
      </c>
      <c r="L2964" s="5">
        <v>-0.776422525904101</v>
      </c>
      <c r="M2964" s="5">
        <v>-7.67920600393582</v>
      </c>
      <c r="N2964" s="5">
        <v>-7.67920600393582</v>
      </c>
      <c r="O2964" s="5">
        <v>-7.67920600393582</v>
      </c>
      <c r="P2964" s="5">
        <v>0.0</v>
      </c>
      <c r="Q2964" s="5">
        <v>0.0</v>
      </c>
      <c r="R2964" s="5">
        <v>0.0</v>
      </c>
      <c r="S2964" s="5">
        <v>1050.28943702349</v>
      </c>
    </row>
    <row r="2965">
      <c r="A2965" s="6">
        <v>44652.0</v>
      </c>
      <c r="B2965" s="5">
        <v>1059.91591175284</v>
      </c>
      <c r="C2965" s="5">
        <v>988.452840517</v>
      </c>
      <c r="D2965" s="5">
        <v>1111.19231598522</v>
      </c>
      <c r="E2965" s="5">
        <v>1059.91591175284</v>
      </c>
      <c r="F2965" s="5">
        <v>1059.91591175284</v>
      </c>
      <c r="G2965" s="5">
        <v>-8.72024716406507</v>
      </c>
      <c r="H2965" s="5">
        <v>-8.72024716406507</v>
      </c>
      <c r="I2965" s="5">
        <v>-8.72024716406507</v>
      </c>
      <c r="J2965" s="5">
        <v>-1.59155056649395</v>
      </c>
      <c r="K2965" s="5">
        <v>-1.59155056649395</v>
      </c>
      <c r="L2965" s="5">
        <v>-1.59155056649395</v>
      </c>
      <c r="M2965" s="5">
        <v>-7.12869659757112</v>
      </c>
      <c r="N2965" s="5">
        <v>-7.12869659757112</v>
      </c>
      <c r="O2965" s="5">
        <v>-7.12869659757112</v>
      </c>
      <c r="P2965" s="5">
        <v>0.0</v>
      </c>
      <c r="Q2965" s="5">
        <v>0.0</v>
      </c>
      <c r="R2965" s="5">
        <v>0.0</v>
      </c>
      <c r="S2965" s="5">
        <v>1051.19566458878</v>
      </c>
    </row>
    <row r="2966">
      <c r="A2966" s="6">
        <v>44653.0</v>
      </c>
      <c r="B2966" s="5">
        <v>1061.08675795235</v>
      </c>
      <c r="C2966" s="5">
        <v>990.149912892787</v>
      </c>
      <c r="D2966" s="5">
        <v>1118.31548686308</v>
      </c>
      <c r="E2966" s="5">
        <v>1061.08675795235</v>
      </c>
      <c r="F2966" s="5">
        <v>1061.08675795235</v>
      </c>
      <c r="G2966" s="5">
        <v>-5.40784302470623</v>
      </c>
      <c r="H2966" s="5">
        <v>-5.40784302470623</v>
      </c>
      <c r="I2966" s="5">
        <v>-5.40784302470623</v>
      </c>
      <c r="J2966" s="5">
        <v>1.20724640990456</v>
      </c>
      <c r="K2966" s="5">
        <v>1.20724640990456</v>
      </c>
      <c r="L2966" s="5">
        <v>1.20724640990456</v>
      </c>
      <c r="M2966" s="5">
        <v>-6.6150894346108</v>
      </c>
      <c r="N2966" s="5">
        <v>-6.6150894346108</v>
      </c>
      <c r="O2966" s="5">
        <v>-6.6150894346108</v>
      </c>
      <c r="P2966" s="5">
        <v>0.0</v>
      </c>
      <c r="Q2966" s="5">
        <v>0.0</v>
      </c>
      <c r="R2966" s="5">
        <v>0.0</v>
      </c>
      <c r="S2966" s="5">
        <v>1055.67891492765</v>
      </c>
    </row>
    <row r="2967">
      <c r="A2967" s="6">
        <v>44654.0</v>
      </c>
      <c r="B2967" s="5">
        <v>1062.25760415187</v>
      </c>
      <c r="C2967" s="5">
        <v>992.611565850659</v>
      </c>
      <c r="D2967" s="5">
        <v>1116.11032133813</v>
      </c>
      <c r="E2967" s="5">
        <v>1062.25760415187</v>
      </c>
      <c r="F2967" s="5">
        <v>1062.25760415187</v>
      </c>
      <c r="G2967" s="5">
        <v>-4.92819629157216</v>
      </c>
      <c r="H2967" s="5">
        <v>-4.92819629157216</v>
      </c>
      <c r="I2967" s="5">
        <v>-4.92819629157216</v>
      </c>
      <c r="J2967" s="5">
        <v>1.20724879232705</v>
      </c>
      <c r="K2967" s="5">
        <v>1.20724879232705</v>
      </c>
      <c r="L2967" s="5">
        <v>1.20724879232705</v>
      </c>
      <c r="M2967" s="5">
        <v>-6.13544508389922</v>
      </c>
      <c r="N2967" s="5">
        <v>-6.13544508389922</v>
      </c>
      <c r="O2967" s="5">
        <v>-6.13544508389922</v>
      </c>
      <c r="P2967" s="5">
        <v>0.0</v>
      </c>
      <c r="Q2967" s="5">
        <v>0.0</v>
      </c>
      <c r="R2967" s="5">
        <v>0.0</v>
      </c>
      <c r="S2967" s="5">
        <v>1057.32940786029</v>
      </c>
    </row>
    <row r="2968">
      <c r="A2968" s="6">
        <v>44655.0</v>
      </c>
      <c r="B2968" s="5">
        <v>1063.42845035138</v>
      </c>
      <c r="C2968" s="5">
        <v>997.646864193471</v>
      </c>
      <c r="D2968" s="5">
        <v>1122.22107699414</v>
      </c>
      <c r="E2968" s="5">
        <v>1063.42845035138</v>
      </c>
      <c r="F2968" s="5">
        <v>1063.42845035138</v>
      </c>
      <c r="G2968" s="5">
        <v>-5.59568667312803</v>
      </c>
      <c r="H2968" s="5">
        <v>-5.59568667312803</v>
      </c>
      <c r="I2968" s="5">
        <v>-5.59568667312803</v>
      </c>
      <c r="J2968" s="5">
        <v>0.0905589421214223</v>
      </c>
      <c r="K2968" s="5">
        <v>0.0905589421214223</v>
      </c>
      <c r="L2968" s="5">
        <v>0.0905589421214223</v>
      </c>
      <c r="M2968" s="5">
        <v>-5.68624561524945</v>
      </c>
      <c r="N2968" s="5">
        <v>-5.68624561524945</v>
      </c>
      <c r="O2968" s="5">
        <v>-5.68624561524945</v>
      </c>
      <c r="P2968" s="5">
        <v>0.0</v>
      </c>
      <c r="Q2968" s="5">
        <v>0.0</v>
      </c>
      <c r="R2968" s="5">
        <v>0.0</v>
      </c>
      <c r="S2968" s="5">
        <v>1057.83276367825</v>
      </c>
    </row>
    <row r="2969">
      <c r="A2969" s="6">
        <v>44656.0</v>
      </c>
      <c r="B2969" s="5">
        <v>1064.59929655089</v>
      </c>
      <c r="C2969" s="5">
        <v>997.70529006616</v>
      </c>
      <c r="D2969" s="5">
        <v>1120.95305252675</v>
      </c>
      <c r="E2969" s="5">
        <v>1064.59929655089</v>
      </c>
      <c r="F2969" s="5">
        <v>1064.59929655089</v>
      </c>
      <c r="G2969" s="5">
        <v>-5.40778488493392</v>
      </c>
      <c r="H2969" s="5">
        <v>-5.40778488493392</v>
      </c>
      <c r="I2969" s="5">
        <v>-5.40778488493392</v>
      </c>
      <c r="J2969" s="5">
        <v>-0.144118857246281</v>
      </c>
      <c r="K2969" s="5">
        <v>-0.144118857246281</v>
      </c>
      <c r="L2969" s="5">
        <v>-0.144118857246281</v>
      </c>
      <c r="M2969" s="5">
        <v>-5.26366602768764</v>
      </c>
      <c r="N2969" s="5">
        <v>-5.26366602768764</v>
      </c>
      <c r="O2969" s="5">
        <v>-5.26366602768764</v>
      </c>
      <c r="P2969" s="5">
        <v>0.0</v>
      </c>
      <c r="Q2969" s="5">
        <v>0.0</v>
      </c>
      <c r="R2969" s="5">
        <v>0.0</v>
      </c>
      <c r="S2969" s="5">
        <v>1059.19151166596</v>
      </c>
    </row>
    <row r="2970">
      <c r="A2970" s="6">
        <v>44657.0</v>
      </c>
      <c r="B2970" s="5">
        <v>1065.77014275041</v>
      </c>
      <c r="C2970" s="5">
        <v>1001.34114259588</v>
      </c>
      <c r="D2970" s="5">
        <v>1127.85648022266</v>
      </c>
      <c r="E2970" s="5">
        <v>1065.77014275041</v>
      </c>
      <c r="F2970" s="5">
        <v>1065.77014275041</v>
      </c>
      <c r="G2970" s="5">
        <v>-4.85680803291711</v>
      </c>
      <c r="H2970" s="5">
        <v>-4.85680803291711</v>
      </c>
      <c r="I2970" s="5">
        <v>-4.85680803291711</v>
      </c>
      <c r="J2970" s="5">
        <v>0.00703780528371424</v>
      </c>
      <c r="K2970" s="5">
        <v>0.00703780528371424</v>
      </c>
      <c r="L2970" s="5">
        <v>0.00703780528371424</v>
      </c>
      <c r="M2970" s="5">
        <v>-4.86384583820083</v>
      </c>
      <c r="N2970" s="5">
        <v>-4.86384583820083</v>
      </c>
      <c r="O2970" s="5">
        <v>-4.86384583820083</v>
      </c>
      <c r="P2970" s="5">
        <v>0.0</v>
      </c>
      <c r="Q2970" s="5">
        <v>0.0</v>
      </c>
      <c r="R2970" s="5">
        <v>0.0</v>
      </c>
      <c r="S2970" s="5">
        <v>1060.91333471749</v>
      </c>
    </row>
    <row r="2971">
      <c r="A2971" s="6">
        <v>44658.0</v>
      </c>
      <c r="B2971" s="5">
        <v>1066.94098894992</v>
      </c>
      <c r="C2971" s="5">
        <v>999.830210332445</v>
      </c>
      <c r="D2971" s="5">
        <v>1124.57999897985</v>
      </c>
      <c r="E2971" s="5">
        <v>1066.94098894992</v>
      </c>
      <c r="F2971" s="5">
        <v>1066.94098894992</v>
      </c>
      <c r="G2971" s="5">
        <v>-5.25957392069272</v>
      </c>
      <c r="H2971" s="5">
        <v>-5.25957392069272</v>
      </c>
      <c r="I2971" s="5">
        <v>-5.25957392069272</v>
      </c>
      <c r="J2971" s="5">
        <v>-0.776422525904823</v>
      </c>
      <c r="K2971" s="5">
        <v>-0.776422525904823</v>
      </c>
      <c r="L2971" s="5">
        <v>-0.776422525904823</v>
      </c>
      <c r="M2971" s="5">
        <v>-4.4831513947879</v>
      </c>
      <c r="N2971" s="5">
        <v>-4.4831513947879</v>
      </c>
      <c r="O2971" s="5">
        <v>-4.4831513947879</v>
      </c>
      <c r="P2971" s="5">
        <v>0.0</v>
      </c>
      <c r="Q2971" s="5">
        <v>0.0</v>
      </c>
      <c r="R2971" s="5">
        <v>0.0</v>
      </c>
      <c r="S2971" s="5">
        <v>1061.68141502923</v>
      </c>
    </row>
    <row r="2972">
      <c r="A2972" s="6">
        <v>44659.0</v>
      </c>
      <c r="B2972" s="5">
        <v>1068.11183514943</v>
      </c>
      <c r="C2972" s="5">
        <v>1003.63549646146</v>
      </c>
      <c r="D2972" s="5">
        <v>1123.76632727949</v>
      </c>
      <c r="E2972" s="5">
        <v>1068.11183514943</v>
      </c>
      <c r="F2972" s="5">
        <v>1068.11183514943</v>
      </c>
      <c r="G2972" s="5">
        <v>-5.70997047906545</v>
      </c>
      <c r="H2972" s="5">
        <v>-5.70997047906545</v>
      </c>
      <c r="I2972" s="5">
        <v>-5.70997047906545</v>
      </c>
      <c r="J2972" s="5">
        <v>-1.59155056649302</v>
      </c>
      <c r="K2972" s="5">
        <v>-1.59155056649302</v>
      </c>
      <c r="L2972" s="5">
        <v>-1.59155056649302</v>
      </c>
      <c r="M2972" s="5">
        <v>-4.11841991257242</v>
      </c>
      <c r="N2972" s="5">
        <v>-4.11841991257242</v>
      </c>
      <c r="O2972" s="5">
        <v>-4.11841991257242</v>
      </c>
      <c r="P2972" s="5">
        <v>0.0</v>
      </c>
      <c r="Q2972" s="5">
        <v>0.0</v>
      </c>
      <c r="R2972" s="5">
        <v>0.0</v>
      </c>
      <c r="S2972" s="5">
        <v>1062.40186467037</v>
      </c>
    </row>
    <row r="2973">
      <c r="A2973" s="6">
        <v>44660.0</v>
      </c>
      <c r="B2973" s="5">
        <v>1069.28268134895</v>
      </c>
      <c r="C2973" s="5">
        <v>1002.21678551214</v>
      </c>
      <c r="D2973" s="5">
        <v>1128.36923603117</v>
      </c>
      <c r="E2973" s="5">
        <v>1069.28268134895</v>
      </c>
      <c r="F2973" s="5">
        <v>1069.28268134895</v>
      </c>
      <c r="G2973" s="5">
        <v>-2.55993053479018</v>
      </c>
      <c r="H2973" s="5">
        <v>-2.55993053479018</v>
      </c>
      <c r="I2973" s="5">
        <v>-2.55993053479018</v>
      </c>
      <c r="J2973" s="5">
        <v>1.20724640990668</v>
      </c>
      <c r="K2973" s="5">
        <v>1.20724640990668</v>
      </c>
      <c r="L2973" s="5">
        <v>1.20724640990668</v>
      </c>
      <c r="M2973" s="5">
        <v>-3.76717694469686</v>
      </c>
      <c r="N2973" s="5">
        <v>-3.76717694469686</v>
      </c>
      <c r="O2973" s="5">
        <v>-3.76717694469686</v>
      </c>
      <c r="P2973" s="5">
        <v>0.0</v>
      </c>
      <c r="Q2973" s="5">
        <v>0.0</v>
      </c>
      <c r="R2973" s="5">
        <v>0.0</v>
      </c>
      <c r="S2973" s="5">
        <v>1066.72275081416</v>
      </c>
    </row>
    <row r="2974">
      <c r="A2974" s="6">
        <v>44661.0</v>
      </c>
      <c r="B2974" s="5">
        <v>1070.45352754846</v>
      </c>
      <c r="C2974" s="5">
        <v>1003.81101728903</v>
      </c>
      <c r="D2974" s="5">
        <v>1131.323293873</v>
      </c>
      <c r="E2974" s="5">
        <v>1070.45352754846</v>
      </c>
      <c r="F2974" s="5">
        <v>1070.45352754846</v>
      </c>
      <c r="G2974" s="5">
        <v>-2.22057117414094</v>
      </c>
      <c r="H2974" s="5">
        <v>-2.22057117414094</v>
      </c>
      <c r="I2974" s="5">
        <v>-2.22057117414094</v>
      </c>
      <c r="J2974" s="5">
        <v>1.20724879233067</v>
      </c>
      <c r="K2974" s="5">
        <v>1.20724879233067</v>
      </c>
      <c r="L2974" s="5">
        <v>1.20724879233067</v>
      </c>
      <c r="M2974" s="5">
        <v>-3.42781996647162</v>
      </c>
      <c r="N2974" s="5">
        <v>-3.42781996647162</v>
      </c>
      <c r="O2974" s="5">
        <v>-3.42781996647162</v>
      </c>
      <c r="P2974" s="5">
        <v>0.0</v>
      </c>
      <c r="Q2974" s="5">
        <v>0.0</v>
      </c>
      <c r="R2974" s="5">
        <v>0.0</v>
      </c>
      <c r="S2974" s="5">
        <v>1068.23295637432</v>
      </c>
    </row>
    <row r="2975">
      <c r="A2975" s="6">
        <v>44662.0</v>
      </c>
      <c r="B2975" s="5">
        <v>1071.62437374797</v>
      </c>
      <c r="C2975" s="5">
        <v>1009.05507915826</v>
      </c>
      <c r="D2975" s="5">
        <v>1129.58683451161</v>
      </c>
      <c r="E2975" s="5">
        <v>1071.62437374797</v>
      </c>
      <c r="F2975" s="5">
        <v>1071.62437374797</v>
      </c>
      <c r="G2975" s="5">
        <v>-3.00920299796625</v>
      </c>
      <c r="H2975" s="5">
        <v>-3.00920299796625</v>
      </c>
      <c r="I2975" s="5">
        <v>-3.00920299796625</v>
      </c>
      <c r="J2975" s="5">
        <v>0.0905589421223687</v>
      </c>
      <c r="K2975" s="5">
        <v>0.0905589421223687</v>
      </c>
      <c r="L2975" s="5">
        <v>0.0905589421223687</v>
      </c>
      <c r="M2975" s="5">
        <v>-3.09976194008862</v>
      </c>
      <c r="N2975" s="5">
        <v>-3.09976194008862</v>
      </c>
      <c r="O2975" s="5">
        <v>-3.09976194008862</v>
      </c>
      <c r="P2975" s="5">
        <v>0.0</v>
      </c>
      <c r="Q2975" s="5">
        <v>0.0</v>
      </c>
      <c r="R2975" s="5">
        <v>0.0</v>
      </c>
      <c r="S2975" s="5">
        <v>1068.61517075001</v>
      </c>
    </row>
    <row r="2976">
      <c r="A2976" s="6">
        <v>44663.0</v>
      </c>
      <c r="B2976" s="5">
        <v>1072.79521994749</v>
      </c>
      <c r="C2976" s="5">
        <v>1005.88209284355</v>
      </c>
      <c r="D2976" s="5">
        <v>1133.51826005411</v>
      </c>
      <c r="E2976" s="5">
        <v>1072.79521994749</v>
      </c>
      <c r="F2976" s="5">
        <v>1072.79521994749</v>
      </c>
      <c r="G2976" s="5">
        <v>-2.92764895701467</v>
      </c>
      <c r="H2976" s="5">
        <v>-2.92764895701467</v>
      </c>
      <c r="I2976" s="5">
        <v>-2.92764895701467</v>
      </c>
      <c r="J2976" s="5">
        <v>-0.144118857245193</v>
      </c>
      <c r="K2976" s="5">
        <v>-0.144118857245193</v>
      </c>
      <c r="L2976" s="5">
        <v>-0.144118857245193</v>
      </c>
      <c r="M2976" s="5">
        <v>-2.78353009976948</v>
      </c>
      <c r="N2976" s="5">
        <v>-2.78353009976948</v>
      </c>
      <c r="O2976" s="5">
        <v>-2.78353009976948</v>
      </c>
      <c r="P2976" s="5">
        <v>0.0</v>
      </c>
      <c r="Q2976" s="5">
        <v>0.0</v>
      </c>
      <c r="R2976" s="5">
        <v>0.0</v>
      </c>
      <c r="S2976" s="5">
        <v>1069.86757099047</v>
      </c>
    </row>
    <row r="2977">
      <c r="A2977" s="6">
        <v>44664.0</v>
      </c>
      <c r="B2977" s="5">
        <v>1073.966066147</v>
      </c>
      <c r="C2977" s="5">
        <v>1007.78889320619</v>
      </c>
      <c r="D2977" s="5">
        <v>1137.63343031964</v>
      </c>
      <c r="E2977" s="5">
        <v>1073.966066147</v>
      </c>
      <c r="F2977" s="5">
        <v>1073.966066147</v>
      </c>
      <c r="G2977" s="5">
        <v>-2.47377890470291</v>
      </c>
      <c r="H2977" s="5">
        <v>-2.47377890470291</v>
      </c>
      <c r="I2977" s="5">
        <v>-2.47377890470291</v>
      </c>
      <c r="J2977" s="5">
        <v>0.00703780528069806</v>
      </c>
      <c r="K2977" s="5">
        <v>0.00703780528069806</v>
      </c>
      <c r="L2977" s="5">
        <v>0.00703780528069806</v>
      </c>
      <c r="M2977" s="5">
        <v>-2.48081670998361</v>
      </c>
      <c r="N2977" s="5">
        <v>-2.48081670998361</v>
      </c>
      <c r="O2977" s="5">
        <v>-2.48081670998361</v>
      </c>
      <c r="P2977" s="5">
        <v>0.0</v>
      </c>
      <c r="Q2977" s="5">
        <v>0.0</v>
      </c>
      <c r="R2977" s="5">
        <v>0.0</v>
      </c>
      <c r="S2977" s="5">
        <v>1071.4922872423</v>
      </c>
    </row>
    <row r="2978">
      <c r="A2978" s="6">
        <v>44665.0</v>
      </c>
      <c r="B2978" s="5">
        <v>1075.13691234651</v>
      </c>
      <c r="C2978" s="5">
        <v>1004.50377586016</v>
      </c>
      <c r="D2978" s="5">
        <v>1132.78327427529</v>
      </c>
      <c r="E2978" s="5">
        <v>1075.13691234651</v>
      </c>
      <c r="F2978" s="5">
        <v>1075.13691234651</v>
      </c>
      <c r="G2978" s="5">
        <v>-2.97090268047554</v>
      </c>
      <c r="H2978" s="5">
        <v>-2.97090268047554</v>
      </c>
      <c r="I2978" s="5">
        <v>-2.97090268047554</v>
      </c>
      <c r="J2978" s="5">
        <v>-0.776422525905545</v>
      </c>
      <c r="K2978" s="5">
        <v>-0.776422525905545</v>
      </c>
      <c r="L2978" s="5">
        <v>-0.776422525905545</v>
      </c>
      <c r="M2978" s="5">
        <v>-2.19448015457</v>
      </c>
      <c r="N2978" s="5">
        <v>-2.19448015457</v>
      </c>
      <c r="O2978" s="5">
        <v>-2.19448015457</v>
      </c>
      <c r="P2978" s="5">
        <v>0.0</v>
      </c>
      <c r="Q2978" s="5">
        <v>0.0</v>
      </c>
      <c r="R2978" s="5">
        <v>0.0</v>
      </c>
      <c r="S2978" s="5">
        <v>1072.16600966604</v>
      </c>
    </row>
    <row r="2979">
      <c r="A2979" s="6">
        <v>44666.0</v>
      </c>
      <c r="B2979" s="5">
        <v>1076.30775854603</v>
      </c>
      <c r="C2979" s="5">
        <v>1009.58882699459</v>
      </c>
      <c r="D2979" s="5">
        <v>1136.84874479829</v>
      </c>
      <c r="E2979" s="5">
        <v>1076.30775854603</v>
      </c>
      <c r="F2979" s="5">
        <v>1076.30775854603</v>
      </c>
      <c r="G2979" s="5">
        <v>-3.52004692864114</v>
      </c>
      <c r="H2979" s="5">
        <v>-3.52004692864114</v>
      </c>
      <c r="I2979" s="5">
        <v>-3.52004692864114</v>
      </c>
      <c r="J2979" s="5">
        <v>-1.59155056649178</v>
      </c>
      <c r="K2979" s="5">
        <v>-1.59155056649178</v>
      </c>
      <c r="L2979" s="5">
        <v>-1.59155056649178</v>
      </c>
      <c r="M2979" s="5">
        <v>-1.92849636214936</v>
      </c>
      <c r="N2979" s="5">
        <v>-1.92849636214936</v>
      </c>
      <c r="O2979" s="5">
        <v>-1.92849636214936</v>
      </c>
      <c r="P2979" s="5">
        <v>0.0</v>
      </c>
      <c r="Q2979" s="5">
        <v>0.0</v>
      </c>
      <c r="R2979" s="5">
        <v>0.0</v>
      </c>
      <c r="S2979" s="5">
        <v>1072.78771161738</v>
      </c>
    </row>
    <row r="2980">
      <c r="A2980" s="6">
        <v>44667.0</v>
      </c>
      <c r="B2980" s="5">
        <v>1077.47860474554</v>
      </c>
      <c r="C2980" s="5">
        <v>1012.56780518577</v>
      </c>
      <c r="D2980" s="5">
        <v>1141.519075494</v>
      </c>
      <c r="E2980" s="5">
        <v>1077.47860474554</v>
      </c>
      <c r="F2980" s="5">
        <v>1077.47860474554</v>
      </c>
      <c r="G2980" s="5">
        <v>-0.480615801896959</v>
      </c>
      <c r="H2980" s="5">
        <v>-0.480615801896959</v>
      </c>
      <c r="I2980" s="5">
        <v>-0.480615801896959</v>
      </c>
      <c r="J2980" s="5">
        <v>1.20724640990798</v>
      </c>
      <c r="K2980" s="5">
        <v>1.20724640990798</v>
      </c>
      <c r="L2980" s="5">
        <v>1.20724640990798</v>
      </c>
      <c r="M2980" s="5">
        <v>-1.68786221180494</v>
      </c>
      <c r="N2980" s="5">
        <v>-1.68786221180494</v>
      </c>
      <c r="O2980" s="5">
        <v>-1.68786221180494</v>
      </c>
      <c r="P2980" s="5">
        <v>0.0</v>
      </c>
      <c r="Q2980" s="5">
        <v>0.0</v>
      </c>
      <c r="R2980" s="5">
        <v>0.0</v>
      </c>
      <c r="S2980" s="5">
        <v>1076.99798894364</v>
      </c>
    </row>
    <row r="2981">
      <c r="A2981" s="6">
        <v>44668.0</v>
      </c>
      <c r="B2981" s="5">
        <v>1078.64945094505</v>
      </c>
      <c r="C2981" s="5">
        <v>1015.58749997154</v>
      </c>
      <c r="D2981" s="5">
        <v>1142.73786601756</v>
      </c>
      <c r="E2981" s="5">
        <v>1078.64945094505</v>
      </c>
      <c r="F2981" s="5">
        <v>1078.64945094505</v>
      </c>
      <c r="G2981" s="5">
        <v>-0.271205349773716</v>
      </c>
      <c r="H2981" s="5">
        <v>-0.271205349773716</v>
      </c>
      <c r="I2981" s="5">
        <v>-0.271205349773716</v>
      </c>
      <c r="J2981" s="5">
        <v>1.20724879232859</v>
      </c>
      <c r="K2981" s="5">
        <v>1.20724879232859</v>
      </c>
      <c r="L2981" s="5">
        <v>1.20724879232859</v>
      </c>
      <c r="M2981" s="5">
        <v>-1.47845414210231</v>
      </c>
      <c r="N2981" s="5">
        <v>-1.47845414210231</v>
      </c>
      <c r="O2981" s="5">
        <v>-1.47845414210231</v>
      </c>
      <c r="P2981" s="5">
        <v>0.0</v>
      </c>
      <c r="Q2981" s="5">
        <v>0.0</v>
      </c>
      <c r="R2981" s="5">
        <v>0.0</v>
      </c>
      <c r="S2981" s="5">
        <v>1078.37824559528</v>
      </c>
    </row>
    <row r="2982">
      <c r="A2982" s="6">
        <v>44669.0</v>
      </c>
      <c r="B2982" s="5">
        <v>1079.82029714457</v>
      </c>
      <c r="C2982" s="5">
        <v>1017.92043221764</v>
      </c>
      <c r="D2982" s="5">
        <v>1139.66682662792</v>
      </c>
      <c r="E2982" s="5">
        <v>1079.82029714457</v>
      </c>
      <c r="F2982" s="5">
        <v>1079.82029714457</v>
      </c>
      <c r="G2982" s="5">
        <v>-1.21628771522762</v>
      </c>
      <c r="H2982" s="5">
        <v>-1.21628771522762</v>
      </c>
      <c r="I2982" s="5">
        <v>-1.21628771522762</v>
      </c>
      <c r="J2982" s="5">
        <v>0.0905589421209312</v>
      </c>
      <c r="K2982" s="5">
        <v>0.0905589421209312</v>
      </c>
      <c r="L2982" s="5">
        <v>0.0905589421209312</v>
      </c>
      <c r="M2982" s="5">
        <v>-1.30684665734856</v>
      </c>
      <c r="N2982" s="5">
        <v>-1.30684665734856</v>
      </c>
      <c r="O2982" s="5">
        <v>-1.30684665734856</v>
      </c>
      <c r="P2982" s="5">
        <v>0.0</v>
      </c>
      <c r="Q2982" s="5">
        <v>0.0</v>
      </c>
      <c r="R2982" s="5">
        <v>0.0</v>
      </c>
      <c r="S2982" s="5">
        <v>1078.60400942934</v>
      </c>
    </row>
    <row r="2983">
      <c r="A2983" s="6">
        <v>44670.0</v>
      </c>
      <c r="B2983" s="5">
        <v>1080.99114334408</v>
      </c>
      <c r="C2983" s="5">
        <v>1015.68370438274</v>
      </c>
      <c r="D2983" s="5">
        <v>1144.08930195019</v>
      </c>
      <c r="E2983" s="5">
        <v>1080.99114334408</v>
      </c>
      <c r="F2983" s="5">
        <v>1080.99114334408</v>
      </c>
      <c r="G2983" s="5">
        <v>-1.32421559979631</v>
      </c>
      <c r="H2983" s="5">
        <v>-1.32421559979631</v>
      </c>
      <c r="I2983" s="5">
        <v>-1.32421559979631</v>
      </c>
      <c r="J2983" s="5">
        <v>-0.144118857244105</v>
      </c>
      <c r="K2983" s="5">
        <v>-0.144118857244105</v>
      </c>
      <c r="L2983" s="5">
        <v>-0.144118857244105</v>
      </c>
      <c r="M2983" s="5">
        <v>-1.1800967425522</v>
      </c>
      <c r="N2983" s="5">
        <v>-1.1800967425522</v>
      </c>
      <c r="O2983" s="5">
        <v>-1.1800967425522</v>
      </c>
      <c r="P2983" s="5">
        <v>0.0</v>
      </c>
      <c r="Q2983" s="5">
        <v>0.0</v>
      </c>
      <c r="R2983" s="5">
        <v>0.0</v>
      </c>
      <c r="S2983" s="5">
        <v>1079.66692774428</v>
      </c>
    </row>
    <row r="2984">
      <c r="A2984" s="6">
        <v>44671.0</v>
      </c>
      <c r="B2984" s="5">
        <v>1082.16198954359</v>
      </c>
      <c r="C2984" s="5">
        <v>1013.15685749643</v>
      </c>
      <c r="D2984" s="5">
        <v>1143.43091190195</v>
      </c>
      <c r="E2984" s="5">
        <v>1082.16198954359</v>
      </c>
      <c r="F2984" s="5">
        <v>1082.16198954359</v>
      </c>
      <c r="G2984" s="5">
        <v>-1.09846351738305</v>
      </c>
      <c r="H2984" s="5">
        <v>-1.09846351738305</v>
      </c>
      <c r="I2984" s="5">
        <v>-1.09846351738305</v>
      </c>
      <c r="J2984" s="5">
        <v>0.00703780528200926</v>
      </c>
      <c r="K2984" s="5">
        <v>0.00703780528200926</v>
      </c>
      <c r="L2984" s="5">
        <v>0.00703780528200926</v>
      </c>
      <c r="M2984" s="5">
        <v>-1.10550132266506</v>
      </c>
      <c r="N2984" s="5">
        <v>-1.10550132266506</v>
      </c>
      <c r="O2984" s="5">
        <v>-1.10550132266506</v>
      </c>
      <c r="P2984" s="5">
        <v>0.0</v>
      </c>
      <c r="Q2984" s="5">
        <v>0.0</v>
      </c>
      <c r="R2984" s="5">
        <v>0.0</v>
      </c>
      <c r="S2984" s="5">
        <v>1081.06352602621</v>
      </c>
    </row>
    <row r="2985">
      <c r="A2985" s="6">
        <v>44672.0</v>
      </c>
      <c r="B2985" s="5">
        <v>1083.33283574311</v>
      </c>
      <c r="C2985" s="5">
        <v>1015.7142922538</v>
      </c>
      <c r="D2985" s="5">
        <v>1146.3680509083</v>
      </c>
      <c r="E2985" s="5">
        <v>1083.33283574311</v>
      </c>
      <c r="F2985" s="5">
        <v>1083.33283574311</v>
      </c>
      <c r="G2985" s="5">
        <v>-1.86675832396092</v>
      </c>
      <c r="H2985" s="5">
        <v>-1.86675832396092</v>
      </c>
      <c r="I2985" s="5">
        <v>-1.86675832396092</v>
      </c>
      <c r="J2985" s="5">
        <v>-0.776422525900567</v>
      </c>
      <c r="K2985" s="5">
        <v>-0.776422525900567</v>
      </c>
      <c r="L2985" s="5">
        <v>-0.776422525900567</v>
      </c>
      <c r="M2985" s="5">
        <v>-1.09033579806035</v>
      </c>
      <c r="N2985" s="5">
        <v>-1.09033579806035</v>
      </c>
      <c r="O2985" s="5">
        <v>-1.09033579806035</v>
      </c>
      <c r="P2985" s="5">
        <v>0.0</v>
      </c>
      <c r="Q2985" s="5">
        <v>0.0</v>
      </c>
      <c r="R2985" s="5">
        <v>0.0</v>
      </c>
      <c r="S2985" s="5">
        <v>1081.46607741914</v>
      </c>
    </row>
    <row r="2986">
      <c r="A2986" s="6">
        <v>44673.0</v>
      </c>
      <c r="B2986" s="5">
        <v>1084.50368194262</v>
      </c>
      <c r="C2986" s="5">
        <v>1019.99985150253</v>
      </c>
      <c r="D2986" s="5">
        <v>1137.73418133494</v>
      </c>
      <c r="E2986" s="5">
        <v>1084.50368194262</v>
      </c>
      <c r="F2986" s="5">
        <v>1084.50368194262</v>
      </c>
      <c r="G2986" s="5">
        <v>-2.73313289646817</v>
      </c>
      <c r="H2986" s="5">
        <v>-2.73313289646817</v>
      </c>
      <c r="I2986" s="5">
        <v>-2.73313289646817</v>
      </c>
      <c r="J2986" s="5">
        <v>-1.59155056649666</v>
      </c>
      <c r="K2986" s="5">
        <v>-1.59155056649666</v>
      </c>
      <c r="L2986" s="5">
        <v>-1.59155056649666</v>
      </c>
      <c r="M2986" s="5">
        <v>-1.1415823299715</v>
      </c>
      <c r="N2986" s="5">
        <v>-1.1415823299715</v>
      </c>
      <c r="O2986" s="5">
        <v>-1.1415823299715</v>
      </c>
      <c r="P2986" s="5">
        <v>0.0</v>
      </c>
      <c r="Q2986" s="5">
        <v>0.0</v>
      </c>
      <c r="R2986" s="5">
        <v>0.0</v>
      </c>
      <c r="S2986" s="5">
        <v>1081.77054904615</v>
      </c>
    </row>
    <row r="2987">
      <c r="A2987" s="6">
        <v>44674.0</v>
      </c>
      <c r="B2987" s="5">
        <v>1085.67452814213</v>
      </c>
      <c r="C2987" s="5">
        <v>1022.74125606484</v>
      </c>
      <c r="D2987" s="5">
        <v>1148.01803319653</v>
      </c>
      <c r="E2987" s="5">
        <v>1085.67452814213</v>
      </c>
      <c r="F2987" s="5">
        <v>1085.67452814213</v>
      </c>
      <c r="G2987" s="5">
        <v>-0.0584105074856357</v>
      </c>
      <c r="H2987" s="5">
        <v>-0.0584105074856357</v>
      </c>
      <c r="I2987" s="5">
        <v>-0.0584105074856357</v>
      </c>
      <c r="J2987" s="5">
        <v>1.2072464099101</v>
      </c>
      <c r="K2987" s="5">
        <v>1.2072464099101</v>
      </c>
      <c r="L2987" s="5">
        <v>1.2072464099101</v>
      </c>
      <c r="M2987" s="5">
        <v>-1.26565691739574</v>
      </c>
      <c r="N2987" s="5">
        <v>-1.26565691739574</v>
      </c>
      <c r="O2987" s="5">
        <v>-1.26565691739574</v>
      </c>
      <c r="P2987" s="5">
        <v>0.0</v>
      </c>
      <c r="Q2987" s="5">
        <v>0.0</v>
      </c>
      <c r="R2987" s="5">
        <v>0.0</v>
      </c>
      <c r="S2987" s="5">
        <v>1085.61611763465</v>
      </c>
    </row>
    <row r="2988">
      <c r="A2988" s="6">
        <v>44675.0</v>
      </c>
      <c r="B2988" s="5">
        <v>1086.84537434164</v>
      </c>
      <c r="C2988" s="5">
        <v>1024.7625800483</v>
      </c>
      <c r="D2988" s="5">
        <v>1149.19805223582</v>
      </c>
      <c r="E2988" s="5">
        <v>1086.84537434164</v>
      </c>
      <c r="F2988" s="5">
        <v>1086.84537434164</v>
      </c>
      <c r="G2988" s="5">
        <v>-0.260895597807273</v>
      </c>
      <c r="H2988" s="5">
        <v>-0.260895597807273</v>
      </c>
      <c r="I2988" s="5">
        <v>-0.260895597807273</v>
      </c>
      <c r="J2988" s="5">
        <v>1.20724879233005</v>
      </c>
      <c r="K2988" s="5">
        <v>1.20724879233005</v>
      </c>
      <c r="L2988" s="5">
        <v>1.20724879233005</v>
      </c>
      <c r="M2988" s="5">
        <v>-1.46814439013733</v>
      </c>
      <c r="N2988" s="5">
        <v>-1.46814439013733</v>
      </c>
      <c r="O2988" s="5">
        <v>-1.46814439013733</v>
      </c>
      <c r="P2988" s="5">
        <v>0.0</v>
      </c>
      <c r="Q2988" s="5">
        <v>0.0</v>
      </c>
      <c r="R2988" s="5">
        <v>0.0</v>
      </c>
      <c r="S2988" s="5">
        <v>1086.58447874384</v>
      </c>
    </row>
    <row r="2989">
      <c r="A2989" s="6">
        <v>44676.0</v>
      </c>
      <c r="B2989" s="5">
        <v>1088.01622054116</v>
      </c>
      <c r="C2989" s="5">
        <v>1020.50514977871</v>
      </c>
      <c r="D2989" s="5">
        <v>1147.16144859443</v>
      </c>
      <c r="E2989" s="5">
        <v>1088.01622054116</v>
      </c>
      <c r="F2989" s="5">
        <v>1088.01622054116</v>
      </c>
      <c r="G2989" s="5">
        <v>-1.66299129696781</v>
      </c>
      <c r="H2989" s="5">
        <v>-1.66299129696781</v>
      </c>
      <c r="I2989" s="5">
        <v>-1.66299129696781</v>
      </c>
      <c r="J2989" s="5">
        <v>0.0905589421194938</v>
      </c>
      <c r="K2989" s="5">
        <v>0.0905589421194938</v>
      </c>
      <c r="L2989" s="5">
        <v>0.0905589421194938</v>
      </c>
      <c r="M2989" s="5">
        <v>-1.7535502390873</v>
      </c>
      <c r="N2989" s="5">
        <v>-1.7535502390873</v>
      </c>
      <c r="O2989" s="5">
        <v>-1.7535502390873</v>
      </c>
      <c r="P2989" s="5">
        <v>0.0</v>
      </c>
      <c r="Q2989" s="5">
        <v>0.0</v>
      </c>
      <c r="R2989" s="5">
        <v>0.0</v>
      </c>
      <c r="S2989" s="5">
        <v>1086.35322924419</v>
      </c>
    </row>
    <row r="2990">
      <c r="A2990" s="6">
        <v>44677.0</v>
      </c>
      <c r="B2990" s="5">
        <v>1089.18706674067</v>
      </c>
      <c r="C2990" s="5">
        <v>1025.805383384</v>
      </c>
      <c r="D2990" s="5">
        <v>1150.03144056216</v>
      </c>
      <c r="E2990" s="5">
        <v>1089.18706674067</v>
      </c>
      <c r="F2990" s="5">
        <v>1089.18820747803</v>
      </c>
      <c r="G2990" s="5">
        <v>-2.26919657859088</v>
      </c>
      <c r="H2990" s="5">
        <v>-2.26919657859088</v>
      </c>
      <c r="I2990" s="5">
        <v>-2.26919657859088</v>
      </c>
      <c r="J2990" s="5">
        <v>-0.144118857245845</v>
      </c>
      <c r="K2990" s="5">
        <v>-0.144118857245845</v>
      </c>
      <c r="L2990" s="5">
        <v>-0.144118857245845</v>
      </c>
      <c r="M2990" s="5">
        <v>-2.12507772134504</v>
      </c>
      <c r="N2990" s="5">
        <v>-2.12507772134504</v>
      </c>
      <c r="O2990" s="5">
        <v>-2.12507772134504</v>
      </c>
      <c r="P2990" s="5">
        <v>0.0</v>
      </c>
      <c r="Q2990" s="5">
        <v>0.0</v>
      </c>
      <c r="R2990" s="5">
        <v>0.0</v>
      </c>
      <c r="S2990" s="5">
        <v>1086.91787016208</v>
      </c>
    </row>
    <row r="2991">
      <c r="A2991" s="6">
        <v>44678.0</v>
      </c>
      <c r="B2991" s="5">
        <v>1090.35791294018</v>
      </c>
      <c r="C2991" s="5">
        <v>1027.55084134285</v>
      </c>
      <c r="D2991" s="5">
        <v>1155.00821095651</v>
      </c>
      <c r="E2991" s="5">
        <v>1090.35791294018</v>
      </c>
      <c r="F2991" s="5">
        <v>1090.35910932327</v>
      </c>
      <c r="G2991" s="5">
        <v>-2.5774001241678</v>
      </c>
      <c r="H2991" s="5">
        <v>-2.5774001241678</v>
      </c>
      <c r="I2991" s="5">
        <v>-2.5774001241678</v>
      </c>
      <c r="J2991" s="5">
        <v>0.00703780528115654</v>
      </c>
      <c r="K2991" s="5">
        <v>0.00703780528115654</v>
      </c>
      <c r="L2991" s="5">
        <v>0.00703780528115654</v>
      </c>
      <c r="M2991" s="5">
        <v>-2.58443792944895</v>
      </c>
      <c r="N2991" s="5">
        <v>-2.58443792944895</v>
      </c>
      <c r="O2991" s="5">
        <v>-2.58443792944895</v>
      </c>
      <c r="P2991" s="5">
        <v>0.0</v>
      </c>
      <c r="Q2991" s="5">
        <v>0.0</v>
      </c>
      <c r="R2991" s="5">
        <v>0.0</v>
      </c>
      <c r="S2991" s="5">
        <v>1087.78051281602</v>
      </c>
    </row>
    <row r="2992">
      <c r="A2992" s="6">
        <v>44679.0</v>
      </c>
      <c r="B2992" s="5">
        <v>1091.5287591397</v>
      </c>
      <c r="C2992" s="5">
        <v>1027.90729529702</v>
      </c>
      <c r="D2992" s="5">
        <v>1147.40318123721</v>
      </c>
      <c r="E2992" s="5">
        <v>1091.5287591397</v>
      </c>
      <c r="F2992" s="5">
        <v>1091.53694415268</v>
      </c>
      <c r="G2992" s="5">
        <v>-3.90812205026757</v>
      </c>
      <c r="H2992" s="5">
        <v>-3.90812205026757</v>
      </c>
      <c r="I2992" s="5">
        <v>-3.90812205026757</v>
      </c>
      <c r="J2992" s="5">
        <v>-0.776422525902664</v>
      </c>
      <c r="K2992" s="5">
        <v>-0.776422525902664</v>
      </c>
      <c r="L2992" s="5">
        <v>-0.776422525902664</v>
      </c>
      <c r="M2992" s="5">
        <v>-3.13169952436491</v>
      </c>
      <c r="N2992" s="5">
        <v>-3.13169952436491</v>
      </c>
      <c r="O2992" s="5">
        <v>-3.13169952436491</v>
      </c>
      <c r="P2992" s="5">
        <v>0.0</v>
      </c>
      <c r="Q2992" s="5">
        <v>0.0</v>
      </c>
      <c r="R2992" s="5">
        <v>0.0</v>
      </c>
      <c r="S2992" s="5">
        <v>1087.62063708943</v>
      </c>
    </row>
    <row r="2993">
      <c r="A2993" s="6">
        <v>44680.0</v>
      </c>
      <c r="B2993" s="5">
        <v>1092.69960533921</v>
      </c>
      <c r="C2993" s="5">
        <v>1030.03341501316</v>
      </c>
      <c r="D2993" s="5">
        <v>1147.97337924678</v>
      </c>
      <c r="E2993" s="5">
        <v>1092.69960533921</v>
      </c>
      <c r="F2993" s="5">
        <v>1092.72369544388</v>
      </c>
      <c r="G2993" s="5">
        <v>-5.35673419782943</v>
      </c>
      <c r="H2993" s="5">
        <v>-5.35673419782943</v>
      </c>
      <c r="I2993" s="5">
        <v>-5.35673419782943</v>
      </c>
      <c r="J2993" s="5">
        <v>-1.59155056649542</v>
      </c>
      <c r="K2993" s="5">
        <v>-1.59155056649542</v>
      </c>
      <c r="L2993" s="5">
        <v>-1.59155056649542</v>
      </c>
      <c r="M2993" s="5">
        <v>-3.765183631334</v>
      </c>
      <c r="N2993" s="5">
        <v>-3.765183631334</v>
      </c>
      <c r="O2993" s="5">
        <v>-3.765183631334</v>
      </c>
      <c r="P2993" s="5">
        <v>0.0</v>
      </c>
      <c r="Q2993" s="5">
        <v>0.0</v>
      </c>
      <c r="R2993" s="5">
        <v>0.0</v>
      </c>
      <c r="S2993" s="5">
        <v>1087.34287114138</v>
      </c>
    </row>
    <row r="2994">
      <c r="A2994" s="6">
        <v>44681.0</v>
      </c>
      <c r="B2994" s="5">
        <v>1093.87045153872</v>
      </c>
      <c r="C2994" s="5">
        <v>1021.22393540303</v>
      </c>
      <c r="D2994" s="5">
        <v>1150.32071243688</v>
      </c>
      <c r="E2994" s="5">
        <v>1093.87045153872</v>
      </c>
      <c r="F2994" s="5">
        <v>1093.90601072049</v>
      </c>
      <c r="G2994" s="5">
        <v>-3.27416161349042</v>
      </c>
      <c r="H2994" s="5">
        <v>-3.27416161349042</v>
      </c>
      <c r="I2994" s="5">
        <v>-3.27416161349042</v>
      </c>
      <c r="J2994" s="5">
        <v>1.20724640991141</v>
      </c>
      <c r="K2994" s="5">
        <v>1.20724640991141</v>
      </c>
      <c r="L2994" s="5">
        <v>1.20724640991141</v>
      </c>
      <c r="M2994" s="5">
        <v>-4.48140802340183</v>
      </c>
      <c r="N2994" s="5">
        <v>-4.48140802340183</v>
      </c>
      <c r="O2994" s="5">
        <v>-4.48140802340183</v>
      </c>
      <c r="P2994" s="5">
        <v>0.0</v>
      </c>
      <c r="Q2994" s="5">
        <v>0.0</v>
      </c>
      <c r="R2994" s="5">
        <v>0.0</v>
      </c>
      <c r="S2994" s="5">
        <v>1090.59628992523</v>
      </c>
    </row>
    <row r="2995">
      <c r="A2995" s="6">
        <v>44682.0</v>
      </c>
      <c r="B2995" s="5">
        <v>1095.04129773824</v>
      </c>
      <c r="C2995" s="5">
        <v>1024.30911327278</v>
      </c>
      <c r="D2995" s="5">
        <v>1154.3251232</v>
      </c>
      <c r="E2995" s="5">
        <v>1095.01629716716</v>
      </c>
      <c r="F2995" s="5">
        <v>1095.09225848683</v>
      </c>
      <c r="G2995" s="5">
        <v>-4.06783441918763</v>
      </c>
      <c r="H2995" s="5">
        <v>-4.06783441918763</v>
      </c>
      <c r="I2995" s="5">
        <v>-4.06783441918763</v>
      </c>
      <c r="J2995" s="5">
        <v>1.20724879232797</v>
      </c>
      <c r="K2995" s="5">
        <v>1.20724879232797</v>
      </c>
      <c r="L2995" s="5">
        <v>1.20724879232797</v>
      </c>
      <c r="M2995" s="5">
        <v>-5.27508321151561</v>
      </c>
      <c r="N2995" s="5">
        <v>-5.27508321151561</v>
      </c>
      <c r="O2995" s="5">
        <v>-5.27508321151561</v>
      </c>
      <c r="P2995" s="5">
        <v>0.0</v>
      </c>
      <c r="Q2995" s="5">
        <v>0.0</v>
      </c>
      <c r="R2995" s="5">
        <v>0.0</v>
      </c>
      <c r="S2995" s="5">
        <v>1090.97346331905</v>
      </c>
    </row>
    <row r="2996">
      <c r="A2996" s="6">
        <v>44683.0</v>
      </c>
      <c r="B2996" s="5">
        <v>1096.21214393775</v>
      </c>
      <c r="C2996" s="5">
        <v>1027.4128390426</v>
      </c>
      <c r="D2996" s="5">
        <v>1151.57175460436</v>
      </c>
      <c r="E2996" s="5">
        <v>1096.18550667562</v>
      </c>
      <c r="F2996" s="5">
        <v>1096.28432339042</v>
      </c>
      <c r="G2996" s="5">
        <v>-6.04860252672659</v>
      </c>
      <c r="H2996" s="5">
        <v>-6.04860252672659</v>
      </c>
      <c r="I2996" s="5">
        <v>-6.04860252672659</v>
      </c>
      <c r="J2996" s="5">
        <v>0.0905589421229843</v>
      </c>
      <c r="K2996" s="5">
        <v>0.0905589421229843</v>
      </c>
      <c r="L2996" s="5">
        <v>0.0905589421229843</v>
      </c>
      <c r="M2996" s="5">
        <v>-6.13916146884958</v>
      </c>
      <c r="N2996" s="5">
        <v>-6.13916146884958</v>
      </c>
      <c r="O2996" s="5">
        <v>-6.13916146884958</v>
      </c>
      <c r="P2996" s="5">
        <v>0.0</v>
      </c>
      <c r="Q2996" s="5">
        <v>0.0</v>
      </c>
      <c r="R2996" s="5">
        <v>0.0</v>
      </c>
      <c r="S2996" s="5">
        <v>1090.16354141102</v>
      </c>
    </row>
    <row r="2997">
      <c r="A2997" s="6">
        <v>44684.0</v>
      </c>
      <c r="B2997" s="5">
        <v>1097.38299013726</v>
      </c>
      <c r="C2997" s="5">
        <v>1028.50033836326</v>
      </c>
      <c r="D2997" s="5">
        <v>1154.40960985969</v>
      </c>
      <c r="E2997" s="5">
        <v>1097.34759054599</v>
      </c>
      <c r="F2997" s="5">
        <v>1097.47008718577</v>
      </c>
      <c r="G2997" s="5">
        <v>-7.20905704627547</v>
      </c>
      <c r="H2997" s="5">
        <v>-7.20905704627547</v>
      </c>
      <c r="I2997" s="5">
        <v>-7.20905704627547</v>
      </c>
      <c r="J2997" s="5">
        <v>-0.144118857244757</v>
      </c>
      <c r="K2997" s="5">
        <v>-0.144118857244757</v>
      </c>
      <c r="L2997" s="5">
        <v>-0.144118857244757</v>
      </c>
      <c r="M2997" s="5">
        <v>-7.06493818903071</v>
      </c>
      <c r="N2997" s="5">
        <v>-7.06493818903071</v>
      </c>
      <c r="O2997" s="5">
        <v>-7.06493818903071</v>
      </c>
      <c r="P2997" s="5">
        <v>0.0</v>
      </c>
      <c r="Q2997" s="5">
        <v>0.0</v>
      </c>
      <c r="R2997" s="5">
        <v>0.0</v>
      </c>
      <c r="S2997" s="5">
        <v>1090.17393309099</v>
      </c>
    </row>
    <row r="2998">
      <c r="A2998" s="6">
        <v>44685.0</v>
      </c>
      <c r="B2998" s="5">
        <v>1098.55383633678</v>
      </c>
      <c r="C2998" s="5">
        <v>1028.96381393416</v>
      </c>
      <c r="D2998" s="5">
        <v>1154.18320847148</v>
      </c>
      <c r="E2998" s="5">
        <v>1098.49654721258</v>
      </c>
      <c r="F2998" s="5">
        <v>1098.65570858506</v>
      </c>
      <c r="G2998" s="5">
        <v>-8.03516555783825</v>
      </c>
      <c r="H2998" s="5">
        <v>-8.03516555783825</v>
      </c>
      <c r="I2998" s="5">
        <v>-8.03516555783825</v>
      </c>
      <c r="J2998" s="5">
        <v>0.00703780528246774</v>
      </c>
      <c r="K2998" s="5">
        <v>0.00703780528246774</v>
      </c>
      <c r="L2998" s="5">
        <v>0.00703780528246774</v>
      </c>
      <c r="M2998" s="5">
        <v>-8.04220336312072</v>
      </c>
      <c r="N2998" s="5">
        <v>-8.04220336312072</v>
      </c>
      <c r="O2998" s="5">
        <v>-8.04220336312072</v>
      </c>
      <c r="P2998" s="5">
        <v>0.0</v>
      </c>
      <c r="Q2998" s="5">
        <v>0.0</v>
      </c>
      <c r="R2998" s="5">
        <v>0.0</v>
      </c>
      <c r="S2998" s="5">
        <v>1090.51867077894</v>
      </c>
    </row>
    <row r="2999">
      <c r="A2999" s="6">
        <v>44686.0</v>
      </c>
      <c r="B2999" s="5">
        <v>1099.72468253629</v>
      </c>
      <c r="C2999" s="5">
        <v>1024.74898614395</v>
      </c>
      <c r="D2999" s="5">
        <v>1151.35368902924</v>
      </c>
      <c r="E2999" s="5">
        <v>1099.64553216725</v>
      </c>
      <c r="F2999" s="5">
        <v>1099.84089948004</v>
      </c>
      <c r="G2999" s="5">
        <v>-9.83586193380123</v>
      </c>
      <c r="H2999" s="5">
        <v>-9.83586193380123</v>
      </c>
      <c r="I2999" s="5">
        <v>-9.83586193380123</v>
      </c>
      <c r="J2999" s="5">
        <v>-0.776422525902011</v>
      </c>
      <c r="K2999" s="5">
        <v>-0.776422525902011</v>
      </c>
      <c r="L2999" s="5">
        <v>-0.776422525902011</v>
      </c>
      <c r="M2999" s="5">
        <v>-9.05943940789922</v>
      </c>
      <c r="N2999" s="5">
        <v>-9.05943940789922</v>
      </c>
      <c r="O2999" s="5">
        <v>-9.05943940789922</v>
      </c>
      <c r="P2999" s="5">
        <v>0.0</v>
      </c>
      <c r="Q2999" s="5">
        <v>0.0</v>
      </c>
      <c r="R2999" s="5">
        <v>0.0</v>
      </c>
      <c r="S2999" s="5">
        <v>1089.88882060249</v>
      </c>
    </row>
    <row r="3000">
      <c r="A3000" s="6">
        <v>44687.0</v>
      </c>
      <c r="B3000" s="5">
        <v>1100.8955287358</v>
      </c>
      <c r="C3000" s="5">
        <v>1027.43106354183</v>
      </c>
      <c r="D3000" s="5">
        <v>1156.35666309615</v>
      </c>
      <c r="E3000" s="5">
        <v>1100.79405755816</v>
      </c>
      <c r="F3000" s="5">
        <v>1101.02725932978</v>
      </c>
      <c r="G3000" s="5">
        <v>-11.6956107020136</v>
      </c>
      <c r="H3000" s="5">
        <v>-11.6956107020136</v>
      </c>
      <c r="I3000" s="5">
        <v>-11.6956107020136</v>
      </c>
      <c r="J3000" s="5">
        <v>-1.59155056649481</v>
      </c>
      <c r="K3000" s="5">
        <v>-1.59155056649481</v>
      </c>
      <c r="L3000" s="5">
        <v>-1.59155056649481</v>
      </c>
      <c r="M3000" s="5">
        <v>-10.1040601355188</v>
      </c>
      <c r="N3000" s="5">
        <v>-10.1040601355188</v>
      </c>
      <c r="O3000" s="5">
        <v>-10.1040601355188</v>
      </c>
      <c r="P3000" s="5">
        <v>0.0</v>
      </c>
      <c r="Q3000" s="5">
        <v>0.0</v>
      </c>
      <c r="R3000" s="5">
        <v>0.0</v>
      </c>
      <c r="S3000" s="5">
        <v>1089.19991803379</v>
      </c>
    </row>
    <row r="3001">
      <c r="A3001" s="6">
        <v>44688.0</v>
      </c>
      <c r="B3001" s="5">
        <v>1102.06637493532</v>
      </c>
      <c r="C3001" s="5">
        <v>1031.17250740647</v>
      </c>
      <c r="D3001" s="5">
        <v>1158.28924893472</v>
      </c>
      <c r="E3001" s="5">
        <v>1101.94190679362</v>
      </c>
      <c r="F3001" s="5">
        <v>1102.20993274951</v>
      </c>
      <c r="G3001" s="5">
        <v>-9.95543795631594</v>
      </c>
      <c r="H3001" s="5">
        <v>-9.95543795631594</v>
      </c>
      <c r="I3001" s="5">
        <v>-9.95543795631594</v>
      </c>
      <c r="J3001" s="5">
        <v>1.2072464099045</v>
      </c>
      <c r="K3001" s="5">
        <v>1.2072464099045</v>
      </c>
      <c r="L3001" s="5">
        <v>1.2072464099045</v>
      </c>
      <c r="M3001" s="5">
        <v>-11.1626843662204</v>
      </c>
      <c r="N3001" s="5">
        <v>-11.1626843662204</v>
      </c>
      <c r="O3001" s="5">
        <v>-11.1626843662204</v>
      </c>
      <c r="P3001" s="5">
        <v>0.0</v>
      </c>
      <c r="Q3001" s="5">
        <v>0.0</v>
      </c>
      <c r="R3001" s="5">
        <v>0.0</v>
      </c>
      <c r="S3001" s="5">
        <v>1092.110936979</v>
      </c>
    </row>
    <row r="3002">
      <c r="A3002" s="6">
        <v>44689.0</v>
      </c>
      <c r="B3002" s="5">
        <v>1103.23722113483</v>
      </c>
      <c r="C3002" s="5">
        <v>1020.39146044771</v>
      </c>
      <c r="D3002" s="5">
        <v>1158.02760336881</v>
      </c>
      <c r="E3002" s="5">
        <v>1103.07258692296</v>
      </c>
      <c r="F3002" s="5">
        <v>1103.40216269677</v>
      </c>
      <c r="G3002" s="5">
        <v>-11.0141877982075</v>
      </c>
      <c r="H3002" s="5">
        <v>-11.0141877982075</v>
      </c>
      <c r="I3002" s="5">
        <v>-11.0141877982075</v>
      </c>
      <c r="J3002" s="5">
        <v>1.20724879232766</v>
      </c>
      <c r="K3002" s="5">
        <v>1.20724879232766</v>
      </c>
      <c r="L3002" s="5">
        <v>1.20724879232766</v>
      </c>
      <c r="M3002" s="5">
        <v>-12.2214365905352</v>
      </c>
      <c r="N3002" s="5">
        <v>-12.2214365905352</v>
      </c>
      <c r="O3002" s="5">
        <v>-12.2214365905352</v>
      </c>
      <c r="P3002" s="5">
        <v>0.0</v>
      </c>
      <c r="Q3002" s="5">
        <v>0.0</v>
      </c>
      <c r="R3002" s="5">
        <v>0.0</v>
      </c>
      <c r="S3002" s="5">
        <v>1092.22303333662</v>
      </c>
    </row>
    <row r="3003">
      <c r="A3003" s="6">
        <v>44690.0</v>
      </c>
      <c r="B3003" s="5">
        <v>1104.40806733434</v>
      </c>
      <c r="C3003" s="5">
        <v>1027.662113544</v>
      </c>
      <c r="D3003" s="5">
        <v>1153.50126385018</v>
      </c>
      <c r="E3003" s="5">
        <v>1104.20166198977</v>
      </c>
      <c r="F3003" s="5">
        <v>1104.58640770978</v>
      </c>
      <c r="G3003" s="5">
        <v>-13.1757072770492</v>
      </c>
      <c r="H3003" s="5">
        <v>-13.1757072770492</v>
      </c>
      <c r="I3003" s="5">
        <v>-13.1757072770492</v>
      </c>
      <c r="J3003" s="5">
        <v>0.0905589421215468</v>
      </c>
      <c r="K3003" s="5">
        <v>0.0905589421215468</v>
      </c>
      <c r="L3003" s="5">
        <v>0.0905589421215468</v>
      </c>
      <c r="M3003" s="5">
        <v>-13.2662662191707</v>
      </c>
      <c r="N3003" s="5">
        <v>-13.2662662191707</v>
      </c>
      <c r="O3003" s="5">
        <v>-13.2662662191707</v>
      </c>
      <c r="P3003" s="5">
        <v>0.0</v>
      </c>
      <c r="Q3003" s="5">
        <v>0.0</v>
      </c>
      <c r="R3003" s="5">
        <v>0.0</v>
      </c>
      <c r="S3003" s="5">
        <v>1091.23236005729</v>
      </c>
    </row>
    <row r="3004">
      <c r="A3004" s="6">
        <v>44691.0</v>
      </c>
      <c r="B3004" s="5">
        <v>1105.57891353386</v>
      </c>
      <c r="C3004" s="5">
        <v>1027.50355196434</v>
      </c>
      <c r="D3004" s="5">
        <v>1152.33963883311</v>
      </c>
      <c r="E3004" s="5">
        <v>1105.36177245794</v>
      </c>
      <c r="F3004" s="5">
        <v>1105.7748560176</v>
      </c>
      <c r="G3004" s="5">
        <v>-14.4273952011075</v>
      </c>
      <c r="H3004" s="5">
        <v>-14.4273952011075</v>
      </c>
      <c r="I3004" s="5">
        <v>-14.4273952011075</v>
      </c>
      <c r="J3004" s="5">
        <v>-0.144118857246193</v>
      </c>
      <c r="K3004" s="5">
        <v>-0.144118857246193</v>
      </c>
      <c r="L3004" s="5">
        <v>-0.144118857246193</v>
      </c>
      <c r="M3004" s="5">
        <v>-14.2832763438613</v>
      </c>
      <c r="N3004" s="5">
        <v>-14.2832763438613</v>
      </c>
      <c r="O3004" s="5">
        <v>-14.2832763438613</v>
      </c>
      <c r="P3004" s="5">
        <v>0.0</v>
      </c>
      <c r="Q3004" s="5">
        <v>0.0</v>
      </c>
      <c r="R3004" s="5">
        <v>0.0</v>
      </c>
      <c r="S3004" s="5">
        <v>1091.15151833275</v>
      </c>
    </row>
    <row r="3005">
      <c r="A3005" s="6">
        <v>44692.0</v>
      </c>
      <c r="B3005" s="5">
        <v>1106.74975973337</v>
      </c>
      <c r="C3005" s="5">
        <v>1027.91661976215</v>
      </c>
      <c r="D3005" s="5">
        <v>1154.55790490733</v>
      </c>
      <c r="E3005" s="5">
        <v>1106.51681578015</v>
      </c>
      <c r="F3005" s="5">
        <v>1106.96424018655</v>
      </c>
      <c r="G3005" s="5">
        <v>-15.2520147845867</v>
      </c>
      <c r="H3005" s="5">
        <v>-15.2520147845867</v>
      </c>
      <c r="I3005" s="5">
        <v>-15.2520147845867</v>
      </c>
      <c r="J3005" s="5">
        <v>0.00703780528161519</v>
      </c>
      <c r="K3005" s="5">
        <v>0.00703780528161519</v>
      </c>
      <c r="L3005" s="5">
        <v>0.00703780528161519</v>
      </c>
      <c r="M3005" s="5">
        <v>-15.2590525898683</v>
      </c>
      <c r="N3005" s="5">
        <v>-15.2590525898683</v>
      </c>
      <c r="O3005" s="5">
        <v>-15.2590525898683</v>
      </c>
      <c r="P3005" s="5">
        <v>0.0</v>
      </c>
      <c r="Q3005" s="5">
        <v>0.0</v>
      </c>
      <c r="R3005" s="5">
        <v>0.0</v>
      </c>
      <c r="S3005" s="5">
        <v>1091.49774494878</v>
      </c>
    </row>
    <row r="3006">
      <c r="A3006" s="6">
        <v>44693.0</v>
      </c>
      <c r="B3006" s="5">
        <v>1107.92060593288</v>
      </c>
      <c r="C3006" s="5">
        <v>1028.05954189776</v>
      </c>
      <c r="D3006" s="5">
        <v>1153.42406657277</v>
      </c>
      <c r="E3006" s="5">
        <v>1107.62003534911</v>
      </c>
      <c r="F3006" s="5">
        <v>1108.16197337229</v>
      </c>
      <c r="G3006" s="5">
        <v>-16.9574051073818</v>
      </c>
      <c r="H3006" s="5">
        <v>-16.9574051073818</v>
      </c>
      <c r="I3006" s="5">
        <v>-16.9574051073818</v>
      </c>
      <c r="J3006" s="5">
        <v>-0.776422525904108</v>
      </c>
      <c r="K3006" s="5">
        <v>-0.776422525904108</v>
      </c>
      <c r="L3006" s="5">
        <v>-0.776422525904108</v>
      </c>
      <c r="M3006" s="5">
        <v>-16.1809825814777</v>
      </c>
      <c r="N3006" s="5">
        <v>-16.1809825814777</v>
      </c>
      <c r="O3006" s="5">
        <v>-16.1809825814777</v>
      </c>
      <c r="P3006" s="5">
        <v>0.0</v>
      </c>
      <c r="Q3006" s="5">
        <v>0.0</v>
      </c>
      <c r="R3006" s="5">
        <v>0.0</v>
      </c>
      <c r="S3006" s="5">
        <v>1090.9632008255</v>
      </c>
    </row>
    <row r="3007">
      <c r="A3007" s="6">
        <v>44694.0</v>
      </c>
      <c r="B3007" s="5">
        <v>1109.0914521324</v>
      </c>
      <c r="C3007" s="5">
        <v>1031.74606118831</v>
      </c>
      <c r="D3007" s="5">
        <v>1156.68614893437</v>
      </c>
      <c r="E3007" s="5">
        <v>1108.7294771096</v>
      </c>
      <c r="F3007" s="5">
        <v>1109.33277184891</v>
      </c>
      <c r="G3007" s="5">
        <v>-18.6291073339734</v>
      </c>
      <c r="H3007" s="5">
        <v>-18.6291073339734</v>
      </c>
      <c r="I3007" s="5">
        <v>-18.6291073339734</v>
      </c>
      <c r="J3007" s="5">
        <v>-1.59155056649357</v>
      </c>
      <c r="K3007" s="5">
        <v>-1.59155056649357</v>
      </c>
      <c r="L3007" s="5">
        <v>-1.59155056649357</v>
      </c>
      <c r="M3007" s="5">
        <v>-17.0375567674799</v>
      </c>
      <c r="N3007" s="5">
        <v>-17.0375567674799</v>
      </c>
      <c r="O3007" s="5">
        <v>-17.0375567674799</v>
      </c>
      <c r="P3007" s="5">
        <v>0.0</v>
      </c>
      <c r="Q3007" s="5">
        <v>0.0</v>
      </c>
      <c r="R3007" s="5">
        <v>0.0</v>
      </c>
      <c r="S3007" s="5">
        <v>1090.46234479842</v>
      </c>
    </row>
    <row r="3008">
      <c r="A3008" s="6">
        <v>44695.0</v>
      </c>
      <c r="B3008" s="5">
        <v>1110.26229833191</v>
      </c>
      <c r="C3008" s="5">
        <v>1030.08592890671</v>
      </c>
      <c r="D3008" s="5">
        <v>1159.92204239796</v>
      </c>
      <c r="E3008" s="5">
        <v>1109.85288133093</v>
      </c>
      <c r="F3008" s="5">
        <v>1110.5196727458</v>
      </c>
      <c r="G3008" s="5">
        <v>-16.6113954483307</v>
      </c>
      <c r="H3008" s="5">
        <v>-16.6113954483307</v>
      </c>
      <c r="I3008" s="5">
        <v>-16.6113954483307</v>
      </c>
      <c r="J3008" s="5">
        <v>1.20724640990581</v>
      </c>
      <c r="K3008" s="5">
        <v>1.20724640990581</v>
      </c>
      <c r="L3008" s="5">
        <v>1.20724640990581</v>
      </c>
      <c r="M3008" s="5">
        <v>-17.8186418582365</v>
      </c>
      <c r="N3008" s="5">
        <v>-17.8186418582365</v>
      </c>
      <c r="O3008" s="5">
        <v>-17.8186418582365</v>
      </c>
      <c r="P3008" s="5">
        <v>0.0</v>
      </c>
      <c r="Q3008" s="5">
        <v>0.0</v>
      </c>
      <c r="R3008" s="5">
        <v>0.0</v>
      </c>
      <c r="S3008" s="5">
        <v>1093.65090288358</v>
      </c>
    </row>
    <row r="3009">
      <c r="A3009" s="6">
        <v>44696.0</v>
      </c>
      <c r="B3009" s="5">
        <v>1111.43314453142</v>
      </c>
      <c r="C3009" s="5">
        <v>1030.6464689324</v>
      </c>
      <c r="D3009" s="5">
        <v>1158.16145368317</v>
      </c>
      <c r="E3009" s="5">
        <v>1110.99532578022</v>
      </c>
      <c r="F3009" s="5">
        <v>1111.73395590703</v>
      </c>
      <c r="G3009" s="5">
        <v>-17.3084701019083</v>
      </c>
      <c r="H3009" s="5">
        <v>-17.3084701019083</v>
      </c>
      <c r="I3009" s="5">
        <v>-17.3084701019083</v>
      </c>
      <c r="J3009" s="5">
        <v>1.20724879232558</v>
      </c>
      <c r="K3009" s="5">
        <v>1.20724879232558</v>
      </c>
      <c r="L3009" s="5">
        <v>1.20724879232558</v>
      </c>
      <c r="M3009" s="5">
        <v>-18.5157188942339</v>
      </c>
      <c r="N3009" s="5">
        <v>-18.5157188942339</v>
      </c>
      <c r="O3009" s="5">
        <v>-18.5157188942339</v>
      </c>
      <c r="P3009" s="5">
        <v>0.0</v>
      </c>
      <c r="Q3009" s="5">
        <v>0.0</v>
      </c>
      <c r="R3009" s="5">
        <v>0.0</v>
      </c>
      <c r="S3009" s="5">
        <v>1094.12467442951</v>
      </c>
    </row>
    <row r="3010">
      <c r="A3010" s="6">
        <v>44697.0</v>
      </c>
      <c r="B3010" s="5">
        <v>1112.60399073094</v>
      </c>
      <c r="C3010" s="5">
        <v>1037.61901222193</v>
      </c>
      <c r="D3010" s="5">
        <v>1158.91984865355</v>
      </c>
      <c r="E3010" s="5">
        <v>1112.15219013242</v>
      </c>
      <c r="F3010" s="5">
        <v>1112.91964743911</v>
      </c>
      <c r="G3010" s="5">
        <v>-19.0315200334356</v>
      </c>
      <c r="H3010" s="5">
        <v>-19.0315200334356</v>
      </c>
      <c r="I3010" s="5">
        <v>-19.0315200334356</v>
      </c>
      <c r="J3010" s="5">
        <v>0.0905589421201094</v>
      </c>
      <c r="K3010" s="5">
        <v>0.0905589421201094</v>
      </c>
      <c r="L3010" s="5">
        <v>0.0905589421201094</v>
      </c>
      <c r="M3010" s="5">
        <v>-19.1220789755557</v>
      </c>
      <c r="N3010" s="5">
        <v>-19.1220789755557</v>
      </c>
      <c r="O3010" s="5">
        <v>-19.1220789755557</v>
      </c>
      <c r="P3010" s="5">
        <v>0.0</v>
      </c>
      <c r="Q3010" s="5">
        <v>0.0</v>
      </c>
      <c r="R3010" s="5">
        <v>0.0</v>
      </c>
      <c r="S3010" s="5">
        <v>1093.5724706975</v>
      </c>
    </row>
    <row r="3011">
      <c r="A3011" s="6">
        <v>44698.0</v>
      </c>
      <c r="B3011" s="5">
        <v>1113.77483693045</v>
      </c>
      <c r="C3011" s="5">
        <v>1032.04079745706</v>
      </c>
      <c r="D3011" s="5">
        <v>1158.96182260482</v>
      </c>
      <c r="E3011" s="5">
        <v>1113.29876367314</v>
      </c>
      <c r="F3011" s="5">
        <v>1114.10418853549</v>
      </c>
      <c r="G3011" s="5">
        <v>-19.7770897593164</v>
      </c>
      <c r="H3011" s="5">
        <v>-19.7770897593164</v>
      </c>
      <c r="I3011" s="5">
        <v>-19.7770897593164</v>
      </c>
      <c r="J3011" s="5">
        <v>-0.144118857242581</v>
      </c>
      <c r="K3011" s="5">
        <v>-0.144118857242581</v>
      </c>
      <c r="L3011" s="5">
        <v>-0.144118857242581</v>
      </c>
      <c r="M3011" s="5">
        <v>-19.6329709020738</v>
      </c>
      <c r="N3011" s="5">
        <v>-19.6329709020738</v>
      </c>
      <c r="O3011" s="5">
        <v>-19.6329709020738</v>
      </c>
      <c r="P3011" s="5">
        <v>0.0</v>
      </c>
      <c r="Q3011" s="5">
        <v>0.0</v>
      </c>
      <c r="R3011" s="5">
        <v>0.0</v>
      </c>
      <c r="S3011" s="5">
        <v>1093.99774717113</v>
      </c>
    </row>
    <row r="3012">
      <c r="A3012" s="6">
        <v>44699.0</v>
      </c>
      <c r="B3012" s="5">
        <v>1114.94568312996</v>
      </c>
      <c r="C3012" s="5">
        <v>1031.02721864973</v>
      </c>
      <c r="D3012" s="5">
        <v>1157.78513839805</v>
      </c>
      <c r="E3012" s="5">
        <v>1114.43493537956</v>
      </c>
      <c r="F3012" s="5">
        <v>1115.30479889847</v>
      </c>
      <c r="G3012" s="5">
        <v>-20.0386585637466</v>
      </c>
      <c r="H3012" s="5">
        <v>-20.0386585637466</v>
      </c>
      <c r="I3012" s="5">
        <v>-20.0386585637466</v>
      </c>
      <c r="J3012" s="5">
        <v>0.00703780528274544</v>
      </c>
      <c r="K3012" s="5">
        <v>0.00703780528274544</v>
      </c>
      <c r="L3012" s="5">
        <v>0.00703780528274544</v>
      </c>
      <c r="M3012" s="5">
        <v>-20.0456963690293</v>
      </c>
      <c r="N3012" s="5">
        <v>-20.0456963690293</v>
      </c>
      <c r="O3012" s="5">
        <v>-20.0456963690293</v>
      </c>
      <c r="P3012" s="5">
        <v>0.0</v>
      </c>
      <c r="Q3012" s="5">
        <v>0.0</v>
      </c>
      <c r="R3012" s="5">
        <v>0.0</v>
      </c>
      <c r="S3012" s="5">
        <v>1094.90702456622</v>
      </c>
    </row>
    <row r="3013">
      <c r="A3013" s="6">
        <v>44700.0</v>
      </c>
      <c r="B3013" s="5">
        <v>1116.11652932948</v>
      </c>
      <c r="C3013" s="5">
        <v>1031.99457117998</v>
      </c>
      <c r="D3013" s="5">
        <v>1162.19891128162</v>
      </c>
      <c r="E3013" s="5">
        <v>1115.57636160336</v>
      </c>
      <c r="F3013" s="5">
        <v>1116.49054407893</v>
      </c>
      <c r="G3013" s="5">
        <v>-21.1360724163562</v>
      </c>
      <c r="H3013" s="5">
        <v>-21.1360724163562</v>
      </c>
      <c r="I3013" s="5">
        <v>-21.1360724163562</v>
      </c>
      <c r="J3013" s="5">
        <v>-0.77642252590483</v>
      </c>
      <c r="K3013" s="5">
        <v>-0.77642252590483</v>
      </c>
      <c r="L3013" s="5">
        <v>-0.77642252590483</v>
      </c>
      <c r="M3013" s="5">
        <v>-20.3596498904514</v>
      </c>
      <c r="N3013" s="5">
        <v>-20.3596498904514</v>
      </c>
      <c r="O3013" s="5">
        <v>-20.3596498904514</v>
      </c>
      <c r="P3013" s="5">
        <v>0.0</v>
      </c>
      <c r="Q3013" s="5">
        <v>0.0</v>
      </c>
      <c r="R3013" s="5">
        <v>0.0</v>
      </c>
      <c r="S3013" s="5">
        <v>1094.98045691312</v>
      </c>
    </row>
    <row r="3014">
      <c r="A3014" s="6">
        <v>44701.0</v>
      </c>
      <c r="B3014" s="5">
        <v>1117.28737552899</v>
      </c>
      <c r="C3014" s="5">
        <v>1033.38701504035</v>
      </c>
      <c r="D3014" s="5">
        <v>1162.35749288622</v>
      </c>
      <c r="E3014" s="5">
        <v>1116.73401289776</v>
      </c>
      <c r="F3014" s="5">
        <v>1117.67157757695</v>
      </c>
      <c r="G3014" s="5">
        <v>-22.1678528041507</v>
      </c>
      <c r="H3014" s="5">
        <v>-22.1678528041507</v>
      </c>
      <c r="I3014" s="5">
        <v>-22.1678528041507</v>
      </c>
      <c r="J3014" s="5">
        <v>-1.59155056649233</v>
      </c>
      <c r="K3014" s="5">
        <v>-1.59155056649233</v>
      </c>
      <c r="L3014" s="5">
        <v>-1.59155056649233</v>
      </c>
      <c r="M3014" s="5">
        <v>-20.5763022376583</v>
      </c>
      <c r="N3014" s="5">
        <v>-20.5763022376583</v>
      </c>
      <c r="O3014" s="5">
        <v>-20.5763022376583</v>
      </c>
      <c r="P3014" s="5">
        <v>0.0</v>
      </c>
      <c r="Q3014" s="5">
        <v>0.0</v>
      </c>
      <c r="R3014" s="5">
        <v>0.0</v>
      </c>
      <c r="S3014" s="5">
        <v>1095.11952272484</v>
      </c>
    </row>
    <row r="3015">
      <c r="A3015" s="6">
        <v>44702.0</v>
      </c>
      <c r="B3015" s="5">
        <v>1118.4582217285</v>
      </c>
      <c r="C3015" s="5">
        <v>1038.53604363954</v>
      </c>
      <c r="D3015" s="5">
        <v>1161.27822941348</v>
      </c>
      <c r="E3015" s="5">
        <v>1117.86824084417</v>
      </c>
      <c r="F3015" s="5">
        <v>1118.85261107498</v>
      </c>
      <c r="G3015" s="5">
        <v>-19.4918814237694</v>
      </c>
      <c r="H3015" s="5">
        <v>-19.4918814237694</v>
      </c>
      <c r="I3015" s="5">
        <v>-19.4918814237694</v>
      </c>
      <c r="J3015" s="5">
        <v>1.20724640990792</v>
      </c>
      <c r="K3015" s="5">
        <v>1.20724640990792</v>
      </c>
      <c r="L3015" s="5">
        <v>1.20724640990792</v>
      </c>
      <c r="M3015" s="5">
        <v>-20.6991278336773</v>
      </c>
      <c r="N3015" s="5">
        <v>-20.6991278336773</v>
      </c>
      <c r="O3015" s="5">
        <v>-20.6991278336773</v>
      </c>
      <c r="P3015" s="5">
        <v>0.0</v>
      </c>
      <c r="Q3015" s="5">
        <v>0.0</v>
      </c>
      <c r="R3015" s="5">
        <v>0.0</v>
      </c>
      <c r="S3015" s="5">
        <v>1098.96634030473</v>
      </c>
    </row>
    <row r="3016">
      <c r="A3016" s="6">
        <v>44703.0</v>
      </c>
      <c r="B3016" s="5">
        <v>1119.62906792802</v>
      </c>
      <c r="C3016" s="5">
        <v>1039.24058906129</v>
      </c>
      <c r="D3016" s="5">
        <v>1159.09160619336</v>
      </c>
      <c r="E3016" s="5">
        <v>1119.01876401568</v>
      </c>
      <c r="F3016" s="5">
        <v>1120.033644573</v>
      </c>
      <c r="G3016" s="5">
        <v>-19.5262293949792</v>
      </c>
      <c r="H3016" s="5">
        <v>-19.5262293949792</v>
      </c>
      <c r="I3016" s="5">
        <v>-19.5262293949792</v>
      </c>
      <c r="J3016" s="5">
        <v>1.20724879232527</v>
      </c>
      <c r="K3016" s="5">
        <v>1.20724879232527</v>
      </c>
      <c r="L3016" s="5">
        <v>1.20724879232527</v>
      </c>
      <c r="M3016" s="5">
        <v>-20.7334781873045</v>
      </c>
      <c r="N3016" s="5">
        <v>-20.7334781873045</v>
      </c>
      <c r="O3016" s="5">
        <v>-20.7334781873045</v>
      </c>
      <c r="P3016" s="5">
        <v>0.0</v>
      </c>
      <c r="Q3016" s="5">
        <v>0.0</v>
      </c>
      <c r="R3016" s="5">
        <v>0.0</v>
      </c>
      <c r="S3016" s="5">
        <v>1100.10283853304</v>
      </c>
    </row>
    <row r="3017">
      <c r="A3017" s="6">
        <v>44704.0</v>
      </c>
      <c r="B3017" s="5">
        <v>1120.79991412753</v>
      </c>
      <c r="C3017" s="5">
        <v>1036.38033016007</v>
      </c>
      <c r="D3017" s="5">
        <v>1159.5286578691</v>
      </c>
      <c r="E3017" s="5">
        <v>1120.16003884635</v>
      </c>
      <c r="F3017" s="5">
        <v>1121.21467807103</v>
      </c>
      <c r="G3017" s="5">
        <v>-20.5958460913955</v>
      </c>
      <c r="H3017" s="5">
        <v>-20.5958460913955</v>
      </c>
      <c r="I3017" s="5">
        <v>-20.5958460913955</v>
      </c>
      <c r="J3017" s="5">
        <v>0.0905589421259837</v>
      </c>
      <c r="K3017" s="5">
        <v>0.0905589421259837</v>
      </c>
      <c r="L3017" s="5">
        <v>0.0905589421259837</v>
      </c>
      <c r="M3017" s="5">
        <v>-20.6864050335215</v>
      </c>
      <c r="N3017" s="5">
        <v>-20.6864050335215</v>
      </c>
      <c r="O3017" s="5">
        <v>-20.6864050335215</v>
      </c>
      <c r="P3017" s="5">
        <v>0.0</v>
      </c>
      <c r="Q3017" s="5">
        <v>0.0</v>
      </c>
      <c r="R3017" s="5">
        <v>0.0</v>
      </c>
      <c r="S3017" s="5">
        <v>1100.20406803613</v>
      </c>
    </row>
    <row r="3018">
      <c r="A3018" s="6">
        <v>44705.0</v>
      </c>
      <c r="B3018" s="5">
        <v>1121.97076032704</v>
      </c>
      <c r="C3018" s="5">
        <v>1038.01756703367</v>
      </c>
      <c r="D3018" s="5">
        <v>1163.38246523877</v>
      </c>
      <c r="E3018" s="5">
        <v>1121.28815977518</v>
      </c>
      <c r="F3018" s="5">
        <v>1122.39692495205</v>
      </c>
      <c r="G3018" s="5">
        <v>-20.7105571799625</v>
      </c>
      <c r="H3018" s="5">
        <v>-20.7105571799625</v>
      </c>
      <c r="I3018" s="5">
        <v>-20.7105571799625</v>
      </c>
      <c r="J3018" s="5">
        <v>-0.144118857244016</v>
      </c>
      <c r="K3018" s="5">
        <v>-0.144118857244016</v>
      </c>
      <c r="L3018" s="5">
        <v>-0.144118857244016</v>
      </c>
      <c r="M3018" s="5">
        <v>-20.5664383227185</v>
      </c>
      <c r="N3018" s="5">
        <v>-20.5664383227185</v>
      </c>
      <c r="O3018" s="5">
        <v>-20.5664383227185</v>
      </c>
      <c r="P3018" s="5">
        <v>0.0</v>
      </c>
      <c r="Q3018" s="5">
        <v>0.0</v>
      </c>
      <c r="R3018" s="5">
        <v>0.0</v>
      </c>
      <c r="S3018" s="5">
        <v>1101.26020314708</v>
      </c>
    </row>
    <row r="3019">
      <c r="A3019" s="6">
        <v>44706.0</v>
      </c>
      <c r="B3019" s="5">
        <v>1123.14160652656</v>
      </c>
      <c r="C3019" s="5">
        <v>1042.26957930077</v>
      </c>
      <c r="D3019" s="5">
        <v>1166.63861798546</v>
      </c>
      <c r="E3019" s="5">
        <v>1122.40916070411</v>
      </c>
      <c r="F3019" s="5">
        <v>1123.58551136486</v>
      </c>
      <c r="G3019" s="5">
        <v>-20.3762877200893</v>
      </c>
      <c r="H3019" s="5">
        <v>-20.3762877200893</v>
      </c>
      <c r="I3019" s="5">
        <v>-20.3762877200893</v>
      </c>
      <c r="J3019" s="5">
        <v>0.00703780528189295</v>
      </c>
      <c r="K3019" s="5">
        <v>0.00703780528189295</v>
      </c>
      <c r="L3019" s="5">
        <v>0.00703780528189295</v>
      </c>
      <c r="M3019" s="5">
        <v>-20.3833255253712</v>
      </c>
      <c r="N3019" s="5">
        <v>-20.3833255253712</v>
      </c>
      <c r="O3019" s="5">
        <v>-20.3833255253712</v>
      </c>
      <c r="P3019" s="5">
        <v>0.0</v>
      </c>
      <c r="Q3019" s="5">
        <v>0.0</v>
      </c>
      <c r="R3019" s="5">
        <v>0.0</v>
      </c>
      <c r="S3019" s="5">
        <v>1102.76531880647</v>
      </c>
    </row>
    <row r="3020">
      <c r="A3020" s="6">
        <v>44707.0</v>
      </c>
      <c r="B3020" s="5">
        <v>1124.31245272607</v>
      </c>
      <c r="C3020" s="5">
        <v>1041.00853796435</v>
      </c>
      <c r="D3020" s="5">
        <v>1164.94943724752</v>
      </c>
      <c r="E3020" s="5">
        <v>1123.55157933463</v>
      </c>
      <c r="F3020" s="5">
        <v>1124.78964387674</v>
      </c>
      <c r="G3020" s="5">
        <v>-20.9241623778993</v>
      </c>
      <c r="H3020" s="5">
        <v>-20.9241623778993</v>
      </c>
      <c r="I3020" s="5">
        <v>-20.9241623778993</v>
      </c>
      <c r="J3020" s="5">
        <v>-0.776422525899852</v>
      </c>
      <c r="K3020" s="5">
        <v>-0.776422525899852</v>
      </c>
      <c r="L3020" s="5">
        <v>-0.776422525899852</v>
      </c>
      <c r="M3020" s="5">
        <v>-20.1477398519994</v>
      </c>
      <c r="N3020" s="5">
        <v>-20.1477398519994</v>
      </c>
      <c r="O3020" s="5">
        <v>-20.1477398519994</v>
      </c>
      <c r="P3020" s="5">
        <v>0.0</v>
      </c>
      <c r="Q3020" s="5">
        <v>0.0</v>
      </c>
      <c r="R3020" s="5">
        <v>0.0</v>
      </c>
      <c r="S3020" s="5">
        <v>1103.38829034817</v>
      </c>
    </row>
    <row r="3021">
      <c r="A3021" s="6">
        <v>44708.0</v>
      </c>
      <c r="B3021" s="5">
        <v>1125.48329892558</v>
      </c>
      <c r="C3021" s="5">
        <v>1040.2561775132</v>
      </c>
      <c r="D3021" s="5">
        <v>1166.92151337042</v>
      </c>
      <c r="E3021" s="5">
        <v>1124.67977767288</v>
      </c>
      <c r="F3021" s="5">
        <v>1125.98952629636</v>
      </c>
      <c r="G3021" s="5">
        <v>-21.4625164628911</v>
      </c>
      <c r="H3021" s="5">
        <v>-21.4625164628911</v>
      </c>
      <c r="I3021" s="5">
        <v>-21.4625164628911</v>
      </c>
      <c r="J3021" s="5">
        <v>-1.59155056649141</v>
      </c>
      <c r="K3021" s="5">
        <v>-1.59155056649141</v>
      </c>
      <c r="L3021" s="5">
        <v>-1.59155056649141</v>
      </c>
      <c r="M3021" s="5">
        <v>-19.8709658963997</v>
      </c>
      <c r="N3021" s="5">
        <v>-19.8709658963997</v>
      </c>
      <c r="O3021" s="5">
        <v>-19.8709658963997</v>
      </c>
      <c r="P3021" s="5">
        <v>0.0</v>
      </c>
      <c r="Q3021" s="5">
        <v>0.0</v>
      </c>
      <c r="R3021" s="5">
        <v>0.0</v>
      </c>
      <c r="S3021" s="5">
        <v>1104.02078246269</v>
      </c>
    </row>
    <row r="3022">
      <c r="A3022" s="6">
        <v>44709.0</v>
      </c>
      <c r="B3022" s="5">
        <v>1126.6541451251</v>
      </c>
      <c r="C3022" s="5">
        <v>1049.48843033582</v>
      </c>
      <c r="D3022" s="5">
        <v>1168.04517693471</v>
      </c>
      <c r="E3022" s="5">
        <v>1125.81509206136</v>
      </c>
      <c r="F3022" s="5">
        <v>1127.16417890549</v>
      </c>
      <c r="G3022" s="5">
        <v>-18.3573254561428</v>
      </c>
      <c r="H3022" s="5">
        <v>-18.3573254561428</v>
      </c>
      <c r="I3022" s="5">
        <v>-18.3573254561428</v>
      </c>
      <c r="J3022" s="5">
        <v>1.20724640990842</v>
      </c>
      <c r="K3022" s="5">
        <v>1.20724640990842</v>
      </c>
      <c r="L3022" s="5">
        <v>1.20724640990842</v>
      </c>
      <c r="M3022" s="5">
        <v>-19.5645718660512</v>
      </c>
      <c r="N3022" s="5">
        <v>-19.5645718660512</v>
      </c>
      <c r="O3022" s="5">
        <v>-19.5645718660512</v>
      </c>
      <c r="P3022" s="5">
        <v>0.0</v>
      </c>
      <c r="Q3022" s="5">
        <v>0.0</v>
      </c>
      <c r="R3022" s="5">
        <v>0.0</v>
      </c>
      <c r="S3022" s="5">
        <v>1108.29681966895</v>
      </c>
    </row>
    <row r="3023">
      <c r="A3023" s="6">
        <v>44710.0</v>
      </c>
      <c r="B3023" s="5">
        <v>1127.82499132461</v>
      </c>
      <c r="C3023" s="5">
        <v>1047.64128097452</v>
      </c>
      <c r="D3023" s="5">
        <v>1175.58083744288</v>
      </c>
      <c r="E3023" s="5">
        <v>1126.96779495643</v>
      </c>
      <c r="F3023" s="5">
        <v>1128.33341633594</v>
      </c>
      <c r="G3023" s="5">
        <v>-18.0328291554377</v>
      </c>
      <c r="H3023" s="5">
        <v>-18.0328291554377</v>
      </c>
      <c r="I3023" s="5">
        <v>-18.0328291554377</v>
      </c>
      <c r="J3023" s="5">
        <v>1.20724879232889</v>
      </c>
      <c r="K3023" s="5">
        <v>1.20724879232889</v>
      </c>
      <c r="L3023" s="5">
        <v>1.20724879232889</v>
      </c>
      <c r="M3023" s="5">
        <v>-19.2400779477666</v>
      </c>
      <c r="N3023" s="5">
        <v>-19.2400779477666</v>
      </c>
      <c r="O3023" s="5">
        <v>-19.2400779477666</v>
      </c>
      <c r="P3023" s="5">
        <v>0.0</v>
      </c>
      <c r="Q3023" s="5">
        <v>0.0</v>
      </c>
      <c r="R3023" s="5">
        <v>0.0</v>
      </c>
      <c r="S3023" s="5">
        <v>1109.79216216917</v>
      </c>
    </row>
    <row r="3024">
      <c r="A3024" s="6">
        <v>44711.0</v>
      </c>
      <c r="B3024" s="5">
        <v>1128.99583752412</v>
      </c>
      <c r="C3024" s="5">
        <v>1045.61911132179</v>
      </c>
      <c r="D3024" s="5">
        <v>1173.32466870554</v>
      </c>
      <c r="E3024" s="5">
        <v>1128.10281542751</v>
      </c>
      <c r="F3024" s="5">
        <v>1129.50751542358</v>
      </c>
      <c r="G3024" s="5">
        <v>-18.8180715152761</v>
      </c>
      <c r="H3024" s="5">
        <v>-18.8180715152761</v>
      </c>
      <c r="I3024" s="5">
        <v>-18.8180715152761</v>
      </c>
      <c r="J3024" s="5">
        <v>0.0905589421221625</v>
      </c>
      <c r="K3024" s="5">
        <v>0.0905589421221625</v>
      </c>
      <c r="L3024" s="5">
        <v>0.0905589421221625</v>
      </c>
      <c r="M3024" s="5">
        <v>-18.9086304573983</v>
      </c>
      <c r="N3024" s="5">
        <v>-18.9086304573983</v>
      </c>
      <c r="O3024" s="5">
        <v>-18.9086304573983</v>
      </c>
      <c r="P3024" s="5">
        <v>0.0</v>
      </c>
      <c r="Q3024" s="5">
        <v>0.0</v>
      </c>
      <c r="R3024" s="5">
        <v>0.0</v>
      </c>
      <c r="S3024" s="5">
        <v>1110.17776600885</v>
      </c>
    </row>
    <row r="3025">
      <c r="A3025" s="6">
        <v>44712.0</v>
      </c>
      <c r="B3025" s="5">
        <v>1130.16668372364</v>
      </c>
      <c r="C3025" s="5">
        <v>1051.44540459319</v>
      </c>
      <c r="D3025" s="5">
        <v>1177.41948457168</v>
      </c>
      <c r="E3025" s="5">
        <v>1129.22074676442</v>
      </c>
      <c r="F3025" s="5">
        <v>1130.69838841395</v>
      </c>
      <c r="G3025" s="5">
        <v>-18.724810094252</v>
      </c>
      <c r="H3025" s="5">
        <v>-18.724810094252</v>
      </c>
      <c r="I3025" s="5">
        <v>-18.724810094252</v>
      </c>
      <c r="J3025" s="5">
        <v>-0.144118857245452</v>
      </c>
      <c r="K3025" s="5">
        <v>-0.144118857245452</v>
      </c>
      <c r="L3025" s="5">
        <v>-0.144118857245452</v>
      </c>
      <c r="M3025" s="5">
        <v>-18.5806912370066</v>
      </c>
      <c r="N3025" s="5">
        <v>-18.5806912370066</v>
      </c>
      <c r="O3025" s="5">
        <v>-18.5806912370066</v>
      </c>
      <c r="P3025" s="5">
        <v>0.0</v>
      </c>
      <c r="Q3025" s="5">
        <v>0.0</v>
      </c>
      <c r="R3025" s="5">
        <v>0.0</v>
      </c>
      <c r="S3025" s="5">
        <v>1111.44187362938</v>
      </c>
    </row>
    <row r="3026">
      <c r="A3026" s="6">
        <v>44713.0</v>
      </c>
      <c r="B3026" s="5">
        <v>1131.33752992315</v>
      </c>
      <c r="C3026" s="5">
        <v>1051.17296155187</v>
      </c>
      <c r="D3026" s="5">
        <v>1174.77907863347</v>
      </c>
      <c r="E3026" s="5">
        <v>1130.32837724136</v>
      </c>
      <c r="F3026" s="5">
        <v>1131.87987579007</v>
      </c>
      <c r="G3026" s="5">
        <v>-18.25871349114</v>
      </c>
      <c r="H3026" s="5">
        <v>-18.25871349114</v>
      </c>
      <c r="I3026" s="5">
        <v>-18.25871349114</v>
      </c>
      <c r="J3026" s="5">
        <v>0.00703780528320402</v>
      </c>
      <c r="K3026" s="5">
        <v>0.00703780528320402</v>
      </c>
      <c r="L3026" s="5">
        <v>0.00703780528320402</v>
      </c>
      <c r="M3026" s="5">
        <v>-18.2657512964232</v>
      </c>
      <c r="N3026" s="5">
        <v>-18.2657512964232</v>
      </c>
      <c r="O3026" s="5">
        <v>-18.2657512964232</v>
      </c>
      <c r="P3026" s="5">
        <v>0.0</v>
      </c>
      <c r="Q3026" s="5">
        <v>0.0</v>
      </c>
      <c r="R3026" s="5">
        <v>0.0</v>
      </c>
      <c r="S3026" s="5">
        <v>1113.07881643201</v>
      </c>
    </row>
    <row r="3027">
      <c r="A3027" s="6">
        <v>44714.0</v>
      </c>
      <c r="B3027" s="5">
        <v>1132.50837612266</v>
      </c>
      <c r="C3027" s="5">
        <v>1056.31135257269</v>
      </c>
      <c r="D3027" s="5">
        <v>1179.34929073112</v>
      </c>
      <c r="E3027" s="5">
        <v>1131.44637434541</v>
      </c>
      <c r="F3027" s="5">
        <v>1133.06406771054</v>
      </c>
      <c r="G3027" s="5">
        <v>-18.7484994889684</v>
      </c>
      <c r="H3027" s="5">
        <v>-18.7484994889684</v>
      </c>
      <c r="I3027" s="5">
        <v>-18.7484994889684</v>
      </c>
      <c r="J3027" s="5">
        <v>-0.776422525900574</v>
      </c>
      <c r="K3027" s="5">
        <v>-0.776422525900574</v>
      </c>
      <c r="L3027" s="5">
        <v>-0.776422525900574</v>
      </c>
      <c r="M3027" s="5">
        <v>-17.9720769630678</v>
      </c>
      <c r="N3027" s="5">
        <v>-17.9720769630678</v>
      </c>
      <c r="O3027" s="5">
        <v>-17.9720769630678</v>
      </c>
      <c r="P3027" s="5">
        <v>0.0</v>
      </c>
      <c r="Q3027" s="5">
        <v>0.0</v>
      </c>
      <c r="R3027" s="5">
        <v>0.0</v>
      </c>
      <c r="S3027" s="5">
        <v>1113.75987663369</v>
      </c>
    </row>
    <row r="3028">
      <c r="A3028" s="6">
        <v>44715.0</v>
      </c>
      <c r="B3028" s="5">
        <v>1133.67922232218</v>
      </c>
      <c r="C3028" s="5">
        <v>1051.15226097494</v>
      </c>
      <c r="D3028" s="5">
        <v>1173.03695196065</v>
      </c>
      <c r="E3028" s="5">
        <v>1132.5715297634</v>
      </c>
      <c r="F3028" s="5">
        <v>1134.28250286525</v>
      </c>
      <c r="G3028" s="5">
        <v>-19.2980463921642</v>
      </c>
      <c r="H3028" s="5">
        <v>-19.2980463921642</v>
      </c>
      <c r="I3028" s="5">
        <v>-19.2980463921642</v>
      </c>
      <c r="J3028" s="5">
        <v>-1.59155056649566</v>
      </c>
      <c r="K3028" s="5">
        <v>-1.59155056649566</v>
      </c>
      <c r="L3028" s="5">
        <v>-1.59155056649566</v>
      </c>
      <c r="M3028" s="5">
        <v>-17.7064958256685</v>
      </c>
      <c r="N3028" s="5">
        <v>-17.7064958256685</v>
      </c>
      <c r="O3028" s="5">
        <v>-17.7064958256685</v>
      </c>
      <c r="P3028" s="5">
        <v>0.0</v>
      </c>
      <c r="Q3028" s="5">
        <v>0.0</v>
      </c>
      <c r="R3028" s="5">
        <v>0.0</v>
      </c>
      <c r="S3028" s="5">
        <v>1114.38117593001</v>
      </c>
    </row>
    <row r="3029">
      <c r="A3029" s="6">
        <v>44716.0</v>
      </c>
      <c r="B3029" s="5">
        <v>1134.85006852169</v>
      </c>
      <c r="C3029" s="5">
        <v>1058.53560259499</v>
      </c>
      <c r="D3029" s="5">
        <v>1182.71293743091</v>
      </c>
      <c r="E3029" s="5">
        <v>1133.71579269596</v>
      </c>
      <c r="F3029" s="5">
        <v>1135.47407281016</v>
      </c>
      <c r="G3029" s="5">
        <v>-16.2669821537719</v>
      </c>
      <c r="H3029" s="5">
        <v>-16.2669821537719</v>
      </c>
      <c r="I3029" s="5">
        <v>-16.2669821537719</v>
      </c>
      <c r="J3029" s="5">
        <v>1.20724640991054</v>
      </c>
      <c r="K3029" s="5">
        <v>1.20724640991054</v>
      </c>
      <c r="L3029" s="5">
        <v>1.20724640991054</v>
      </c>
      <c r="M3029" s="5">
        <v>-17.4742285636825</v>
      </c>
      <c r="N3029" s="5">
        <v>-17.4742285636825</v>
      </c>
      <c r="O3029" s="5">
        <v>-17.4742285636825</v>
      </c>
      <c r="P3029" s="5">
        <v>0.0</v>
      </c>
      <c r="Q3029" s="5">
        <v>0.0</v>
      </c>
      <c r="R3029" s="5">
        <v>0.0</v>
      </c>
      <c r="S3029" s="5">
        <v>1118.58308636792</v>
      </c>
    </row>
    <row r="3030">
      <c r="A3030" s="6">
        <v>44717.0</v>
      </c>
      <c r="B3030" s="5">
        <v>1136.0209147212</v>
      </c>
      <c r="C3030" s="5">
        <v>1057.94568072524</v>
      </c>
      <c r="D3030" s="5">
        <v>1179.91143885781</v>
      </c>
      <c r="E3030" s="5">
        <v>1134.85187268095</v>
      </c>
      <c r="F3030" s="5">
        <v>1136.66812092378</v>
      </c>
      <c r="G3030" s="5">
        <v>-16.0715225879243</v>
      </c>
      <c r="H3030" s="5">
        <v>-16.0715225879243</v>
      </c>
      <c r="I3030" s="5">
        <v>-16.0715225879243</v>
      </c>
      <c r="J3030" s="5">
        <v>1.20724879233035</v>
      </c>
      <c r="K3030" s="5">
        <v>1.20724879233035</v>
      </c>
      <c r="L3030" s="5">
        <v>1.20724879233035</v>
      </c>
      <c r="M3030" s="5">
        <v>-17.2787713802547</v>
      </c>
      <c r="N3030" s="5">
        <v>-17.2787713802547</v>
      </c>
      <c r="O3030" s="5">
        <v>-17.2787713802547</v>
      </c>
      <c r="P3030" s="5">
        <v>0.0</v>
      </c>
      <c r="Q3030" s="5">
        <v>0.0</v>
      </c>
      <c r="R3030" s="5">
        <v>0.0</v>
      </c>
      <c r="S3030" s="5">
        <v>1119.94939213328</v>
      </c>
    </row>
    <row r="3031">
      <c r="A3031" s="6">
        <v>44718.0</v>
      </c>
      <c r="B3031" s="5">
        <v>1137.19176092071</v>
      </c>
      <c r="C3031" s="5">
        <v>1060.4362244143</v>
      </c>
      <c r="D3031" s="5">
        <v>1184.75299029666</v>
      </c>
      <c r="E3031" s="5">
        <v>1135.97647890427</v>
      </c>
      <c r="F3031" s="5">
        <v>1137.87143859669</v>
      </c>
      <c r="G3031" s="5">
        <v>-17.0312733013746</v>
      </c>
      <c r="H3031" s="5">
        <v>-17.0312733013746</v>
      </c>
      <c r="I3031" s="5">
        <v>-17.0312733013746</v>
      </c>
      <c r="J3031" s="5">
        <v>0.0905589421231088</v>
      </c>
      <c r="K3031" s="5">
        <v>0.0905589421231088</v>
      </c>
      <c r="L3031" s="5">
        <v>0.0905589421231088</v>
      </c>
      <c r="M3031" s="5">
        <v>-17.1218322434977</v>
      </c>
      <c r="N3031" s="5">
        <v>-17.1218322434977</v>
      </c>
      <c r="O3031" s="5">
        <v>-17.1218322434977</v>
      </c>
      <c r="P3031" s="5">
        <v>0.0</v>
      </c>
      <c r="Q3031" s="5">
        <v>0.0</v>
      </c>
      <c r="R3031" s="5">
        <v>0.0</v>
      </c>
      <c r="S3031" s="5">
        <v>1120.16048761934</v>
      </c>
    </row>
    <row r="3032">
      <c r="A3032" s="6">
        <v>44719.0</v>
      </c>
      <c r="B3032" s="5">
        <v>1138.36260712023</v>
      </c>
      <c r="C3032" s="5">
        <v>1055.97704615391</v>
      </c>
      <c r="D3032" s="5">
        <v>1185.15107338374</v>
      </c>
      <c r="E3032" s="5">
        <v>1137.09965394567</v>
      </c>
      <c r="F3032" s="5">
        <v>1139.08583637629</v>
      </c>
      <c r="G3032" s="5">
        <v>-17.1474413913084</v>
      </c>
      <c r="H3032" s="5">
        <v>-17.1474413913084</v>
      </c>
      <c r="I3032" s="5">
        <v>-17.1474413913084</v>
      </c>
      <c r="J3032" s="5">
        <v>-0.144118857244364</v>
      </c>
      <c r="K3032" s="5">
        <v>-0.144118857244364</v>
      </c>
      <c r="L3032" s="5">
        <v>-0.144118857244364</v>
      </c>
      <c r="M3032" s="5">
        <v>-17.003322534064</v>
      </c>
      <c r="N3032" s="5">
        <v>-17.003322534064</v>
      </c>
      <c r="O3032" s="5">
        <v>-17.003322534064</v>
      </c>
      <c r="P3032" s="5">
        <v>0.0</v>
      </c>
      <c r="Q3032" s="5">
        <v>0.0</v>
      </c>
      <c r="R3032" s="5">
        <v>0.0</v>
      </c>
      <c r="S3032" s="5">
        <v>1121.21516572892</v>
      </c>
    </row>
    <row r="3033">
      <c r="A3033" s="6">
        <v>44720.0</v>
      </c>
      <c r="B3033" s="5">
        <v>1139.53345331974</v>
      </c>
      <c r="C3033" s="5">
        <v>1060.6988477678</v>
      </c>
      <c r="D3033" s="5">
        <v>1183.15594218365</v>
      </c>
      <c r="E3033" s="5">
        <v>1138.20063478725</v>
      </c>
      <c r="F3033" s="5">
        <v>1140.28956017974</v>
      </c>
      <c r="G3033" s="5">
        <v>-16.9143662387855</v>
      </c>
      <c r="H3033" s="5">
        <v>-16.9143662387855</v>
      </c>
      <c r="I3033" s="5">
        <v>-16.9143662387855</v>
      </c>
      <c r="J3033" s="5">
        <v>0.00703780528018781</v>
      </c>
      <c r="K3033" s="5">
        <v>0.00703780528018781</v>
      </c>
      <c r="L3033" s="5">
        <v>0.00703780528018781</v>
      </c>
      <c r="M3033" s="5">
        <v>-16.9214040440657</v>
      </c>
      <c r="N3033" s="5">
        <v>-16.9214040440657</v>
      </c>
      <c r="O3033" s="5">
        <v>-16.9214040440657</v>
      </c>
      <c r="P3033" s="5">
        <v>0.0</v>
      </c>
      <c r="Q3033" s="5">
        <v>0.0</v>
      </c>
      <c r="R3033" s="5">
        <v>0.0</v>
      </c>
      <c r="S3033" s="5">
        <v>1122.61908708096</v>
      </c>
    </row>
    <row r="3034">
      <c r="A3034" s="6">
        <v>44721.0</v>
      </c>
      <c r="B3034" s="5">
        <v>1140.70429951925</v>
      </c>
      <c r="C3034" s="5">
        <v>1060.71180782703</v>
      </c>
      <c r="D3034" s="5">
        <v>1189.73251421472</v>
      </c>
      <c r="E3034" s="5">
        <v>1139.31706371584</v>
      </c>
      <c r="F3034" s="5">
        <v>1141.50310483418</v>
      </c>
      <c r="G3034" s="5">
        <v>-17.6490121488839</v>
      </c>
      <c r="H3034" s="5">
        <v>-17.6490121488839</v>
      </c>
      <c r="I3034" s="5">
        <v>-17.6490121488839</v>
      </c>
      <c r="J3034" s="5">
        <v>-0.776422525901296</v>
      </c>
      <c r="K3034" s="5">
        <v>-0.776422525901296</v>
      </c>
      <c r="L3034" s="5">
        <v>-0.776422525901296</v>
      </c>
      <c r="M3034" s="5">
        <v>-16.8725896229826</v>
      </c>
      <c r="N3034" s="5">
        <v>-16.8725896229826</v>
      </c>
      <c r="O3034" s="5">
        <v>-16.8725896229826</v>
      </c>
      <c r="P3034" s="5">
        <v>0.0</v>
      </c>
      <c r="Q3034" s="5">
        <v>0.0</v>
      </c>
      <c r="R3034" s="5">
        <v>0.0</v>
      </c>
      <c r="S3034" s="5">
        <v>1123.05528737037</v>
      </c>
    </row>
    <row r="3035">
      <c r="A3035" s="6">
        <v>44722.0</v>
      </c>
      <c r="B3035" s="5">
        <v>1141.87514571877</v>
      </c>
      <c r="C3035" s="5">
        <v>1060.23617583238</v>
      </c>
      <c r="D3035" s="5">
        <v>1181.59273922527</v>
      </c>
      <c r="E3035" s="5">
        <v>1140.43858310472</v>
      </c>
      <c r="F3035" s="5">
        <v>1142.7155071225</v>
      </c>
      <c r="G3035" s="5">
        <v>-18.4434447357933</v>
      </c>
      <c r="H3035" s="5">
        <v>-18.4434447357933</v>
      </c>
      <c r="I3035" s="5">
        <v>-18.4434447357933</v>
      </c>
      <c r="J3035" s="5">
        <v>-1.59155056649505</v>
      </c>
      <c r="K3035" s="5">
        <v>-1.59155056649505</v>
      </c>
      <c r="L3035" s="5">
        <v>-1.59155056649505</v>
      </c>
      <c r="M3035" s="5">
        <v>-16.8518941692982</v>
      </c>
      <c r="N3035" s="5">
        <v>-16.8518941692982</v>
      </c>
      <c r="O3035" s="5">
        <v>-16.8518941692982</v>
      </c>
      <c r="P3035" s="5">
        <v>0.0</v>
      </c>
      <c r="Q3035" s="5">
        <v>0.0</v>
      </c>
      <c r="R3035" s="5">
        <v>0.0</v>
      </c>
      <c r="S3035" s="5">
        <v>1123.43170098297</v>
      </c>
    </row>
    <row r="3036">
      <c r="A3036" s="6">
        <v>44723.0</v>
      </c>
      <c r="B3036" s="5">
        <v>1143.04599191828</v>
      </c>
      <c r="C3036" s="5">
        <v>1062.72177620719</v>
      </c>
      <c r="D3036" s="5">
        <v>1190.91987510717</v>
      </c>
      <c r="E3036" s="5">
        <v>1141.57358540139</v>
      </c>
      <c r="F3036" s="5">
        <v>1143.94827047157</v>
      </c>
      <c r="G3036" s="5">
        <v>-15.645784759903</v>
      </c>
      <c r="H3036" s="5">
        <v>-15.645784759903</v>
      </c>
      <c r="I3036" s="5">
        <v>-15.645784759903</v>
      </c>
      <c r="J3036" s="5">
        <v>1.20724640991266</v>
      </c>
      <c r="K3036" s="5">
        <v>1.20724640991266</v>
      </c>
      <c r="L3036" s="5">
        <v>1.20724640991266</v>
      </c>
      <c r="M3036" s="5">
        <v>-16.8530311698157</v>
      </c>
      <c r="N3036" s="5">
        <v>-16.8530311698157</v>
      </c>
      <c r="O3036" s="5">
        <v>-16.8530311698157</v>
      </c>
      <c r="P3036" s="5">
        <v>0.0</v>
      </c>
      <c r="Q3036" s="5">
        <v>0.0</v>
      </c>
      <c r="R3036" s="5">
        <v>0.0</v>
      </c>
      <c r="S3036" s="5">
        <v>1127.40020715838</v>
      </c>
    </row>
    <row r="3037">
      <c r="A3037" s="6">
        <v>44724.0</v>
      </c>
      <c r="B3037" s="5">
        <v>1144.21683811779</v>
      </c>
      <c r="C3037" s="5">
        <v>1068.04215659511</v>
      </c>
      <c r="D3037" s="5">
        <v>1193.39667555051</v>
      </c>
      <c r="E3037" s="5">
        <v>1142.70824549951</v>
      </c>
      <c r="F3037" s="5">
        <v>1145.1696230215</v>
      </c>
      <c r="G3037" s="5">
        <v>-15.6613998442605</v>
      </c>
      <c r="H3037" s="5">
        <v>-15.6613998442605</v>
      </c>
      <c r="I3037" s="5">
        <v>-15.6613998442605</v>
      </c>
      <c r="J3037" s="5">
        <v>1.20724879232827</v>
      </c>
      <c r="K3037" s="5">
        <v>1.20724879232827</v>
      </c>
      <c r="L3037" s="5">
        <v>1.20724879232827</v>
      </c>
      <c r="M3037" s="5">
        <v>-16.8686486365887</v>
      </c>
      <c r="N3037" s="5">
        <v>-16.8686486365887</v>
      </c>
      <c r="O3037" s="5">
        <v>-16.8686486365887</v>
      </c>
      <c r="P3037" s="5">
        <v>0.0</v>
      </c>
      <c r="Q3037" s="5">
        <v>0.0</v>
      </c>
      <c r="R3037" s="5">
        <v>0.0</v>
      </c>
      <c r="S3037" s="5">
        <v>1128.55543827353</v>
      </c>
    </row>
    <row r="3038">
      <c r="A3038" s="6">
        <v>44725.0</v>
      </c>
      <c r="B3038" s="5">
        <v>1145.38768431731</v>
      </c>
      <c r="C3038" s="5">
        <v>1064.30218067908</v>
      </c>
      <c r="D3038" s="5">
        <v>1187.83570683756</v>
      </c>
      <c r="E3038" s="5">
        <v>1143.80007525748</v>
      </c>
      <c r="F3038" s="5">
        <v>1146.38757773215</v>
      </c>
      <c r="G3038" s="5">
        <v>-16.8000381821899</v>
      </c>
      <c r="H3038" s="5">
        <v>-16.8000381821899</v>
      </c>
      <c r="I3038" s="5">
        <v>-16.8000381821899</v>
      </c>
      <c r="J3038" s="5">
        <v>0.0905589421216713</v>
      </c>
      <c r="K3038" s="5">
        <v>0.0905589421216713</v>
      </c>
      <c r="L3038" s="5">
        <v>0.0905589421216713</v>
      </c>
      <c r="M3038" s="5">
        <v>-16.8905971243116</v>
      </c>
      <c r="N3038" s="5">
        <v>-16.8905971243116</v>
      </c>
      <c r="O3038" s="5">
        <v>-16.8905971243116</v>
      </c>
      <c r="P3038" s="5">
        <v>0.0</v>
      </c>
      <c r="Q3038" s="5">
        <v>0.0</v>
      </c>
      <c r="R3038" s="5">
        <v>0.0</v>
      </c>
      <c r="S3038" s="5">
        <v>1128.58764613512</v>
      </c>
    </row>
    <row r="3039">
      <c r="A3039" s="6">
        <v>44726.0</v>
      </c>
      <c r="B3039" s="5">
        <v>1146.55853051682</v>
      </c>
      <c r="C3039" s="5">
        <v>1065.59085925486</v>
      </c>
      <c r="D3039" s="5">
        <v>1194.05826872768</v>
      </c>
      <c r="E3039" s="5">
        <v>1144.93132563268</v>
      </c>
      <c r="F3039" s="5">
        <v>1147.60571825563</v>
      </c>
      <c r="G3039" s="5">
        <v>-17.0543404208496</v>
      </c>
      <c r="H3039" s="5">
        <v>-17.0543404208496</v>
      </c>
      <c r="I3039" s="5">
        <v>-17.0543404208496</v>
      </c>
      <c r="J3039" s="5">
        <v>-0.144118857248628</v>
      </c>
      <c r="K3039" s="5">
        <v>-0.144118857248628</v>
      </c>
      <c r="L3039" s="5">
        <v>-0.144118857248628</v>
      </c>
      <c r="M3039" s="5">
        <v>-16.910221563601</v>
      </c>
      <c r="N3039" s="5">
        <v>-16.910221563601</v>
      </c>
      <c r="O3039" s="5">
        <v>-16.910221563601</v>
      </c>
      <c r="P3039" s="5">
        <v>0.0</v>
      </c>
      <c r="Q3039" s="5">
        <v>0.0</v>
      </c>
      <c r="R3039" s="5">
        <v>0.0</v>
      </c>
      <c r="S3039" s="5">
        <v>1129.50419009597</v>
      </c>
    </row>
    <row r="3040">
      <c r="A3040" s="6">
        <v>44727.0</v>
      </c>
      <c r="B3040" s="5">
        <v>1147.72937671633</v>
      </c>
      <c r="C3040" s="5">
        <v>1067.6084252501</v>
      </c>
      <c r="D3040" s="5">
        <v>1190.46148724356</v>
      </c>
      <c r="E3040" s="5">
        <v>1146.05852779889</v>
      </c>
      <c r="F3040" s="5">
        <v>1148.81809537008</v>
      </c>
      <c r="G3040" s="5">
        <v>-16.9116301406429</v>
      </c>
      <c r="H3040" s="5">
        <v>-16.9116301406429</v>
      </c>
      <c r="I3040" s="5">
        <v>-16.9116301406429</v>
      </c>
      <c r="J3040" s="5">
        <v>0.00703780528149888</v>
      </c>
      <c r="K3040" s="5">
        <v>0.00703780528149888</v>
      </c>
      <c r="L3040" s="5">
        <v>0.00703780528149888</v>
      </c>
      <c r="M3040" s="5">
        <v>-16.9186679459244</v>
      </c>
      <c r="N3040" s="5">
        <v>-16.9186679459244</v>
      </c>
      <c r="O3040" s="5">
        <v>-16.9186679459244</v>
      </c>
      <c r="P3040" s="5">
        <v>0.0</v>
      </c>
      <c r="Q3040" s="5">
        <v>0.0</v>
      </c>
      <c r="R3040" s="5">
        <v>0.0</v>
      </c>
      <c r="S3040" s="5">
        <v>1130.81774657569</v>
      </c>
    </row>
    <row r="3041">
      <c r="A3041" s="6">
        <v>44728.0</v>
      </c>
      <c r="B3041" s="5">
        <v>1148.90022291585</v>
      </c>
      <c r="C3041" s="5">
        <v>1069.80149129795</v>
      </c>
      <c r="D3041" s="5">
        <v>1194.59314994887</v>
      </c>
      <c r="E3041" s="5">
        <v>1147.16583365092</v>
      </c>
      <c r="F3041" s="5">
        <v>1150.02248014048</v>
      </c>
      <c r="G3041" s="5">
        <v>-17.6836179906457</v>
      </c>
      <c r="H3041" s="5">
        <v>-17.6836179906457</v>
      </c>
      <c r="I3041" s="5">
        <v>-17.6836179906457</v>
      </c>
      <c r="J3041" s="5">
        <v>-0.776422525902018</v>
      </c>
      <c r="K3041" s="5">
        <v>-0.776422525902018</v>
      </c>
      <c r="L3041" s="5">
        <v>-0.776422525902018</v>
      </c>
      <c r="M3041" s="5">
        <v>-16.9071954647437</v>
      </c>
      <c r="N3041" s="5">
        <v>-16.9071954647437</v>
      </c>
      <c r="O3041" s="5">
        <v>-16.9071954647437</v>
      </c>
      <c r="P3041" s="5">
        <v>0.0</v>
      </c>
      <c r="Q3041" s="5">
        <v>0.0</v>
      </c>
      <c r="R3041" s="5">
        <v>0.0</v>
      </c>
      <c r="S3041" s="5">
        <v>1131.2166049252</v>
      </c>
    </row>
    <row r="3042">
      <c r="A3042" s="6">
        <v>44729.0</v>
      </c>
      <c r="B3042" s="5">
        <v>1150.07106911536</v>
      </c>
      <c r="C3042" s="5">
        <v>1068.66192615872</v>
      </c>
      <c r="D3042" s="5">
        <v>1196.88262910004</v>
      </c>
      <c r="E3042" s="5">
        <v>1148.29951655255</v>
      </c>
      <c r="F3042" s="5">
        <v>1151.23923672068</v>
      </c>
      <c r="G3042" s="5">
        <v>-18.459035133933</v>
      </c>
      <c r="H3042" s="5">
        <v>-18.459035133933</v>
      </c>
      <c r="I3042" s="5">
        <v>-18.459035133933</v>
      </c>
      <c r="J3042" s="5">
        <v>-1.59155056649381</v>
      </c>
      <c r="K3042" s="5">
        <v>-1.59155056649381</v>
      </c>
      <c r="L3042" s="5">
        <v>-1.59155056649381</v>
      </c>
      <c r="M3042" s="5">
        <v>-16.8674845674392</v>
      </c>
      <c r="N3042" s="5">
        <v>-16.8674845674392</v>
      </c>
      <c r="O3042" s="5">
        <v>-16.8674845674392</v>
      </c>
      <c r="P3042" s="5">
        <v>0.0</v>
      </c>
      <c r="Q3042" s="5">
        <v>0.0</v>
      </c>
      <c r="R3042" s="5">
        <v>0.0</v>
      </c>
      <c r="S3042" s="5">
        <v>1131.61203398143</v>
      </c>
    </row>
    <row r="3043">
      <c r="A3043" s="6">
        <v>44730.0</v>
      </c>
      <c r="B3043" s="5">
        <v>1151.24191531487</v>
      </c>
      <c r="C3043" s="5">
        <v>1076.47002757616</v>
      </c>
      <c r="D3043" s="5">
        <v>1199.00501139525</v>
      </c>
      <c r="E3043" s="5">
        <v>1149.42532224162</v>
      </c>
      <c r="F3043" s="5">
        <v>1152.44499615806</v>
      </c>
      <c r="G3043" s="5">
        <v>-15.5846850980128</v>
      </c>
      <c r="H3043" s="5">
        <v>-15.5846850980128</v>
      </c>
      <c r="I3043" s="5">
        <v>-15.5846850980128</v>
      </c>
      <c r="J3043" s="5">
        <v>1.20724640991397</v>
      </c>
      <c r="K3043" s="5">
        <v>1.20724640991397</v>
      </c>
      <c r="L3043" s="5">
        <v>1.20724640991397</v>
      </c>
      <c r="M3043" s="5">
        <v>-16.7919315079267</v>
      </c>
      <c r="N3043" s="5">
        <v>-16.7919315079267</v>
      </c>
      <c r="O3043" s="5">
        <v>-16.7919315079267</v>
      </c>
      <c r="P3043" s="5">
        <v>0.0</v>
      </c>
      <c r="Q3043" s="5">
        <v>0.0</v>
      </c>
      <c r="R3043" s="5">
        <v>0.0</v>
      </c>
      <c r="S3043" s="5">
        <v>1135.65723021686</v>
      </c>
    </row>
    <row r="3044">
      <c r="A3044" s="6">
        <v>44731.0</v>
      </c>
      <c r="B3044" s="5">
        <v>1152.41276151439</v>
      </c>
      <c r="C3044" s="5">
        <v>1070.30834659282</v>
      </c>
      <c r="D3044" s="5">
        <v>1198.02822744575</v>
      </c>
      <c r="E3044" s="5">
        <v>1150.5635018742</v>
      </c>
      <c r="F3044" s="5">
        <v>1153.66302199848</v>
      </c>
      <c r="G3044" s="5">
        <v>-15.4666716141319</v>
      </c>
      <c r="H3044" s="5">
        <v>-15.4666716141319</v>
      </c>
      <c r="I3044" s="5">
        <v>-15.4666716141319</v>
      </c>
      <c r="J3044" s="5">
        <v>1.20724879233189</v>
      </c>
      <c r="K3044" s="5">
        <v>1.20724879233189</v>
      </c>
      <c r="L3044" s="5">
        <v>1.20724879233189</v>
      </c>
      <c r="M3044" s="5">
        <v>-16.6739204064638</v>
      </c>
      <c r="N3044" s="5">
        <v>-16.6739204064638</v>
      </c>
      <c r="O3044" s="5">
        <v>-16.6739204064638</v>
      </c>
      <c r="P3044" s="5">
        <v>0.0</v>
      </c>
      <c r="Q3044" s="5">
        <v>0.0</v>
      </c>
      <c r="R3044" s="5">
        <v>0.0</v>
      </c>
      <c r="S3044" s="5">
        <v>1136.94608990025</v>
      </c>
    </row>
    <row r="3045">
      <c r="A3045" s="6">
        <v>44732.0</v>
      </c>
      <c r="B3045" s="5">
        <v>1153.5836077139</v>
      </c>
      <c r="C3045" s="5">
        <v>1078.6732029119</v>
      </c>
      <c r="D3045" s="5">
        <v>1201.17172307131</v>
      </c>
      <c r="E3045" s="5">
        <v>1151.6806785037</v>
      </c>
      <c r="F3045" s="5">
        <v>1154.8810478389</v>
      </c>
      <c r="G3045" s="5">
        <v>-16.4175055661752</v>
      </c>
      <c r="H3045" s="5">
        <v>-16.4175055661752</v>
      </c>
      <c r="I3045" s="5">
        <v>-16.4175055661752</v>
      </c>
      <c r="J3045" s="5">
        <v>0.0905589421202338</v>
      </c>
      <c r="K3045" s="5">
        <v>0.0905589421202338</v>
      </c>
      <c r="L3045" s="5">
        <v>0.0905589421202338</v>
      </c>
      <c r="M3045" s="5">
        <v>-16.5080645082954</v>
      </c>
      <c r="N3045" s="5">
        <v>-16.5080645082954</v>
      </c>
      <c r="O3045" s="5">
        <v>-16.5080645082954</v>
      </c>
      <c r="P3045" s="5">
        <v>0.0</v>
      </c>
      <c r="Q3045" s="5">
        <v>0.0</v>
      </c>
      <c r="R3045" s="5">
        <v>0.0</v>
      </c>
      <c r="S3045" s="5">
        <v>1137.16610214772</v>
      </c>
    </row>
    <row r="3046">
      <c r="A3046" s="6">
        <v>44733.0</v>
      </c>
      <c r="B3046" s="5">
        <v>1154.75445391341</v>
      </c>
      <c r="C3046" s="5">
        <v>1076.93076192359</v>
      </c>
      <c r="D3046" s="5">
        <v>1202.03044369849</v>
      </c>
      <c r="E3046" s="5">
        <v>1152.78591314173</v>
      </c>
      <c r="F3046" s="5">
        <v>1156.11445819753</v>
      </c>
      <c r="G3046" s="5">
        <v>-16.4345281229759</v>
      </c>
      <c r="H3046" s="5">
        <v>-16.4345281229759</v>
      </c>
      <c r="I3046" s="5">
        <v>-16.4345281229759</v>
      </c>
      <c r="J3046" s="5">
        <v>-0.144118857245016</v>
      </c>
      <c r="K3046" s="5">
        <v>-0.144118857245016</v>
      </c>
      <c r="L3046" s="5">
        <v>-0.144118857245016</v>
      </c>
      <c r="M3046" s="5">
        <v>-16.2904092657309</v>
      </c>
      <c r="N3046" s="5">
        <v>-16.2904092657309</v>
      </c>
      <c r="O3046" s="5">
        <v>-16.2904092657309</v>
      </c>
      <c r="P3046" s="5">
        <v>0.0</v>
      </c>
      <c r="Q3046" s="5">
        <v>0.0</v>
      </c>
      <c r="R3046" s="5">
        <v>0.0</v>
      </c>
      <c r="S3046" s="5">
        <v>1138.31992579044</v>
      </c>
    </row>
    <row r="3047">
      <c r="A3047" s="6">
        <v>44734.0</v>
      </c>
      <c r="B3047" s="5">
        <v>1155.92530011293</v>
      </c>
      <c r="C3047" s="5">
        <v>1074.97174294805</v>
      </c>
      <c r="D3047" s="5">
        <v>1204.43502123832</v>
      </c>
      <c r="E3047" s="5">
        <v>1153.88412881108</v>
      </c>
      <c r="F3047" s="5">
        <v>1157.33178774354</v>
      </c>
      <c r="G3047" s="5">
        <v>-16.011553215921</v>
      </c>
      <c r="H3047" s="5">
        <v>-16.011553215921</v>
      </c>
      <c r="I3047" s="5">
        <v>-16.011553215921</v>
      </c>
      <c r="J3047" s="5">
        <v>0.0070378052804655</v>
      </c>
      <c r="K3047" s="5">
        <v>0.0070378052804655</v>
      </c>
      <c r="L3047" s="5">
        <v>0.0070378052804655</v>
      </c>
      <c r="M3047" s="5">
        <v>-16.0185910212015</v>
      </c>
      <c r="N3047" s="5">
        <v>-16.0185910212015</v>
      </c>
      <c r="O3047" s="5">
        <v>-16.0185910212015</v>
      </c>
      <c r="P3047" s="5">
        <v>0.0</v>
      </c>
      <c r="Q3047" s="5">
        <v>0.0</v>
      </c>
      <c r="R3047" s="5">
        <v>0.0</v>
      </c>
      <c r="S3047" s="5">
        <v>1139.91374689701</v>
      </c>
    </row>
    <row r="3048">
      <c r="A3048" s="6">
        <v>44735.0</v>
      </c>
      <c r="B3048" s="5">
        <v>1157.09614631244</v>
      </c>
      <c r="C3048" s="5">
        <v>1080.36849830195</v>
      </c>
      <c r="D3048" s="5">
        <v>1203.71778508272</v>
      </c>
      <c r="E3048" s="5">
        <v>1155.01385697084</v>
      </c>
      <c r="F3048" s="5">
        <v>1158.56414970007</v>
      </c>
      <c r="G3048" s="5">
        <v>-16.4683689328374</v>
      </c>
      <c r="H3048" s="5">
        <v>-16.4683689328374</v>
      </c>
      <c r="I3048" s="5">
        <v>-16.4683689328374</v>
      </c>
      <c r="J3048" s="5">
        <v>-0.776422525904114</v>
      </c>
      <c r="K3048" s="5">
        <v>-0.776422525904114</v>
      </c>
      <c r="L3048" s="5">
        <v>-0.776422525904114</v>
      </c>
      <c r="M3048" s="5">
        <v>-15.6919464069333</v>
      </c>
      <c r="N3048" s="5">
        <v>-15.6919464069333</v>
      </c>
      <c r="O3048" s="5">
        <v>-15.6919464069333</v>
      </c>
      <c r="P3048" s="5">
        <v>0.0</v>
      </c>
      <c r="Q3048" s="5">
        <v>0.0</v>
      </c>
      <c r="R3048" s="5">
        <v>0.0</v>
      </c>
      <c r="S3048" s="5">
        <v>1140.6277773796</v>
      </c>
    </row>
    <row r="3049">
      <c r="A3049" s="6">
        <v>44736.0</v>
      </c>
      <c r="B3049" s="5">
        <v>1158.26699251195</v>
      </c>
      <c r="C3049" s="5">
        <v>1078.71817897222</v>
      </c>
      <c r="D3049" s="5">
        <v>1205.40023354809</v>
      </c>
      <c r="E3049" s="5">
        <v>1156.14764425002</v>
      </c>
      <c r="F3049" s="5">
        <v>1159.79356137262</v>
      </c>
      <c r="G3049" s="5">
        <v>-16.9031196268042</v>
      </c>
      <c r="H3049" s="5">
        <v>-16.9031196268042</v>
      </c>
      <c r="I3049" s="5">
        <v>-16.9031196268042</v>
      </c>
      <c r="J3049" s="5">
        <v>-1.59155056649288</v>
      </c>
      <c r="K3049" s="5">
        <v>-1.59155056649288</v>
      </c>
      <c r="L3049" s="5">
        <v>-1.59155056649288</v>
      </c>
      <c r="M3049" s="5">
        <v>-15.3115690603113</v>
      </c>
      <c r="N3049" s="5">
        <v>-15.3115690603113</v>
      </c>
      <c r="O3049" s="5">
        <v>-15.3115690603113</v>
      </c>
      <c r="P3049" s="5">
        <v>0.0</v>
      </c>
      <c r="Q3049" s="5">
        <v>0.0</v>
      </c>
      <c r="R3049" s="5">
        <v>0.0</v>
      </c>
      <c r="S3049" s="5">
        <v>1141.36387288515</v>
      </c>
    </row>
    <row r="3050">
      <c r="A3050" s="6">
        <v>44737.0</v>
      </c>
      <c r="B3050" s="5">
        <v>1159.43783871147</v>
      </c>
      <c r="C3050" s="5">
        <v>1080.24822706093</v>
      </c>
      <c r="D3050" s="5">
        <v>1208.83076231811</v>
      </c>
      <c r="E3050" s="5">
        <v>1157.28143152921</v>
      </c>
      <c r="F3050" s="5">
        <v>1161.02392062163</v>
      </c>
      <c r="G3050" s="5">
        <v>-13.6730654281953</v>
      </c>
      <c r="H3050" s="5">
        <v>-13.6730654281953</v>
      </c>
      <c r="I3050" s="5">
        <v>-13.6730654281953</v>
      </c>
      <c r="J3050" s="5">
        <v>1.20724640990786</v>
      </c>
      <c r="K3050" s="5">
        <v>1.20724640990786</v>
      </c>
      <c r="L3050" s="5">
        <v>1.20724640990786</v>
      </c>
      <c r="M3050" s="5">
        <v>-14.8803118381032</v>
      </c>
      <c r="N3050" s="5">
        <v>-14.8803118381032</v>
      </c>
      <c r="O3050" s="5">
        <v>-14.8803118381032</v>
      </c>
      <c r="P3050" s="5">
        <v>0.0</v>
      </c>
      <c r="Q3050" s="5">
        <v>0.0</v>
      </c>
      <c r="R3050" s="5">
        <v>0.0</v>
      </c>
      <c r="S3050" s="5">
        <v>1145.76477328327</v>
      </c>
    </row>
    <row r="3051">
      <c r="A3051" s="6">
        <v>44738.0</v>
      </c>
      <c r="B3051" s="5">
        <v>1160.60868491098</v>
      </c>
      <c r="C3051" s="5">
        <v>1084.25817314957</v>
      </c>
      <c r="D3051" s="5">
        <v>1213.5686492801</v>
      </c>
      <c r="E3051" s="5">
        <v>1158.40781114369</v>
      </c>
      <c r="F3051" s="5">
        <v>1162.25850629358</v>
      </c>
      <c r="G3051" s="5">
        <v>-13.1954855580574</v>
      </c>
      <c r="H3051" s="5">
        <v>-13.1954855580574</v>
      </c>
      <c r="I3051" s="5">
        <v>-13.1954855580574</v>
      </c>
      <c r="J3051" s="5">
        <v>1.20724879232981</v>
      </c>
      <c r="K3051" s="5">
        <v>1.20724879232981</v>
      </c>
      <c r="L3051" s="5">
        <v>1.20724879232981</v>
      </c>
      <c r="M3051" s="5">
        <v>-14.4027343503872</v>
      </c>
      <c r="N3051" s="5">
        <v>-14.4027343503872</v>
      </c>
      <c r="O3051" s="5">
        <v>-14.4027343503872</v>
      </c>
      <c r="P3051" s="5">
        <v>0.0</v>
      </c>
      <c r="Q3051" s="5">
        <v>0.0</v>
      </c>
      <c r="R3051" s="5">
        <v>0.0</v>
      </c>
      <c r="S3051" s="5">
        <v>1147.41319935292</v>
      </c>
    </row>
    <row r="3052">
      <c r="A3052" s="6">
        <v>44739.0</v>
      </c>
      <c r="B3052" s="5">
        <v>1161.77953111049</v>
      </c>
      <c r="C3052" s="5">
        <v>1088.16882835028</v>
      </c>
      <c r="D3052" s="5">
        <v>1214.19319493434</v>
      </c>
      <c r="E3052" s="5">
        <v>1159.5034699292</v>
      </c>
      <c r="F3052" s="5">
        <v>1163.48496284624</v>
      </c>
      <c r="G3052" s="5">
        <v>-13.7944383349673</v>
      </c>
      <c r="H3052" s="5">
        <v>-13.7944383349673</v>
      </c>
      <c r="I3052" s="5">
        <v>-13.7944383349673</v>
      </c>
      <c r="J3052" s="5">
        <v>0.0905589421187966</v>
      </c>
      <c r="K3052" s="5">
        <v>0.0905589421187966</v>
      </c>
      <c r="L3052" s="5">
        <v>0.0905589421187966</v>
      </c>
      <c r="M3052" s="5">
        <v>-13.8849972770861</v>
      </c>
      <c r="N3052" s="5">
        <v>-13.8849972770861</v>
      </c>
      <c r="O3052" s="5">
        <v>-13.8849972770861</v>
      </c>
      <c r="P3052" s="5">
        <v>0.0</v>
      </c>
      <c r="Q3052" s="5">
        <v>0.0</v>
      </c>
      <c r="R3052" s="5">
        <v>0.0</v>
      </c>
      <c r="S3052" s="5">
        <v>1147.98509277553</v>
      </c>
    </row>
    <row r="3053">
      <c r="A3053" s="6">
        <v>44740.0</v>
      </c>
      <c r="B3053" s="5">
        <v>1162.95037731001</v>
      </c>
      <c r="C3053" s="5">
        <v>1087.08908283887</v>
      </c>
      <c r="D3053" s="5">
        <v>1216.04679130435</v>
      </c>
      <c r="E3053" s="5">
        <v>1160.64288558617</v>
      </c>
      <c r="F3053" s="5">
        <v>1164.71987851953</v>
      </c>
      <c r="G3053" s="5">
        <v>-13.4788253848703</v>
      </c>
      <c r="H3053" s="5">
        <v>-13.4788253848703</v>
      </c>
      <c r="I3053" s="5">
        <v>-13.4788253848703</v>
      </c>
      <c r="J3053" s="5">
        <v>-0.144118857246452</v>
      </c>
      <c r="K3053" s="5">
        <v>-0.144118857246452</v>
      </c>
      <c r="L3053" s="5">
        <v>-0.144118857246452</v>
      </c>
      <c r="M3053" s="5">
        <v>-13.3347065276239</v>
      </c>
      <c r="N3053" s="5">
        <v>-13.3347065276239</v>
      </c>
      <c r="O3053" s="5">
        <v>-13.3347065276239</v>
      </c>
      <c r="P3053" s="5">
        <v>0.0</v>
      </c>
      <c r="Q3053" s="5">
        <v>0.0</v>
      </c>
      <c r="R3053" s="5">
        <v>0.0</v>
      </c>
      <c r="S3053" s="5">
        <v>1149.47155192514</v>
      </c>
    </row>
    <row r="3054">
      <c r="A3054" s="6">
        <v>44741.0</v>
      </c>
      <c r="B3054" s="5">
        <v>1164.12122350952</v>
      </c>
      <c r="C3054" s="5">
        <v>1083.96963097927</v>
      </c>
      <c r="D3054" s="5">
        <v>1211.01199930087</v>
      </c>
      <c r="E3054" s="5">
        <v>1161.72764562509</v>
      </c>
      <c r="F3054" s="5">
        <v>1165.93888797831</v>
      </c>
      <c r="G3054" s="5">
        <v>-12.7536740043179</v>
      </c>
      <c r="H3054" s="5">
        <v>-12.7536740043179</v>
      </c>
      <c r="I3054" s="5">
        <v>-12.7536740043179</v>
      </c>
      <c r="J3054" s="5">
        <v>0.00703780528177654</v>
      </c>
      <c r="K3054" s="5">
        <v>0.00703780528177654</v>
      </c>
      <c r="L3054" s="5">
        <v>0.00703780528177654</v>
      </c>
      <c r="M3054" s="5">
        <v>-12.7607118095997</v>
      </c>
      <c r="N3054" s="5">
        <v>-12.7607118095997</v>
      </c>
      <c r="O3054" s="5">
        <v>-12.7607118095997</v>
      </c>
      <c r="P3054" s="5">
        <v>0.0</v>
      </c>
      <c r="Q3054" s="5">
        <v>0.0</v>
      </c>
      <c r="R3054" s="5">
        <v>0.0</v>
      </c>
      <c r="S3054" s="5">
        <v>1151.3675495052</v>
      </c>
    </row>
    <row r="3055">
      <c r="A3055" s="6">
        <v>44742.0</v>
      </c>
      <c r="B3055" s="5">
        <v>1165.29206970903</v>
      </c>
      <c r="C3055" s="5">
        <v>1086.29171450731</v>
      </c>
      <c r="D3055" s="5">
        <v>1212.75597496522</v>
      </c>
      <c r="E3055" s="5">
        <v>1162.84766719696</v>
      </c>
      <c r="F3055" s="5">
        <v>1167.16745715732</v>
      </c>
      <c r="G3055" s="5">
        <v>-12.9492880665856</v>
      </c>
      <c r="H3055" s="5">
        <v>-12.9492880665856</v>
      </c>
      <c r="I3055" s="5">
        <v>-12.9492880665856</v>
      </c>
      <c r="J3055" s="5">
        <v>-0.776422525899137</v>
      </c>
      <c r="K3055" s="5">
        <v>-0.776422525899137</v>
      </c>
      <c r="L3055" s="5">
        <v>-0.776422525899137</v>
      </c>
      <c r="M3055" s="5">
        <v>-12.1728655406865</v>
      </c>
      <c r="N3055" s="5">
        <v>-12.1728655406865</v>
      </c>
      <c r="O3055" s="5">
        <v>-12.1728655406865</v>
      </c>
      <c r="P3055" s="5">
        <v>0.0</v>
      </c>
      <c r="Q3055" s="5">
        <v>0.0</v>
      </c>
      <c r="R3055" s="5">
        <v>0.0</v>
      </c>
      <c r="S3055" s="5">
        <v>1152.34278164245</v>
      </c>
    </row>
    <row r="3056">
      <c r="A3056" s="6">
        <v>44743.0</v>
      </c>
      <c r="B3056" s="5">
        <v>1166.46291590855</v>
      </c>
      <c r="C3056" s="5">
        <v>1089.9869663951</v>
      </c>
      <c r="D3056" s="5">
        <v>1218.26154746041</v>
      </c>
      <c r="E3056" s="5">
        <v>1163.98247531004</v>
      </c>
      <c r="F3056" s="5">
        <v>1168.39944703588</v>
      </c>
      <c r="G3056" s="5">
        <v>-13.1732997950126</v>
      </c>
      <c r="H3056" s="5">
        <v>-13.1732997950126</v>
      </c>
      <c r="I3056" s="5">
        <v>-13.1732997950126</v>
      </c>
      <c r="J3056" s="5">
        <v>-1.59155056649195</v>
      </c>
      <c r="K3056" s="5">
        <v>-1.59155056649195</v>
      </c>
      <c r="L3056" s="5">
        <v>-1.59155056649195</v>
      </c>
      <c r="M3056" s="5">
        <v>-11.5817492285207</v>
      </c>
      <c r="N3056" s="5">
        <v>-11.5817492285207</v>
      </c>
      <c r="O3056" s="5">
        <v>-11.5817492285207</v>
      </c>
      <c r="P3056" s="5">
        <v>0.0</v>
      </c>
      <c r="Q3056" s="5">
        <v>0.0</v>
      </c>
      <c r="R3056" s="5">
        <v>0.0</v>
      </c>
      <c r="S3056" s="5">
        <v>1153.28961611353</v>
      </c>
    </row>
    <row r="3057">
      <c r="A3057" s="6">
        <v>44744.0</v>
      </c>
      <c r="B3057" s="5">
        <v>1167.63376210806</v>
      </c>
      <c r="C3057" s="5">
        <v>1096.0060539499</v>
      </c>
      <c r="D3057" s="5">
        <v>1222.15398178282</v>
      </c>
      <c r="E3057" s="5">
        <v>1165.12243937591</v>
      </c>
      <c r="F3057" s="5">
        <v>1169.66866453953</v>
      </c>
      <c r="G3057" s="5">
        <v>-9.7911290106606</v>
      </c>
      <c r="H3057" s="5">
        <v>-9.7911290106606</v>
      </c>
      <c r="I3057" s="5">
        <v>-9.7911290106606</v>
      </c>
      <c r="J3057" s="5">
        <v>1.20724640990836</v>
      </c>
      <c r="K3057" s="5">
        <v>1.20724640990836</v>
      </c>
      <c r="L3057" s="5">
        <v>1.20724640990836</v>
      </c>
      <c r="M3057" s="5">
        <v>-10.9983754205689</v>
      </c>
      <c r="N3057" s="5">
        <v>-10.9983754205689</v>
      </c>
      <c r="O3057" s="5">
        <v>-10.9983754205689</v>
      </c>
      <c r="P3057" s="5">
        <v>0.0</v>
      </c>
      <c r="Q3057" s="5">
        <v>0.0</v>
      </c>
      <c r="R3057" s="5">
        <v>0.0</v>
      </c>
      <c r="S3057" s="5">
        <v>1157.8426330974</v>
      </c>
    </row>
    <row r="3058">
      <c r="A3058" s="6">
        <v>44745.0</v>
      </c>
      <c r="B3058" s="5">
        <v>1168.80460830757</v>
      </c>
      <c r="C3058" s="5">
        <v>1099.75218695613</v>
      </c>
      <c r="D3058" s="5">
        <v>1224.76584410437</v>
      </c>
      <c r="E3058" s="5">
        <v>1166.26273707886</v>
      </c>
      <c r="F3058" s="5">
        <v>1170.90873893369</v>
      </c>
      <c r="G3058" s="5">
        <v>-9.22662526875382</v>
      </c>
      <c r="H3058" s="5">
        <v>-9.22662526875382</v>
      </c>
      <c r="I3058" s="5">
        <v>-9.22662526875382</v>
      </c>
      <c r="J3058" s="5">
        <v>1.20724879233127</v>
      </c>
      <c r="K3058" s="5">
        <v>1.20724879233127</v>
      </c>
      <c r="L3058" s="5">
        <v>1.20724879233127</v>
      </c>
      <c r="M3058" s="5">
        <v>-10.433874061085</v>
      </c>
      <c r="N3058" s="5">
        <v>-10.433874061085</v>
      </c>
      <c r="O3058" s="5">
        <v>-10.433874061085</v>
      </c>
      <c r="P3058" s="5">
        <v>0.0</v>
      </c>
      <c r="Q3058" s="5">
        <v>0.0</v>
      </c>
      <c r="R3058" s="5">
        <v>0.0</v>
      </c>
      <c r="S3058" s="5">
        <v>1159.57798303882</v>
      </c>
    </row>
    <row r="3059">
      <c r="A3059" s="6">
        <v>44746.0</v>
      </c>
      <c r="B3059" s="5">
        <v>1169.97545450709</v>
      </c>
      <c r="C3059" s="5">
        <v>1098.65812200123</v>
      </c>
      <c r="D3059" s="5">
        <v>1228.58486128086</v>
      </c>
      <c r="E3059" s="5">
        <v>1167.35184398524</v>
      </c>
      <c r="F3059" s="5">
        <v>1172.16291299945</v>
      </c>
      <c r="G3059" s="5">
        <v>-9.80861362122354</v>
      </c>
      <c r="H3059" s="5">
        <v>-9.80861362122354</v>
      </c>
      <c r="I3059" s="5">
        <v>-9.80861362122354</v>
      </c>
      <c r="J3059" s="5">
        <v>0.0905589421197429</v>
      </c>
      <c r="K3059" s="5">
        <v>0.0905589421197429</v>
      </c>
      <c r="L3059" s="5">
        <v>0.0905589421197429</v>
      </c>
      <c r="M3059" s="5">
        <v>-9.89917256334328</v>
      </c>
      <c r="N3059" s="5">
        <v>-9.89917256334328</v>
      </c>
      <c r="O3059" s="5">
        <v>-9.89917256334328</v>
      </c>
      <c r="P3059" s="5">
        <v>0.0</v>
      </c>
      <c r="Q3059" s="5">
        <v>0.0</v>
      </c>
      <c r="R3059" s="5">
        <v>0.0</v>
      </c>
      <c r="S3059" s="5">
        <v>1160.16684088586</v>
      </c>
    </row>
    <row r="3060">
      <c r="A3060" s="6">
        <v>44747.0</v>
      </c>
      <c r="B3060" s="5">
        <v>1171.1463007066</v>
      </c>
      <c r="C3060" s="5">
        <v>1101.76208912892</v>
      </c>
      <c r="D3060" s="5">
        <v>1227.40415616241</v>
      </c>
      <c r="E3060" s="5">
        <v>1168.46646492182</v>
      </c>
      <c r="F3060" s="5">
        <v>1173.3658813333</v>
      </c>
      <c r="G3060" s="5">
        <v>-9.5487979558298</v>
      </c>
      <c r="H3060" s="5">
        <v>-9.5487979558298</v>
      </c>
      <c r="I3060" s="5">
        <v>-9.5487979558298</v>
      </c>
      <c r="J3060" s="5">
        <v>-0.144118857245364</v>
      </c>
      <c r="K3060" s="5">
        <v>-0.144118857245364</v>
      </c>
      <c r="L3060" s="5">
        <v>-0.144118857245364</v>
      </c>
      <c r="M3060" s="5">
        <v>-9.40467909858444</v>
      </c>
      <c r="N3060" s="5">
        <v>-9.40467909858444</v>
      </c>
      <c r="O3060" s="5">
        <v>-9.40467909858444</v>
      </c>
      <c r="P3060" s="5">
        <v>0.0</v>
      </c>
      <c r="Q3060" s="5">
        <v>0.0</v>
      </c>
      <c r="R3060" s="5">
        <v>0.0</v>
      </c>
      <c r="S3060" s="5">
        <v>1161.59750275077</v>
      </c>
    </row>
    <row r="3061">
      <c r="A3061" s="6">
        <v>44748.0</v>
      </c>
      <c r="B3061" s="5">
        <v>1172.31714690611</v>
      </c>
      <c r="C3061" s="5">
        <v>1098.65073075885</v>
      </c>
      <c r="D3061" s="5">
        <v>1231.76851866946</v>
      </c>
      <c r="E3061" s="5">
        <v>1169.56995051255</v>
      </c>
      <c r="F3061" s="5">
        <v>1174.62158289162</v>
      </c>
      <c r="G3061" s="5">
        <v>-8.95294070775841</v>
      </c>
      <c r="H3061" s="5">
        <v>-8.95294070775841</v>
      </c>
      <c r="I3061" s="5">
        <v>-8.95294070775841</v>
      </c>
      <c r="J3061" s="5">
        <v>0.00703780528308758</v>
      </c>
      <c r="K3061" s="5">
        <v>0.00703780528308758</v>
      </c>
      <c r="L3061" s="5">
        <v>0.00703780528308758</v>
      </c>
      <c r="M3061" s="5">
        <v>-8.9599785130415</v>
      </c>
      <c r="N3061" s="5">
        <v>-8.9599785130415</v>
      </c>
      <c r="O3061" s="5">
        <v>-8.9599785130415</v>
      </c>
      <c r="P3061" s="5">
        <v>0.0</v>
      </c>
      <c r="Q3061" s="5">
        <v>0.0</v>
      </c>
      <c r="R3061" s="5">
        <v>0.0</v>
      </c>
      <c r="S3061" s="5">
        <v>1163.36420619835</v>
      </c>
    </row>
    <row r="3062">
      <c r="A3062" s="6">
        <v>44749.0</v>
      </c>
      <c r="B3062" s="5">
        <v>1173.48799310563</v>
      </c>
      <c r="C3062" s="5">
        <v>1103.80484080069</v>
      </c>
      <c r="D3062" s="5">
        <v>1227.7749151242</v>
      </c>
      <c r="E3062" s="5">
        <v>1170.69103701464</v>
      </c>
      <c r="F3062" s="5">
        <v>1175.87317425298</v>
      </c>
      <c r="G3062" s="5">
        <v>-9.34997243975415</v>
      </c>
      <c r="H3062" s="5">
        <v>-9.34997243975415</v>
      </c>
      <c r="I3062" s="5">
        <v>-9.34997243975415</v>
      </c>
      <c r="J3062" s="5">
        <v>-0.776422525901233</v>
      </c>
      <c r="K3062" s="5">
        <v>-0.776422525901233</v>
      </c>
      <c r="L3062" s="5">
        <v>-0.776422525901233</v>
      </c>
      <c r="M3062" s="5">
        <v>-8.57354991385291</v>
      </c>
      <c r="N3062" s="5">
        <v>-8.57354991385291</v>
      </c>
      <c r="O3062" s="5">
        <v>-8.57354991385291</v>
      </c>
      <c r="P3062" s="5">
        <v>0.0</v>
      </c>
      <c r="Q3062" s="5">
        <v>0.0</v>
      </c>
      <c r="R3062" s="5">
        <v>0.0</v>
      </c>
      <c r="S3062" s="5">
        <v>1164.13802066587</v>
      </c>
    </row>
    <row r="3063">
      <c r="A3063" s="6">
        <v>44750.0</v>
      </c>
      <c r="B3063" s="5">
        <v>1174.65883930514</v>
      </c>
      <c r="C3063" s="5">
        <v>1101.67085079126</v>
      </c>
      <c r="D3063" s="5">
        <v>1225.34178487653</v>
      </c>
      <c r="E3063" s="5">
        <v>1171.80946714723</v>
      </c>
      <c r="F3063" s="5">
        <v>1177.10181292375</v>
      </c>
      <c r="G3063" s="5">
        <v>-9.84406489157119</v>
      </c>
      <c r="H3063" s="5">
        <v>-9.84406489157119</v>
      </c>
      <c r="I3063" s="5">
        <v>-9.84406489157119</v>
      </c>
      <c r="J3063" s="5">
        <v>-1.59155056649103</v>
      </c>
      <c r="K3063" s="5">
        <v>-1.59155056649103</v>
      </c>
      <c r="L3063" s="5">
        <v>-1.59155056649103</v>
      </c>
      <c r="M3063" s="5">
        <v>-8.25251432508016</v>
      </c>
      <c r="N3063" s="5">
        <v>-8.25251432508016</v>
      </c>
      <c r="O3063" s="5">
        <v>-8.25251432508016</v>
      </c>
      <c r="P3063" s="5">
        <v>0.0</v>
      </c>
      <c r="Q3063" s="5">
        <v>0.0</v>
      </c>
      <c r="R3063" s="5">
        <v>0.0</v>
      </c>
      <c r="S3063" s="5">
        <v>1164.81477441357</v>
      </c>
    </row>
    <row r="3064">
      <c r="A3064" s="6">
        <v>44751.0</v>
      </c>
      <c r="B3064" s="5">
        <v>1175.82968550465</v>
      </c>
      <c r="C3064" s="5">
        <v>1104.5494711938</v>
      </c>
      <c r="D3064" s="5">
        <v>1230.20098381147</v>
      </c>
      <c r="E3064" s="5">
        <v>1172.92916926545</v>
      </c>
      <c r="F3064" s="5">
        <v>1178.30445633645</v>
      </c>
      <c r="G3064" s="5">
        <v>-6.79517351562814</v>
      </c>
      <c r="H3064" s="5">
        <v>-6.79517351562814</v>
      </c>
      <c r="I3064" s="5">
        <v>-6.79517351562814</v>
      </c>
      <c r="J3064" s="5">
        <v>1.20724640990967</v>
      </c>
      <c r="K3064" s="5">
        <v>1.20724640990967</v>
      </c>
      <c r="L3064" s="5">
        <v>1.20724640990967</v>
      </c>
      <c r="M3064" s="5">
        <v>-8.00241992553782</v>
      </c>
      <c r="N3064" s="5">
        <v>-8.00241992553782</v>
      </c>
      <c r="O3064" s="5">
        <v>-8.00241992553782</v>
      </c>
      <c r="P3064" s="5">
        <v>0.0</v>
      </c>
      <c r="Q3064" s="5">
        <v>0.0</v>
      </c>
      <c r="R3064" s="5">
        <v>0.0</v>
      </c>
      <c r="S3064" s="5">
        <v>1169.03451198902</v>
      </c>
    </row>
    <row r="3065">
      <c r="A3065" s="6">
        <v>44752.0</v>
      </c>
      <c r="B3065" s="5">
        <v>1177.00053170416</v>
      </c>
      <c r="C3065" s="5">
        <v>1102.47091367536</v>
      </c>
      <c r="D3065" s="5">
        <v>1231.0738663952</v>
      </c>
      <c r="E3065" s="5">
        <v>1174.06547018517</v>
      </c>
      <c r="F3065" s="5">
        <v>1179.54909186125</v>
      </c>
      <c r="G3065" s="5">
        <v>-6.61982247545953</v>
      </c>
      <c r="H3065" s="5">
        <v>-6.61982247545953</v>
      </c>
      <c r="I3065" s="5">
        <v>-6.61982247545953</v>
      </c>
      <c r="J3065" s="5">
        <v>1.20724879232919</v>
      </c>
      <c r="K3065" s="5">
        <v>1.20724879232919</v>
      </c>
      <c r="L3065" s="5">
        <v>1.20724879232919</v>
      </c>
      <c r="M3065" s="5">
        <v>-7.82707126778872</v>
      </c>
      <c r="N3065" s="5">
        <v>-7.82707126778872</v>
      </c>
      <c r="O3065" s="5">
        <v>-7.82707126778872</v>
      </c>
      <c r="P3065" s="5">
        <v>0.0</v>
      </c>
      <c r="Q3065" s="5">
        <v>0.0</v>
      </c>
      <c r="R3065" s="5">
        <v>0.0</v>
      </c>
      <c r="S3065" s="5">
        <v>1170.38070922871</v>
      </c>
    </row>
    <row r="3066">
      <c r="A3066" s="6">
        <v>44753.0</v>
      </c>
      <c r="B3066" s="5">
        <v>1178.17137790368</v>
      </c>
      <c r="C3066" s="5">
        <v>1104.55495347069</v>
      </c>
      <c r="D3066" s="5">
        <v>1231.14260410054</v>
      </c>
      <c r="E3066" s="5">
        <v>1175.19235336534</v>
      </c>
      <c r="F3066" s="5">
        <v>1180.7574478733</v>
      </c>
      <c r="G3066" s="5">
        <v>-7.63784863345297</v>
      </c>
      <c r="H3066" s="5">
        <v>-7.63784863345297</v>
      </c>
      <c r="I3066" s="5">
        <v>-7.63784863345297</v>
      </c>
      <c r="J3066" s="5">
        <v>0.0905589421232334</v>
      </c>
      <c r="K3066" s="5">
        <v>0.0905589421232334</v>
      </c>
      <c r="L3066" s="5">
        <v>0.0905589421232334</v>
      </c>
      <c r="M3066" s="5">
        <v>-7.72840757557621</v>
      </c>
      <c r="N3066" s="5">
        <v>-7.72840757557621</v>
      </c>
      <c r="O3066" s="5">
        <v>-7.72840757557621</v>
      </c>
      <c r="P3066" s="5">
        <v>0.0</v>
      </c>
      <c r="Q3066" s="5">
        <v>0.0</v>
      </c>
      <c r="R3066" s="5">
        <v>0.0</v>
      </c>
      <c r="S3066" s="5">
        <v>1170.53352927022</v>
      </c>
    </row>
    <row r="3067">
      <c r="A3067" s="6">
        <v>44754.0</v>
      </c>
      <c r="B3067" s="5">
        <v>1179.34222410319</v>
      </c>
      <c r="C3067" s="5">
        <v>1105.26878546196</v>
      </c>
      <c r="D3067" s="5">
        <v>1236.24235564355</v>
      </c>
      <c r="E3067" s="5">
        <v>1176.31923654551</v>
      </c>
      <c r="F3067" s="5">
        <v>1181.91847427962</v>
      </c>
      <c r="G3067" s="5">
        <v>-7.85055262171976</v>
      </c>
      <c r="H3067" s="5">
        <v>-7.85055262171976</v>
      </c>
      <c r="I3067" s="5">
        <v>-7.85055262171976</v>
      </c>
      <c r="J3067" s="5">
        <v>-0.144118857244276</v>
      </c>
      <c r="K3067" s="5">
        <v>-0.144118857244276</v>
      </c>
      <c r="L3067" s="5">
        <v>-0.144118857244276</v>
      </c>
      <c r="M3067" s="5">
        <v>-7.70643376447549</v>
      </c>
      <c r="N3067" s="5">
        <v>-7.70643376447549</v>
      </c>
      <c r="O3067" s="5">
        <v>-7.70643376447549</v>
      </c>
      <c r="P3067" s="5">
        <v>0.0</v>
      </c>
      <c r="Q3067" s="5">
        <v>0.0</v>
      </c>
      <c r="R3067" s="5">
        <v>0.0</v>
      </c>
      <c r="S3067" s="5">
        <v>1171.49167148147</v>
      </c>
    </row>
    <row r="3068">
      <c r="A3068" s="6">
        <v>44755.0</v>
      </c>
      <c r="B3068" s="5">
        <v>1180.5130703027</v>
      </c>
      <c r="C3068" s="5">
        <v>1113.11092116924</v>
      </c>
      <c r="D3068" s="5">
        <v>1236.23773812795</v>
      </c>
      <c r="E3068" s="5">
        <v>1177.44611972568</v>
      </c>
      <c r="F3068" s="5">
        <v>1183.14163743279</v>
      </c>
      <c r="G3068" s="5">
        <v>-7.75216846565249</v>
      </c>
      <c r="H3068" s="5">
        <v>-7.75216846565249</v>
      </c>
      <c r="I3068" s="5">
        <v>-7.75216846565249</v>
      </c>
      <c r="J3068" s="5">
        <v>0.0070378052800714</v>
      </c>
      <c r="K3068" s="5">
        <v>0.0070378052800714</v>
      </c>
      <c r="L3068" s="5">
        <v>0.0070378052800714</v>
      </c>
      <c r="M3068" s="5">
        <v>-7.75920627093256</v>
      </c>
      <c r="N3068" s="5">
        <v>-7.75920627093256</v>
      </c>
      <c r="O3068" s="5">
        <v>-7.75920627093256</v>
      </c>
      <c r="P3068" s="5">
        <v>0.0</v>
      </c>
      <c r="Q3068" s="5">
        <v>0.0</v>
      </c>
      <c r="R3068" s="5">
        <v>0.0</v>
      </c>
      <c r="S3068" s="5">
        <v>1172.76090183705</v>
      </c>
    </row>
    <row r="3069">
      <c r="A3069" s="6">
        <v>44756.0</v>
      </c>
      <c r="B3069" s="5">
        <v>1181.68391650222</v>
      </c>
      <c r="C3069" s="5">
        <v>1112.40368943635</v>
      </c>
      <c r="D3069" s="5">
        <v>1240.48892127338</v>
      </c>
      <c r="E3069" s="5">
        <v>1178.56684693786</v>
      </c>
      <c r="F3069" s="5">
        <v>1184.36341564734</v>
      </c>
      <c r="G3069" s="5">
        <v>-8.65929668089541</v>
      </c>
      <c r="H3069" s="5">
        <v>-8.65929668089541</v>
      </c>
      <c r="I3069" s="5">
        <v>-8.65929668089541</v>
      </c>
      <c r="J3069" s="5">
        <v>-0.77642252590058</v>
      </c>
      <c r="K3069" s="5">
        <v>-0.77642252590058</v>
      </c>
      <c r="L3069" s="5">
        <v>-0.77642252590058</v>
      </c>
      <c r="M3069" s="5">
        <v>-7.88287415499483</v>
      </c>
      <c r="N3069" s="5">
        <v>-7.88287415499483</v>
      </c>
      <c r="O3069" s="5">
        <v>-7.88287415499483</v>
      </c>
      <c r="P3069" s="5">
        <v>0.0</v>
      </c>
      <c r="Q3069" s="5">
        <v>0.0</v>
      </c>
      <c r="R3069" s="5">
        <v>0.0</v>
      </c>
      <c r="S3069" s="5">
        <v>1173.02461982132</v>
      </c>
    </row>
    <row r="3070">
      <c r="A3070" s="6">
        <v>44757.0</v>
      </c>
      <c r="B3070" s="5">
        <v>1182.85476270173</v>
      </c>
      <c r="C3070" s="5">
        <v>1115.15751808865</v>
      </c>
      <c r="D3070" s="5">
        <v>1238.02294072488</v>
      </c>
      <c r="E3070" s="5">
        <v>1179.69988608602</v>
      </c>
      <c r="F3070" s="5">
        <v>1185.62296116026</v>
      </c>
      <c r="G3070" s="5">
        <v>-9.66332487668978</v>
      </c>
      <c r="H3070" s="5">
        <v>-9.66332487668978</v>
      </c>
      <c r="I3070" s="5">
        <v>-9.66332487668978</v>
      </c>
      <c r="J3070" s="5">
        <v>-1.59155056648979</v>
      </c>
      <c r="K3070" s="5">
        <v>-1.59155056648979</v>
      </c>
      <c r="L3070" s="5">
        <v>-1.59155056648979</v>
      </c>
      <c r="M3070" s="5">
        <v>-8.07177431019999</v>
      </c>
      <c r="N3070" s="5">
        <v>-8.07177431019999</v>
      </c>
      <c r="O3070" s="5">
        <v>-8.07177431019999</v>
      </c>
      <c r="P3070" s="5">
        <v>0.0</v>
      </c>
      <c r="Q3070" s="5">
        <v>0.0</v>
      </c>
      <c r="R3070" s="5">
        <v>0.0</v>
      </c>
      <c r="S3070" s="5">
        <v>1173.19143782504</v>
      </c>
    </row>
    <row r="3071">
      <c r="A3071" s="6">
        <v>44758.0</v>
      </c>
      <c r="B3071" s="5">
        <v>1184.02560890124</v>
      </c>
      <c r="C3071" s="5">
        <v>1115.11868854705</v>
      </c>
      <c r="D3071" s="5">
        <v>1243.2285813098</v>
      </c>
      <c r="E3071" s="5">
        <v>1180.81855104429</v>
      </c>
      <c r="F3071" s="5">
        <v>1186.91874927889</v>
      </c>
      <c r="G3071" s="5">
        <v>-7.11133160909977</v>
      </c>
      <c r="H3071" s="5">
        <v>-7.11133160909977</v>
      </c>
      <c r="I3071" s="5">
        <v>-7.11133160909977</v>
      </c>
      <c r="J3071" s="5">
        <v>1.20724640990276</v>
      </c>
      <c r="K3071" s="5">
        <v>1.20724640990276</v>
      </c>
      <c r="L3071" s="5">
        <v>1.20724640990276</v>
      </c>
      <c r="M3071" s="5">
        <v>-8.31857801900254</v>
      </c>
      <c r="N3071" s="5">
        <v>-8.31857801900254</v>
      </c>
      <c r="O3071" s="5">
        <v>-8.31857801900254</v>
      </c>
      <c r="P3071" s="5">
        <v>0.0</v>
      </c>
      <c r="Q3071" s="5">
        <v>0.0</v>
      </c>
      <c r="R3071" s="5">
        <v>0.0</v>
      </c>
      <c r="S3071" s="5">
        <v>1176.91427729214</v>
      </c>
    </row>
    <row r="3072">
      <c r="A3072" s="6">
        <v>44759.0</v>
      </c>
      <c r="B3072" s="5">
        <v>1185.19645510076</v>
      </c>
      <c r="C3072" s="5">
        <v>1117.36441960897</v>
      </c>
      <c r="D3072" s="5">
        <v>1241.95519351423</v>
      </c>
      <c r="E3072" s="5">
        <v>1181.93809042192</v>
      </c>
      <c r="F3072" s="5">
        <v>1188.16866887391</v>
      </c>
      <c r="G3072" s="5">
        <v>-7.4072357892413</v>
      </c>
      <c r="H3072" s="5">
        <v>-7.4072357892413</v>
      </c>
      <c r="I3072" s="5">
        <v>-7.4072357892413</v>
      </c>
      <c r="J3072" s="5">
        <v>1.2072487923271</v>
      </c>
      <c r="K3072" s="5">
        <v>1.2072487923271</v>
      </c>
      <c r="L3072" s="5">
        <v>1.2072487923271</v>
      </c>
      <c r="M3072" s="5">
        <v>-8.61448458156841</v>
      </c>
      <c r="N3072" s="5">
        <v>-8.61448458156841</v>
      </c>
      <c r="O3072" s="5">
        <v>-8.61448458156841</v>
      </c>
      <c r="P3072" s="5">
        <v>0.0</v>
      </c>
      <c r="Q3072" s="5">
        <v>0.0</v>
      </c>
      <c r="R3072" s="5">
        <v>0.0</v>
      </c>
      <c r="S3072" s="5">
        <v>1177.78921931152</v>
      </c>
    </row>
    <row r="3073">
      <c r="A3073" s="6">
        <v>44760.0</v>
      </c>
      <c r="B3073" s="5">
        <v>1186.36730130027</v>
      </c>
      <c r="C3073" s="5">
        <v>1118.81248876411</v>
      </c>
      <c r="D3073" s="5">
        <v>1240.23983609428</v>
      </c>
      <c r="E3073" s="5">
        <v>1183.036932155</v>
      </c>
      <c r="F3073" s="5">
        <v>1189.43830265602</v>
      </c>
      <c r="G3073" s="5">
        <v>-8.85889742217432</v>
      </c>
      <c r="H3073" s="5">
        <v>-8.85889742217432</v>
      </c>
      <c r="I3073" s="5">
        <v>-8.85889742217432</v>
      </c>
      <c r="J3073" s="5">
        <v>0.0905589421241798</v>
      </c>
      <c r="K3073" s="5">
        <v>0.0905589421241798</v>
      </c>
      <c r="L3073" s="5">
        <v>0.0905589421241798</v>
      </c>
      <c r="M3073" s="5">
        <v>-8.9494563642985</v>
      </c>
      <c r="N3073" s="5">
        <v>-8.9494563642985</v>
      </c>
      <c r="O3073" s="5">
        <v>-8.9494563642985</v>
      </c>
      <c r="P3073" s="5">
        <v>0.0</v>
      </c>
      <c r="Q3073" s="5">
        <v>0.0</v>
      </c>
      <c r="R3073" s="5">
        <v>0.0</v>
      </c>
      <c r="S3073" s="5">
        <v>1177.5084038781</v>
      </c>
    </row>
    <row r="3074">
      <c r="A3074" s="6">
        <v>44761.0</v>
      </c>
      <c r="B3074" s="5">
        <v>1187.53814749978</v>
      </c>
      <c r="C3074" s="5">
        <v>1115.95796160159</v>
      </c>
      <c r="D3074" s="5">
        <v>1238.73065526749</v>
      </c>
      <c r="E3074" s="5">
        <v>1184.13686639967</v>
      </c>
      <c r="F3074" s="5">
        <v>1190.72217503524</v>
      </c>
      <c r="G3074" s="5">
        <v>-9.45660726104754</v>
      </c>
      <c r="H3074" s="5">
        <v>-9.45660726104754</v>
      </c>
      <c r="I3074" s="5">
        <v>-9.45660726104754</v>
      </c>
      <c r="J3074" s="5">
        <v>-0.144118857246016</v>
      </c>
      <c r="K3074" s="5">
        <v>-0.144118857246016</v>
      </c>
      <c r="L3074" s="5">
        <v>-0.144118857246016</v>
      </c>
      <c r="M3074" s="5">
        <v>-9.31248840380152</v>
      </c>
      <c r="N3074" s="5">
        <v>-9.31248840380152</v>
      </c>
      <c r="O3074" s="5">
        <v>-9.31248840380152</v>
      </c>
      <c r="P3074" s="5">
        <v>0.0</v>
      </c>
      <c r="Q3074" s="5">
        <v>0.0</v>
      </c>
      <c r="R3074" s="5">
        <v>0.0</v>
      </c>
      <c r="S3074" s="5">
        <v>1178.08154023874</v>
      </c>
    </row>
    <row r="3075">
      <c r="A3075" s="6">
        <v>44762.0</v>
      </c>
      <c r="B3075" s="5">
        <v>1188.7089936993</v>
      </c>
      <c r="C3075" s="5">
        <v>1113.75127495915</v>
      </c>
      <c r="D3075" s="5">
        <v>1241.29877517627</v>
      </c>
      <c r="E3075" s="5">
        <v>1185.25739182758</v>
      </c>
      <c r="F3075" s="5">
        <v>1191.94449220087</v>
      </c>
      <c r="G3075" s="5">
        <v>-9.6848668919411</v>
      </c>
      <c r="H3075" s="5">
        <v>-9.6848668919411</v>
      </c>
      <c r="I3075" s="5">
        <v>-9.6848668919411</v>
      </c>
      <c r="J3075" s="5">
        <v>0.0070378052813826</v>
      </c>
      <c r="K3075" s="5">
        <v>0.0070378052813826</v>
      </c>
      <c r="L3075" s="5">
        <v>0.0070378052813826</v>
      </c>
      <c r="M3075" s="5">
        <v>-9.69190469722248</v>
      </c>
      <c r="N3075" s="5">
        <v>-9.69190469722248</v>
      </c>
      <c r="O3075" s="5">
        <v>-9.69190469722248</v>
      </c>
      <c r="P3075" s="5">
        <v>0.0</v>
      </c>
      <c r="Q3075" s="5">
        <v>0.0</v>
      </c>
      <c r="R3075" s="5">
        <v>0.0</v>
      </c>
      <c r="S3075" s="5">
        <v>1179.02412680736</v>
      </c>
    </row>
    <row r="3076">
      <c r="A3076" s="6">
        <v>44763.0</v>
      </c>
      <c r="B3076" s="5">
        <v>1189.87983989881</v>
      </c>
      <c r="C3076" s="5">
        <v>1116.65378842713</v>
      </c>
      <c r="D3076" s="5">
        <v>1241.95377305129</v>
      </c>
      <c r="E3076" s="5">
        <v>1186.38062163186</v>
      </c>
      <c r="F3076" s="5">
        <v>1193.14986887564</v>
      </c>
      <c r="G3076" s="5">
        <v>-10.8520950675193</v>
      </c>
      <c r="H3076" s="5">
        <v>-10.8520950675193</v>
      </c>
      <c r="I3076" s="5">
        <v>-10.8520950675193</v>
      </c>
      <c r="J3076" s="5">
        <v>-0.776422525902677</v>
      </c>
      <c r="K3076" s="5">
        <v>-0.776422525902677</v>
      </c>
      <c r="L3076" s="5">
        <v>-0.776422525902677</v>
      </c>
      <c r="M3076" s="5">
        <v>-10.0756725416166</v>
      </c>
      <c r="N3076" s="5">
        <v>-10.0756725416166</v>
      </c>
      <c r="O3076" s="5">
        <v>-10.0756725416166</v>
      </c>
      <c r="P3076" s="5">
        <v>0.0</v>
      </c>
      <c r="Q3076" s="5">
        <v>0.0</v>
      </c>
      <c r="R3076" s="5">
        <v>0.0</v>
      </c>
      <c r="S3076" s="5">
        <v>1179.02774483129</v>
      </c>
    </row>
    <row r="3077">
      <c r="A3077" s="6">
        <v>44764.0</v>
      </c>
      <c r="B3077" s="5">
        <v>1191.05068609832</v>
      </c>
      <c r="C3077" s="5">
        <v>1117.62730301171</v>
      </c>
      <c r="D3077" s="5">
        <v>1246.13943852779</v>
      </c>
      <c r="E3077" s="5">
        <v>1187.49157708102</v>
      </c>
      <c r="F3077" s="5">
        <v>1194.39076033453</v>
      </c>
      <c r="G3077" s="5">
        <v>-12.0432763414953</v>
      </c>
      <c r="H3077" s="5">
        <v>-12.0432763414953</v>
      </c>
      <c r="I3077" s="5">
        <v>-12.0432763414953</v>
      </c>
      <c r="J3077" s="5">
        <v>-1.59155056649435</v>
      </c>
      <c r="K3077" s="5">
        <v>-1.59155056649435</v>
      </c>
      <c r="L3077" s="5">
        <v>-1.59155056649435</v>
      </c>
      <c r="M3077" s="5">
        <v>-10.4517257750009</v>
      </c>
      <c r="N3077" s="5">
        <v>-10.4517257750009</v>
      </c>
      <c r="O3077" s="5">
        <v>-10.4517257750009</v>
      </c>
      <c r="P3077" s="5">
        <v>0.0</v>
      </c>
      <c r="Q3077" s="5">
        <v>0.0</v>
      </c>
      <c r="R3077" s="5">
        <v>0.0</v>
      </c>
      <c r="S3077" s="5">
        <v>1179.00740975683</v>
      </c>
    </row>
    <row r="3078">
      <c r="A3078" s="6">
        <v>44765.0</v>
      </c>
      <c r="B3078" s="5">
        <v>1192.22153229784</v>
      </c>
      <c r="C3078" s="5">
        <v>1114.61478035833</v>
      </c>
      <c r="D3078" s="5">
        <v>1241.72472274494</v>
      </c>
      <c r="E3078" s="5">
        <v>1188.61038900392</v>
      </c>
      <c r="F3078" s="5">
        <v>1195.62602530634</v>
      </c>
      <c r="G3078" s="5">
        <v>-9.60104112541138</v>
      </c>
      <c r="H3078" s="5">
        <v>-9.60104112541138</v>
      </c>
      <c r="I3078" s="5">
        <v>-9.60104112541138</v>
      </c>
      <c r="J3078" s="5">
        <v>1.20724640990488</v>
      </c>
      <c r="K3078" s="5">
        <v>1.20724640990488</v>
      </c>
      <c r="L3078" s="5">
        <v>1.20724640990488</v>
      </c>
      <c r="M3078" s="5">
        <v>-10.8082875353162</v>
      </c>
      <c r="N3078" s="5">
        <v>-10.8082875353162</v>
      </c>
      <c r="O3078" s="5">
        <v>-10.8082875353162</v>
      </c>
      <c r="P3078" s="5">
        <v>0.0</v>
      </c>
      <c r="Q3078" s="5">
        <v>0.0</v>
      </c>
      <c r="R3078" s="5">
        <v>0.0</v>
      </c>
      <c r="S3078" s="5">
        <v>1182.62049117242</v>
      </c>
    </row>
    <row r="3079">
      <c r="A3079" s="6">
        <v>44766.0</v>
      </c>
      <c r="B3079" s="5">
        <v>1193.39237849735</v>
      </c>
      <c r="C3079" s="5">
        <v>1116.91577085928</v>
      </c>
      <c r="D3079" s="5">
        <v>1246.82460046254</v>
      </c>
      <c r="E3079" s="5">
        <v>1189.75291717113</v>
      </c>
      <c r="F3079" s="5">
        <v>1196.83462379008</v>
      </c>
      <c r="G3079" s="5">
        <v>-9.92693440481838</v>
      </c>
      <c r="H3079" s="5">
        <v>-9.92693440481838</v>
      </c>
      <c r="I3079" s="5">
        <v>-9.92693440481838</v>
      </c>
      <c r="J3079" s="5">
        <v>1.20724879232857</v>
      </c>
      <c r="K3079" s="5">
        <v>1.20724879232857</v>
      </c>
      <c r="L3079" s="5">
        <v>1.20724879232857</v>
      </c>
      <c r="M3079" s="5">
        <v>-11.1341831971469</v>
      </c>
      <c r="N3079" s="5">
        <v>-11.1341831971469</v>
      </c>
      <c r="O3079" s="5">
        <v>-11.1341831971469</v>
      </c>
      <c r="P3079" s="5">
        <v>0.0</v>
      </c>
      <c r="Q3079" s="5">
        <v>0.0</v>
      </c>
      <c r="R3079" s="5">
        <v>0.0</v>
      </c>
      <c r="S3079" s="5">
        <v>1183.46544409253</v>
      </c>
    </row>
    <row r="3080">
      <c r="A3080" s="6">
        <v>44767.0</v>
      </c>
      <c r="B3080" s="5">
        <v>1194.56322469686</v>
      </c>
      <c r="C3080" s="5">
        <v>1116.1974786722</v>
      </c>
      <c r="D3080" s="5">
        <v>1243.62081551556</v>
      </c>
      <c r="E3080" s="5">
        <v>1190.85815121425</v>
      </c>
      <c r="F3080" s="5">
        <v>1198.07258387905</v>
      </c>
      <c r="G3080" s="5">
        <v>-11.3285755255839</v>
      </c>
      <c r="H3080" s="5">
        <v>-11.3285755255839</v>
      </c>
      <c r="I3080" s="5">
        <v>-11.3285755255839</v>
      </c>
      <c r="J3080" s="5">
        <v>0.0905589421203585</v>
      </c>
      <c r="K3080" s="5">
        <v>0.0905589421203585</v>
      </c>
      <c r="L3080" s="5">
        <v>0.0905589421203585</v>
      </c>
      <c r="M3080" s="5">
        <v>-11.4191344677042</v>
      </c>
      <c r="N3080" s="5">
        <v>-11.4191344677042</v>
      </c>
      <c r="O3080" s="5">
        <v>-11.4191344677042</v>
      </c>
      <c r="P3080" s="5">
        <v>0.0</v>
      </c>
      <c r="Q3080" s="5">
        <v>0.0</v>
      </c>
      <c r="R3080" s="5">
        <v>0.0</v>
      </c>
      <c r="S3080" s="5">
        <v>1183.23464917128</v>
      </c>
    </row>
    <row r="3081">
      <c r="A3081" s="6">
        <v>44768.0</v>
      </c>
      <c r="B3081" s="5">
        <v>1195.73407089638</v>
      </c>
      <c r="C3081" s="5">
        <v>1122.9512529989</v>
      </c>
      <c r="D3081" s="5">
        <v>1247.46538437385</v>
      </c>
      <c r="E3081" s="5">
        <v>1191.97427941071</v>
      </c>
      <c r="F3081" s="5">
        <v>1199.35295772488</v>
      </c>
      <c r="G3081" s="5">
        <v>-11.7981450707216</v>
      </c>
      <c r="H3081" s="5">
        <v>-11.7981450707216</v>
      </c>
      <c r="I3081" s="5">
        <v>-11.7981450707216</v>
      </c>
      <c r="J3081" s="5">
        <v>-0.144118857244928</v>
      </c>
      <c r="K3081" s="5">
        <v>-0.144118857244928</v>
      </c>
      <c r="L3081" s="5">
        <v>-0.144118857244928</v>
      </c>
      <c r="M3081" s="5">
        <v>-11.6540262134767</v>
      </c>
      <c r="N3081" s="5">
        <v>-11.6540262134767</v>
      </c>
      <c r="O3081" s="5">
        <v>-11.6540262134767</v>
      </c>
      <c r="P3081" s="5">
        <v>0.0</v>
      </c>
      <c r="Q3081" s="5">
        <v>0.0</v>
      </c>
      <c r="R3081" s="5">
        <v>0.0</v>
      </c>
      <c r="S3081" s="5">
        <v>1183.93592582565</v>
      </c>
    </row>
    <row r="3082">
      <c r="A3082" s="6">
        <v>44769.0</v>
      </c>
      <c r="B3082" s="5">
        <v>1196.90491709589</v>
      </c>
      <c r="C3082" s="5">
        <v>1122.1176542953</v>
      </c>
      <c r="D3082" s="5">
        <v>1249.1980661663</v>
      </c>
      <c r="E3082" s="5">
        <v>1193.0942057082</v>
      </c>
      <c r="F3082" s="5">
        <v>1200.56590265652</v>
      </c>
      <c r="G3082" s="5">
        <v>-11.8241006231638</v>
      </c>
      <c r="H3082" s="5">
        <v>-11.8241006231638</v>
      </c>
      <c r="I3082" s="5">
        <v>-11.8241006231638</v>
      </c>
      <c r="J3082" s="5">
        <v>0.00703780528251278</v>
      </c>
      <c r="K3082" s="5">
        <v>0.00703780528251278</v>
      </c>
      <c r="L3082" s="5">
        <v>0.00703780528251278</v>
      </c>
      <c r="M3082" s="5">
        <v>-11.8311384284463</v>
      </c>
      <c r="N3082" s="5">
        <v>-11.8311384284463</v>
      </c>
      <c r="O3082" s="5">
        <v>-11.8311384284463</v>
      </c>
      <c r="P3082" s="5">
        <v>0.0</v>
      </c>
      <c r="Q3082" s="5">
        <v>0.0</v>
      </c>
      <c r="R3082" s="5">
        <v>0.0</v>
      </c>
      <c r="S3082" s="5">
        <v>1185.08081647273</v>
      </c>
    </row>
    <row r="3083">
      <c r="A3083" s="6">
        <v>44770.0</v>
      </c>
      <c r="B3083" s="5">
        <v>1198.0757632954</v>
      </c>
      <c r="C3083" s="5">
        <v>1123.84272179412</v>
      </c>
      <c r="D3083" s="5">
        <v>1247.73466698323</v>
      </c>
      <c r="E3083" s="5">
        <v>1194.22253783974</v>
      </c>
      <c r="F3083" s="5">
        <v>1201.77668153029</v>
      </c>
      <c r="G3083" s="5">
        <v>-12.720759344569</v>
      </c>
      <c r="H3083" s="5">
        <v>-12.720759344569</v>
      </c>
      <c r="I3083" s="5">
        <v>-12.720759344569</v>
      </c>
      <c r="J3083" s="5">
        <v>-0.776422525904774</v>
      </c>
      <c r="K3083" s="5">
        <v>-0.776422525904774</v>
      </c>
      <c r="L3083" s="5">
        <v>-0.776422525904774</v>
      </c>
      <c r="M3083" s="5">
        <v>-11.9443368186642</v>
      </c>
      <c r="N3083" s="5">
        <v>-11.9443368186642</v>
      </c>
      <c r="O3083" s="5">
        <v>-11.9443368186642</v>
      </c>
      <c r="P3083" s="5">
        <v>0.0</v>
      </c>
      <c r="Q3083" s="5">
        <v>0.0</v>
      </c>
      <c r="R3083" s="5">
        <v>0.0</v>
      </c>
      <c r="S3083" s="5">
        <v>1185.35500395083</v>
      </c>
    </row>
    <row r="3084">
      <c r="A3084" s="6">
        <v>44771.0</v>
      </c>
      <c r="B3084" s="5">
        <v>1199.24660949492</v>
      </c>
      <c r="C3084" s="5">
        <v>1124.80109180625</v>
      </c>
      <c r="D3084" s="5">
        <v>1253.09747163122</v>
      </c>
      <c r="E3084" s="5">
        <v>1195.34033430979</v>
      </c>
      <c r="F3084" s="5">
        <v>1202.97382550077</v>
      </c>
      <c r="G3084" s="5">
        <v>-13.5807672999347</v>
      </c>
      <c r="H3084" s="5">
        <v>-13.5807672999347</v>
      </c>
      <c r="I3084" s="5">
        <v>-13.5807672999347</v>
      </c>
      <c r="J3084" s="5">
        <v>-1.59155056649312</v>
      </c>
      <c r="K3084" s="5">
        <v>-1.59155056649312</v>
      </c>
      <c r="L3084" s="5">
        <v>-1.59155056649312</v>
      </c>
      <c r="M3084" s="5">
        <v>-11.9892167334416</v>
      </c>
      <c r="N3084" s="5">
        <v>-11.9892167334416</v>
      </c>
      <c r="O3084" s="5">
        <v>-11.9892167334416</v>
      </c>
      <c r="P3084" s="5">
        <v>0.0</v>
      </c>
      <c r="Q3084" s="5">
        <v>0.0</v>
      </c>
      <c r="R3084" s="5">
        <v>0.0</v>
      </c>
      <c r="S3084" s="5">
        <v>1185.66584219498</v>
      </c>
    </row>
    <row r="3085">
      <c r="A3085" s="6">
        <v>44772.0</v>
      </c>
      <c r="B3085" s="5">
        <v>1200.41745569443</v>
      </c>
      <c r="C3085" s="5">
        <v>1128.44254392933</v>
      </c>
      <c r="D3085" s="5">
        <v>1256.95382407848</v>
      </c>
      <c r="E3085" s="5">
        <v>1196.45478004896</v>
      </c>
      <c r="F3085" s="5">
        <v>1204.18615172997</v>
      </c>
      <c r="G3085" s="5">
        <v>-10.7559501727767</v>
      </c>
      <c r="H3085" s="5">
        <v>-10.7559501727767</v>
      </c>
      <c r="I3085" s="5">
        <v>-10.7559501727767</v>
      </c>
      <c r="J3085" s="5">
        <v>1.20724640990619</v>
      </c>
      <c r="K3085" s="5">
        <v>1.20724640990619</v>
      </c>
      <c r="L3085" s="5">
        <v>1.20724640990619</v>
      </c>
      <c r="M3085" s="5">
        <v>-11.9631965826829</v>
      </c>
      <c r="N3085" s="5">
        <v>-11.9631965826829</v>
      </c>
      <c r="O3085" s="5">
        <v>-11.9631965826829</v>
      </c>
      <c r="P3085" s="5">
        <v>0.0</v>
      </c>
      <c r="Q3085" s="5">
        <v>0.0</v>
      </c>
      <c r="R3085" s="5">
        <v>0.0</v>
      </c>
      <c r="S3085" s="5">
        <v>1189.66150552165</v>
      </c>
    </row>
    <row r="3086">
      <c r="A3086" s="6">
        <v>44773.0</v>
      </c>
      <c r="B3086" s="5">
        <v>1201.58830189394</v>
      </c>
      <c r="C3086" s="5">
        <v>1124.80641944774</v>
      </c>
      <c r="D3086" s="5">
        <v>1254.88167240602</v>
      </c>
      <c r="E3086" s="5">
        <v>1197.57561982133</v>
      </c>
      <c r="F3086" s="5">
        <v>1205.39481065477</v>
      </c>
      <c r="G3086" s="5">
        <v>-10.6583096077463</v>
      </c>
      <c r="H3086" s="5">
        <v>-10.6583096077463</v>
      </c>
      <c r="I3086" s="5">
        <v>-10.6583096077463</v>
      </c>
      <c r="J3086" s="5">
        <v>1.20724879232648</v>
      </c>
      <c r="K3086" s="5">
        <v>1.20724879232648</v>
      </c>
      <c r="L3086" s="5">
        <v>1.20724879232648</v>
      </c>
      <c r="M3086" s="5">
        <v>-11.8655584000727</v>
      </c>
      <c r="N3086" s="5">
        <v>-11.8655584000727</v>
      </c>
      <c r="O3086" s="5">
        <v>-11.8655584000727</v>
      </c>
      <c r="P3086" s="5">
        <v>0.0</v>
      </c>
      <c r="Q3086" s="5">
        <v>0.0</v>
      </c>
      <c r="R3086" s="5">
        <v>0.0</v>
      </c>
      <c r="S3086" s="5">
        <v>1190.9299922862</v>
      </c>
    </row>
    <row r="3087">
      <c r="A3087" s="6">
        <v>44774.0</v>
      </c>
      <c r="B3087" s="5">
        <v>1202.75914809346</v>
      </c>
      <c r="C3087" s="5">
        <v>1130.58039621646</v>
      </c>
      <c r="D3087" s="5">
        <v>1253.15534974369</v>
      </c>
      <c r="E3087" s="5">
        <v>1198.69645959371</v>
      </c>
      <c r="F3087" s="5">
        <v>1206.60529203664</v>
      </c>
      <c r="G3087" s="5">
        <v>-11.6068758550032</v>
      </c>
      <c r="H3087" s="5">
        <v>-11.6068758550032</v>
      </c>
      <c r="I3087" s="5">
        <v>-11.6068758550032</v>
      </c>
      <c r="J3087" s="5">
        <v>0.0905589421213049</v>
      </c>
      <c r="K3087" s="5">
        <v>0.0905589421213049</v>
      </c>
      <c r="L3087" s="5">
        <v>0.0905589421213049</v>
      </c>
      <c r="M3087" s="5">
        <v>-11.6974347971245</v>
      </c>
      <c r="N3087" s="5">
        <v>-11.6974347971245</v>
      </c>
      <c r="O3087" s="5">
        <v>-11.6974347971245</v>
      </c>
      <c r="P3087" s="5">
        <v>0.0</v>
      </c>
      <c r="Q3087" s="5">
        <v>0.0</v>
      </c>
      <c r="R3087" s="5">
        <v>0.0</v>
      </c>
      <c r="S3087" s="5">
        <v>1191.15227223845</v>
      </c>
    </row>
    <row r="3088">
      <c r="A3088" s="6">
        <v>44775.0</v>
      </c>
      <c r="B3088" s="5">
        <v>1203.92999429297</v>
      </c>
      <c r="C3088" s="5">
        <v>1128.83711611964</v>
      </c>
      <c r="D3088" s="5">
        <v>1255.70011306828</v>
      </c>
      <c r="E3088" s="5">
        <v>1199.81729936609</v>
      </c>
      <c r="F3088" s="5">
        <v>1207.85944743329</v>
      </c>
      <c r="G3088" s="5">
        <v>-11.6058620127274</v>
      </c>
      <c r="H3088" s="5">
        <v>-11.6058620127274</v>
      </c>
      <c r="I3088" s="5">
        <v>-11.6058620127274</v>
      </c>
      <c r="J3088" s="5">
        <v>-0.14411885724384</v>
      </c>
      <c r="K3088" s="5">
        <v>-0.14411885724384</v>
      </c>
      <c r="L3088" s="5">
        <v>-0.14411885724384</v>
      </c>
      <c r="M3088" s="5">
        <v>-11.4617431554835</v>
      </c>
      <c r="N3088" s="5">
        <v>-11.4617431554835</v>
      </c>
      <c r="O3088" s="5">
        <v>-11.4617431554835</v>
      </c>
      <c r="P3088" s="5">
        <v>0.0</v>
      </c>
      <c r="Q3088" s="5">
        <v>0.0</v>
      </c>
      <c r="R3088" s="5">
        <v>0.0</v>
      </c>
      <c r="S3088" s="5">
        <v>1192.32413228024</v>
      </c>
    </row>
    <row r="3089">
      <c r="A3089" s="6">
        <v>44776.0</v>
      </c>
      <c r="B3089" s="5">
        <v>1205.10084049248</v>
      </c>
      <c r="C3089" s="5">
        <v>1133.93951666392</v>
      </c>
      <c r="D3089" s="5">
        <v>1259.22452808916</v>
      </c>
      <c r="E3089" s="5">
        <v>1200.90819331372</v>
      </c>
      <c r="F3089" s="5">
        <v>1209.13601422132</v>
      </c>
      <c r="G3089" s="5">
        <v>-11.1560316708821</v>
      </c>
      <c r="H3089" s="5">
        <v>-11.1560316708821</v>
      </c>
      <c r="I3089" s="5">
        <v>-11.1560316708821</v>
      </c>
      <c r="J3089" s="5">
        <v>0.00703780528382382</v>
      </c>
      <c r="K3089" s="5">
        <v>0.00703780528382382</v>
      </c>
      <c r="L3089" s="5">
        <v>0.00703780528382382</v>
      </c>
      <c r="M3089" s="5">
        <v>-11.1630694761659</v>
      </c>
      <c r="N3089" s="5">
        <v>-11.1630694761659</v>
      </c>
      <c r="O3089" s="5">
        <v>-11.1630694761659</v>
      </c>
      <c r="P3089" s="5">
        <v>0.0</v>
      </c>
      <c r="Q3089" s="5">
        <v>0.0</v>
      </c>
      <c r="R3089" s="5">
        <v>0.0</v>
      </c>
      <c r="S3089" s="5">
        <v>1193.9448088216</v>
      </c>
    </row>
    <row r="3090">
      <c r="A3090" s="6">
        <v>44777.0</v>
      </c>
      <c r="B3090" s="5">
        <v>1206.271686692</v>
      </c>
      <c r="C3090" s="5">
        <v>1135.17594145438</v>
      </c>
      <c r="D3090" s="5">
        <v>1255.33806378097</v>
      </c>
      <c r="E3090" s="5">
        <v>1202.00856444598</v>
      </c>
      <c r="F3090" s="5">
        <v>1210.39239756134</v>
      </c>
      <c r="G3090" s="5">
        <v>-11.5839283231201</v>
      </c>
      <c r="H3090" s="5">
        <v>-11.5839283231201</v>
      </c>
      <c r="I3090" s="5">
        <v>-11.5839283231201</v>
      </c>
      <c r="J3090" s="5">
        <v>-0.776422525904121</v>
      </c>
      <c r="K3090" s="5">
        <v>-0.776422525904121</v>
      </c>
      <c r="L3090" s="5">
        <v>-0.776422525904121</v>
      </c>
      <c r="M3090" s="5">
        <v>-10.807505797216</v>
      </c>
      <c r="N3090" s="5">
        <v>-10.807505797216</v>
      </c>
      <c r="O3090" s="5">
        <v>-10.807505797216</v>
      </c>
      <c r="P3090" s="5">
        <v>0.0</v>
      </c>
      <c r="Q3090" s="5">
        <v>0.0</v>
      </c>
      <c r="R3090" s="5">
        <v>0.0</v>
      </c>
      <c r="S3090" s="5">
        <v>1194.68775836888</v>
      </c>
    </row>
    <row r="3091">
      <c r="A3091" s="6">
        <v>44778.0</v>
      </c>
      <c r="B3091" s="5">
        <v>1207.44253289151</v>
      </c>
      <c r="C3091" s="5">
        <v>1130.39285047217</v>
      </c>
      <c r="D3091" s="5">
        <v>1250.12996445657</v>
      </c>
      <c r="E3091" s="5">
        <v>1203.09952407203</v>
      </c>
      <c r="F3091" s="5">
        <v>1211.51507729622</v>
      </c>
      <c r="G3091" s="5">
        <v>-11.9939970271831</v>
      </c>
      <c r="H3091" s="5">
        <v>-11.9939970271831</v>
      </c>
      <c r="I3091" s="5">
        <v>-11.9939970271831</v>
      </c>
      <c r="J3091" s="5">
        <v>-1.59155056649282</v>
      </c>
      <c r="K3091" s="5">
        <v>-1.59155056649282</v>
      </c>
      <c r="L3091" s="5">
        <v>-1.59155056649282</v>
      </c>
      <c r="M3091" s="5">
        <v>-10.4024464606903</v>
      </c>
      <c r="N3091" s="5">
        <v>-10.4024464606903</v>
      </c>
      <c r="O3091" s="5">
        <v>-10.4024464606903</v>
      </c>
      <c r="P3091" s="5">
        <v>0.0</v>
      </c>
      <c r="Q3091" s="5">
        <v>0.0</v>
      </c>
      <c r="R3091" s="5">
        <v>0.0</v>
      </c>
      <c r="S3091" s="5">
        <v>1195.44853586433</v>
      </c>
    </row>
    <row r="3092">
      <c r="A3092" s="6">
        <v>44779.0</v>
      </c>
      <c r="B3092" s="5">
        <v>1208.61337909102</v>
      </c>
      <c r="C3092" s="5">
        <v>1137.97066048926</v>
      </c>
      <c r="D3092" s="5">
        <v>1262.93268643617</v>
      </c>
      <c r="E3092" s="5">
        <v>1204.22769206419</v>
      </c>
      <c r="F3092" s="5">
        <v>1212.67690601643</v>
      </c>
      <c r="G3092" s="5">
        <v>-8.74910330486152</v>
      </c>
      <c r="H3092" s="5">
        <v>-8.74910330486152</v>
      </c>
      <c r="I3092" s="5">
        <v>-8.74910330486152</v>
      </c>
      <c r="J3092" s="5">
        <v>1.20724640990749</v>
      </c>
      <c r="K3092" s="5">
        <v>1.20724640990749</v>
      </c>
      <c r="L3092" s="5">
        <v>1.20724640990749</v>
      </c>
      <c r="M3092" s="5">
        <v>-9.95634971476902</v>
      </c>
      <c r="N3092" s="5">
        <v>-9.95634971476902</v>
      </c>
      <c r="O3092" s="5">
        <v>-9.95634971476902</v>
      </c>
      <c r="P3092" s="5">
        <v>0.0</v>
      </c>
      <c r="Q3092" s="5">
        <v>0.0</v>
      </c>
      <c r="R3092" s="5">
        <v>0.0</v>
      </c>
      <c r="S3092" s="5">
        <v>1199.86427578616</v>
      </c>
    </row>
    <row r="3093">
      <c r="A3093" s="6">
        <v>44780.0</v>
      </c>
      <c r="B3093" s="5">
        <v>1209.78422529054</v>
      </c>
      <c r="C3093" s="5">
        <v>1138.66630875556</v>
      </c>
      <c r="D3093" s="5">
        <v>1267.22274853176</v>
      </c>
      <c r="E3093" s="5">
        <v>1205.36029089753</v>
      </c>
      <c r="F3093" s="5">
        <v>1213.93443294128</v>
      </c>
      <c r="G3093" s="5">
        <v>-8.27122334882362</v>
      </c>
      <c r="H3093" s="5">
        <v>-8.27122334882362</v>
      </c>
      <c r="I3093" s="5">
        <v>-8.27122334882362</v>
      </c>
      <c r="J3093" s="5">
        <v>1.2072487923301</v>
      </c>
      <c r="K3093" s="5">
        <v>1.2072487923301</v>
      </c>
      <c r="L3093" s="5">
        <v>1.2072487923301</v>
      </c>
      <c r="M3093" s="5">
        <v>-9.47847214115373</v>
      </c>
      <c r="N3093" s="5">
        <v>-9.47847214115373</v>
      </c>
      <c r="O3093" s="5">
        <v>-9.47847214115373</v>
      </c>
      <c r="P3093" s="5">
        <v>0.0</v>
      </c>
      <c r="Q3093" s="5">
        <v>0.0</v>
      </c>
      <c r="R3093" s="5">
        <v>0.0</v>
      </c>
      <c r="S3093" s="5">
        <v>1201.51300194171</v>
      </c>
    </row>
    <row r="3094">
      <c r="A3094" s="6">
        <v>44781.0</v>
      </c>
      <c r="B3094" s="5">
        <v>1210.95507149005</v>
      </c>
      <c r="C3094" s="5">
        <v>1134.49178513188</v>
      </c>
      <c r="D3094" s="5">
        <v>1268.24665114167</v>
      </c>
      <c r="E3094" s="5">
        <v>1206.49288973087</v>
      </c>
      <c r="F3094" s="5">
        <v>1215.24117920538</v>
      </c>
      <c r="G3094" s="5">
        <v>-8.88802522945597</v>
      </c>
      <c r="H3094" s="5">
        <v>-8.88802522945597</v>
      </c>
      <c r="I3094" s="5">
        <v>-8.88802522945597</v>
      </c>
      <c r="J3094" s="5">
        <v>0.0905589421222513</v>
      </c>
      <c r="K3094" s="5">
        <v>0.0905589421222513</v>
      </c>
      <c r="L3094" s="5">
        <v>0.0905589421222513</v>
      </c>
      <c r="M3094" s="5">
        <v>-8.97858417157822</v>
      </c>
      <c r="N3094" s="5">
        <v>-8.97858417157822</v>
      </c>
      <c r="O3094" s="5">
        <v>-8.97858417157822</v>
      </c>
      <c r="P3094" s="5">
        <v>0.0</v>
      </c>
      <c r="Q3094" s="5">
        <v>0.0</v>
      </c>
      <c r="R3094" s="5">
        <v>0.0</v>
      </c>
      <c r="S3094" s="5">
        <v>1202.06704626059</v>
      </c>
    </row>
    <row r="3095">
      <c r="A3095" s="6">
        <v>44782.0</v>
      </c>
      <c r="B3095" s="5">
        <v>1212.12591768956</v>
      </c>
      <c r="C3095" s="5">
        <v>1141.86435664798</v>
      </c>
      <c r="D3095" s="5">
        <v>1268.47503843323</v>
      </c>
      <c r="E3095" s="5">
        <v>1207.62548856421</v>
      </c>
      <c r="F3095" s="5">
        <v>1216.49647351498</v>
      </c>
      <c r="G3095" s="5">
        <v>-8.61079433456694</v>
      </c>
      <c r="H3095" s="5">
        <v>-8.61079433456694</v>
      </c>
      <c r="I3095" s="5">
        <v>-8.61079433456694</v>
      </c>
      <c r="J3095" s="5">
        <v>-0.144118857245276</v>
      </c>
      <c r="K3095" s="5">
        <v>-0.144118857245276</v>
      </c>
      <c r="L3095" s="5">
        <v>-0.144118857245276</v>
      </c>
      <c r="M3095" s="5">
        <v>-8.46667547732167</v>
      </c>
      <c r="N3095" s="5">
        <v>-8.46667547732167</v>
      </c>
      <c r="O3095" s="5">
        <v>-8.46667547732167</v>
      </c>
      <c r="P3095" s="5">
        <v>0.0</v>
      </c>
      <c r="Q3095" s="5">
        <v>0.0</v>
      </c>
      <c r="R3095" s="5">
        <v>0.0</v>
      </c>
      <c r="S3095" s="5">
        <v>1203.515123355</v>
      </c>
    </row>
    <row r="3096">
      <c r="A3096" s="6">
        <v>44783.0</v>
      </c>
      <c r="B3096" s="5">
        <v>1213.29676388907</v>
      </c>
      <c r="C3096" s="5">
        <v>1141.07011752704</v>
      </c>
      <c r="D3096" s="5">
        <v>1265.72378923124</v>
      </c>
      <c r="E3096" s="5">
        <v>1208.75250528616</v>
      </c>
      <c r="F3096" s="5">
        <v>1217.76736909793</v>
      </c>
      <c r="G3096" s="5">
        <v>-7.94562146151653</v>
      </c>
      <c r="H3096" s="5">
        <v>-7.94562146151653</v>
      </c>
      <c r="I3096" s="5">
        <v>-7.94562146151653</v>
      </c>
      <c r="J3096" s="5">
        <v>0.0070378052829714</v>
      </c>
      <c r="K3096" s="5">
        <v>0.0070378052829714</v>
      </c>
      <c r="L3096" s="5">
        <v>0.0070378052829714</v>
      </c>
      <c r="M3096" s="5">
        <v>-7.9526592667995</v>
      </c>
      <c r="N3096" s="5">
        <v>-7.9526592667995</v>
      </c>
      <c r="O3096" s="5">
        <v>-7.9526592667995</v>
      </c>
      <c r="P3096" s="5">
        <v>0.0</v>
      </c>
      <c r="Q3096" s="5">
        <v>0.0</v>
      </c>
      <c r="R3096" s="5">
        <v>0.0</v>
      </c>
      <c r="S3096" s="5">
        <v>1205.35114242756</v>
      </c>
    </row>
    <row r="3097">
      <c r="A3097" s="6">
        <v>44784.0</v>
      </c>
      <c r="B3097" s="5">
        <v>1214.46761008859</v>
      </c>
      <c r="C3097" s="5">
        <v>1144.31393344408</v>
      </c>
      <c r="D3097" s="5">
        <v>1269.82999009673</v>
      </c>
      <c r="E3097" s="5">
        <v>1209.87797454441</v>
      </c>
      <c r="F3097" s="5">
        <v>1219.02556366835</v>
      </c>
      <c r="G3097" s="5">
        <v>-8.22250702728148</v>
      </c>
      <c r="H3097" s="5">
        <v>-8.22250702728148</v>
      </c>
      <c r="I3097" s="5">
        <v>-8.22250702728148</v>
      </c>
      <c r="J3097" s="5">
        <v>-0.776422525906218</v>
      </c>
      <c r="K3097" s="5">
        <v>-0.776422525906218</v>
      </c>
      <c r="L3097" s="5">
        <v>-0.776422525906218</v>
      </c>
      <c r="M3097" s="5">
        <v>-7.44608450137526</v>
      </c>
      <c r="N3097" s="5">
        <v>-7.44608450137526</v>
      </c>
      <c r="O3097" s="5">
        <v>-7.44608450137526</v>
      </c>
      <c r="P3097" s="5">
        <v>0.0</v>
      </c>
      <c r="Q3097" s="5">
        <v>0.0</v>
      </c>
      <c r="R3097" s="5">
        <v>0.0</v>
      </c>
      <c r="S3097" s="5">
        <v>1206.24510306131</v>
      </c>
    </row>
    <row r="3098">
      <c r="A3098" s="6">
        <v>44785.0</v>
      </c>
      <c r="B3098" s="5">
        <v>1215.6384562881</v>
      </c>
      <c r="C3098" s="5">
        <v>1145.70441188504</v>
      </c>
      <c r="D3098" s="5">
        <v>1272.29791501257</v>
      </c>
      <c r="E3098" s="5">
        <v>1210.99171813456</v>
      </c>
      <c r="F3098" s="5">
        <v>1220.30226917782</v>
      </c>
      <c r="G3098" s="5">
        <v>-8.54741530629214</v>
      </c>
      <c r="H3098" s="5">
        <v>-8.54741530629214</v>
      </c>
      <c r="I3098" s="5">
        <v>-8.54741530629214</v>
      </c>
      <c r="J3098" s="5">
        <v>-1.59155056649707</v>
      </c>
      <c r="K3098" s="5">
        <v>-1.59155056649707</v>
      </c>
      <c r="L3098" s="5">
        <v>-1.59155056649707</v>
      </c>
      <c r="M3098" s="5">
        <v>-6.95586473979506</v>
      </c>
      <c r="N3098" s="5">
        <v>-6.95586473979506</v>
      </c>
      <c r="O3098" s="5">
        <v>-6.95586473979506</v>
      </c>
      <c r="P3098" s="5">
        <v>0.0</v>
      </c>
      <c r="Q3098" s="5">
        <v>0.0</v>
      </c>
      <c r="R3098" s="5">
        <v>0.0</v>
      </c>
      <c r="S3098" s="5">
        <v>1207.09104098181</v>
      </c>
    </row>
    <row r="3099">
      <c r="A3099" s="6">
        <v>44786.0</v>
      </c>
      <c r="B3099" s="5">
        <v>1216.80930248761</v>
      </c>
      <c r="C3099" s="5">
        <v>1147.60465806827</v>
      </c>
      <c r="D3099" s="5">
        <v>1275.91760490969</v>
      </c>
      <c r="E3099" s="5">
        <v>1212.10226913153</v>
      </c>
      <c r="F3099" s="5">
        <v>1221.5789746873</v>
      </c>
      <c r="G3099" s="5">
        <v>-5.28278534670965</v>
      </c>
      <c r="H3099" s="5">
        <v>-5.28278534670965</v>
      </c>
      <c r="I3099" s="5">
        <v>-5.28278534670965</v>
      </c>
      <c r="J3099" s="5">
        <v>1.2072464099088</v>
      </c>
      <c r="K3099" s="5">
        <v>1.2072464099088</v>
      </c>
      <c r="L3099" s="5">
        <v>1.2072464099088</v>
      </c>
      <c r="M3099" s="5">
        <v>-6.49003175661846</v>
      </c>
      <c r="N3099" s="5">
        <v>-6.49003175661846</v>
      </c>
      <c r="O3099" s="5">
        <v>-6.49003175661846</v>
      </c>
      <c r="P3099" s="5">
        <v>0.0</v>
      </c>
      <c r="Q3099" s="5">
        <v>0.0</v>
      </c>
      <c r="R3099" s="5">
        <v>0.0</v>
      </c>
      <c r="S3099" s="5">
        <v>1211.5265171409</v>
      </c>
    </row>
    <row r="3100">
      <c r="A3100" s="6">
        <v>44787.0</v>
      </c>
      <c r="B3100" s="5">
        <v>1217.98014868713</v>
      </c>
      <c r="C3100" s="5">
        <v>1149.24691630698</v>
      </c>
      <c r="D3100" s="5">
        <v>1275.6989815405</v>
      </c>
      <c r="E3100" s="5">
        <v>1213.21718331719</v>
      </c>
      <c r="F3100" s="5">
        <v>1222.84920059192</v>
      </c>
      <c r="G3100" s="5">
        <v>-4.84827247504242</v>
      </c>
      <c r="H3100" s="5">
        <v>-4.84827247504242</v>
      </c>
      <c r="I3100" s="5">
        <v>-4.84827247504242</v>
      </c>
      <c r="J3100" s="5">
        <v>1.20724879232802</v>
      </c>
      <c r="K3100" s="5">
        <v>1.20724879232802</v>
      </c>
      <c r="L3100" s="5">
        <v>1.20724879232802</v>
      </c>
      <c r="M3100" s="5">
        <v>-6.05552126737044</v>
      </c>
      <c r="N3100" s="5">
        <v>-6.05552126737044</v>
      </c>
      <c r="O3100" s="5">
        <v>-6.05552126737044</v>
      </c>
      <c r="P3100" s="5">
        <v>0.0</v>
      </c>
      <c r="Q3100" s="5">
        <v>0.0</v>
      </c>
      <c r="R3100" s="5">
        <v>0.0</v>
      </c>
      <c r="S3100" s="5">
        <v>1213.13187621209</v>
      </c>
    </row>
    <row r="3101">
      <c r="A3101" s="6">
        <v>44788.0</v>
      </c>
      <c r="B3101" s="5">
        <v>1219.15099488664</v>
      </c>
      <c r="C3101" s="5">
        <v>1150.41940956293</v>
      </c>
      <c r="D3101" s="5">
        <v>1276.10920013388</v>
      </c>
      <c r="E3101" s="5">
        <v>1214.32773392193</v>
      </c>
      <c r="F3101" s="5">
        <v>1224.11887646928</v>
      </c>
      <c r="G3101" s="5">
        <v>-5.56743811585154</v>
      </c>
      <c r="H3101" s="5">
        <v>-5.56743811585154</v>
      </c>
      <c r="I3101" s="5">
        <v>-5.56743811585154</v>
      </c>
      <c r="J3101" s="5">
        <v>0.0905589421184301</v>
      </c>
      <c r="K3101" s="5">
        <v>0.0905589421184301</v>
      </c>
      <c r="L3101" s="5">
        <v>0.0905589421184301</v>
      </c>
      <c r="M3101" s="5">
        <v>-5.65799705796997</v>
      </c>
      <c r="N3101" s="5">
        <v>-5.65799705796997</v>
      </c>
      <c r="O3101" s="5">
        <v>-5.65799705796997</v>
      </c>
      <c r="P3101" s="5">
        <v>0.0</v>
      </c>
      <c r="Q3101" s="5">
        <v>0.0</v>
      </c>
      <c r="R3101" s="5">
        <v>0.0</v>
      </c>
      <c r="S3101" s="5">
        <v>1213.58355677079</v>
      </c>
    </row>
    <row r="3102">
      <c r="A3102" s="6">
        <v>44789.0</v>
      </c>
      <c r="B3102" s="5">
        <v>1220.32184108615</v>
      </c>
      <c r="C3102" s="5">
        <v>1150.79595602509</v>
      </c>
      <c r="D3102" s="5">
        <v>1280.74245066896</v>
      </c>
      <c r="E3102" s="5">
        <v>1215.44194278865</v>
      </c>
      <c r="F3102" s="5">
        <v>1225.38798864509</v>
      </c>
      <c r="G3102" s="5">
        <v>-5.4458374473668</v>
      </c>
      <c r="H3102" s="5">
        <v>-5.4458374473668</v>
      </c>
      <c r="I3102" s="5">
        <v>-5.4458374473668</v>
      </c>
      <c r="J3102" s="5">
        <v>-0.144118857241664</v>
      </c>
      <c r="K3102" s="5">
        <v>-0.144118857241664</v>
      </c>
      <c r="L3102" s="5">
        <v>-0.144118857241664</v>
      </c>
      <c r="M3102" s="5">
        <v>-5.30171859012513</v>
      </c>
      <c r="N3102" s="5">
        <v>-5.30171859012513</v>
      </c>
      <c r="O3102" s="5">
        <v>-5.30171859012513</v>
      </c>
      <c r="P3102" s="5">
        <v>0.0</v>
      </c>
      <c r="Q3102" s="5">
        <v>0.0</v>
      </c>
      <c r="R3102" s="5">
        <v>0.0</v>
      </c>
      <c r="S3102" s="5">
        <v>1214.87600363879</v>
      </c>
    </row>
    <row r="3103">
      <c r="A3103" s="6">
        <v>44790.0</v>
      </c>
      <c r="B3103" s="5">
        <v>1221.49268728567</v>
      </c>
      <c r="C3103" s="5">
        <v>1159.19513669113</v>
      </c>
      <c r="D3103" s="5">
        <v>1277.82226684824</v>
      </c>
      <c r="E3103" s="5">
        <v>1216.53082191948</v>
      </c>
      <c r="F3103" s="5">
        <v>1226.6819734996</v>
      </c>
      <c r="G3103" s="5">
        <v>-4.98241797040966</v>
      </c>
      <c r="H3103" s="5">
        <v>-4.98241797040966</v>
      </c>
      <c r="I3103" s="5">
        <v>-4.98241797040966</v>
      </c>
      <c r="J3103" s="5">
        <v>0.00703780528211867</v>
      </c>
      <c r="K3103" s="5">
        <v>0.00703780528211867</v>
      </c>
      <c r="L3103" s="5">
        <v>0.00703780528211867</v>
      </c>
      <c r="M3103" s="5">
        <v>-4.98945577569178</v>
      </c>
      <c r="N3103" s="5">
        <v>-4.98945577569178</v>
      </c>
      <c r="O3103" s="5">
        <v>-4.98945577569178</v>
      </c>
      <c r="P3103" s="5">
        <v>0.0</v>
      </c>
      <c r="Q3103" s="5">
        <v>0.0</v>
      </c>
      <c r="R3103" s="5">
        <v>0.0</v>
      </c>
      <c r="S3103" s="5">
        <v>1216.51026931526</v>
      </c>
    </row>
    <row r="3104">
      <c r="A3104" s="6">
        <v>44791.0</v>
      </c>
      <c r="B3104" s="5">
        <v>1222.66353348518</v>
      </c>
      <c r="C3104" s="5">
        <v>1150.07474297246</v>
      </c>
      <c r="D3104" s="5">
        <v>1278.96754562572</v>
      </c>
      <c r="E3104" s="5">
        <v>1217.6479905425</v>
      </c>
      <c r="F3104" s="5">
        <v>1227.97964419</v>
      </c>
      <c r="G3104" s="5">
        <v>-5.49887564946556</v>
      </c>
      <c r="H3104" s="5">
        <v>-5.49887564946556</v>
      </c>
      <c r="I3104" s="5">
        <v>-5.49887564946556</v>
      </c>
      <c r="J3104" s="5">
        <v>-0.77642252590124</v>
      </c>
      <c r="K3104" s="5">
        <v>-0.77642252590124</v>
      </c>
      <c r="L3104" s="5">
        <v>-0.77642252590124</v>
      </c>
      <c r="M3104" s="5">
        <v>-4.72245312356432</v>
      </c>
      <c r="N3104" s="5">
        <v>-4.72245312356432</v>
      </c>
      <c r="O3104" s="5">
        <v>-4.72245312356432</v>
      </c>
      <c r="P3104" s="5">
        <v>0.0</v>
      </c>
      <c r="Q3104" s="5">
        <v>0.0</v>
      </c>
      <c r="R3104" s="5">
        <v>0.0</v>
      </c>
      <c r="S3104" s="5">
        <v>1217.16465783572</v>
      </c>
    </row>
    <row r="3105">
      <c r="A3105" s="6">
        <v>44792.0</v>
      </c>
      <c r="B3105" s="5">
        <v>1223.83437968469</v>
      </c>
      <c r="C3105" s="5">
        <v>1155.79875840463</v>
      </c>
      <c r="D3105" s="5">
        <v>1282.51550695757</v>
      </c>
      <c r="E3105" s="5">
        <v>1218.76515916553</v>
      </c>
      <c r="F3105" s="5">
        <v>1229.19302839733</v>
      </c>
      <c r="G3105" s="5">
        <v>-6.09199447494071</v>
      </c>
      <c r="H3105" s="5">
        <v>-6.09199447494071</v>
      </c>
      <c r="I3105" s="5">
        <v>-6.09199447494071</v>
      </c>
      <c r="J3105" s="5">
        <v>-1.59155056649614</v>
      </c>
      <c r="K3105" s="5">
        <v>-1.59155056649614</v>
      </c>
      <c r="L3105" s="5">
        <v>-1.59155056649614</v>
      </c>
      <c r="M3105" s="5">
        <v>-4.50044390844456</v>
      </c>
      <c r="N3105" s="5">
        <v>-4.50044390844456</v>
      </c>
      <c r="O3105" s="5">
        <v>-4.50044390844456</v>
      </c>
      <c r="P3105" s="5">
        <v>0.0</v>
      </c>
      <c r="Q3105" s="5">
        <v>0.0</v>
      </c>
      <c r="R3105" s="5">
        <v>0.0</v>
      </c>
      <c r="S3105" s="5">
        <v>1217.74238520975</v>
      </c>
    </row>
    <row r="3106">
      <c r="A3106" s="6">
        <v>44793.0</v>
      </c>
      <c r="B3106" s="5">
        <v>1225.00522588421</v>
      </c>
      <c r="C3106" s="5">
        <v>1156.80753511246</v>
      </c>
      <c r="D3106" s="5">
        <v>1286.85054943702</v>
      </c>
      <c r="E3106" s="5">
        <v>1219.87774961861</v>
      </c>
      <c r="F3106" s="5">
        <v>1230.46356704506</v>
      </c>
      <c r="G3106" s="5">
        <v>-3.11446702933892</v>
      </c>
      <c r="H3106" s="5">
        <v>-3.11446702933892</v>
      </c>
      <c r="I3106" s="5">
        <v>-3.11446702933892</v>
      </c>
      <c r="J3106" s="5">
        <v>1.20724640991092</v>
      </c>
      <c r="K3106" s="5">
        <v>1.20724640991092</v>
      </c>
      <c r="L3106" s="5">
        <v>1.20724640991092</v>
      </c>
      <c r="M3106" s="5">
        <v>-4.32171343924985</v>
      </c>
      <c r="N3106" s="5">
        <v>-4.32171343924985</v>
      </c>
      <c r="O3106" s="5">
        <v>-4.32171343924985</v>
      </c>
      <c r="P3106" s="5">
        <v>0.0</v>
      </c>
      <c r="Q3106" s="5">
        <v>0.0</v>
      </c>
      <c r="R3106" s="5">
        <v>0.0</v>
      </c>
      <c r="S3106" s="5">
        <v>1221.89075885487</v>
      </c>
    </row>
    <row r="3107">
      <c r="A3107" s="6">
        <v>44794.0</v>
      </c>
      <c r="B3107" s="5">
        <v>1226.17607208372</v>
      </c>
      <c r="C3107" s="5">
        <v>1156.08333214292</v>
      </c>
      <c r="D3107" s="5">
        <v>1289.58874133607</v>
      </c>
      <c r="E3107" s="5">
        <v>1220.99692251589</v>
      </c>
      <c r="F3107" s="5">
        <v>1231.7306944215</v>
      </c>
      <c r="G3107" s="5">
        <v>-2.97596017230805</v>
      </c>
      <c r="H3107" s="5">
        <v>-2.97596017230805</v>
      </c>
      <c r="I3107" s="5">
        <v>-2.97596017230805</v>
      </c>
      <c r="J3107" s="5">
        <v>1.20724879232771</v>
      </c>
      <c r="K3107" s="5">
        <v>1.20724879232771</v>
      </c>
      <c r="L3107" s="5">
        <v>1.20724879232771</v>
      </c>
      <c r="M3107" s="5">
        <v>-4.18320896463577</v>
      </c>
      <c r="N3107" s="5">
        <v>-4.18320896463577</v>
      </c>
      <c r="O3107" s="5">
        <v>-4.18320896463577</v>
      </c>
      <c r="P3107" s="5">
        <v>0.0</v>
      </c>
      <c r="Q3107" s="5">
        <v>0.0</v>
      </c>
      <c r="R3107" s="5">
        <v>0.0</v>
      </c>
      <c r="S3107" s="5">
        <v>1223.20011191141</v>
      </c>
    </row>
    <row r="3108">
      <c r="A3108" s="6">
        <v>44795.0</v>
      </c>
      <c r="B3108" s="5">
        <v>1227.34691828323</v>
      </c>
      <c r="C3108" s="5">
        <v>1157.89092190825</v>
      </c>
      <c r="D3108" s="5">
        <v>1285.2090549801</v>
      </c>
      <c r="E3108" s="5">
        <v>1222.11741371816</v>
      </c>
      <c r="F3108" s="5">
        <v>1233.00309899219</v>
      </c>
      <c r="G3108" s="5">
        <v>-3.99013334873232</v>
      </c>
      <c r="H3108" s="5">
        <v>-3.99013334873232</v>
      </c>
      <c r="I3108" s="5">
        <v>-3.99013334873232</v>
      </c>
      <c r="J3108" s="5">
        <v>0.0905589421243044</v>
      </c>
      <c r="K3108" s="5">
        <v>0.0905589421243044</v>
      </c>
      <c r="L3108" s="5">
        <v>0.0905589421243044</v>
      </c>
      <c r="M3108" s="5">
        <v>-4.08069229085663</v>
      </c>
      <c r="N3108" s="5">
        <v>-4.08069229085663</v>
      </c>
      <c r="O3108" s="5">
        <v>-4.08069229085663</v>
      </c>
      <c r="P3108" s="5">
        <v>0.0</v>
      </c>
      <c r="Q3108" s="5">
        <v>0.0</v>
      </c>
      <c r="R3108" s="5">
        <v>0.0</v>
      </c>
      <c r="S3108" s="5">
        <v>1223.3567849345</v>
      </c>
    </row>
    <row r="3109">
      <c r="A3109" s="6">
        <v>44796.0</v>
      </c>
      <c r="B3109" s="5">
        <v>1228.51776448275</v>
      </c>
      <c r="C3109" s="5">
        <v>1160.16414887588</v>
      </c>
      <c r="D3109" s="5">
        <v>1287.76000553632</v>
      </c>
      <c r="E3109" s="5">
        <v>1223.23153255032</v>
      </c>
      <c r="F3109" s="5">
        <v>1234.27498426417</v>
      </c>
      <c r="G3109" s="5">
        <v>-4.153048705804</v>
      </c>
      <c r="H3109" s="5">
        <v>-4.153048705804</v>
      </c>
      <c r="I3109" s="5">
        <v>-4.153048705804</v>
      </c>
      <c r="J3109" s="5">
        <v>-0.144118857245928</v>
      </c>
      <c r="K3109" s="5">
        <v>-0.144118857245928</v>
      </c>
      <c r="L3109" s="5">
        <v>-0.144118857245928</v>
      </c>
      <c r="M3109" s="5">
        <v>-4.00892984855807</v>
      </c>
      <c r="N3109" s="5">
        <v>-4.00892984855807</v>
      </c>
      <c r="O3109" s="5">
        <v>-4.00892984855807</v>
      </c>
      <c r="P3109" s="5">
        <v>0.0</v>
      </c>
      <c r="Q3109" s="5">
        <v>0.0</v>
      </c>
      <c r="R3109" s="5">
        <v>0.0</v>
      </c>
      <c r="S3109" s="5">
        <v>1224.36471577694</v>
      </c>
    </row>
    <row r="3110">
      <c r="A3110" s="6">
        <v>44797.0</v>
      </c>
      <c r="B3110" s="5">
        <v>1229.68861068226</v>
      </c>
      <c r="C3110" s="5">
        <v>1163.81303509709</v>
      </c>
      <c r="D3110" s="5">
        <v>1290.67991599054</v>
      </c>
      <c r="E3110" s="5">
        <v>1224.33400773002</v>
      </c>
      <c r="F3110" s="5">
        <v>1235.45893353451</v>
      </c>
      <c r="G3110" s="5">
        <v>-3.95487596558045</v>
      </c>
      <c r="H3110" s="5">
        <v>-3.95487596558045</v>
      </c>
      <c r="I3110" s="5">
        <v>-3.95487596558045</v>
      </c>
      <c r="J3110" s="5">
        <v>0.00703780528126625</v>
      </c>
      <c r="K3110" s="5">
        <v>0.00703780528126625</v>
      </c>
      <c r="L3110" s="5">
        <v>0.00703780528126625</v>
      </c>
      <c r="M3110" s="5">
        <v>-3.96191377086171</v>
      </c>
      <c r="N3110" s="5">
        <v>-3.96191377086171</v>
      </c>
      <c r="O3110" s="5">
        <v>-3.96191377086171</v>
      </c>
      <c r="P3110" s="5">
        <v>0.0</v>
      </c>
      <c r="Q3110" s="5">
        <v>0.0</v>
      </c>
      <c r="R3110" s="5">
        <v>0.0</v>
      </c>
      <c r="S3110" s="5">
        <v>1225.73373471668</v>
      </c>
    </row>
    <row r="3111">
      <c r="A3111" s="6">
        <v>44798.0</v>
      </c>
      <c r="B3111" s="5">
        <v>1230.85945688177</v>
      </c>
      <c r="C3111" s="5">
        <v>1161.20174760476</v>
      </c>
      <c r="D3111" s="5">
        <v>1291.4145237055</v>
      </c>
      <c r="E3111" s="5">
        <v>1225.43648290972</v>
      </c>
      <c r="F3111" s="5">
        <v>1236.78489892583</v>
      </c>
      <c r="G3111" s="5">
        <v>-4.70952909770646</v>
      </c>
      <c r="H3111" s="5">
        <v>-4.70952909770646</v>
      </c>
      <c r="I3111" s="5">
        <v>-4.70952909770646</v>
      </c>
      <c r="J3111" s="5">
        <v>-0.776422525903337</v>
      </c>
      <c r="K3111" s="5">
        <v>-0.776422525903337</v>
      </c>
      <c r="L3111" s="5">
        <v>-0.776422525903337</v>
      </c>
      <c r="M3111" s="5">
        <v>-3.93310657180312</v>
      </c>
      <c r="N3111" s="5">
        <v>-3.93310657180312</v>
      </c>
      <c r="O3111" s="5">
        <v>-3.93310657180312</v>
      </c>
      <c r="P3111" s="5">
        <v>0.0</v>
      </c>
      <c r="Q3111" s="5">
        <v>0.0</v>
      </c>
      <c r="R3111" s="5">
        <v>0.0</v>
      </c>
      <c r="S3111" s="5">
        <v>1226.14992778407</v>
      </c>
    </row>
    <row r="3112">
      <c r="A3112" s="6">
        <v>44799.0</v>
      </c>
      <c r="B3112" s="5">
        <v>1232.03030308129</v>
      </c>
      <c r="C3112" s="5">
        <v>1162.18159812623</v>
      </c>
      <c r="D3112" s="5">
        <v>1290.71077069353</v>
      </c>
      <c r="E3112" s="5">
        <v>1226.52463559612</v>
      </c>
      <c r="F3112" s="5">
        <v>1238.05338302867</v>
      </c>
      <c r="G3112" s="5">
        <v>-5.50725183836231</v>
      </c>
      <c r="H3112" s="5">
        <v>-5.50725183836231</v>
      </c>
      <c r="I3112" s="5">
        <v>-5.50725183836231</v>
      </c>
      <c r="J3112" s="5">
        <v>-1.5915505664949</v>
      </c>
      <c r="K3112" s="5">
        <v>-1.5915505664949</v>
      </c>
      <c r="L3112" s="5">
        <v>-1.5915505664949</v>
      </c>
      <c r="M3112" s="5">
        <v>-3.9157012718674</v>
      </c>
      <c r="N3112" s="5">
        <v>-3.9157012718674</v>
      </c>
      <c r="O3112" s="5">
        <v>-3.9157012718674</v>
      </c>
      <c r="P3112" s="5">
        <v>0.0</v>
      </c>
      <c r="Q3112" s="5">
        <v>0.0</v>
      </c>
      <c r="R3112" s="5">
        <v>0.0</v>
      </c>
      <c r="S3112" s="5">
        <v>1226.52305124293</v>
      </c>
    </row>
    <row r="3113">
      <c r="A3113" s="6">
        <v>44800.0</v>
      </c>
      <c r="B3113" s="5">
        <v>1233.2011492808</v>
      </c>
      <c r="C3113" s="5">
        <v>1166.18482703221</v>
      </c>
      <c r="D3113" s="5">
        <v>1293.46928196817</v>
      </c>
      <c r="E3113" s="5">
        <v>1227.57751890508</v>
      </c>
      <c r="F3113" s="5">
        <v>1239.30283625692</v>
      </c>
      <c r="G3113" s="5">
        <v>-2.69564191935877</v>
      </c>
      <c r="H3113" s="5">
        <v>-2.69564191935877</v>
      </c>
      <c r="I3113" s="5">
        <v>-2.69564191935877</v>
      </c>
      <c r="J3113" s="5">
        <v>1.20724640991142</v>
      </c>
      <c r="K3113" s="5">
        <v>1.20724640991142</v>
      </c>
      <c r="L3113" s="5">
        <v>1.20724640991142</v>
      </c>
      <c r="M3113" s="5">
        <v>-3.9028883292702</v>
      </c>
      <c r="N3113" s="5">
        <v>-3.9028883292702</v>
      </c>
      <c r="O3113" s="5">
        <v>-3.9028883292702</v>
      </c>
      <c r="P3113" s="5">
        <v>0.0</v>
      </c>
      <c r="Q3113" s="5">
        <v>0.0</v>
      </c>
      <c r="R3113" s="5">
        <v>0.0</v>
      </c>
      <c r="S3113" s="5">
        <v>1230.50550736144</v>
      </c>
    </row>
    <row r="3114">
      <c r="A3114" s="6">
        <v>44801.0</v>
      </c>
      <c r="B3114" s="5">
        <v>1234.37199548031</v>
      </c>
      <c r="C3114" s="5">
        <v>1164.18168993856</v>
      </c>
      <c r="D3114" s="5">
        <v>1295.46521198605</v>
      </c>
      <c r="E3114" s="5">
        <v>1228.63344179518</v>
      </c>
      <c r="F3114" s="5">
        <v>1240.52862075875</v>
      </c>
      <c r="G3114" s="5">
        <v>-2.68087172482345</v>
      </c>
      <c r="H3114" s="5">
        <v>-2.68087172482345</v>
      </c>
      <c r="I3114" s="5">
        <v>-2.68087172482345</v>
      </c>
      <c r="J3114" s="5">
        <v>1.2072487923274</v>
      </c>
      <c r="K3114" s="5">
        <v>1.2072487923274</v>
      </c>
      <c r="L3114" s="5">
        <v>1.2072487923274</v>
      </c>
      <c r="M3114" s="5">
        <v>-3.88812051715085</v>
      </c>
      <c r="N3114" s="5">
        <v>-3.88812051715085</v>
      </c>
      <c r="O3114" s="5">
        <v>-3.88812051715085</v>
      </c>
      <c r="P3114" s="5">
        <v>0.0</v>
      </c>
      <c r="Q3114" s="5">
        <v>0.0</v>
      </c>
      <c r="R3114" s="5">
        <v>0.0</v>
      </c>
      <c r="S3114" s="5">
        <v>1231.69112375549</v>
      </c>
    </row>
    <row r="3115">
      <c r="A3115" s="6">
        <v>44802.0</v>
      </c>
      <c r="B3115" s="5">
        <v>1235.54284167983</v>
      </c>
      <c r="C3115" s="5">
        <v>1168.76811080378</v>
      </c>
      <c r="D3115" s="5">
        <v>1295.0004033196</v>
      </c>
      <c r="E3115" s="5">
        <v>1229.68936468528</v>
      </c>
      <c r="F3115" s="5">
        <v>1241.77983796017</v>
      </c>
      <c r="G3115" s="5">
        <v>-3.7748080030929</v>
      </c>
      <c r="H3115" s="5">
        <v>-3.7748080030929</v>
      </c>
      <c r="I3115" s="5">
        <v>-3.7748080030929</v>
      </c>
      <c r="J3115" s="5">
        <v>0.0905589421204831</v>
      </c>
      <c r="K3115" s="5">
        <v>0.0905589421204831</v>
      </c>
      <c r="L3115" s="5">
        <v>0.0905589421204831</v>
      </c>
      <c r="M3115" s="5">
        <v>-3.86536694521339</v>
      </c>
      <c r="N3115" s="5">
        <v>-3.86536694521339</v>
      </c>
      <c r="O3115" s="5">
        <v>-3.86536694521339</v>
      </c>
      <c r="P3115" s="5">
        <v>0.0</v>
      </c>
      <c r="Q3115" s="5">
        <v>0.0</v>
      </c>
      <c r="R3115" s="5">
        <v>0.0</v>
      </c>
      <c r="S3115" s="5">
        <v>1231.76803367673</v>
      </c>
    </row>
    <row r="3116">
      <c r="A3116" s="6">
        <v>44803.0</v>
      </c>
      <c r="B3116" s="5">
        <v>1236.71368787934</v>
      </c>
      <c r="C3116" s="5">
        <v>1167.99429824552</v>
      </c>
      <c r="D3116" s="5">
        <v>1294.22829024398</v>
      </c>
      <c r="E3116" s="5">
        <v>1230.74534215576</v>
      </c>
      <c r="F3116" s="5">
        <v>1243.04292645398</v>
      </c>
      <c r="G3116" s="5">
        <v>-3.9734666156119</v>
      </c>
      <c r="H3116" s="5">
        <v>-3.9734666156119</v>
      </c>
      <c r="I3116" s="5">
        <v>-3.9734666156119</v>
      </c>
      <c r="J3116" s="5">
        <v>-0.14411885724484</v>
      </c>
      <c r="K3116" s="5">
        <v>-0.14411885724484</v>
      </c>
      <c r="L3116" s="5">
        <v>-0.14411885724484</v>
      </c>
      <c r="M3116" s="5">
        <v>-3.82934775836706</v>
      </c>
      <c r="N3116" s="5">
        <v>-3.82934775836706</v>
      </c>
      <c r="O3116" s="5">
        <v>-3.82934775836706</v>
      </c>
      <c r="P3116" s="5">
        <v>0.0</v>
      </c>
      <c r="Q3116" s="5">
        <v>0.0</v>
      </c>
      <c r="R3116" s="5">
        <v>0.0</v>
      </c>
      <c r="S3116" s="5">
        <v>1232.74022126373</v>
      </c>
    </row>
    <row r="3117">
      <c r="A3117" s="6">
        <v>44804.0</v>
      </c>
      <c r="B3117" s="5">
        <v>1237.88453407885</v>
      </c>
      <c r="C3117" s="5">
        <v>1167.33138115576</v>
      </c>
      <c r="D3117" s="5">
        <v>1298.77411515418</v>
      </c>
      <c r="E3117" s="5">
        <v>1231.8788004882</v>
      </c>
      <c r="F3117" s="5">
        <v>1244.19431669537</v>
      </c>
      <c r="G3117" s="5">
        <v>-3.7687038396338</v>
      </c>
      <c r="H3117" s="5">
        <v>-3.7687038396338</v>
      </c>
      <c r="I3117" s="5">
        <v>-3.7687038396338</v>
      </c>
      <c r="J3117" s="5">
        <v>0.00703780528257729</v>
      </c>
      <c r="K3117" s="5">
        <v>0.00703780528257729</v>
      </c>
      <c r="L3117" s="5">
        <v>0.00703780528257729</v>
      </c>
      <c r="M3117" s="5">
        <v>-3.77574164491638</v>
      </c>
      <c r="N3117" s="5">
        <v>-3.77574164491638</v>
      </c>
      <c r="O3117" s="5">
        <v>-3.77574164491638</v>
      </c>
      <c r="P3117" s="5">
        <v>0.0</v>
      </c>
      <c r="Q3117" s="5">
        <v>0.0</v>
      </c>
      <c r="R3117" s="5">
        <v>0.0</v>
      </c>
      <c r="S3117" s="5">
        <v>1234.11583023922</v>
      </c>
    </row>
    <row r="3118">
      <c r="A3118" s="6">
        <v>44805.0</v>
      </c>
      <c r="B3118" s="5">
        <v>1239.05538027837</v>
      </c>
      <c r="C3118" s="5">
        <v>1175.4676338431</v>
      </c>
      <c r="D3118" s="5">
        <v>1304.80219050897</v>
      </c>
      <c r="E3118" s="5">
        <v>1232.93295220298</v>
      </c>
      <c r="F3118" s="5">
        <v>1245.44212614512</v>
      </c>
      <c r="G3118" s="5">
        <v>-4.47778166091147</v>
      </c>
      <c r="H3118" s="5">
        <v>-4.47778166091147</v>
      </c>
      <c r="I3118" s="5">
        <v>-4.47778166091147</v>
      </c>
      <c r="J3118" s="5">
        <v>-0.776422525902684</v>
      </c>
      <c r="K3118" s="5">
        <v>-0.776422525902684</v>
      </c>
      <c r="L3118" s="5">
        <v>-0.776422525902684</v>
      </c>
      <c r="M3118" s="5">
        <v>-3.70135913500879</v>
      </c>
      <c r="N3118" s="5">
        <v>-3.70135913500879</v>
      </c>
      <c r="O3118" s="5">
        <v>-3.70135913500879</v>
      </c>
      <c r="P3118" s="5">
        <v>0.0</v>
      </c>
      <c r="Q3118" s="5">
        <v>0.0</v>
      </c>
      <c r="R3118" s="5">
        <v>0.0</v>
      </c>
      <c r="S3118" s="5">
        <v>1234.57759861746</v>
      </c>
    </row>
    <row r="3119">
      <c r="A3119" s="6">
        <v>44806.0</v>
      </c>
      <c r="B3119" s="5">
        <v>1240.22622647788</v>
      </c>
      <c r="C3119" s="5">
        <v>1173.0501960585</v>
      </c>
      <c r="D3119" s="5">
        <v>1298.04872588611</v>
      </c>
      <c r="E3119" s="5">
        <v>1234.04908978008</v>
      </c>
      <c r="F3119" s="5">
        <v>1246.71652152619</v>
      </c>
      <c r="G3119" s="5">
        <v>-5.19582630747803</v>
      </c>
      <c r="H3119" s="5">
        <v>-5.19582630747803</v>
      </c>
      <c r="I3119" s="5">
        <v>-5.19582630747803</v>
      </c>
      <c r="J3119" s="5">
        <v>-1.59155056649366</v>
      </c>
      <c r="K3119" s="5">
        <v>-1.59155056649366</v>
      </c>
      <c r="L3119" s="5">
        <v>-1.59155056649366</v>
      </c>
      <c r="M3119" s="5">
        <v>-3.60427574098436</v>
      </c>
      <c r="N3119" s="5">
        <v>-3.60427574098436</v>
      </c>
      <c r="O3119" s="5">
        <v>-3.60427574098436</v>
      </c>
      <c r="P3119" s="5">
        <v>0.0</v>
      </c>
      <c r="Q3119" s="5">
        <v>0.0</v>
      </c>
      <c r="R3119" s="5">
        <v>0.0</v>
      </c>
      <c r="S3119" s="5">
        <v>1235.0304001704</v>
      </c>
    </row>
    <row r="3120">
      <c r="A3120" s="6">
        <v>44807.0</v>
      </c>
      <c r="B3120" s="5">
        <v>1241.39707267739</v>
      </c>
      <c r="C3120" s="5">
        <v>1175.55647897041</v>
      </c>
      <c r="D3120" s="5">
        <v>1301.68640380798</v>
      </c>
      <c r="E3120" s="5">
        <v>1235.17061204159</v>
      </c>
      <c r="F3120" s="5">
        <v>1247.95486080705</v>
      </c>
      <c r="G3120" s="5">
        <v>-2.27667384271095</v>
      </c>
      <c r="H3120" s="5">
        <v>-2.27667384271095</v>
      </c>
      <c r="I3120" s="5">
        <v>-2.27667384271095</v>
      </c>
      <c r="J3120" s="5">
        <v>1.20724640990532</v>
      </c>
      <c r="K3120" s="5">
        <v>1.20724640990532</v>
      </c>
      <c r="L3120" s="5">
        <v>1.20724640990532</v>
      </c>
      <c r="M3120" s="5">
        <v>-3.48392025261628</v>
      </c>
      <c r="N3120" s="5">
        <v>-3.48392025261628</v>
      </c>
      <c r="O3120" s="5">
        <v>-3.48392025261628</v>
      </c>
      <c r="P3120" s="5">
        <v>0.0</v>
      </c>
      <c r="Q3120" s="5">
        <v>0.0</v>
      </c>
      <c r="R3120" s="5">
        <v>0.0</v>
      </c>
      <c r="S3120" s="5">
        <v>1239.12039883468</v>
      </c>
    </row>
    <row r="3121">
      <c r="A3121" s="6">
        <v>44808.0</v>
      </c>
      <c r="B3121" s="5">
        <v>1242.56791887691</v>
      </c>
      <c r="C3121" s="5">
        <v>1176.20670243579</v>
      </c>
      <c r="D3121" s="5">
        <v>1304.12459568689</v>
      </c>
      <c r="E3121" s="5">
        <v>1236.25353551713</v>
      </c>
      <c r="F3121" s="5">
        <v>1249.11921659695</v>
      </c>
      <c r="G3121" s="5">
        <v>-2.13386612145279</v>
      </c>
      <c r="H3121" s="5">
        <v>-2.13386612145279</v>
      </c>
      <c r="I3121" s="5">
        <v>-2.13386612145279</v>
      </c>
      <c r="J3121" s="5">
        <v>1.20724879232709</v>
      </c>
      <c r="K3121" s="5">
        <v>1.20724879232709</v>
      </c>
      <c r="L3121" s="5">
        <v>1.20724879232709</v>
      </c>
      <c r="M3121" s="5">
        <v>-3.34111491377988</v>
      </c>
      <c r="N3121" s="5">
        <v>-3.34111491377988</v>
      </c>
      <c r="O3121" s="5">
        <v>-3.34111491377988</v>
      </c>
      <c r="P3121" s="5">
        <v>0.0</v>
      </c>
      <c r="Q3121" s="5">
        <v>0.0</v>
      </c>
      <c r="R3121" s="5">
        <v>0.0</v>
      </c>
      <c r="S3121" s="5">
        <v>1240.43405275545</v>
      </c>
    </row>
    <row r="3122">
      <c r="A3122" s="6">
        <v>44809.0</v>
      </c>
      <c r="B3122" s="5">
        <v>1243.73876507642</v>
      </c>
      <c r="C3122" s="5">
        <v>1183.28409033398</v>
      </c>
      <c r="D3122" s="5">
        <v>1301.77994437031</v>
      </c>
      <c r="E3122" s="5">
        <v>1237.36214190104</v>
      </c>
      <c r="F3122" s="5">
        <v>1250.30804420184</v>
      </c>
      <c r="G3122" s="5">
        <v>-3.08750678769612</v>
      </c>
      <c r="H3122" s="5">
        <v>-3.08750678769612</v>
      </c>
      <c r="I3122" s="5">
        <v>-3.08750678769612</v>
      </c>
      <c r="J3122" s="5">
        <v>0.0905589421214296</v>
      </c>
      <c r="K3122" s="5">
        <v>0.0905589421214296</v>
      </c>
      <c r="L3122" s="5">
        <v>0.0905589421214296</v>
      </c>
      <c r="M3122" s="5">
        <v>-3.17806572981755</v>
      </c>
      <c r="N3122" s="5">
        <v>-3.17806572981755</v>
      </c>
      <c r="O3122" s="5">
        <v>-3.17806572981755</v>
      </c>
      <c r="P3122" s="5">
        <v>0.0</v>
      </c>
      <c r="Q3122" s="5">
        <v>0.0</v>
      </c>
      <c r="R3122" s="5">
        <v>0.0</v>
      </c>
      <c r="S3122" s="5">
        <v>1240.65125828872</v>
      </c>
    </row>
    <row r="3123">
      <c r="A3123" s="6">
        <v>44810.0</v>
      </c>
      <c r="B3123" s="5">
        <v>1244.90961127593</v>
      </c>
      <c r="C3123" s="5">
        <v>1179.74881024629</v>
      </c>
      <c r="D3123" s="5">
        <v>1308.14739608629</v>
      </c>
      <c r="E3123" s="5">
        <v>1238.42197521626</v>
      </c>
      <c r="F3123" s="5">
        <v>1251.55847813325</v>
      </c>
      <c r="G3123" s="5">
        <v>-3.14242159757793</v>
      </c>
      <c r="H3123" s="5">
        <v>-3.14242159757793</v>
      </c>
      <c r="I3123" s="5">
        <v>-3.14242159757793</v>
      </c>
      <c r="J3123" s="5">
        <v>-0.144118857246276</v>
      </c>
      <c r="K3123" s="5">
        <v>-0.144118857246276</v>
      </c>
      <c r="L3123" s="5">
        <v>-0.144118857246276</v>
      </c>
      <c r="M3123" s="5">
        <v>-2.99830274033166</v>
      </c>
      <c r="N3123" s="5">
        <v>-2.99830274033166</v>
      </c>
      <c r="O3123" s="5">
        <v>-2.99830274033166</v>
      </c>
      <c r="P3123" s="5">
        <v>0.0</v>
      </c>
      <c r="Q3123" s="5">
        <v>0.0</v>
      </c>
      <c r="R3123" s="5">
        <v>0.0</v>
      </c>
      <c r="S3123" s="5">
        <v>1241.76718967835</v>
      </c>
    </row>
    <row r="3124">
      <c r="A3124" s="6">
        <v>44811.0</v>
      </c>
      <c r="B3124" s="5">
        <v>1246.08045747545</v>
      </c>
      <c r="C3124" s="5">
        <v>1182.83934844514</v>
      </c>
      <c r="D3124" s="5">
        <v>1306.48969124577</v>
      </c>
      <c r="E3124" s="5">
        <v>1239.48294675687</v>
      </c>
      <c r="F3124" s="5">
        <v>1252.80231991945</v>
      </c>
      <c r="G3124" s="5">
        <v>-2.79953388641817</v>
      </c>
      <c r="H3124" s="5">
        <v>-2.79953388641817</v>
      </c>
      <c r="I3124" s="5">
        <v>-2.79953388641817</v>
      </c>
      <c r="J3124" s="5">
        <v>0.00703780527956124</v>
      </c>
      <c r="K3124" s="5">
        <v>0.00703780527956124</v>
      </c>
      <c r="L3124" s="5">
        <v>0.00703780527956124</v>
      </c>
      <c r="M3124" s="5">
        <v>-2.80657169169773</v>
      </c>
      <c r="N3124" s="5">
        <v>-2.80657169169773</v>
      </c>
      <c r="O3124" s="5">
        <v>-2.80657169169773</v>
      </c>
      <c r="P3124" s="5">
        <v>0.0</v>
      </c>
      <c r="Q3124" s="5">
        <v>0.0</v>
      </c>
      <c r="R3124" s="5">
        <v>0.0</v>
      </c>
      <c r="S3124" s="5">
        <v>1243.28092358903</v>
      </c>
    </row>
    <row r="3125">
      <c r="A3125" s="6">
        <v>44812.0</v>
      </c>
      <c r="B3125" s="5">
        <v>1247.25130367496</v>
      </c>
      <c r="C3125" s="5">
        <v>1180.94320192959</v>
      </c>
      <c r="D3125" s="5">
        <v>1305.4099839097</v>
      </c>
      <c r="E3125" s="5">
        <v>1240.61868932595</v>
      </c>
      <c r="F3125" s="5">
        <v>1254.0180482783</v>
      </c>
      <c r="G3125" s="5">
        <v>-3.38510263403445</v>
      </c>
      <c r="H3125" s="5">
        <v>-3.38510263403445</v>
      </c>
      <c r="I3125" s="5">
        <v>-3.38510263403445</v>
      </c>
      <c r="J3125" s="5">
        <v>-0.776422525897706</v>
      </c>
      <c r="K3125" s="5">
        <v>-0.776422525897706</v>
      </c>
      <c r="L3125" s="5">
        <v>-0.776422525897706</v>
      </c>
      <c r="M3125" s="5">
        <v>-2.60868010813674</v>
      </c>
      <c r="N3125" s="5">
        <v>-2.60868010813674</v>
      </c>
      <c r="O3125" s="5">
        <v>-2.60868010813674</v>
      </c>
      <c r="P3125" s="5">
        <v>0.0</v>
      </c>
      <c r="Q3125" s="5">
        <v>0.0</v>
      </c>
      <c r="R3125" s="5">
        <v>0.0</v>
      </c>
      <c r="S3125" s="5">
        <v>1243.86620104092</v>
      </c>
    </row>
    <row r="3126">
      <c r="A3126" s="6">
        <v>44813.0</v>
      </c>
      <c r="B3126" s="5">
        <v>1248.42214987447</v>
      </c>
      <c r="C3126" s="5">
        <v>1185.03466612956</v>
      </c>
      <c r="D3126" s="5">
        <v>1309.9420157911</v>
      </c>
      <c r="E3126" s="5">
        <v>1241.75443189504</v>
      </c>
      <c r="F3126" s="5">
        <v>1255.23424326216</v>
      </c>
      <c r="G3126" s="5">
        <v>-4.00285280780993</v>
      </c>
      <c r="H3126" s="5">
        <v>-4.00285280780993</v>
      </c>
      <c r="I3126" s="5">
        <v>-4.00285280780993</v>
      </c>
      <c r="J3126" s="5">
        <v>-1.59155056649305</v>
      </c>
      <c r="K3126" s="5">
        <v>-1.59155056649305</v>
      </c>
      <c r="L3126" s="5">
        <v>-1.59155056649305</v>
      </c>
      <c r="M3126" s="5">
        <v>-2.41130224131687</v>
      </c>
      <c r="N3126" s="5">
        <v>-2.41130224131687</v>
      </c>
      <c r="O3126" s="5">
        <v>-2.41130224131687</v>
      </c>
      <c r="P3126" s="5">
        <v>0.0</v>
      </c>
      <c r="Q3126" s="5">
        <v>0.0</v>
      </c>
      <c r="R3126" s="5">
        <v>0.0</v>
      </c>
      <c r="S3126" s="5">
        <v>1244.41929706666</v>
      </c>
    </row>
    <row r="3127">
      <c r="A3127" s="6">
        <v>44814.0</v>
      </c>
      <c r="B3127" s="5">
        <v>1249.59299607399</v>
      </c>
      <c r="C3127" s="5">
        <v>1182.88466892804</v>
      </c>
      <c r="D3127" s="5">
        <v>1309.81869589449</v>
      </c>
      <c r="E3127" s="5">
        <v>1242.89017446412</v>
      </c>
      <c r="F3127" s="5">
        <v>1256.44903310343</v>
      </c>
      <c r="G3127" s="5">
        <v>-1.01450232041744</v>
      </c>
      <c r="H3127" s="5">
        <v>-1.01450232041744</v>
      </c>
      <c r="I3127" s="5">
        <v>-1.01450232041744</v>
      </c>
      <c r="J3127" s="5">
        <v>1.20724640990662</v>
      </c>
      <c r="K3127" s="5">
        <v>1.20724640990662</v>
      </c>
      <c r="L3127" s="5">
        <v>1.20724640990662</v>
      </c>
      <c r="M3127" s="5">
        <v>-2.22174873032407</v>
      </c>
      <c r="N3127" s="5">
        <v>-2.22174873032407</v>
      </c>
      <c r="O3127" s="5">
        <v>-2.22174873032407</v>
      </c>
      <c r="P3127" s="5">
        <v>0.0</v>
      </c>
      <c r="Q3127" s="5">
        <v>0.0</v>
      </c>
      <c r="R3127" s="5">
        <v>0.0</v>
      </c>
      <c r="S3127" s="5">
        <v>1248.57849375357</v>
      </c>
    </row>
    <row r="3128">
      <c r="A3128" s="6">
        <v>44815.0</v>
      </c>
      <c r="B3128" s="5">
        <v>1250.7638422735</v>
      </c>
      <c r="C3128" s="5">
        <v>1191.12546225617</v>
      </c>
      <c r="D3128" s="5">
        <v>1315.13568438255</v>
      </c>
      <c r="E3128" s="5">
        <v>1243.94821981809</v>
      </c>
      <c r="F3128" s="5">
        <v>1257.66640704302</v>
      </c>
      <c r="G3128" s="5">
        <v>-0.84045919171299</v>
      </c>
      <c r="H3128" s="5">
        <v>-0.84045919171299</v>
      </c>
      <c r="I3128" s="5">
        <v>-0.84045919171299</v>
      </c>
      <c r="J3128" s="5">
        <v>1.20724879232501</v>
      </c>
      <c r="K3128" s="5">
        <v>1.20724879232501</v>
      </c>
      <c r="L3128" s="5">
        <v>1.20724879232501</v>
      </c>
      <c r="M3128" s="5">
        <v>-2.047707984038</v>
      </c>
      <c r="N3128" s="5">
        <v>-2.047707984038</v>
      </c>
      <c r="O3128" s="5">
        <v>-2.047707984038</v>
      </c>
      <c r="P3128" s="5">
        <v>0.0</v>
      </c>
      <c r="Q3128" s="5">
        <v>0.0</v>
      </c>
      <c r="R3128" s="5">
        <v>0.0</v>
      </c>
      <c r="S3128" s="5">
        <v>1249.92338308179</v>
      </c>
    </row>
    <row r="3129">
      <c r="A3129" s="6">
        <v>44816.0</v>
      </c>
      <c r="B3129" s="5">
        <v>1251.93468847301</v>
      </c>
      <c r="C3129" s="5">
        <v>1181.21788452312</v>
      </c>
      <c r="D3129" s="5">
        <v>1311.42250167957</v>
      </c>
      <c r="E3129" s="5">
        <v>1245.00198937751</v>
      </c>
      <c r="F3129" s="5">
        <v>1258.88097168353</v>
      </c>
      <c r="G3129" s="5">
        <v>-1.80640832734948</v>
      </c>
      <c r="H3129" s="5">
        <v>-1.80640832734948</v>
      </c>
      <c r="I3129" s="5">
        <v>-1.80640832734948</v>
      </c>
      <c r="J3129" s="5">
        <v>0.0905589421199921</v>
      </c>
      <c r="K3129" s="5">
        <v>0.0905589421199921</v>
      </c>
      <c r="L3129" s="5">
        <v>0.0905589421199921</v>
      </c>
      <c r="M3129" s="5">
        <v>-1.89696726946947</v>
      </c>
      <c r="N3129" s="5">
        <v>-1.89696726946947</v>
      </c>
      <c r="O3129" s="5">
        <v>-1.89696726946947</v>
      </c>
      <c r="P3129" s="5">
        <v>0.0</v>
      </c>
      <c r="Q3129" s="5">
        <v>0.0</v>
      </c>
      <c r="R3129" s="5">
        <v>0.0</v>
      </c>
      <c r="S3129" s="5">
        <v>1250.12828014566</v>
      </c>
    </row>
    <row r="3130">
      <c r="A3130" s="6">
        <v>44817.0</v>
      </c>
      <c r="B3130" s="5">
        <v>1253.10553467253</v>
      </c>
      <c r="C3130" s="5">
        <v>1188.38707670975</v>
      </c>
      <c r="D3130" s="5">
        <v>1311.87053519791</v>
      </c>
      <c r="E3130" s="5">
        <v>1246.0592164048</v>
      </c>
      <c r="F3130" s="5">
        <v>1260.09533518349</v>
      </c>
      <c r="G3130" s="5">
        <v>-1.92124107853856</v>
      </c>
      <c r="H3130" s="5">
        <v>-1.92124107853856</v>
      </c>
      <c r="I3130" s="5">
        <v>-1.92124107853856</v>
      </c>
      <c r="J3130" s="5">
        <v>-0.144118857247711</v>
      </c>
      <c r="K3130" s="5">
        <v>-0.144118857247711</v>
      </c>
      <c r="L3130" s="5">
        <v>-0.144118857247711</v>
      </c>
      <c r="M3130" s="5">
        <v>-1.77712222129084</v>
      </c>
      <c r="N3130" s="5">
        <v>-1.77712222129084</v>
      </c>
      <c r="O3130" s="5">
        <v>-1.77712222129084</v>
      </c>
      <c r="P3130" s="5">
        <v>0.0</v>
      </c>
      <c r="Q3130" s="5">
        <v>0.0</v>
      </c>
      <c r="R3130" s="5">
        <v>0.0</v>
      </c>
      <c r="S3130" s="5">
        <v>1251.18429359399</v>
      </c>
    </row>
    <row r="3131">
      <c r="A3131" s="6">
        <v>44818.0</v>
      </c>
      <c r="B3131" s="5">
        <v>1254.27638087204</v>
      </c>
      <c r="C3131" s="5">
        <v>1187.70659231622</v>
      </c>
      <c r="D3131" s="5">
        <v>1314.21772938991</v>
      </c>
      <c r="E3131" s="5">
        <v>1247.1164434321</v>
      </c>
      <c r="F3131" s="5">
        <v>1261.30969868345</v>
      </c>
      <c r="G3131" s="5">
        <v>-1.68824615051926</v>
      </c>
      <c r="H3131" s="5">
        <v>-1.68824615051926</v>
      </c>
      <c r="I3131" s="5">
        <v>-1.68824615051926</v>
      </c>
      <c r="J3131" s="5">
        <v>0.00703780528285498</v>
      </c>
      <c r="K3131" s="5">
        <v>0.00703780528285498</v>
      </c>
      <c r="L3131" s="5">
        <v>0.00703780528285498</v>
      </c>
      <c r="M3131" s="5">
        <v>-1.69528395580211</v>
      </c>
      <c r="N3131" s="5">
        <v>-1.69528395580211</v>
      </c>
      <c r="O3131" s="5">
        <v>-1.69528395580211</v>
      </c>
      <c r="P3131" s="5">
        <v>0.0</v>
      </c>
      <c r="Q3131" s="5">
        <v>0.0</v>
      </c>
      <c r="R3131" s="5">
        <v>0.0</v>
      </c>
      <c r="S3131" s="5">
        <v>1252.58813472152</v>
      </c>
    </row>
    <row r="3132">
      <c r="A3132" s="6">
        <v>44819.0</v>
      </c>
      <c r="B3132" s="5">
        <v>1255.44722707155</v>
      </c>
      <c r="C3132" s="5">
        <v>1192.15758468258</v>
      </c>
      <c r="D3132" s="5">
        <v>1310.29214014236</v>
      </c>
      <c r="E3132" s="5">
        <v>1248.19356666356</v>
      </c>
      <c r="F3132" s="5">
        <v>1262.52406218341</v>
      </c>
      <c r="G3132" s="5">
        <v>-2.43421568687004</v>
      </c>
      <c r="H3132" s="5">
        <v>-2.43421568687004</v>
      </c>
      <c r="I3132" s="5">
        <v>-2.43421568687004</v>
      </c>
      <c r="J3132" s="5">
        <v>-0.776422525898428</v>
      </c>
      <c r="K3132" s="5">
        <v>-0.776422525898428</v>
      </c>
      <c r="L3132" s="5">
        <v>-0.776422525898428</v>
      </c>
      <c r="M3132" s="5">
        <v>-1.65779316097161</v>
      </c>
      <c r="N3132" s="5">
        <v>-1.65779316097161</v>
      </c>
      <c r="O3132" s="5">
        <v>-1.65779316097161</v>
      </c>
      <c r="P3132" s="5">
        <v>0.0</v>
      </c>
      <c r="Q3132" s="5">
        <v>0.0</v>
      </c>
      <c r="R3132" s="5">
        <v>0.0</v>
      </c>
      <c r="S3132" s="5">
        <v>1253.01301138468</v>
      </c>
    </row>
    <row r="3133">
      <c r="A3133" s="6">
        <v>44820.0</v>
      </c>
      <c r="B3133" s="5">
        <v>1256.61807327107</v>
      </c>
      <c r="C3133" s="5">
        <v>1188.11693988729</v>
      </c>
      <c r="D3133" s="5">
        <v>1315.95185432527</v>
      </c>
      <c r="E3133" s="5">
        <v>1249.3040343568</v>
      </c>
      <c r="F3133" s="5">
        <v>1263.74399850805</v>
      </c>
      <c r="G3133" s="5">
        <v>-3.26150100176491</v>
      </c>
      <c r="H3133" s="5">
        <v>-3.26150100176491</v>
      </c>
      <c r="I3133" s="5">
        <v>-3.26150100176491</v>
      </c>
      <c r="J3133" s="5">
        <v>-1.59155056649181</v>
      </c>
      <c r="K3133" s="5">
        <v>-1.59155056649181</v>
      </c>
      <c r="L3133" s="5">
        <v>-1.59155056649181</v>
      </c>
      <c r="M3133" s="5">
        <v>-1.66995043527309</v>
      </c>
      <c r="N3133" s="5">
        <v>-1.66995043527309</v>
      </c>
      <c r="O3133" s="5">
        <v>-1.66995043527309</v>
      </c>
      <c r="P3133" s="5">
        <v>0.0</v>
      </c>
      <c r="Q3133" s="5">
        <v>0.0</v>
      </c>
      <c r="R3133" s="5">
        <v>0.0</v>
      </c>
      <c r="S3133" s="5">
        <v>1253.3565722693</v>
      </c>
    </row>
    <row r="3134">
      <c r="A3134" s="6">
        <v>44821.0</v>
      </c>
      <c r="B3134" s="5">
        <v>1257.78891947058</v>
      </c>
      <c r="C3134" s="5">
        <v>1191.29712964372</v>
      </c>
      <c r="D3134" s="5">
        <v>1323.19533941558</v>
      </c>
      <c r="E3134" s="5">
        <v>1250.35644357798</v>
      </c>
      <c r="F3134" s="5">
        <v>1265.07709851708</v>
      </c>
      <c r="G3134" s="5">
        <v>-0.528525353203381</v>
      </c>
      <c r="H3134" s="5">
        <v>-0.528525353203381</v>
      </c>
      <c r="I3134" s="5">
        <v>-0.528525353203381</v>
      </c>
      <c r="J3134" s="5">
        <v>1.20724640990874</v>
      </c>
      <c r="K3134" s="5">
        <v>1.20724640990874</v>
      </c>
      <c r="L3134" s="5">
        <v>1.20724640990874</v>
      </c>
      <c r="M3134" s="5">
        <v>-1.73577176311212</v>
      </c>
      <c r="N3134" s="5">
        <v>-1.73577176311212</v>
      </c>
      <c r="O3134" s="5">
        <v>-1.73577176311212</v>
      </c>
      <c r="P3134" s="5">
        <v>0.0</v>
      </c>
      <c r="Q3134" s="5">
        <v>0.0</v>
      </c>
      <c r="R3134" s="5">
        <v>0.0</v>
      </c>
      <c r="S3134" s="5">
        <v>1257.26039411738</v>
      </c>
    </row>
    <row r="3135">
      <c r="A3135" s="6">
        <v>44822.0</v>
      </c>
      <c r="B3135" s="5">
        <v>1258.95976567009</v>
      </c>
      <c r="C3135" s="5">
        <v>1192.51975384174</v>
      </c>
      <c r="D3135" s="5">
        <v>1325.04657744574</v>
      </c>
      <c r="E3135" s="5">
        <v>1251.47778367383</v>
      </c>
      <c r="F3135" s="5">
        <v>1266.4101985261</v>
      </c>
      <c r="G3135" s="5">
        <v>-0.650528560896348</v>
      </c>
      <c r="H3135" s="5">
        <v>-0.650528560896348</v>
      </c>
      <c r="I3135" s="5">
        <v>-0.650528560896348</v>
      </c>
      <c r="J3135" s="5">
        <v>1.2072487923304</v>
      </c>
      <c r="K3135" s="5">
        <v>1.2072487923304</v>
      </c>
      <c r="L3135" s="5">
        <v>1.2072487923304</v>
      </c>
      <c r="M3135" s="5">
        <v>-1.85777735322675</v>
      </c>
      <c r="N3135" s="5">
        <v>-1.85777735322675</v>
      </c>
      <c r="O3135" s="5">
        <v>-1.85777735322675</v>
      </c>
      <c r="P3135" s="5">
        <v>0.0</v>
      </c>
      <c r="Q3135" s="5">
        <v>0.0</v>
      </c>
      <c r="R3135" s="5">
        <v>0.0</v>
      </c>
      <c r="S3135" s="5">
        <v>1258.30923710919</v>
      </c>
    </row>
    <row r="3136">
      <c r="A3136" s="6">
        <v>44823.0</v>
      </c>
      <c r="B3136" s="5">
        <v>1260.13061186961</v>
      </c>
      <c r="C3136" s="5">
        <v>1192.6930780324</v>
      </c>
      <c r="D3136" s="5">
        <v>1325.46288304132</v>
      </c>
      <c r="E3136" s="5">
        <v>1252.60657982834</v>
      </c>
      <c r="F3136" s="5">
        <v>1267.68853693565</v>
      </c>
      <c r="G3136" s="5">
        <v>-1.94626220478899</v>
      </c>
      <c r="H3136" s="5">
        <v>-1.94626220478899</v>
      </c>
      <c r="I3136" s="5">
        <v>-1.94626220478899</v>
      </c>
      <c r="J3136" s="5">
        <v>0.0905589421234826</v>
      </c>
      <c r="K3136" s="5">
        <v>0.0905589421234826</v>
      </c>
      <c r="L3136" s="5">
        <v>0.0905589421234826</v>
      </c>
      <c r="M3136" s="5">
        <v>-2.03682114691247</v>
      </c>
      <c r="N3136" s="5">
        <v>-2.03682114691247</v>
      </c>
      <c r="O3136" s="5">
        <v>-2.03682114691247</v>
      </c>
      <c r="P3136" s="5">
        <v>0.0</v>
      </c>
      <c r="Q3136" s="5">
        <v>0.0</v>
      </c>
      <c r="R3136" s="5">
        <v>0.0</v>
      </c>
      <c r="S3136" s="5">
        <v>1258.18434966482</v>
      </c>
    </row>
    <row r="3137">
      <c r="A3137" s="6">
        <v>44824.0</v>
      </c>
      <c r="B3137" s="5">
        <v>1261.30145806912</v>
      </c>
      <c r="C3137" s="5">
        <v>1193.23853873621</v>
      </c>
      <c r="D3137" s="5">
        <v>1319.91861120476</v>
      </c>
      <c r="E3137" s="5">
        <v>1253.73773802176</v>
      </c>
      <c r="F3137" s="5">
        <v>1268.92121145264</v>
      </c>
      <c r="G3137" s="5">
        <v>-2.41608600861875</v>
      </c>
      <c r="H3137" s="5">
        <v>-2.41608600861875</v>
      </c>
      <c r="I3137" s="5">
        <v>-2.41608600861875</v>
      </c>
      <c r="J3137" s="5">
        <v>-0.144118857244099</v>
      </c>
      <c r="K3137" s="5">
        <v>-0.144118857244099</v>
      </c>
      <c r="L3137" s="5">
        <v>-0.144118857244099</v>
      </c>
      <c r="M3137" s="5">
        <v>-2.27196715137465</v>
      </c>
      <c r="N3137" s="5">
        <v>-2.27196715137465</v>
      </c>
      <c r="O3137" s="5">
        <v>-2.27196715137465</v>
      </c>
      <c r="P3137" s="5">
        <v>0.0</v>
      </c>
      <c r="Q3137" s="5">
        <v>0.0</v>
      </c>
      <c r="R3137" s="5">
        <v>0.0</v>
      </c>
      <c r="S3137" s="5">
        <v>1258.8853720605</v>
      </c>
    </row>
    <row r="3138">
      <c r="A3138" s="6">
        <v>44825.0</v>
      </c>
      <c r="B3138" s="5">
        <v>1262.47230426863</v>
      </c>
      <c r="C3138" s="5">
        <v>1202.20652909204</v>
      </c>
      <c r="D3138" s="5">
        <v>1325.11105640264</v>
      </c>
      <c r="E3138" s="5">
        <v>1254.84558771115</v>
      </c>
      <c r="F3138" s="5">
        <v>1270.15388596964</v>
      </c>
      <c r="G3138" s="5">
        <v>-2.55337959779396</v>
      </c>
      <c r="H3138" s="5">
        <v>-2.55337959779396</v>
      </c>
      <c r="I3138" s="5">
        <v>-2.55337959779396</v>
      </c>
      <c r="J3138" s="5">
        <v>0.00703780528200233</v>
      </c>
      <c r="K3138" s="5">
        <v>0.00703780528200233</v>
      </c>
      <c r="L3138" s="5">
        <v>0.00703780528200233</v>
      </c>
      <c r="M3138" s="5">
        <v>-2.56041740307596</v>
      </c>
      <c r="N3138" s="5">
        <v>-2.56041740307596</v>
      </c>
      <c r="O3138" s="5">
        <v>-2.56041740307596</v>
      </c>
      <c r="P3138" s="5">
        <v>0.0</v>
      </c>
      <c r="Q3138" s="5">
        <v>0.0</v>
      </c>
      <c r="R3138" s="5">
        <v>0.0</v>
      </c>
      <c r="S3138" s="5">
        <v>1259.91892467084</v>
      </c>
    </row>
    <row r="3139">
      <c r="A3139" s="6">
        <v>44826.0</v>
      </c>
      <c r="B3139" s="5">
        <v>1263.64315046814</v>
      </c>
      <c r="C3139" s="5">
        <v>1193.42373356601</v>
      </c>
      <c r="D3139" s="5">
        <v>1314.43462472529</v>
      </c>
      <c r="E3139" s="5">
        <v>1255.913337056</v>
      </c>
      <c r="F3139" s="5">
        <v>1271.38656048664</v>
      </c>
      <c r="G3139" s="5">
        <v>-3.67391738213544</v>
      </c>
      <c r="H3139" s="5">
        <v>-3.67391738213544</v>
      </c>
      <c r="I3139" s="5">
        <v>-3.67391738213544</v>
      </c>
      <c r="J3139" s="5">
        <v>-0.776422525900525</v>
      </c>
      <c r="K3139" s="5">
        <v>-0.776422525900525</v>
      </c>
      <c r="L3139" s="5">
        <v>-0.776422525900525</v>
      </c>
      <c r="M3139" s="5">
        <v>-2.89749485623491</v>
      </c>
      <c r="N3139" s="5">
        <v>-2.89749485623491</v>
      </c>
      <c r="O3139" s="5">
        <v>-2.89749485623491</v>
      </c>
      <c r="P3139" s="5">
        <v>0.0</v>
      </c>
      <c r="Q3139" s="5">
        <v>0.0</v>
      </c>
      <c r="R3139" s="5">
        <v>0.0</v>
      </c>
      <c r="S3139" s="5">
        <v>1259.96923308601</v>
      </c>
    </row>
    <row r="3140">
      <c r="A3140" s="6">
        <v>44827.0</v>
      </c>
      <c r="B3140" s="5">
        <v>1264.81399666766</v>
      </c>
      <c r="C3140" s="5">
        <v>1199.89978179075</v>
      </c>
      <c r="D3140" s="5">
        <v>1325.04741668766</v>
      </c>
      <c r="E3140" s="5">
        <v>1256.96975743345</v>
      </c>
      <c r="F3140" s="5">
        <v>1272.61923500363</v>
      </c>
      <c r="G3140" s="5">
        <v>-4.86823343351957</v>
      </c>
      <c r="H3140" s="5">
        <v>-4.86823343351957</v>
      </c>
      <c r="I3140" s="5">
        <v>-4.86823343351957</v>
      </c>
      <c r="J3140" s="5">
        <v>-1.59155056649089</v>
      </c>
      <c r="K3140" s="5">
        <v>-1.59155056649089</v>
      </c>
      <c r="L3140" s="5">
        <v>-1.59155056649089</v>
      </c>
      <c r="M3140" s="5">
        <v>-3.27668286702868</v>
      </c>
      <c r="N3140" s="5">
        <v>-3.27668286702868</v>
      </c>
      <c r="O3140" s="5">
        <v>-3.27668286702868</v>
      </c>
      <c r="P3140" s="5">
        <v>0.0</v>
      </c>
      <c r="Q3140" s="5">
        <v>0.0</v>
      </c>
      <c r="R3140" s="5">
        <v>0.0</v>
      </c>
      <c r="S3140" s="5">
        <v>1259.94576323414</v>
      </c>
    </row>
    <row r="3141">
      <c r="A3141" s="6">
        <v>44828.0</v>
      </c>
      <c r="B3141" s="5">
        <v>1265.98484286717</v>
      </c>
      <c r="C3141" s="5">
        <v>1198.15687625999</v>
      </c>
      <c r="D3141" s="5">
        <v>1330.59435703366</v>
      </c>
      <c r="E3141" s="5">
        <v>1258.23025959174</v>
      </c>
      <c r="F3141" s="5">
        <v>1273.84887357585</v>
      </c>
      <c r="G3141" s="5">
        <v>-2.48247484292801</v>
      </c>
      <c r="H3141" s="5">
        <v>-2.48247484292801</v>
      </c>
      <c r="I3141" s="5">
        <v>-2.48247484292801</v>
      </c>
      <c r="J3141" s="5">
        <v>1.20724640991086</v>
      </c>
      <c r="K3141" s="5">
        <v>1.20724640991086</v>
      </c>
      <c r="L3141" s="5">
        <v>1.20724640991086</v>
      </c>
      <c r="M3141" s="5">
        <v>-3.68972125283888</v>
      </c>
      <c r="N3141" s="5">
        <v>-3.68972125283888</v>
      </c>
      <c r="O3141" s="5">
        <v>-3.68972125283888</v>
      </c>
      <c r="P3141" s="5">
        <v>0.0</v>
      </c>
      <c r="Q3141" s="5">
        <v>0.0</v>
      </c>
      <c r="R3141" s="5">
        <v>0.0</v>
      </c>
      <c r="S3141" s="5">
        <v>1263.50236802424</v>
      </c>
    </row>
    <row r="3142">
      <c r="A3142" s="6">
        <v>44829.0</v>
      </c>
      <c r="B3142" s="5">
        <v>1267.15568906668</v>
      </c>
      <c r="C3142" s="5">
        <v>1194.78893466204</v>
      </c>
      <c r="D3142" s="5">
        <v>1324.22734085789</v>
      </c>
      <c r="E3142" s="5">
        <v>1259.32169775316</v>
      </c>
      <c r="F3142" s="5">
        <v>1275.07272762268</v>
      </c>
      <c r="G3142" s="5">
        <v>-2.9195084061749</v>
      </c>
      <c r="H3142" s="5">
        <v>-2.9195084061749</v>
      </c>
      <c r="I3142" s="5">
        <v>-2.9195084061749</v>
      </c>
      <c r="J3142" s="5">
        <v>1.20724879232832</v>
      </c>
      <c r="K3142" s="5">
        <v>1.20724879232832</v>
      </c>
      <c r="L3142" s="5">
        <v>1.20724879232832</v>
      </c>
      <c r="M3142" s="5">
        <v>-4.12675719850322</v>
      </c>
      <c r="N3142" s="5">
        <v>-4.12675719850322</v>
      </c>
      <c r="O3142" s="5">
        <v>-4.12675719850322</v>
      </c>
      <c r="P3142" s="5">
        <v>0.0</v>
      </c>
      <c r="Q3142" s="5">
        <v>0.0</v>
      </c>
      <c r="R3142" s="5">
        <v>0.0</v>
      </c>
      <c r="S3142" s="5">
        <v>1264.23618066051</v>
      </c>
    </row>
    <row r="3143">
      <c r="A3143" s="6">
        <v>44830.0</v>
      </c>
      <c r="B3143" s="5">
        <v>1268.3265352662</v>
      </c>
      <c r="C3143" s="5">
        <v>1197.67704208427</v>
      </c>
      <c r="D3143" s="5">
        <v>1332.69690290094</v>
      </c>
      <c r="E3143" s="5">
        <v>1260.3845540442</v>
      </c>
      <c r="F3143" s="5">
        <v>1276.29658166952</v>
      </c>
      <c r="G3143" s="5">
        <v>-4.48598866712722</v>
      </c>
      <c r="H3143" s="5">
        <v>-4.48598866712722</v>
      </c>
      <c r="I3143" s="5">
        <v>-4.48598866712722</v>
      </c>
      <c r="J3143" s="5">
        <v>0.0905589421220451</v>
      </c>
      <c r="K3143" s="5">
        <v>0.0905589421220451</v>
      </c>
      <c r="L3143" s="5">
        <v>0.0905589421220451</v>
      </c>
      <c r="M3143" s="5">
        <v>-4.57654760924927</v>
      </c>
      <c r="N3143" s="5">
        <v>-4.57654760924927</v>
      </c>
      <c r="O3143" s="5">
        <v>-4.57654760924927</v>
      </c>
      <c r="P3143" s="5">
        <v>0.0</v>
      </c>
      <c r="Q3143" s="5">
        <v>0.0</v>
      </c>
      <c r="R3143" s="5">
        <v>0.0</v>
      </c>
      <c r="S3143" s="5">
        <v>1263.84054659907</v>
      </c>
    </row>
    <row r="3144">
      <c r="A3144" s="6">
        <v>44831.0</v>
      </c>
      <c r="B3144" s="5">
        <v>1269.49738146571</v>
      </c>
      <c r="C3144" s="5">
        <v>1198.06578984766</v>
      </c>
      <c r="D3144" s="5">
        <v>1326.81777952432</v>
      </c>
      <c r="E3144" s="5">
        <v>1261.41899434453</v>
      </c>
      <c r="F3144" s="5">
        <v>1277.55451161582</v>
      </c>
      <c r="G3144" s="5">
        <v>-5.17082678075622</v>
      </c>
      <c r="H3144" s="5">
        <v>-5.17082678075622</v>
      </c>
      <c r="I3144" s="5">
        <v>-5.17082678075622</v>
      </c>
      <c r="J3144" s="5">
        <v>-0.144118857245535</v>
      </c>
      <c r="K3144" s="5">
        <v>-0.144118857245535</v>
      </c>
      <c r="L3144" s="5">
        <v>-0.144118857245535</v>
      </c>
      <c r="M3144" s="5">
        <v>-5.02670792351068</v>
      </c>
      <c r="N3144" s="5">
        <v>-5.02670792351068</v>
      </c>
      <c r="O3144" s="5">
        <v>-5.02670792351068</v>
      </c>
      <c r="P3144" s="5">
        <v>0.0</v>
      </c>
      <c r="Q3144" s="5">
        <v>0.0</v>
      </c>
      <c r="R3144" s="5">
        <v>0.0</v>
      </c>
      <c r="S3144" s="5">
        <v>1264.32655468495</v>
      </c>
    </row>
    <row r="3145">
      <c r="A3145" s="6">
        <v>44832.0</v>
      </c>
      <c r="B3145" s="5">
        <v>1270.66822766522</v>
      </c>
      <c r="C3145" s="5">
        <v>1200.75166328198</v>
      </c>
      <c r="D3145" s="5">
        <v>1326.03861435102</v>
      </c>
      <c r="E3145" s="5">
        <v>1262.47456318797</v>
      </c>
      <c r="F3145" s="5">
        <v>1278.79441347056</v>
      </c>
      <c r="G3145" s="5">
        <v>-5.45696314086877</v>
      </c>
      <c r="H3145" s="5">
        <v>-5.45696314086877</v>
      </c>
      <c r="I3145" s="5">
        <v>-5.45696314086877</v>
      </c>
      <c r="J3145" s="5">
        <v>0.00703780528331343</v>
      </c>
      <c r="K3145" s="5">
        <v>0.00703780528331343</v>
      </c>
      <c r="L3145" s="5">
        <v>0.00703780528331343</v>
      </c>
      <c r="M3145" s="5">
        <v>-5.46400094615208</v>
      </c>
      <c r="N3145" s="5">
        <v>-5.46400094615208</v>
      </c>
      <c r="O3145" s="5">
        <v>-5.46400094615208</v>
      </c>
      <c r="P3145" s="5">
        <v>0.0</v>
      </c>
      <c r="Q3145" s="5">
        <v>0.0</v>
      </c>
      <c r="R3145" s="5">
        <v>0.0</v>
      </c>
      <c r="S3145" s="5">
        <v>1265.21126452436</v>
      </c>
    </row>
    <row r="3146">
      <c r="A3146" s="6">
        <v>44833.0</v>
      </c>
      <c r="B3146" s="5">
        <v>1271.83907386474</v>
      </c>
      <c r="C3146" s="5">
        <v>1206.57167309146</v>
      </c>
      <c r="D3146" s="5">
        <v>1327.0461438023</v>
      </c>
      <c r="E3146" s="5">
        <v>1263.52042625894</v>
      </c>
      <c r="F3146" s="5">
        <v>1280.1039037413</v>
      </c>
      <c r="G3146" s="5">
        <v>-6.65108051431038</v>
      </c>
      <c r="H3146" s="5">
        <v>-6.65108051431038</v>
      </c>
      <c r="I3146" s="5">
        <v>-6.65108051431038</v>
      </c>
      <c r="J3146" s="5">
        <v>-0.776422525901247</v>
      </c>
      <c r="K3146" s="5">
        <v>-0.776422525901247</v>
      </c>
      <c r="L3146" s="5">
        <v>-0.776422525901247</v>
      </c>
      <c r="M3146" s="5">
        <v>-5.87465798840914</v>
      </c>
      <c r="N3146" s="5">
        <v>-5.87465798840914</v>
      </c>
      <c r="O3146" s="5">
        <v>-5.87465798840914</v>
      </c>
      <c r="P3146" s="5">
        <v>0.0</v>
      </c>
      <c r="Q3146" s="5">
        <v>0.0</v>
      </c>
      <c r="R3146" s="5">
        <v>0.0</v>
      </c>
      <c r="S3146" s="5">
        <v>1265.18799335043</v>
      </c>
    </row>
    <row r="3147">
      <c r="A3147" s="6">
        <v>44834.0</v>
      </c>
      <c r="B3147" s="5">
        <v>1273.00992006425</v>
      </c>
      <c r="C3147" s="5">
        <v>1202.17993692284</v>
      </c>
      <c r="D3147" s="5">
        <v>1329.79664055652</v>
      </c>
      <c r="E3147" s="5">
        <v>1264.5723417808</v>
      </c>
      <c r="F3147" s="5">
        <v>1281.49225715955</v>
      </c>
      <c r="G3147" s="5">
        <v>-7.83627411134074</v>
      </c>
      <c r="H3147" s="5">
        <v>-7.83627411134074</v>
      </c>
      <c r="I3147" s="5">
        <v>-7.83627411134074</v>
      </c>
      <c r="J3147" s="5">
        <v>-1.59155056649545</v>
      </c>
      <c r="K3147" s="5">
        <v>-1.59155056649545</v>
      </c>
      <c r="L3147" s="5">
        <v>-1.59155056649545</v>
      </c>
      <c r="M3147" s="5">
        <v>-6.24472354484528</v>
      </c>
      <c r="N3147" s="5">
        <v>-6.24472354484528</v>
      </c>
      <c r="O3147" s="5">
        <v>-6.24472354484528</v>
      </c>
      <c r="P3147" s="5">
        <v>0.0</v>
      </c>
      <c r="Q3147" s="5">
        <v>0.0</v>
      </c>
      <c r="R3147" s="5">
        <v>0.0</v>
      </c>
      <c r="S3147" s="5">
        <v>1265.17364595291</v>
      </c>
    </row>
    <row r="3148">
      <c r="A3148" s="6">
        <v>44835.0</v>
      </c>
      <c r="B3148" s="5">
        <v>1274.18076626376</v>
      </c>
      <c r="C3148" s="5">
        <v>1202.2295940382</v>
      </c>
      <c r="D3148" s="5">
        <v>1333.98478339836</v>
      </c>
      <c r="E3148" s="5">
        <v>1265.67030717742</v>
      </c>
      <c r="F3148" s="5">
        <v>1282.81785667166</v>
      </c>
      <c r="G3148" s="5">
        <v>-5.35316752233827</v>
      </c>
      <c r="H3148" s="5">
        <v>-5.35316752233827</v>
      </c>
      <c r="I3148" s="5">
        <v>-5.35316752233827</v>
      </c>
      <c r="J3148" s="5">
        <v>1.20724640991136</v>
      </c>
      <c r="K3148" s="5">
        <v>1.20724640991136</v>
      </c>
      <c r="L3148" s="5">
        <v>1.20724640991136</v>
      </c>
      <c r="M3148" s="5">
        <v>-6.56041393224964</v>
      </c>
      <c r="N3148" s="5">
        <v>-6.56041393224964</v>
      </c>
      <c r="O3148" s="5">
        <v>-6.56041393224964</v>
      </c>
      <c r="P3148" s="5">
        <v>0.0</v>
      </c>
      <c r="Q3148" s="5">
        <v>0.0</v>
      </c>
      <c r="R3148" s="5">
        <v>0.0</v>
      </c>
      <c r="S3148" s="5">
        <v>1268.82759874143</v>
      </c>
    </row>
    <row r="3149">
      <c r="A3149" s="6">
        <v>44836.0</v>
      </c>
      <c r="B3149" s="5">
        <v>1275.35161246328</v>
      </c>
      <c r="C3149" s="5">
        <v>1205.39292125783</v>
      </c>
      <c r="D3149" s="5">
        <v>1330.79299065675</v>
      </c>
      <c r="E3149" s="5">
        <v>1266.75697664066</v>
      </c>
      <c r="F3149" s="5">
        <v>1284.13869434603</v>
      </c>
      <c r="G3149" s="5">
        <v>-5.60123099517489</v>
      </c>
      <c r="H3149" s="5">
        <v>-5.60123099517489</v>
      </c>
      <c r="I3149" s="5">
        <v>-5.60123099517489</v>
      </c>
      <c r="J3149" s="5">
        <v>1.20724879232978</v>
      </c>
      <c r="K3149" s="5">
        <v>1.20724879232978</v>
      </c>
      <c r="L3149" s="5">
        <v>1.20724879232978</v>
      </c>
      <c r="M3149" s="5">
        <v>-6.80847978750467</v>
      </c>
      <c r="N3149" s="5">
        <v>-6.80847978750467</v>
      </c>
      <c r="O3149" s="5">
        <v>-6.80847978750467</v>
      </c>
      <c r="P3149" s="5">
        <v>0.0</v>
      </c>
      <c r="Q3149" s="5">
        <v>0.0</v>
      </c>
      <c r="R3149" s="5">
        <v>0.0</v>
      </c>
      <c r="S3149" s="5">
        <v>1269.7503814681</v>
      </c>
    </row>
    <row r="3150">
      <c r="A3150" s="6">
        <v>44837.0</v>
      </c>
      <c r="B3150" s="5">
        <v>1276.52245866279</v>
      </c>
      <c r="C3150" s="5">
        <v>1205.1151768599</v>
      </c>
      <c r="D3150" s="5">
        <v>1333.98379090424</v>
      </c>
      <c r="E3150" s="5">
        <v>1267.83092157581</v>
      </c>
      <c r="F3150" s="5">
        <v>1285.48180115657</v>
      </c>
      <c r="G3150" s="5">
        <v>-6.88600314578395</v>
      </c>
      <c r="H3150" s="5">
        <v>-6.88600314578395</v>
      </c>
      <c r="I3150" s="5">
        <v>-6.88600314578395</v>
      </c>
      <c r="J3150" s="5">
        <v>0.0905589421229915</v>
      </c>
      <c r="K3150" s="5">
        <v>0.0905589421229915</v>
      </c>
      <c r="L3150" s="5">
        <v>0.0905589421229915</v>
      </c>
      <c r="M3150" s="5">
        <v>-6.97656208790695</v>
      </c>
      <c r="N3150" s="5">
        <v>-6.97656208790695</v>
      </c>
      <c r="O3150" s="5">
        <v>-6.97656208790695</v>
      </c>
      <c r="P3150" s="5">
        <v>0.0</v>
      </c>
      <c r="Q3150" s="5">
        <v>0.0</v>
      </c>
      <c r="R3150" s="5">
        <v>0.0</v>
      </c>
      <c r="S3150" s="5">
        <v>1269.63645551701</v>
      </c>
    </row>
    <row r="3151">
      <c r="A3151" s="6">
        <v>44838.0</v>
      </c>
      <c r="B3151" s="5">
        <v>1277.6933048623</v>
      </c>
      <c r="C3151" s="5">
        <v>1210.88937750918</v>
      </c>
      <c r="D3151" s="5">
        <v>1336.37184122615</v>
      </c>
      <c r="E3151" s="5">
        <v>1268.87035844402</v>
      </c>
      <c r="F3151" s="5">
        <v>1286.78190906798</v>
      </c>
      <c r="G3151" s="5">
        <v>-7.19765028511329</v>
      </c>
      <c r="H3151" s="5">
        <v>-7.19765028511329</v>
      </c>
      <c r="I3151" s="5">
        <v>-7.19765028511329</v>
      </c>
      <c r="J3151" s="5">
        <v>-0.144118857244447</v>
      </c>
      <c r="K3151" s="5">
        <v>-0.144118857244447</v>
      </c>
      <c r="L3151" s="5">
        <v>-0.144118857244447</v>
      </c>
      <c r="M3151" s="5">
        <v>-7.05353142786884</v>
      </c>
      <c r="N3151" s="5">
        <v>-7.05353142786884</v>
      </c>
      <c r="O3151" s="5">
        <v>-7.05353142786884</v>
      </c>
      <c r="P3151" s="5">
        <v>0.0</v>
      </c>
      <c r="Q3151" s="5">
        <v>0.0</v>
      </c>
      <c r="R3151" s="5">
        <v>0.0</v>
      </c>
      <c r="S3151" s="5">
        <v>1270.49565457719</v>
      </c>
    </row>
    <row r="3152">
      <c r="A3152" s="6">
        <v>44839.0</v>
      </c>
      <c r="B3152" s="5">
        <v>1278.86415106182</v>
      </c>
      <c r="C3152" s="5">
        <v>1209.56954212172</v>
      </c>
      <c r="D3152" s="5">
        <v>1340.17739312306</v>
      </c>
      <c r="E3152" s="5">
        <v>1269.90853781632</v>
      </c>
      <c r="F3152" s="5">
        <v>1287.97021983635</v>
      </c>
      <c r="G3152" s="5">
        <v>-7.02276285487903</v>
      </c>
      <c r="H3152" s="5">
        <v>-7.02276285487903</v>
      </c>
      <c r="I3152" s="5">
        <v>-7.02276285487903</v>
      </c>
      <c r="J3152" s="5">
        <v>0.00703780528228016</v>
      </c>
      <c r="K3152" s="5">
        <v>0.00703780528228016</v>
      </c>
      <c r="L3152" s="5">
        <v>0.00703780528228016</v>
      </c>
      <c r="M3152" s="5">
        <v>-7.02980066016131</v>
      </c>
      <c r="N3152" s="5">
        <v>-7.02980066016131</v>
      </c>
      <c r="O3152" s="5">
        <v>-7.02980066016131</v>
      </c>
      <c r="P3152" s="5">
        <v>0.0</v>
      </c>
      <c r="Q3152" s="5">
        <v>0.0</v>
      </c>
      <c r="R3152" s="5">
        <v>0.0</v>
      </c>
      <c r="S3152" s="5">
        <v>1271.84138820694</v>
      </c>
    </row>
    <row r="3153">
      <c r="A3153" s="6">
        <v>44840.0</v>
      </c>
      <c r="B3153" s="5">
        <v>1280.03499726133</v>
      </c>
      <c r="C3153" s="5">
        <v>1208.35286976935</v>
      </c>
      <c r="D3153" s="5">
        <v>1333.38916932606</v>
      </c>
      <c r="E3153" s="5">
        <v>1270.99030836377</v>
      </c>
      <c r="F3153" s="5">
        <v>1289.25459153469</v>
      </c>
      <c r="G3153" s="5">
        <v>-7.67402420475071</v>
      </c>
      <c r="H3153" s="5">
        <v>-7.67402420475071</v>
      </c>
      <c r="I3153" s="5">
        <v>-7.67402420475071</v>
      </c>
      <c r="J3153" s="5">
        <v>-0.776422525903344</v>
      </c>
      <c r="K3153" s="5">
        <v>-0.776422525903344</v>
      </c>
      <c r="L3153" s="5">
        <v>-0.776422525903344</v>
      </c>
      <c r="M3153" s="5">
        <v>-6.89760167884737</v>
      </c>
      <c r="N3153" s="5">
        <v>-6.89760167884737</v>
      </c>
      <c r="O3153" s="5">
        <v>-6.89760167884737</v>
      </c>
      <c r="P3153" s="5">
        <v>0.0</v>
      </c>
      <c r="Q3153" s="5">
        <v>0.0</v>
      </c>
      <c r="R3153" s="5">
        <v>0.0</v>
      </c>
      <c r="S3153" s="5">
        <v>1272.36097305658</v>
      </c>
    </row>
    <row r="3154">
      <c r="A3154" s="6">
        <v>44841.0</v>
      </c>
      <c r="B3154" s="5">
        <v>1281.20584346084</v>
      </c>
      <c r="C3154" s="5">
        <v>1210.64711345173</v>
      </c>
      <c r="D3154" s="5">
        <v>1336.26372063465</v>
      </c>
      <c r="E3154" s="5">
        <v>1272.1317969311</v>
      </c>
      <c r="F3154" s="5">
        <v>1290.53119262934</v>
      </c>
      <c r="G3154" s="5">
        <v>-8.2427686338183</v>
      </c>
      <c r="H3154" s="5">
        <v>-8.2427686338183</v>
      </c>
      <c r="I3154" s="5">
        <v>-8.2427686338183</v>
      </c>
      <c r="J3154" s="5">
        <v>-1.59155056649453</v>
      </c>
      <c r="K3154" s="5">
        <v>-1.59155056649453</v>
      </c>
      <c r="L3154" s="5">
        <v>-1.59155056649453</v>
      </c>
      <c r="M3154" s="5">
        <v>-6.65121806732377</v>
      </c>
      <c r="N3154" s="5">
        <v>-6.65121806732377</v>
      </c>
      <c r="O3154" s="5">
        <v>-6.65121806732377</v>
      </c>
      <c r="P3154" s="5">
        <v>0.0</v>
      </c>
      <c r="Q3154" s="5">
        <v>0.0</v>
      </c>
      <c r="R3154" s="5">
        <v>0.0</v>
      </c>
      <c r="S3154" s="5">
        <v>1272.96307482703</v>
      </c>
    </row>
    <row r="3155">
      <c r="A3155" s="6">
        <v>44842.0</v>
      </c>
      <c r="B3155" s="5">
        <v>1282.37668966036</v>
      </c>
      <c r="C3155" s="5">
        <v>1215.68164727417</v>
      </c>
      <c r="D3155" s="5">
        <v>1344.10652309139</v>
      </c>
      <c r="E3155" s="5">
        <v>1273.21239522988</v>
      </c>
      <c r="F3155" s="5">
        <v>1291.77511205105</v>
      </c>
      <c r="G3155" s="5">
        <v>-5.07992012174453</v>
      </c>
      <c r="H3155" s="5">
        <v>-5.07992012174453</v>
      </c>
      <c r="I3155" s="5">
        <v>-5.07992012174453</v>
      </c>
      <c r="J3155" s="5">
        <v>1.20724640991348</v>
      </c>
      <c r="K3155" s="5">
        <v>1.20724640991348</v>
      </c>
      <c r="L3155" s="5">
        <v>1.20724640991348</v>
      </c>
      <c r="M3155" s="5">
        <v>-6.28716653165801</v>
      </c>
      <c r="N3155" s="5">
        <v>-6.28716653165801</v>
      </c>
      <c r="O3155" s="5">
        <v>-6.28716653165801</v>
      </c>
      <c r="P3155" s="5">
        <v>0.0</v>
      </c>
      <c r="Q3155" s="5">
        <v>0.0</v>
      </c>
      <c r="R3155" s="5">
        <v>0.0</v>
      </c>
      <c r="S3155" s="5">
        <v>1277.29676953861</v>
      </c>
    </row>
    <row r="3156">
      <c r="A3156" s="6">
        <v>44843.0</v>
      </c>
      <c r="B3156" s="5">
        <v>1283.54753585987</v>
      </c>
      <c r="C3156" s="5">
        <v>1219.23435270151</v>
      </c>
      <c r="D3156" s="5">
        <v>1343.25172027939</v>
      </c>
      <c r="E3156" s="5">
        <v>1274.30456766854</v>
      </c>
      <c r="F3156" s="5">
        <v>1293.00573238988</v>
      </c>
      <c r="G3156" s="5">
        <v>-4.59707266136681</v>
      </c>
      <c r="H3156" s="5">
        <v>-4.59707266136681</v>
      </c>
      <c r="I3156" s="5">
        <v>-4.59707266136681</v>
      </c>
      <c r="J3156" s="5">
        <v>1.2072487923277</v>
      </c>
      <c r="K3156" s="5">
        <v>1.2072487923277</v>
      </c>
      <c r="L3156" s="5">
        <v>1.2072487923277</v>
      </c>
      <c r="M3156" s="5">
        <v>-5.80432145369451</v>
      </c>
      <c r="N3156" s="5">
        <v>-5.80432145369451</v>
      </c>
      <c r="O3156" s="5">
        <v>-5.80432145369451</v>
      </c>
      <c r="P3156" s="5">
        <v>0.0</v>
      </c>
      <c r="Q3156" s="5">
        <v>0.0</v>
      </c>
      <c r="R3156" s="5">
        <v>0.0</v>
      </c>
      <c r="S3156" s="5">
        <v>1278.9504631985</v>
      </c>
    </row>
    <row r="3157">
      <c r="A3157" s="6">
        <v>44844.0</v>
      </c>
      <c r="B3157" s="5">
        <v>1284.71838205938</v>
      </c>
      <c r="C3157" s="5">
        <v>1213.05797079297</v>
      </c>
      <c r="D3157" s="5">
        <v>1344.49579840731</v>
      </c>
      <c r="E3157" s="5">
        <v>1275.40694596327</v>
      </c>
      <c r="F3157" s="5">
        <v>1294.18865482233</v>
      </c>
      <c r="G3157" s="5">
        <v>-5.11341954689484</v>
      </c>
      <c r="H3157" s="5">
        <v>-5.11341954689484</v>
      </c>
      <c r="I3157" s="5">
        <v>-5.11341954689484</v>
      </c>
      <c r="J3157" s="5">
        <v>0.0905589421215542</v>
      </c>
      <c r="K3157" s="5">
        <v>0.0905589421215542</v>
      </c>
      <c r="L3157" s="5">
        <v>0.0905589421215542</v>
      </c>
      <c r="M3157" s="5">
        <v>-5.20397848901639</v>
      </c>
      <c r="N3157" s="5">
        <v>-5.20397848901639</v>
      </c>
      <c r="O3157" s="5">
        <v>-5.20397848901639</v>
      </c>
      <c r="P3157" s="5">
        <v>0.0</v>
      </c>
      <c r="Q3157" s="5">
        <v>0.0</v>
      </c>
      <c r="R3157" s="5">
        <v>0.0</v>
      </c>
      <c r="S3157" s="5">
        <v>1279.60496251249</v>
      </c>
    </row>
    <row r="3158">
      <c r="A3158" s="6">
        <v>44845.0</v>
      </c>
      <c r="B3158" s="5">
        <v>1285.8892282589</v>
      </c>
      <c r="C3158" s="5">
        <v>1212.77923293457</v>
      </c>
      <c r="D3158" s="5">
        <v>1342.55268386345</v>
      </c>
      <c r="E3158" s="5">
        <v>1276.49670061815</v>
      </c>
      <c r="F3158" s="5">
        <v>1295.46391469978</v>
      </c>
      <c r="G3158" s="5">
        <v>-4.6339737138447</v>
      </c>
      <c r="H3158" s="5">
        <v>-4.6339737138447</v>
      </c>
      <c r="I3158" s="5">
        <v>-4.6339737138447</v>
      </c>
      <c r="J3158" s="5">
        <v>-0.144118857246187</v>
      </c>
      <c r="K3158" s="5">
        <v>-0.144118857246187</v>
      </c>
      <c r="L3158" s="5">
        <v>-0.144118857246187</v>
      </c>
      <c r="M3158" s="5">
        <v>-4.48985485659851</v>
      </c>
      <c r="N3158" s="5">
        <v>-4.48985485659851</v>
      </c>
      <c r="O3158" s="5">
        <v>-4.48985485659851</v>
      </c>
      <c r="P3158" s="5">
        <v>0.0</v>
      </c>
      <c r="Q3158" s="5">
        <v>0.0</v>
      </c>
      <c r="R3158" s="5">
        <v>0.0</v>
      </c>
      <c r="S3158" s="5">
        <v>1281.25525454505</v>
      </c>
    </row>
    <row r="3159">
      <c r="A3159" s="6">
        <v>44846.0</v>
      </c>
      <c r="B3159" s="5">
        <v>1287.06007445841</v>
      </c>
      <c r="C3159" s="5">
        <v>1223.40245591789</v>
      </c>
      <c r="D3159" s="5">
        <v>1349.59365728829</v>
      </c>
      <c r="E3159" s="5">
        <v>1277.58815024214</v>
      </c>
      <c r="F3159" s="5">
        <v>1296.69759340637</v>
      </c>
      <c r="G3159" s="5">
        <v>-3.66098796402401</v>
      </c>
      <c r="H3159" s="5">
        <v>-3.66098796402401</v>
      </c>
      <c r="I3159" s="5">
        <v>-3.66098796402401</v>
      </c>
      <c r="J3159" s="5">
        <v>0.00703780528142747</v>
      </c>
      <c r="K3159" s="5">
        <v>0.00703780528142747</v>
      </c>
      <c r="L3159" s="5">
        <v>0.00703780528142747</v>
      </c>
      <c r="M3159" s="5">
        <v>-3.66802576930544</v>
      </c>
      <c r="N3159" s="5">
        <v>-3.66802576930544</v>
      </c>
      <c r="O3159" s="5">
        <v>-3.66802576930544</v>
      </c>
      <c r="P3159" s="5">
        <v>0.0</v>
      </c>
      <c r="Q3159" s="5">
        <v>0.0</v>
      </c>
      <c r="R3159" s="5">
        <v>0.0</v>
      </c>
      <c r="S3159" s="5">
        <v>1283.39908649438</v>
      </c>
    </row>
    <row r="3160">
      <c r="A3160" s="6">
        <v>44847.0</v>
      </c>
      <c r="B3160" s="5">
        <v>1288.23092065792</v>
      </c>
      <c r="C3160" s="5">
        <v>1218.5217489526</v>
      </c>
      <c r="D3160" s="5">
        <v>1350.0237540832</v>
      </c>
      <c r="E3160" s="5">
        <v>1278.69779702543</v>
      </c>
      <c r="F3160" s="5">
        <v>1298.027622075</v>
      </c>
      <c r="G3160" s="5">
        <v>-3.52322081098961</v>
      </c>
      <c r="H3160" s="5">
        <v>-3.52322081098961</v>
      </c>
      <c r="I3160" s="5">
        <v>-3.52322081098961</v>
      </c>
      <c r="J3160" s="5">
        <v>-0.776422525902691</v>
      </c>
      <c r="K3160" s="5">
        <v>-0.776422525902691</v>
      </c>
      <c r="L3160" s="5">
        <v>-0.776422525902691</v>
      </c>
      <c r="M3160" s="5">
        <v>-2.74679828508692</v>
      </c>
      <c r="N3160" s="5">
        <v>-2.74679828508692</v>
      </c>
      <c r="O3160" s="5">
        <v>-2.74679828508692</v>
      </c>
      <c r="P3160" s="5">
        <v>0.0</v>
      </c>
      <c r="Q3160" s="5">
        <v>0.0</v>
      </c>
      <c r="R3160" s="5">
        <v>0.0</v>
      </c>
      <c r="S3160" s="5">
        <v>1284.70769984693</v>
      </c>
    </row>
    <row r="3161">
      <c r="A3161" s="6">
        <v>44848.0</v>
      </c>
      <c r="B3161" s="5">
        <v>1289.40176685744</v>
      </c>
      <c r="C3161" s="5">
        <v>1220.2390752416</v>
      </c>
      <c r="D3161" s="5">
        <v>1349.80430474735</v>
      </c>
      <c r="E3161" s="5">
        <v>1279.76033411643</v>
      </c>
      <c r="F3161" s="5">
        <v>1299.28818092864</v>
      </c>
      <c r="G3161" s="5">
        <v>-3.32807623010485</v>
      </c>
      <c r="H3161" s="5">
        <v>-3.32807623010485</v>
      </c>
      <c r="I3161" s="5">
        <v>-3.32807623010485</v>
      </c>
      <c r="J3161" s="5">
        <v>-1.59155056649329</v>
      </c>
      <c r="K3161" s="5">
        <v>-1.59155056649329</v>
      </c>
      <c r="L3161" s="5">
        <v>-1.59155056649329</v>
      </c>
      <c r="M3161" s="5">
        <v>-1.73652566361156</v>
      </c>
      <c r="N3161" s="5">
        <v>-1.73652566361156</v>
      </c>
      <c r="O3161" s="5">
        <v>-1.73652566361156</v>
      </c>
      <c r="P3161" s="5">
        <v>0.0</v>
      </c>
      <c r="Q3161" s="5">
        <v>0.0</v>
      </c>
      <c r="R3161" s="5">
        <v>0.0</v>
      </c>
      <c r="S3161" s="5">
        <v>1286.07369062733</v>
      </c>
    </row>
    <row r="3162">
      <c r="A3162" s="6">
        <v>44849.0</v>
      </c>
      <c r="B3162" s="5">
        <v>1290.57261305695</v>
      </c>
      <c r="C3162" s="5">
        <v>1232.76334561227</v>
      </c>
      <c r="D3162" s="5">
        <v>1353.16858237948</v>
      </c>
      <c r="E3162" s="5">
        <v>1280.84987882363</v>
      </c>
      <c r="F3162" s="5">
        <v>1300.57648997147</v>
      </c>
      <c r="G3162" s="5">
        <v>0.557879370831084</v>
      </c>
      <c r="H3162" s="5">
        <v>0.557879370831084</v>
      </c>
      <c r="I3162" s="5">
        <v>0.557879370831084</v>
      </c>
      <c r="J3162" s="5">
        <v>1.20724640990576</v>
      </c>
      <c r="K3162" s="5">
        <v>1.20724640990576</v>
      </c>
      <c r="L3162" s="5">
        <v>1.20724640990576</v>
      </c>
      <c r="M3162" s="5">
        <v>-0.649367039074676</v>
      </c>
      <c r="N3162" s="5">
        <v>-0.649367039074676</v>
      </c>
      <c r="O3162" s="5">
        <v>-0.649367039074676</v>
      </c>
      <c r="P3162" s="5">
        <v>0.0</v>
      </c>
      <c r="Q3162" s="5">
        <v>0.0</v>
      </c>
      <c r="R3162" s="5">
        <v>0.0</v>
      </c>
      <c r="S3162" s="5">
        <v>1291.13049242778</v>
      </c>
    </row>
    <row r="3163">
      <c r="A3163" s="6">
        <v>44850.0</v>
      </c>
      <c r="B3163" s="5">
        <v>1291.74345925646</v>
      </c>
      <c r="C3163" s="5">
        <v>1229.02715103191</v>
      </c>
      <c r="D3163" s="5">
        <v>1360.61062820196</v>
      </c>
      <c r="E3163" s="5">
        <v>1281.93942353083</v>
      </c>
      <c r="F3163" s="5">
        <v>1301.87182960764</v>
      </c>
      <c r="G3163" s="5">
        <v>1.70824997670308</v>
      </c>
      <c r="H3163" s="5">
        <v>1.70824997670308</v>
      </c>
      <c r="I3163" s="5">
        <v>1.70824997670308</v>
      </c>
      <c r="J3163" s="5">
        <v>1.20724879233132</v>
      </c>
      <c r="K3163" s="5">
        <v>1.20724879233132</v>
      </c>
      <c r="L3163" s="5">
        <v>1.20724879233132</v>
      </c>
      <c r="M3163" s="5">
        <v>0.501001184371766</v>
      </c>
      <c r="N3163" s="5">
        <v>0.501001184371766</v>
      </c>
      <c r="O3163" s="5">
        <v>0.501001184371766</v>
      </c>
      <c r="P3163" s="5">
        <v>0.0</v>
      </c>
      <c r="Q3163" s="5">
        <v>0.0</v>
      </c>
      <c r="R3163" s="5">
        <v>0.0</v>
      </c>
      <c r="S3163" s="5">
        <v>1293.45170923317</v>
      </c>
    </row>
    <row r="3164">
      <c r="A3164" s="6">
        <v>44851.0</v>
      </c>
      <c r="B3164" s="5">
        <v>1292.91430545598</v>
      </c>
      <c r="C3164" s="5">
        <v>1229.83808874888</v>
      </c>
      <c r="D3164" s="5">
        <v>1355.9773636475</v>
      </c>
      <c r="E3164" s="5">
        <v>1283.03950267693</v>
      </c>
      <c r="F3164" s="5">
        <v>1303.1627295833</v>
      </c>
      <c r="G3164" s="5">
        <v>1.79027333226187</v>
      </c>
      <c r="H3164" s="5">
        <v>1.79027333226187</v>
      </c>
      <c r="I3164" s="5">
        <v>1.79027333226187</v>
      </c>
      <c r="J3164" s="5">
        <v>0.0905589421225004</v>
      </c>
      <c r="K3164" s="5">
        <v>0.0905589421225004</v>
      </c>
      <c r="L3164" s="5">
        <v>0.0905589421225004</v>
      </c>
      <c r="M3164" s="5">
        <v>1.69971439013937</v>
      </c>
      <c r="N3164" s="5">
        <v>1.69971439013937</v>
      </c>
      <c r="O3164" s="5">
        <v>1.69971439013937</v>
      </c>
      <c r="P3164" s="5">
        <v>0.0</v>
      </c>
      <c r="Q3164" s="5">
        <v>0.0</v>
      </c>
      <c r="R3164" s="5">
        <v>0.0</v>
      </c>
      <c r="S3164" s="5">
        <v>1294.70457878824</v>
      </c>
    </row>
    <row r="3165">
      <c r="A3165" s="6">
        <v>44852.0</v>
      </c>
      <c r="B3165" s="5">
        <v>1294.08515165549</v>
      </c>
      <c r="C3165" s="5">
        <v>1235.77180001976</v>
      </c>
      <c r="D3165" s="5">
        <v>1363.7312710625</v>
      </c>
      <c r="E3165" s="5">
        <v>1284.1476508687</v>
      </c>
      <c r="F3165" s="5">
        <v>1304.44977127628</v>
      </c>
      <c r="G3165" s="5">
        <v>2.78696138094894</v>
      </c>
      <c r="H3165" s="5">
        <v>2.78696138094894</v>
      </c>
      <c r="I3165" s="5">
        <v>2.78696138094894</v>
      </c>
      <c r="J3165" s="5">
        <v>-0.144118857245099</v>
      </c>
      <c r="K3165" s="5">
        <v>-0.144118857245099</v>
      </c>
      <c r="L3165" s="5">
        <v>-0.144118857245099</v>
      </c>
      <c r="M3165" s="5">
        <v>2.93108023819404</v>
      </c>
      <c r="N3165" s="5">
        <v>2.93108023819404</v>
      </c>
      <c r="O3165" s="5">
        <v>2.93108023819404</v>
      </c>
      <c r="P3165" s="5">
        <v>0.0</v>
      </c>
      <c r="Q3165" s="5">
        <v>0.0</v>
      </c>
      <c r="R3165" s="5">
        <v>0.0</v>
      </c>
      <c r="S3165" s="5">
        <v>1296.87211303644</v>
      </c>
    </row>
    <row r="3166">
      <c r="A3166" s="6">
        <v>44853.0</v>
      </c>
      <c r="B3166" s="5">
        <v>1295.255997855</v>
      </c>
      <c r="C3166" s="5">
        <v>1237.85480075195</v>
      </c>
      <c r="D3166" s="5">
        <v>1360.60289075903</v>
      </c>
      <c r="E3166" s="5">
        <v>1285.26733199627</v>
      </c>
      <c r="F3166" s="5">
        <v>1305.73681296927</v>
      </c>
      <c r="G3166" s="5">
        <v>4.18599842881559</v>
      </c>
      <c r="H3166" s="5">
        <v>4.18599842881559</v>
      </c>
      <c r="I3166" s="5">
        <v>4.18599842881559</v>
      </c>
      <c r="J3166" s="5">
        <v>0.00703780528057508</v>
      </c>
      <c r="K3166" s="5">
        <v>0.00703780528057508</v>
      </c>
      <c r="L3166" s="5">
        <v>0.00703780528057508</v>
      </c>
      <c r="M3166" s="5">
        <v>4.17896062353502</v>
      </c>
      <c r="N3166" s="5">
        <v>4.17896062353502</v>
      </c>
      <c r="O3166" s="5">
        <v>4.17896062353502</v>
      </c>
      <c r="P3166" s="5">
        <v>0.0</v>
      </c>
      <c r="Q3166" s="5">
        <v>0.0</v>
      </c>
      <c r="R3166" s="5">
        <v>0.0</v>
      </c>
      <c r="S3166" s="5">
        <v>1299.44199628382</v>
      </c>
    </row>
    <row r="3167">
      <c r="A3167" s="6">
        <v>44854.0</v>
      </c>
      <c r="B3167" s="5">
        <v>1296.42684405452</v>
      </c>
      <c r="C3167" s="5">
        <v>1237.58415896277</v>
      </c>
      <c r="D3167" s="5">
        <v>1365.01369697846</v>
      </c>
      <c r="E3167" s="5">
        <v>1286.34411154365</v>
      </c>
      <c r="F3167" s="5">
        <v>1307.02254334017</v>
      </c>
      <c r="G3167" s="5">
        <v>4.65074196198737</v>
      </c>
      <c r="H3167" s="5">
        <v>4.65074196198737</v>
      </c>
      <c r="I3167" s="5">
        <v>4.65074196198737</v>
      </c>
      <c r="J3167" s="5">
        <v>-0.776422525904788</v>
      </c>
      <c r="K3167" s="5">
        <v>-0.776422525904788</v>
      </c>
      <c r="L3167" s="5">
        <v>-0.776422525904788</v>
      </c>
      <c r="M3167" s="5">
        <v>5.42716448789215</v>
      </c>
      <c r="N3167" s="5">
        <v>5.42716448789215</v>
      </c>
      <c r="O3167" s="5">
        <v>5.42716448789215</v>
      </c>
      <c r="P3167" s="5">
        <v>0.0</v>
      </c>
      <c r="Q3167" s="5">
        <v>0.0</v>
      </c>
      <c r="R3167" s="5">
        <v>0.0</v>
      </c>
      <c r="S3167" s="5">
        <v>1301.0775860165</v>
      </c>
    </row>
    <row r="3168">
      <c r="A3168" s="6">
        <v>44855.0</v>
      </c>
      <c r="B3168" s="5">
        <v>1297.59769025403</v>
      </c>
      <c r="C3168" s="5">
        <v>1240.56457600816</v>
      </c>
      <c r="D3168" s="5">
        <v>1366.53520211125</v>
      </c>
      <c r="E3168" s="5">
        <v>1287.44564783255</v>
      </c>
      <c r="F3168" s="5">
        <v>1308.30202046758</v>
      </c>
      <c r="G3168" s="5">
        <v>5.06828995393941</v>
      </c>
      <c r="H3168" s="5">
        <v>5.06828995393941</v>
      </c>
      <c r="I3168" s="5">
        <v>5.06828995393941</v>
      </c>
      <c r="J3168" s="5">
        <v>-1.59155056649236</v>
      </c>
      <c r="K3168" s="5">
        <v>-1.59155056649236</v>
      </c>
      <c r="L3168" s="5">
        <v>-1.59155056649236</v>
      </c>
      <c r="M3168" s="5">
        <v>6.65984052043178</v>
      </c>
      <c r="N3168" s="5">
        <v>6.65984052043178</v>
      </c>
      <c r="O3168" s="5">
        <v>6.65984052043178</v>
      </c>
      <c r="P3168" s="5">
        <v>0.0</v>
      </c>
      <c r="Q3168" s="5">
        <v>0.0</v>
      </c>
      <c r="R3168" s="5">
        <v>0.0</v>
      </c>
      <c r="S3168" s="5">
        <v>1302.66598020797</v>
      </c>
    </row>
    <row r="3169">
      <c r="A3169" s="6">
        <v>44856.0</v>
      </c>
      <c r="B3169" s="5">
        <v>1298.76853645354</v>
      </c>
      <c r="C3169" s="5">
        <v>1241.61846357959</v>
      </c>
      <c r="D3169" s="5">
        <v>1373.20525422237</v>
      </c>
      <c r="E3169" s="5">
        <v>1288.54718412146</v>
      </c>
      <c r="F3169" s="5">
        <v>1309.6078229804</v>
      </c>
      <c r="G3169" s="5">
        <v>9.06910516367304</v>
      </c>
      <c r="H3169" s="5">
        <v>9.06910516367304</v>
      </c>
      <c r="I3169" s="5">
        <v>9.06910516367304</v>
      </c>
      <c r="J3169" s="5">
        <v>1.20724640990787</v>
      </c>
      <c r="K3169" s="5">
        <v>1.20724640990787</v>
      </c>
      <c r="L3169" s="5">
        <v>1.20724640990787</v>
      </c>
      <c r="M3169" s="5">
        <v>7.86185875376516</v>
      </c>
      <c r="N3169" s="5">
        <v>7.86185875376516</v>
      </c>
      <c r="O3169" s="5">
        <v>7.86185875376516</v>
      </c>
      <c r="P3169" s="5">
        <v>0.0</v>
      </c>
      <c r="Q3169" s="5">
        <v>0.0</v>
      </c>
      <c r="R3169" s="5">
        <v>0.0</v>
      </c>
      <c r="S3169" s="5">
        <v>1307.83764161722</v>
      </c>
    </row>
    <row r="3170">
      <c r="A3170" s="6">
        <v>44857.0</v>
      </c>
      <c r="B3170" s="5">
        <v>1299.93938265306</v>
      </c>
      <c r="C3170" s="5">
        <v>1250.29618022874</v>
      </c>
      <c r="D3170" s="5">
        <v>1375.18999690355</v>
      </c>
      <c r="E3170" s="5">
        <v>1289.64872041037</v>
      </c>
      <c r="F3170" s="5">
        <v>1310.90514882408</v>
      </c>
      <c r="G3170" s="5">
        <v>10.2264191449335</v>
      </c>
      <c r="H3170" s="5">
        <v>10.2264191449335</v>
      </c>
      <c r="I3170" s="5">
        <v>10.2264191449335</v>
      </c>
      <c r="J3170" s="5">
        <v>1.20724879233101</v>
      </c>
      <c r="K3170" s="5">
        <v>1.20724879233101</v>
      </c>
      <c r="L3170" s="5">
        <v>1.20724879233101</v>
      </c>
      <c r="M3170" s="5">
        <v>9.01917035260254</v>
      </c>
      <c r="N3170" s="5">
        <v>9.01917035260254</v>
      </c>
      <c r="O3170" s="5">
        <v>9.01917035260254</v>
      </c>
      <c r="P3170" s="5">
        <v>0.0</v>
      </c>
      <c r="Q3170" s="5">
        <v>0.0</v>
      </c>
      <c r="R3170" s="5">
        <v>0.0</v>
      </c>
      <c r="S3170" s="5">
        <v>1310.16580179799</v>
      </c>
    </row>
    <row r="3171">
      <c r="A3171" s="6">
        <v>44858.0</v>
      </c>
      <c r="B3171" s="5">
        <v>1301.11022885257</v>
      </c>
      <c r="C3171" s="5">
        <v>1247.1826797359</v>
      </c>
      <c r="D3171" s="5">
        <v>1372.53626850306</v>
      </c>
      <c r="E3171" s="5">
        <v>1290.75025669928</v>
      </c>
      <c r="F3171" s="5">
        <v>1312.19988855896</v>
      </c>
      <c r="G3171" s="5">
        <v>10.2096944390448</v>
      </c>
      <c r="H3171" s="5">
        <v>10.2096944390448</v>
      </c>
      <c r="I3171" s="5">
        <v>10.2096944390448</v>
      </c>
      <c r="J3171" s="5">
        <v>0.0905589421186793</v>
      </c>
      <c r="K3171" s="5">
        <v>0.0905589421186793</v>
      </c>
      <c r="L3171" s="5">
        <v>0.0905589421186793</v>
      </c>
      <c r="M3171" s="5">
        <v>10.1191354969262</v>
      </c>
      <c r="N3171" s="5">
        <v>10.1191354969262</v>
      </c>
      <c r="O3171" s="5">
        <v>10.1191354969262</v>
      </c>
      <c r="P3171" s="5">
        <v>0.0</v>
      </c>
      <c r="Q3171" s="5">
        <v>0.0</v>
      </c>
      <c r="R3171" s="5">
        <v>0.0</v>
      </c>
      <c r="S3171" s="5">
        <v>1311.31992329161</v>
      </c>
    </row>
    <row r="3172">
      <c r="A3172" s="6">
        <v>44859.0</v>
      </c>
      <c r="B3172" s="5">
        <v>1302.28107505208</v>
      </c>
      <c r="C3172" s="5">
        <v>1249.13740581443</v>
      </c>
      <c r="D3172" s="5">
        <v>1378.82353076642</v>
      </c>
      <c r="E3172" s="5">
        <v>1291.85179298819</v>
      </c>
      <c r="F3172" s="5">
        <v>1313.49462829384</v>
      </c>
      <c r="G3172" s="5">
        <v>11.0066913063706</v>
      </c>
      <c r="H3172" s="5">
        <v>11.0066913063706</v>
      </c>
      <c r="I3172" s="5">
        <v>11.0066913063706</v>
      </c>
      <c r="J3172" s="5">
        <v>-0.144118857246535</v>
      </c>
      <c r="K3172" s="5">
        <v>-0.144118857246535</v>
      </c>
      <c r="L3172" s="5">
        <v>-0.144118857246535</v>
      </c>
      <c r="M3172" s="5">
        <v>11.1508101636171</v>
      </c>
      <c r="N3172" s="5">
        <v>11.1508101636171</v>
      </c>
      <c r="O3172" s="5">
        <v>11.1508101636171</v>
      </c>
      <c r="P3172" s="5">
        <v>0.0</v>
      </c>
      <c r="Q3172" s="5">
        <v>0.0</v>
      </c>
      <c r="R3172" s="5">
        <v>0.0</v>
      </c>
      <c r="S3172" s="5">
        <v>1313.28776635845</v>
      </c>
    </row>
    <row r="3173">
      <c r="A3173" s="6">
        <v>44860.0</v>
      </c>
      <c r="B3173" s="5">
        <v>1303.45192125159</v>
      </c>
      <c r="C3173" s="5">
        <v>1254.57860452065</v>
      </c>
      <c r="D3173" s="5">
        <v>1383.31072909747</v>
      </c>
      <c r="E3173" s="5">
        <v>1292.95332927709</v>
      </c>
      <c r="F3173" s="5">
        <v>1314.78936802872</v>
      </c>
      <c r="G3173" s="5">
        <v>12.1122215893269</v>
      </c>
      <c r="H3173" s="5">
        <v>12.1122215893269</v>
      </c>
      <c r="I3173" s="5">
        <v>12.1122215893269</v>
      </c>
      <c r="J3173" s="5">
        <v>0.00703780528188612</v>
      </c>
      <c r="K3173" s="5">
        <v>0.00703780528188612</v>
      </c>
      <c r="L3173" s="5">
        <v>0.00703780528188612</v>
      </c>
      <c r="M3173" s="5">
        <v>12.105183784045</v>
      </c>
      <c r="N3173" s="5">
        <v>12.105183784045</v>
      </c>
      <c r="O3173" s="5">
        <v>12.105183784045</v>
      </c>
      <c r="P3173" s="5">
        <v>0.0</v>
      </c>
      <c r="Q3173" s="5">
        <v>0.0</v>
      </c>
      <c r="R3173" s="5">
        <v>0.0</v>
      </c>
      <c r="S3173" s="5">
        <v>1315.56414284092</v>
      </c>
    </row>
    <row r="3174">
      <c r="A3174" s="6">
        <v>44861.0</v>
      </c>
      <c r="B3174" s="5">
        <v>1304.62276745111</v>
      </c>
      <c r="C3174" s="5">
        <v>1251.949362646</v>
      </c>
      <c r="D3174" s="5">
        <v>1385.94058265671</v>
      </c>
      <c r="E3174" s="5">
        <v>1294.054865566</v>
      </c>
      <c r="F3174" s="5">
        <v>1316.0841077636</v>
      </c>
      <c r="G3174" s="5">
        <v>12.1989386419759</v>
      </c>
      <c r="H3174" s="5">
        <v>12.1989386419759</v>
      </c>
      <c r="I3174" s="5">
        <v>12.1989386419759</v>
      </c>
      <c r="J3174" s="5">
        <v>-0.77642252589981</v>
      </c>
      <c r="K3174" s="5">
        <v>-0.77642252589981</v>
      </c>
      <c r="L3174" s="5">
        <v>-0.77642252589981</v>
      </c>
      <c r="M3174" s="5">
        <v>12.9753611678757</v>
      </c>
      <c r="N3174" s="5">
        <v>12.9753611678757</v>
      </c>
      <c r="O3174" s="5">
        <v>12.9753611678757</v>
      </c>
      <c r="P3174" s="5">
        <v>0.0</v>
      </c>
      <c r="Q3174" s="5">
        <v>0.0</v>
      </c>
      <c r="R3174" s="5">
        <v>0.0</v>
      </c>
      <c r="S3174" s="5">
        <v>1316.82170609308</v>
      </c>
    </row>
    <row r="3175">
      <c r="A3175" s="6">
        <v>44862.0</v>
      </c>
      <c r="B3175" s="5">
        <v>1305.79361365062</v>
      </c>
      <c r="C3175" s="5">
        <v>1254.35590202717</v>
      </c>
      <c r="D3175" s="5">
        <v>1379.64493506566</v>
      </c>
      <c r="E3175" s="5">
        <v>1295.15236874665</v>
      </c>
      <c r="F3175" s="5">
        <v>1317.37884749849</v>
      </c>
      <c r="G3175" s="5">
        <v>12.1651331272706</v>
      </c>
      <c r="H3175" s="5">
        <v>12.1651331272706</v>
      </c>
      <c r="I3175" s="5">
        <v>12.1651331272706</v>
      </c>
      <c r="J3175" s="5">
        <v>-1.59155056649112</v>
      </c>
      <c r="K3175" s="5">
        <v>-1.59155056649112</v>
      </c>
      <c r="L3175" s="5">
        <v>-1.59155056649112</v>
      </c>
      <c r="M3175" s="5">
        <v>13.7566836937617</v>
      </c>
      <c r="N3175" s="5">
        <v>13.7566836937617</v>
      </c>
      <c r="O3175" s="5">
        <v>13.7566836937617</v>
      </c>
      <c r="P3175" s="5">
        <v>0.0</v>
      </c>
      <c r="Q3175" s="5">
        <v>0.0</v>
      </c>
      <c r="R3175" s="5">
        <v>0.0</v>
      </c>
      <c r="S3175" s="5">
        <v>1317.95874677789</v>
      </c>
    </row>
    <row r="3176">
      <c r="A3176" s="6">
        <v>44863.0</v>
      </c>
      <c r="B3176" s="5">
        <v>1306.96445985013</v>
      </c>
      <c r="C3176" s="5">
        <v>1261.99121986249</v>
      </c>
      <c r="D3176" s="5">
        <v>1389.50114964751</v>
      </c>
      <c r="E3176" s="5">
        <v>1296.23784040062</v>
      </c>
      <c r="F3176" s="5">
        <v>1318.67358723337</v>
      </c>
      <c r="G3176" s="5">
        <v>15.6540329398714</v>
      </c>
      <c r="H3176" s="5">
        <v>15.6540329398714</v>
      </c>
      <c r="I3176" s="5">
        <v>15.6540329398714</v>
      </c>
      <c r="J3176" s="5">
        <v>1.20724640990918</v>
      </c>
      <c r="K3176" s="5">
        <v>1.20724640990918</v>
      </c>
      <c r="L3176" s="5">
        <v>1.20724640990918</v>
      </c>
      <c r="M3176" s="5">
        <v>14.4467865299622</v>
      </c>
      <c r="N3176" s="5">
        <v>14.4467865299622</v>
      </c>
      <c r="O3176" s="5">
        <v>14.4467865299622</v>
      </c>
      <c r="P3176" s="5">
        <v>0.0</v>
      </c>
      <c r="Q3176" s="5">
        <v>0.0</v>
      </c>
      <c r="R3176" s="5">
        <v>0.0</v>
      </c>
      <c r="S3176" s="5">
        <v>1322.61849279001</v>
      </c>
    </row>
    <row r="3177">
      <c r="A3177" s="6">
        <v>44864.0</v>
      </c>
      <c r="B3177" s="5">
        <v>1308.13530604965</v>
      </c>
      <c r="C3177" s="5">
        <v>1259.21659075055</v>
      </c>
      <c r="D3177" s="5">
        <v>1387.34509154227</v>
      </c>
      <c r="E3177" s="5">
        <v>1297.32331205459</v>
      </c>
      <c r="F3177" s="5">
        <v>1319.96171813676</v>
      </c>
      <c r="G3177" s="5">
        <v>16.2528393026286</v>
      </c>
      <c r="H3177" s="5">
        <v>16.2528393026286</v>
      </c>
      <c r="I3177" s="5">
        <v>16.2528393026286</v>
      </c>
      <c r="J3177" s="5">
        <v>1.2072487923307</v>
      </c>
      <c r="K3177" s="5">
        <v>1.2072487923307</v>
      </c>
      <c r="L3177" s="5">
        <v>1.2072487923307</v>
      </c>
      <c r="M3177" s="5">
        <v>15.0455905102979</v>
      </c>
      <c r="N3177" s="5">
        <v>15.0455905102979</v>
      </c>
      <c r="O3177" s="5">
        <v>15.0455905102979</v>
      </c>
      <c r="P3177" s="5">
        <v>0.0</v>
      </c>
      <c r="Q3177" s="5">
        <v>0.0</v>
      </c>
      <c r="R3177" s="5">
        <v>0.0</v>
      </c>
      <c r="S3177" s="5">
        <v>1324.38814535228</v>
      </c>
    </row>
    <row r="3178">
      <c r="A3178" s="6">
        <v>44865.0</v>
      </c>
      <c r="B3178" s="5">
        <v>1309.30615224916</v>
      </c>
      <c r="C3178" s="5">
        <v>1261.39232115696</v>
      </c>
      <c r="D3178" s="5">
        <v>1388.35363375527</v>
      </c>
      <c r="E3178" s="5">
        <v>1298.40878370857</v>
      </c>
      <c r="F3178" s="5">
        <v>1321.24048391423</v>
      </c>
      <c r="G3178" s="5">
        <v>15.6457881414574</v>
      </c>
      <c r="H3178" s="5">
        <v>15.6457881414574</v>
      </c>
      <c r="I3178" s="5">
        <v>15.6457881414574</v>
      </c>
      <c r="J3178" s="5">
        <v>0.0905589421196257</v>
      </c>
      <c r="K3178" s="5">
        <v>0.0905589421196257</v>
      </c>
      <c r="L3178" s="5">
        <v>0.0905589421196257</v>
      </c>
      <c r="M3178" s="5">
        <v>15.5552291993378</v>
      </c>
      <c r="N3178" s="5">
        <v>15.5552291993378</v>
      </c>
      <c r="O3178" s="5">
        <v>15.5552291993378</v>
      </c>
      <c r="P3178" s="5">
        <v>0.0</v>
      </c>
      <c r="Q3178" s="5">
        <v>0.0</v>
      </c>
      <c r="R3178" s="5">
        <v>0.0</v>
      </c>
      <c r="S3178" s="5">
        <v>1324.95194039062</v>
      </c>
    </row>
    <row r="3179">
      <c r="A3179" s="6">
        <v>44866.0</v>
      </c>
      <c r="B3179" s="5">
        <v>1310.47699844867</v>
      </c>
      <c r="C3179" s="5">
        <v>1265.04848865649</v>
      </c>
      <c r="D3179" s="5">
        <v>1392.15229988102</v>
      </c>
      <c r="E3179" s="5">
        <v>1299.49425536254</v>
      </c>
      <c r="F3179" s="5">
        <v>1322.48620422894</v>
      </c>
      <c r="G3179" s="5">
        <v>15.8357947218077</v>
      </c>
      <c r="H3179" s="5">
        <v>15.8357947218077</v>
      </c>
      <c r="I3179" s="5">
        <v>15.8357947218077</v>
      </c>
      <c r="J3179" s="5">
        <v>-0.144118857245752</v>
      </c>
      <c r="K3179" s="5">
        <v>-0.144118857245752</v>
      </c>
      <c r="L3179" s="5">
        <v>-0.144118857245752</v>
      </c>
      <c r="M3179" s="5">
        <v>15.9799135790535</v>
      </c>
      <c r="N3179" s="5">
        <v>15.9799135790535</v>
      </c>
      <c r="O3179" s="5">
        <v>15.9799135790535</v>
      </c>
      <c r="P3179" s="5">
        <v>0.0</v>
      </c>
      <c r="Q3179" s="5">
        <v>0.0</v>
      </c>
      <c r="R3179" s="5">
        <v>0.0</v>
      </c>
      <c r="S3179" s="5">
        <v>1326.31279317048</v>
      </c>
    </row>
    <row r="3180">
      <c r="A3180" s="6">
        <v>44867.0</v>
      </c>
      <c r="B3180" s="5">
        <v>1311.64784464819</v>
      </c>
      <c r="C3180" s="5">
        <v>1263.83286951185</v>
      </c>
      <c r="D3180" s="5">
        <v>1391.39803298153</v>
      </c>
      <c r="E3180" s="5">
        <v>1300.57972701651</v>
      </c>
      <c r="F3180" s="5">
        <v>1323.76027536777</v>
      </c>
      <c r="G3180" s="5">
        <v>16.332776426554</v>
      </c>
      <c r="H3180" s="5">
        <v>16.332776426554</v>
      </c>
      <c r="I3180" s="5">
        <v>16.332776426554</v>
      </c>
      <c r="J3180" s="5">
        <v>0.00703780528319715</v>
      </c>
      <c r="K3180" s="5">
        <v>0.00703780528319715</v>
      </c>
      <c r="L3180" s="5">
        <v>0.00703780528319715</v>
      </c>
      <c r="M3180" s="5">
        <v>16.3257386212708</v>
      </c>
      <c r="N3180" s="5">
        <v>16.3257386212708</v>
      </c>
      <c r="O3180" s="5">
        <v>16.3257386212708</v>
      </c>
      <c r="P3180" s="5">
        <v>0.0</v>
      </c>
      <c r="Q3180" s="5">
        <v>0.0</v>
      </c>
      <c r="R3180" s="5">
        <v>0.0</v>
      </c>
      <c r="S3180" s="5">
        <v>1327.98062107474</v>
      </c>
    </row>
    <row r="3181">
      <c r="A3181" s="6">
        <v>44868.0</v>
      </c>
      <c r="B3181" s="5">
        <v>1312.8186908477</v>
      </c>
      <c r="C3181" s="5">
        <v>1266.94644065569</v>
      </c>
      <c r="D3181" s="5">
        <v>1399.25771996022</v>
      </c>
      <c r="E3181" s="5">
        <v>1301.66519867048</v>
      </c>
      <c r="F3181" s="5">
        <v>1325.13799075505</v>
      </c>
      <c r="G3181" s="5">
        <v>15.8240151962791</v>
      </c>
      <c r="H3181" s="5">
        <v>15.8240151962791</v>
      </c>
      <c r="I3181" s="5">
        <v>15.8240151962791</v>
      </c>
      <c r="J3181" s="5">
        <v>-0.776422525900532</v>
      </c>
      <c r="K3181" s="5">
        <v>-0.776422525900532</v>
      </c>
      <c r="L3181" s="5">
        <v>-0.776422525900532</v>
      </c>
      <c r="M3181" s="5">
        <v>16.6004377221796</v>
      </c>
      <c r="N3181" s="5">
        <v>16.6004377221796</v>
      </c>
      <c r="O3181" s="5">
        <v>16.6004377221796</v>
      </c>
      <c r="P3181" s="5">
        <v>0.0</v>
      </c>
      <c r="Q3181" s="5">
        <v>0.0</v>
      </c>
      <c r="R3181" s="5">
        <v>0.0</v>
      </c>
      <c r="S3181" s="5">
        <v>1328.64270604398</v>
      </c>
    </row>
    <row r="3182">
      <c r="A3182" s="6">
        <v>44869.0</v>
      </c>
      <c r="B3182" s="5">
        <v>1313.98953704721</v>
      </c>
      <c r="C3182" s="5">
        <v>1262.01177532235</v>
      </c>
      <c r="D3182" s="5">
        <v>1392.16451302996</v>
      </c>
      <c r="E3182" s="5">
        <v>1302.75067032445</v>
      </c>
      <c r="F3182" s="5">
        <v>1326.43488864823</v>
      </c>
      <c r="G3182" s="5">
        <v>15.2215419491753</v>
      </c>
      <c r="H3182" s="5">
        <v>15.2215419491753</v>
      </c>
      <c r="I3182" s="5">
        <v>15.2215419491753</v>
      </c>
      <c r="J3182" s="5">
        <v>-1.59155056649051</v>
      </c>
      <c r="K3182" s="5">
        <v>-1.59155056649051</v>
      </c>
      <c r="L3182" s="5">
        <v>-1.59155056649051</v>
      </c>
      <c r="M3182" s="5">
        <v>16.8130925156658</v>
      </c>
      <c r="N3182" s="5">
        <v>16.8130925156658</v>
      </c>
      <c r="O3182" s="5">
        <v>16.8130925156658</v>
      </c>
      <c r="P3182" s="5">
        <v>0.0</v>
      </c>
      <c r="Q3182" s="5">
        <v>0.0</v>
      </c>
      <c r="R3182" s="5">
        <v>0.0</v>
      </c>
      <c r="S3182" s="5">
        <v>1329.21107899639</v>
      </c>
    </row>
    <row r="3183">
      <c r="A3183" s="6">
        <v>44870.0</v>
      </c>
      <c r="B3183" s="5">
        <v>1315.16038324673</v>
      </c>
      <c r="C3183" s="5">
        <v>1268.61202408274</v>
      </c>
      <c r="D3183" s="5">
        <v>1398.71153795015</v>
      </c>
      <c r="E3183" s="5">
        <v>1303.78411960666</v>
      </c>
      <c r="F3183" s="5">
        <v>1327.72298054082</v>
      </c>
      <c r="G3183" s="5">
        <v>18.1810533151578</v>
      </c>
      <c r="H3183" s="5">
        <v>18.1810533151578</v>
      </c>
      <c r="I3183" s="5">
        <v>18.1810533151578</v>
      </c>
      <c r="J3183" s="5">
        <v>1.20724640991049</v>
      </c>
      <c r="K3183" s="5">
        <v>1.20724640991049</v>
      </c>
      <c r="L3183" s="5">
        <v>1.20724640991049</v>
      </c>
      <c r="M3183" s="5">
        <v>16.9738069052473</v>
      </c>
      <c r="N3183" s="5">
        <v>16.9738069052473</v>
      </c>
      <c r="O3183" s="5">
        <v>16.9738069052473</v>
      </c>
      <c r="P3183" s="5">
        <v>0.0</v>
      </c>
      <c r="Q3183" s="5">
        <v>0.0</v>
      </c>
      <c r="R3183" s="5">
        <v>0.0</v>
      </c>
      <c r="S3183" s="5">
        <v>1333.34143656188</v>
      </c>
    </row>
    <row r="3184">
      <c r="A3184" s="6">
        <v>44871.0</v>
      </c>
      <c r="B3184" s="5">
        <v>1316.33122944624</v>
      </c>
      <c r="C3184" s="5">
        <v>1268.22341979586</v>
      </c>
      <c r="D3184" s="5">
        <v>1398.76495523389</v>
      </c>
      <c r="E3184" s="5">
        <v>1304.8744575146</v>
      </c>
      <c r="F3184" s="5">
        <v>1329.01096656149</v>
      </c>
      <c r="G3184" s="5">
        <v>18.3006040124223</v>
      </c>
      <c r="H3184" s="5">
        <v>18.3006040124223</v>
      </c>
      <c r="I3184" s="5">
        <v>18.3006040124223</v>
      </c>
      <c r="J3184" s="5">
        <v>1.20724879232861</v>
      </c>
      <c r="K3184" s="5">
        <v>1.20724879232861</v>
      </c>
      <c r="L3184" s="5">
        <v>1.20724879232861</v>
      </c>
      <c r="M3184" s="5">
        <v>17.0933552200936</v>
      </c>
      <c r="N3184" s="5">
        <v>17.0933552200936</v>
      </c>
      <c r="O3184" s="5">
        <v>17.0933552200936</v>
      </c>
      <c r="P3184" s="5">
        <v>0.0</v>
      </c>
      <c r="Q3184" s="5">
        <v>0.0</v>
      </c>
      <c r="R3184" s="5">
        <v>0.0</v>
      </c>
      <c r="S3184" s="5">
        <v>1334.63183345866</v>
      </c>
    </row>
    <row r="3185">
      <c r="A3185" s="6">
        <v>44872.0</v>
      </c>
      <c r="B3185" s="5">
        <v>1317.50207564575</v>
      </c>
      <c r="C3185" s="5">
        <v>1271.77778010939</v>
      </c>
      <c r="D3185" s="5">
        <v>1396.2136605174</v>
      </c>
      <c r="E3185" s="5">
        <v>1305.97119296309</v>
      </c>
      <c r="F3185" s="5">
        <v>1330.25693849369</v>
      </c>
      <c r="G3185" s="5">
        <v>17.2733741184434</v>
      </c>
      <c r="H3185" s="5">
        <v>17.2733741184434</v>
      </c>
      <c r="I3185" s="5">
        <v>17.2733741184434</v>
      </c>
      <c r="J3185" s="5">
        <v>0.0905589421231161</v>
      </c>
      <c r="K3185" s="5">
        <v>0.0905589421231161</v>
      </c>
      <c r="L3185" s="5">
        <v>0.0905589421231161</v>
      </c>
      <c r="M3185" s="5">
        <v>17.1828151763203</v>
      </c>
      <c r="N3185" s="5">
        <v>17.1828151763203</v>
      </c>
      <c r="O3185" s="5">
        <v>17.1828151763203</v>
      </c>
      <c r="P3185" s="5">
        <v>0.0</v>
      </c>
      <c r="Q3185" s="5">
        <v>0.0</v>
      </c>
      <c r="R3185" s="5">
        <v>0.0</v>
      </c>
      <c r="S3185" s="5">
        <v>1334.7754497642</v>
      </c>
    </row>
    <row r="3186">
      <c r="A3186" s="6">
        <v>44873.0</v>
      </c>
      <c r="B3186" s="5">
        <v>1318.67292184527</v>
      </c>
      <c r="C3186" s="5">
        <v>1273.8785704137</v>
      </c>
      <c r="D3186" s="5">
        <v>1399.70495685251</v>
      </c>
      <c r="E3186" s="5">
        <v>1307.06792841157</v>
      </c>
      <c r="F3186" s="5">
        <v>1331.47799380542</v>
      </c>
      <c r="G3186" s="5">
        <v>17.109077929256</v>
      </c>
      <c r="H3186" s="5">
        <v>17.109077929256</v>
      </c>
      <c r="I3186" s="5">
        <v>17.109077929256</v>
      </c>
      <c r="J3186" s="5">
        <v>-0.144118857247187</v>
      </c>
      <c r="K3186" s="5">
        <v>-0.144118857247187</v>
      </c>
      <c r="L3186" s="5">
        <v>-0.144118857247187</v>
      </c>
      <c r="M3186" s="5">
        <v>17.2531967865032</v>
      </c>
      <c r="N3186" s="5">
        <v>17.2531967865032</v>
      </c>
      <c r="O3186" s="5">
        <v>17.2531967865032</v>
      </c>
      <c r="P3186" s="5">
        <v>0.0</v>
      </c>
      <c r="Q3186" s="5">
        <v>0.0</v>
      </c>
      <c r="R3186" s="5">
        <v>0.0</v>
      </c>
      <c r="S3186" s="5">
        <v>1335.78199977452</v>
      </c>
    </row>
    <row r="3187">
      <c r="A3187" s="6">
        <v>44874.0</v>
      </c>
      <c r="B3187" s="5">
        <v>1319.84376804478</v>
      </c>
      <c r="C3187" s="5">
        <v>1269.7076604278</v>
      </c>
      <c r="D3187" s="5">
        <v>1403.93534496775</v>
      </c>
      <c r="E3187" s="5">
        <v>1308.16466386006</v>
      </c>
      <c r="F3187" s="5">
        <v>1332.62758488572</v>
      </c>
      <c r="G3187" s="5">
        <v>17.3221162983148</v>
      </c>
      <c r="H3187" s="5">
        <v>17.3221162983148</v>
      </c>
      <c r="I3187" s="5">
        <v>17.3221162983148</v>
      </c>
      <c r="J3187" s="5">
        <v>0.0070378052823446</v>
      </c>
      <c r="K3187" s="5">
        <v>0.0070378052823446</v>
      </c>
      <c r="L3187" s="5">
        <v>0.0070378052823446</v>
      </c>
      <c r="M3187" s="5">
        <v>17.3150784930325</v>
      </c>
      <c r="N3187" s="5">
        <v>17.3150784930325</v>
      </c>
      <c r="O3187" s="5">
        <v>17.3150784930325</v>
      </c>
      <c r="P3187" s="5">
        <v>0.0</v>
      </c>
      <c r="Q3187" s="5">
        <v>0.0</v>
      </c>
      <c r="R3187" s="5">
        <v>0.0</v>
      </c>
      <c r="S3187" s="5">
        <v>1337.1658843431</v>
      </c>
    </row>
    <row r="3188">
      <c r="A3188" s="6">
        <v>44875.0</v>
      </c>
      <c r="B3188" s="5">
        <v>1321.01461424429</v>
      </c>
      <c r="C3188" s="5">
        <v>1273.37949484186</v>
      </c>
      <c r="D3188" s="5">
        <v>1401.65817888334</v>
      </c>
      <c r="E3188" s="5">
        <v>1309.25009473186</v>
      </c>
      <c r="F3188" s="5">
        <v>1333.83217697014</v>
      </c>
      <c r="G3188" s="5">
        <v>16.601839073444</v>
      </c>
      <c r="H3188" s="5">
        <v>16.601839073444</v>
      </c>
      <c r="I3188" s="5">
        <v>16.601839073444</v>
      </c>
      <c r="J3188" s="5">
        <v>-0.776422525901254</v>
      </c>
      <c r="K3188" s="5">
        <v>-0.776422525901254</v>
      </c>
      <c r="L3188" s="5">
        <v>-0.776422525901254</v>
      </c>
      <c r="M3188" s="5">
        <v>17.3782615993452</v>
      </c>
      <c r="N3188" s="5">
        <v>17.3782615993452</v>
      </c>
      <c r="O3188" s="5">
        <v>17.3782615993452</v>
      </c>
      <c r="P3188" s="5">
        <v>0.0</v>
      </c>
      <c r="Q3188" s="5">
        <v>0.0</v>
      </c>
      <c r="R3188" s="5">
        <v>0.0</v>
      </c>
      <c r="S3188" s="5">
        <v>1337.61645331774</v>
      </c>
    </row>
    <row r="3189">
      <c r="A3189" s="6">
        <v>44876.0</v>
      </c>
      <c r="B3189" s="5">
        <v>1322.18546044381</v>
      </c>
      <c r="C3189" s="5">
        <v>1270.52692140201</v>
      </c>
      <c r="D3189" s="5">
        <v>1404.1617451648</v>
      </c>
      <c r="E3189" s="5">
        <v>1310.33460086484</v>
      </c>
      <c r="F3189" s="5">
        <v>1335.10927027415</v>
      </c>
      <c r="G3189" s="5">
        <v>15.8599029751377</v>
      </c>
      <c r="H3189" s="5">
        <v>15.8599029751377</v>
      </c>
      <c r="I3189" s="5">
        <v>15.8599029751377</v>
      </c>
      <c r="J3189" s="5">
        <v>-1.59155056648927</v>
      </c>
      <c r="K3189" s="5">
        <v>-1.59155056648927</v>
      </c>
      <c r="L3189" s="5">
        <v>-1.59155056648927</v>
      </c>
      <c r="M3189" s="5">
        <v>17.451453541627</v>
      </c>
      <c r="N3189" s="5">
        <v>17.451453541627</v>
      </c>
      <c r="O3189" s="5">
        <v>17.451453541627</v>
      </c>
      <c r="P3189" s="5">
        <v>0.0</v>
      </c>
      <c r="Q3189" s="5">
        <v>0.0</v>
      </c>
      <c r="R3189" s="5">
        <v>0.0</v>
      </c>
      <c r="S3189" s="5">
        <v>1338.04536341894</v>
      </c>
    </row>
    <row r="3190">
      <c r="A3190" s="6">
        <v>44877.0</v>
      </c>
      <c r="B3190" s="5">
        <v>1323.35630664332</v>
      </c>
      <c r="C3190" s="5">
        <v>1280.42668746812</v>
      </c>
      <c r="D3190" s="5">
        <v>1408.33459214144</v>
      </c>
      <c r="E3190" s="5">
        <v>1311.41910699781</v>
      </c>
      <c r="F3190" s="5">
        <v>1336.38636357817</v>
      </c>
      <c r="G3190" s="5">
        <v>18.7492361064185</v>
      </c>
      <c r="H3190" s="5">
        <v>18.7492361064185</v>
      </c>
      <c r="I3190" s="5">
        <v>18.7492361064185</v>
      </c>
      <c r="J3190" s="5">
        <v>1.20724640990358</v>
      </c>
      <c r="K3190" s="5">
        <v>1.20724640990358</v>
      </c>
      <c r="L3190" s="5">
        <v>1.20724640990358</v>
      </c>
      <c r="M3190" s="5">
        <v>17.5419896965149</v>
      </c>
      <c r="N3190" s="5">
        <v>17.5419896965149</v>
      </c>
      <c r="O3190" s="5">
        <v>17.5419896965149</v>
      </c>
      <c r="P3190" s="5">
        <v>0.0</v>
      </c>
      <c r="Q3190" s="5">
        <v>0.0</v>
      </c>
      <c r="R3190" s="5">
        <v>0.0</v>
      </c>
      <c r="S3190" s="5">
        <v>1342.10554274974</v>
      </c>
    </row>
    <row r="3191">
      <c r="A3191" s="6">
        <v>44878.0</v>
      </c>
      <c r="B3191" s="5">
        <v>1324.52715284283</v>
      </c>
      <c r="C3191" s="5">
        <v>1279.03081403978</v>
      </c>
      <c r="D3191" s="5">
        <v>1407.73611347342</v>
      </c>
      <c r="E3191" s="5">
        <v>1312.50361313078</v>
      </c>
      <c r="F3191" s="5">
        <v>1337.66345688219</v>
      </c>
      <c r="G3191" s="5">
        <v>18.862851073683</v>
      </c>
      <c r="H3191" s="5">
        <v>18.862851073683</v>
      </c>
      <c r="I3191" s="5">
        <v>18.862851073683</v>
      </c>
      <c r="J3191" s="5">
        <v>1.20724879232653</v>
      </c>
      <c r="K3191" s="5">
        <v>1.20724879232653</v>
      </c>
      <c r="L3191" s="5">
        <v>1.20724879232653</v>
      </c>
      <c r="M3191" s="5">
        <v>17.6556022813565</v>
      </c>
      <c r="N3191" s="5">
        <v>17.6556022813565</v>
      </c>
      <c r="O3191" s="5">
        <v>17.6556022813565</v>
      </c>
      <c r="P3191" s="5">
        <v>0.0</v>
      </c>
      <c r="Q3191" s="5">
        <v>0.0</v>
      </c>
      <c r="R3191" s="5">
        <v>0.0</v>
      </c>
      <c r="S3191" s="5">
        <v>1343.39000391652</v>
      </c>
    </row>
    <row r="3192">
      <c r="A3192" s="6">
        <v>44879.0</v>
      </c>
      <c r="B3192" s="5">
        <v>1325.69799904235</v>
      </c>
      <c r="C3192" s="5">
        <v>1280.42765888536</v>
      </c>
      <c r="D3192" s="5">
        <v>1411.58829872151</v>
      </c>
      <c r="E3192" s="5">
        <v>1313.56034192864</v>
      </c>
      <c r="F3192" s="5">
        <v>1338.93704675376</v>
      </c>
      <c r="G3192" s="5">
        <v>17.8868024470144</v>
      </c>
      <c r="H3192" s="5">
        <v>17.8868024470144</v>
      </c>
      <c r="I3192" s="5">
        <v>17.8868024470144</v>
      </c>
      <c r="J3192" s="5">
        <v>0.0905589421216786</v>
      </c>
      <c r="K3192" s="5">
        <v>0.0905589421216786</v>
      </c>
      <c r="L3192" s="5">
        <v>0.0905589421216786</v>
      </c>
      <c r="M3192" s="5">
        <v>17.7962435048927</v>
      </c>
      <c r="N3192" s="5">
        <v>17.7962435048927</v>
      </c>
      <c r="O3192" s="5">
        <v>17.7962435048927</v>
      </c>
      <c r="P3192" s="5">
        <v>0.0</v>
      </c>
      <c r="Q3192" s="5">
        <v>0.0</v>
      </c>
      <c r="R3192" s="5">
        <v>0.0</v>
      </c>
      <c r="S3192" s="5">
        <v>1343.58480148936</v>
      </c>
    </row>
    <row r="3193">
      <c r="A3193" s="6">
        <v>44880.0</v>
      </c>
      <c r="B3193" s="5">
        <v>1326.86884524186</v>
      </c>
      <c r="C3193" s="5">
        <v>1280.7681051656</v>
      </c>
      <c r="D3193" s="5">
        <v>1408.84956125954</v>
      </c>
      <c r="E3193" s="5">
        <v>1314.58028149221</v>
      </c>
      <c r="F3193" s="5">
        <v>1340.18179662057</v>
      </c>
      <c r="G3193" s="5">
        <v>17.8218496508445</v>
      </c>
      <c r="H3193" s="5">
        <v>17.8218496508445</v>
      </c>
      <c r="I3193" s="5">
        <v>17.8218496508445</v>
      </c>
      <c r="J3193" s="5">
        <v>-0.144118857243576</v>
      </c>
      <c r="K3193" s="5">
        <v>-0.144118857243576</v>
      </c>
      <c r="L3193" s="5">
        <v>-0.144118857243576</v>
      </c>
      <c r="M3193" s="5">
        <v>17.965968508088</v>
      </c>
      <c r="N3193" s="5">
        <v>17.965968508088</v>
      </c>
      <c r="O3193" s="5">
        <v>17.965968508088</v>
      </c>
      <c r="P3193" s="5">
        <v>0.0</v>
      </c>
      <c r="Q3193" s="5">
        <v>0.0</v>
      </c>
      <c r="R3193" s="5">
        <v>0.0</v>
      </c>
      <c r="S3193" s="5">
        <v>1344.6906948927</v>
      </c>
    </row>
    <row r="3194">
      <c r="A3194" s="6">
        <v>44881.0</v>
      </c>
      <c r="B3194" s="5">
        <v>1328.03969144137</v>
      </c>
      <c r="C3194" s="5">
        <v>1283.67307735807</v>
      </c>
      <c r="D3194" s="5">
        <v>1412.44107230681</v>
      </c>
      <c r="E3194" s="5">
        <v>1315.67952208325</v>
      </c>
      <c r="F3194" s="5">
        <v>1341.42654648737</v>
      </c>
      <c r="G3194" s="5">
        <v>18.1719196492186</v>
      </c>
      <c r="H3194" s="5">
        <v>18.1719196492186</v>
      </c>
      <c r="I3194" s="5">
        <v>18.1719196492186</v>
      </c>
      <c r="J3194" s="5">
        <v>0.00703780528149218</v>
      </c>
      <c r="K3194" s="5">
        <v>0.00703780528149218</v>
      </c>
      <c r="L3194" s="5">
        <v>0.00703780528149218</v>
      </c>
      <c r="M3194" s="5">
        <v>18.1648818439371</v>
      </c>
      <c r="N3194" s="5">
        <v>18.1648818439371</v>
      </c>
      <c r="O3194" s="5">
        <v>18.1648818439371</v>
      </c>
      <c r="P3194" s="5">
        <v>0.0</v>
      </c>
      <c r="Q3194" s="5">
        <v>0.0</v>
      </c>
      <c r="R3194" s="5">
        <v>0.0</v>
      </c>
      <c r="S3194" s="5">
        <v>1346.21161109059</v>
      </c>
    </row>
    <row r="3195">
      <c r="A3195" s="6">
        <v>44882.0</v>
      </c>
      <c r="B3195" s="5">
        <v>1329.21053764089</v>
      </c>
      <c r="C3195" s="5">
        <v>1281.05087785155</v>
      </c>
      <c r="D3195" s="5">
        <v>1411.25341708361</v>
      </c>
      <c r="E3195" s="5">
        <v>1316.79553779187</v>
      </c>
      <c r="F3195" s="5">
        <v>1342.67129635417</v>
      </c>
      <c r="G3195" s="5">
        <v>17.6147268077086</v>
      </c>
      <c r="H3195" s="5">
        <v>17.6147268077086</v>
      </c>
      <c r="I3195" s="5">
        <v>17.6147268077086</v>
      </c>
      <c r="J3195" s="5">
        <v>-0.776422525903351</v>
      </c>
      <c r="K3195" s="5">
        <v>-0.776422525903351</v>
      </c>
      <c r="L3195" s="5">
        <v>-0.776422525903351</v>
      </c>
      <c r="M3195" s="5">
        <v>18.3911493336119</v>
      </c>
      <c r="N3195" s="5">
        <v>18.3911493336119</v>
      </c>
      <c r="O3195" s="5">
        <v>18.3911493336119</v>
      </c>
      <c r="P3195" s="5">
        <v>0.0</v>
      </c>
      <c r="Q3195" s="5">
        <v>0.0</v>
      </c>
      <c r="R3195" s="5">
        <v>0.0</v>
      </c>
      <c r="S3195" s="5">
        <v>1346.82526444859</v>
      </c>
    </row>
    <row r="3196">
      <c r="A3196" s="6">
        <v>44883.0</v>
      </c>
      <c r="B3196" s="5">
        <v>1330.3813838404</v>
      </c>
      <c r="C3196" s="5">
        <v>1284.6930574934</v>
      </c>
      <c r="D3196" s="5">
        <v>1413.35310404827</v>
      </c>
      <c r="E3196" s="5">
        <v>1317.88629781969</v>
      </c>
      <c r="F3196" s="5">
        <v>1343.91604622098</v>
      </c>
      <c r="G3196" s="5">
        <v>17.0495245936922</v>
      </c>
      <c r="H3196" s="5">
        <v>17.0495245936922</v>
      </c>
      <c r="I3196" s="5">
        <v>17.0495245936922</v>
      </c>
      <c r="J3196" s="5">
        <v>-1.59155056649415</v>
      </c>
      <c r="K3196" s="5">
        <v>-1.59155056649415</v>
      </c>
      <c r="L3196" s="5">
        <v>-1.59155056649415</v>
      </c>
      <c r="M3196" s="5">
        <v>18.6410751601863</v>
      </c>
      <c r="N3196" s="5">
        <v>18.6410751601863</v>
      </c>
      <c r="O3196" s="5">
        <v>18.6410751601863</v>
      </c>
      <c r="P3196" s="5">
        <v>0.0</v>
      </c>
      <c r="Q3196" s="5">
        <v>0.0</v>
      </c>
      <c r="R3196" s="5">
        <v>0.0</v>
      </c>
      <c r="S3196" s="5">
        <v>1347.43090843409</v>
      </c>
    </row>
    <row r="3197">
      <c r="A3197" s="6">
        <v>44884.0</v>
      </c>
      <c r="B3197" s="5">
        <v>1331.55223003991</v>
      </c>
      <c r="C3197" s="5">
        <v>1293.20856006687</v>
      </c>
      <c r="D3197" s="5">
        <v>1421.79065823486</v>
      </c>
      <c r="E3197" s="5">
        <v>1318.99016183833</v>
      </c>
      <c r="F3197" s="5">
        <v>1345.16079608778</v>
      </c>
      <c r="G3197" s="5">
        <v>20.1164884883906</v>
      </c>
      <c r="H3197" s="5">
        <v>20.1164884883906</v>
      </c>
      <c r="I3197" s="5">
        <v>20.1164884883906</v>
      </c>
      <c r="J3197" s="5">
        <v>1.2072464099057</v>
      </c>
      <c r="K3197" s="5">
        <v>1.2072464099057</v>
      </c>
      <c r="L3197" s="5">
        <v>1.2072464099057</v>
      </c>
      <c r="M3197" s="5">
        <v>18.9092420784849</v>
      </c>
      <c r="N3197" s="5">
        <v>18.9092420784849</v>
      </c>
      <c r="O3197" s="5">
        <v>18.9092420784849</v>
      </c>
      <c r="P3197" s="5">
        <v>0.0</v>
      </c>
      <c r="Q3197" s="5">
        <v>0.0</v>
      </c>
      <c r="R3197" s="5">
        <v>0.0</v>
      </c>
      <c r="S3197" s="5">
        <v>1351.6687185283</v>
      </c>
    </row>
    <row r="3198">
      <c r="A3198" s="6">
        <v>44885.0</v>
      </c>
      <c r="B3198" s="5">
        <v>1332.72307623943</v>
      </c>
      <c r="C3198" s="5">
        <v>1284.67545745365</v>
      </c>
      <c r="D3198" s="5">
        <v>1421.38511077842</v>
      </c>
      <c r="E3198" s="5">
        <v>1320.01469552738</v>
      </c>
      <c r="F3198" s="5">
        <v>1346.40554595458</v>
      </c>
      <c r="G3198" s="5">
        <v>20.3959594812653</v>
      </c>
      <c r="H3198" s="5">
        <v>20.3959594812653</v>
      </c>
      <c r="I3198" s="5">
        <v>20.3959594812653</v>
      </c>
      <c r="J3198" s="5">
        <v>1.20724879232622</v>
      </c>
      <c r="K3198" s="5">
        <v>1.20724879232622</v>
      </c>
      <c r="L3198" s="5">
        <v>1.20724879232622</v>
      </c>
      <c r="M3198" s="5">
        <v>19.1887106889391</v>
      </c>
      <c r="N3198" s="5">
        <v>19.1887106889391</v>
      </c>
      <c r="O3198" s="5">
        <v>19.1887106889391</v>
      </c>
      <c r="P3198" s="5">
        <v>0.0</v>
      </c>
      <c r="Q3198" s="5">
        <v>0.0</v>
      </c>
      <c r="R3198" s="5">
        <v>0.0</v>
      </c>
      <c r="S3198" s="5">
        <v>1353.11903572069</v>
      </c>
    </row>
    <row r="3199">
      <c r="A3199" s="6">
        <v>44886.0</v>
      </c>
      <c r="B3199" s="5">
        <v>1333.89392243894</v>
      </c>
      <c r="C3199" s="5">
        <v>1290.02169970222</v>
      </c>
      <c r="D3199" s="5">
        <v>1420.89064736295</v>
      </c>
      <c r="E3199" s="5">
        <v>1321.10399347001</v>
      </c>
      <c r="F3199" s="5">
        <v>1347.65029582138</v>
      </c>
      <c r="G3199" s="5">
        <v>19.561830844304</v>
      </c>
      <c r="H3199" s="5">
        <v>19.561830844304</v>
      </c>
      <c r="I3199" s="5">
        <v>19.561830844304</v>
      </c>
      <c r="J3199" s="5">
        <v>0.0905589421202411</v>
      </c>
      <c r="K3199" s="5">
        <v>0.0905589421202411</v>
      </c>
      <c r="L3199" s="5">
        <v>0.0905589421202411</v>
      </c>
      <c r="M3199" s="5">
        <v>19.4712719021838</v>
      </c>
      <c r="N3199" s="5">
        <v>19.4712719021838</v>
      </c>
      <c r="O3199" s="5">
        <v>19.4712719021838</v>
      </c>
      <c r="P3199" s="5">
        <v>0.0</v>
      </c>
      <c r="Q3199" s="5">
        <v>0.0</v>
      </c>
      <c r="R3199" s="5">
        <v>0.0</v>
      </c>
      <c r="S3199" s="5">
        <v>1353.45575328324</v>
      </c>
    </row>
    <row r="3200">
      <c r="A3200" s="6">
        <v>44887.0</v>
      </c>
      <c r="B3200" s="5">
        <v>1335.06476863845</v>
      </c>
      <c r="C3200" s="5">
        <v>1291.14721244674</v>
      </c>
      <c r="D3200" s="5">
        <v>1418.00942128484</v>
      </c>
      <c r="E3200" s="5">
        <v>1322.2189755956</v>
      </c>
      <c r="F3200" s="5">
        <v>1348.96741521046</v>
      </c>
      <c r="G3200" s="5">
        <v>19.6036262064939</v>
      </c>
      <c r="H3200" s="5">
        <v>19.6036262064939</v>
      </c>
      <c r="I3200" s="5">
        <v>19.6036262064939</v>
      </c>
      <c r="J3200" s="5">
        <v>-0.144118857245011</v>
      </c>
      <c r="K3200" s="5">
        <v>-0.144118857245011</v>
      </c>
      <c r="L3200" s="5">
        <v>-0.144118857245011</v>
      </c>
      <c r="M3200" s="5">
        <v>19.7477450637389</v>
      </c>
      <c r="N3200" s="5">
        <v>19.7477450637389</v>
      </c>
      <c r="O3200" s="5">
        <v>19.7477450637389</v>
      </c>
      <c r="P3200" s="5">
        <v>0.0</v>
      </c>
      <c r="Q3200" s="5">
        <v>0.0</v>
      </c>
      <c r="R3200" s="5">
        <v>0.0</v>
      </c>
      <c r="S3200" s="5">
        <v>1354.66839484495</v>
      </c>
    </row>
    <row r="3201">
      <c r="A3201" s="6">
        <v>44888.0</v>
      </c>
      <c r="B3201" s="5">
        <v>1336.23561483797</v>
      </c>
      <c r="C3201" s="5">
        <v>1293.11524267565</v>
      </c>
      <c r="D3201" s="5">
        <v>1420.21954519401</v>
      </c>
      <c r="E3201" s="5">
        <v>1323.34867446049</v>
      </c>
      <c r="F3201" s="5">
        <v>1350.35920832326</v>
      </c>
      <c r="G3201" s="5">
        <v>20.0153505699274</v>
      </c>
      <c r="H3201" s="5">
        <v>20.0153505699274</v>
      </c>
      <c r="I3201" s="5">
        <v>20.0153505699274</v>
      </c>
      <c r="J3201" s="5">
        <v>0.00703780528262229</v>
      </c>
      <c r="K3201" s="5">
        <v>0.00703780528262229</v>
      </c>
      <c r="L3201" s="5">
        <v>0.00703780528262229</v>
      </c>
      <c r="M3201" s="5">
        <v>20.0083127646448</v>
      </c>
      <c r="N3201" s="5">
        <v>20.0083127646448</v>
      </c>
      <c r="O3201" s="5">
        <v>20.0083127646448</v>
      </c>
      <c r="P3201" s="5">
        <v>0.0</v>
      </c>
      <c r="Q3201" s="5">
        <v>0.0</v>
      </c>
      <c r="R3201" s="5">
        <v>0.0</v>
      </c>
      <c r="S3201" s="5">
        <v>1356.25096540789</v>
      </c>
    </row>
    <row r="3202">
      <c r="A3202" s="6">
        <v>44889.0</v>
      </c>
      <c r="B3202" s="5">
        <v>1337.40646103748</v>
      </c>
      <c r="C3202" s="5">
        <v>1293.3646427051</v>
      </c>
      <c r="D3202" s="5">
        <v>1425.31455240627</v>
      </c>
      <c r="E3202" s="5">
        <v>1324.43438011627</v>
      </c>
      <c r="F3202" s="5">
        <v>1351.75100143606</v>
      </c>
      <c r="G3202" s="5">
        <v>19.4664596521993</v>
      </c>
      <c r="H3202" s="5">
        <v>19.4664596521993</v>
      </c>
      <c r="I3202" s="5">
        <v>19.4664596521993</v>
      </c>
      <c r="J3202" s="5">
        <v>-0.776422525905448</v>
      </c>
      <c r="K3202" s="5">
        <v>-0.776422525905448</v>
      </c>
      <c r="L3202" s="5">
        <v>-0.776422525905448</v>
      </c>
      <c r="M3202" s="5">
        <v>20.2428821781047</v>
      </c>
      <c r="N3202" s="5">
        <v>20.2428821781047</v>
      </c>
      <c r="O3202" s="5">
        <v>20.2428821781047</v>
      </c>
      <c r="P3202" s="5">
        <v>0.0</v>
      </c>
      <c r="Q3202" s="5">
        <v>0.0</v>
      </c>
      <c r="R3202" s="5">
        <v>0.0</v>
      </c>
      <c r="S3202" s="5">
        <v>1356.87292068968</v>
      </c>
    </row>
    <row r="3203">
      <c r="A3203" s="6">
        <v>44890.0</v>
      </c>
      <c r="B3203" s="5">
        <v>1338.57730723699</v>
      </c>
      <c r="C3203" s="5">
        <v>1292.00492298283</v>
      </c>
      <c r="D3203" s="5">
        <v>1425.74449585131</v>
      </c>
      <c r="E3203" s="5">
        <v>1325.5210392719</v>
      </c>
      <c r="F3203" s="5">
        <v>1353.04295110584</v>
      </c>
      <c r="G3203" s="5">
        <v>18.8499113042447</v>
      </c>
      <c r="H3203" s="5">
        <v>18.8499113042447</v>
      </c>
      <c r="I3203" s="5">
        <v>18.8499113042447</v>
      </c>
      <c r="J3203" s="5">
        <v>-1.59155056649291</v>
      </c>
      <c r="K3203" s="5">
        <v>-1.59155056649291</v>
      </c>
      <c r="L3203" s="5">
        <v>-1.59155056649291</v>
      </c>
      <c r="M3203" s="5">
        <v>20.4414618707376</v>
      </c>
      <c r="N3203" s="5">
        <v>20.4414618707376</v>
      </c>
      <c r="O3203" s="5">
        <v>20.4414618707376</v>
      </c>
      <c r="P3203" s="5">
        <v>0.0</v>
      </c>
      <c r="Q3203" s="5">
        <v>0.0</v>
      </c>
      <c r="R3203" s="5">
        <v>0.0</v>
      </c>
      <c r="S3203" s="5">
        <v>1357.42721854124</v>
      </c>
    </row>
    <row r="3204">
      <c r="A3204" s="6">
        <v>44891.0</v>
      </c>
      <c r="B3204" s="5">
        <v>1339.7481534365</v>
      </c>
      <c r="C3204" s="5">
        <v>1296.23268478575</v>
      </c>
      <c r="D3204" s="5">
        <v>1420.17779793484</v>
      </c>
      <c r="E3204" s="5">
        <v>1326.60769842753</v>
      </c>
      <c r="F3204" s="5">
        <v>1354.31945430253</v>
      </c>
      <c r="G3204" s="5">
        <v>21.8017888778818</v>
      </c>
      <c r="H3204" s="5">
        <v>21.8017888778818</v>
      </c>
      <c r="I3204" s="5">
        <v>21.8017888778818</v>
      </c>
      <c r="J3204" s="5">
        <v>1.2072464099062</v>
      </c>
      <c r="K3204" s="5">
        <v>1.2072464099062</v>
      </c>
      <c r="L3204" s="5">
        <v>1.2072464099062</v>
      </c>
      <c r="M3204" s="5">
        <v>20.5945424679756</v>
      </c>
      <c r="N3204" s="5">
        <v>20.5945424679756</v>
      </c>
      <c r="O3204" s="5">
        <v>20.5945424679756</v>
      </c>
      <c r="P3204" s="5">
        <v>0.0</v>
      </c>
      <c r="Q3204" s="5">
        <v>0.0</v>
      </c>
      <c r="R3204" s="5">
        <v>0.0</v>
      </c>
      <c r="S3204" s="5">
        <v>1361.54994231439</v>
      </c>
    </row>
    <row r="3205">
      <c r="A3205" s="6">
        <v>44892.0</v>
      </c>
      <c r="B3205" s="5">
        <v>1340.91899963602</v>
      </c>
      <c r="C3205" s="5">
        <v>1299.43052400161</v>
      </c>
      <c r="D3205" s="5">
        <v>1426.69071928781</v>
      </c>
      <c r="E3205" s="5">
        <v>1327.65008980015</v>
      </c>
      <c r="F3205" s="5">
        <v>1355.59595749922</v>
      </c>
      <c r="G3205" s="5">
        <v>21.9007181177566</v>
      </c>
      <c r="H3205" s="5">
        <v>21.9007181177566</v>
      </c>
      <c r="I3205" s="5">
        <v>21.9007181177566</v>
      </c>
      <c r="J3205" s="5">
        <v>1.20724879232591</v>
      </c>
      <c r="K3205" s="5">
        <v>1.20724879232591</v>
      </c>
      <c r="L3205" s="5">
        <v>1.20724879232591</v>
      </c>
      <c r="M3205" s="5">
        <v>20.6934693254307</v>
      </c>
      <c r="N3205" s="5">
        <v>20.6934693254307</v>
      </c>
      <c r="O3205" s="5">
        <v>20.6934693254307</v>
      </c>
      <c r="P3205" s="5">
        <v>0.0</v>
      </c>
      <c r="Q3205" s="5">
        <v>0.0</v>
      </c>
      <c r="R3205" s="5">
        <v>0.0</v>
      </c>
      <c r="S3205" s="5">
        <v>1362.81971775378</v>
      </c>
    </row>
    <row r="3206">
      <c r="A3206" s="6">
        <v>44893.0</v>
      </c>
      <c r="B3206" s="5">
        <v>1342.08984583553</v>
      </c>
      <c r="C3206" s="5">
        <v>1300.34841324543</v>
      </c>
      <c r="D3206" s="5">
        <v>1427.93088739578</v>
      </c>
      <c r="E3206" s="5">
        <v>1328.71559360236</v>
      </c>
      <c r="F3206" s="5">
        <v>1356.83698317027</v>
      </c>
      <c r="G3206" s="5">
        <v>20.8213544226942</v>
      </c>
      <c r="H3206" s="5">
        <v>20.8213544226942</v>
      </c>
      <c r="I3206" s="5">
        <v>20.8213544226942</v>
      </c>
      <c r="J3206" s="5">
        <v>0.0905589421237317</v>
      </c>
      <c r="K3206" s="5">
        <v>0.0905589421237317</v>
      </c>
      <c r="L3206" s="5">
        <v>0.0905589421237317</v>
      </c>
      <c r="M3206" s="5">
        <v>20.7307954805705</v>
      </c>
      <c r="N3206" s="5">
        <v>20.7307954805705</v>
      </c>
      <c r="O3206" s="5">
        <v>20.7307954805705</v>
      </c>
      <c r="P3206" s="5">
        <v>0.0</v>
      </c>
      <c r="Q3206" s="5">
        <v>0.0</v>
      </c>
      <c r="R3206" s="5">
        <v>0.0</v>
      </c>
      <c r="S3206" s="5">
        <v>1362.91120025823</v>
      </c>
    </row>
    <row r="3207">
      <c r="A3207" s="6">
        <v>44894.0</v>
      </c>
      <c r="B3207" s="5">
        <v>1343.26069203504</v>
      </c>
      <c r="C3207" s="5">
        <v>1296.27162863077</v>
      </c>
      <c r="D3207" s="5">
        <v>1425.35757131296</v>
      </c>
      <c r="E3207" s="5">
        <v>1329.76958281317</v>
      </c>
      <c r="F3207" s="5">
        <v>1358.07642207116</v>
      </c>
      <c r="G3207" s="5">
        <v>20.5564847732367</v>
      </c>
      <c r="H3207" s="5">
        <v>20.5564847732367</v>
      </c>
      <c r="I3207" s="5">
        <v>20.5564847732367</v>
      </c>
      <c r="J3207" s="5">
        <v>-0.144118857243923</v>
      </c>
      <c r="K3207" s="5">
        <v>-0.144118857243923</v>
      </c>
      <c r="L3207" s="5">
        <v>-0.144118857243923</v>
      </c>
      <c r="M3207" s="5">
        <v>20.7006036304806</v>
      </c>
      <c r="N3207" s="5">
        <v>20.7006036304806</v>
      </c>
      <c r="O3207" s="5">
        <v>20.7006036304806</v>
      </c>
      <c r="P3207" s="5">
        <v>0.0</v>
      </c>
      <c r="Q3207" s="5">
        <v>0.0</v>
      </c>
      <c r="R3207" s="5">
        <v>0.0</v>
      </c>
      <c r="S3207" s="5">
        <v>1363.81717680828</v>
      </c>
    </row>
    <row r="3208">
      <c r="A3208" s="6">
        <v>44895.0</v>
      </c>
      <c r="B3208" s="5">
        <v>1344.43153823456</v>
      </c>
      <c r="C3208" s="5">
        <v>1301.98127681061</v>
      </c>
      <c r="D3208" s="5">
        <v>1431.74639182221</v>
      </c>
      <c r="E3208" s="5">
        <v>1330.73436638042</v>
      </c>
      <c r="F3208" s="5">
        <v>1359.31586097205</v>
      </c>
      <c r="G3208" s="5">
        <v>20.605824495782</v>
      </c>
      <c r="H3208" s="5">
        <v>20.605824495782</v>
      </c>
      <c r="I3208" s="5">
        <v>20.605824495782</v>
      </c>
      <c r="J3208" s="5">
        <v>0.00703780528393336</v>
      </c>
      <c r="K3208" s="5">
        <v>0.00703780528393336</v>
      </c>
      <c r="L3208" s="5">
        <v>0.00703780528393336</v>
      </c>
      <c r="M3208" s="5">
        <v>20.598786690498</v>
      </c>
      <c r="N3208" s="5">
        <v>20.598786690498</v>
      </c>
      <c r="O3208" s="5">
        <v>20.598786690498</v>
      </c>
      <c r="P3208" s="5">
        <v>0.0</v>
      </c>
      <c r="Q3208" s="5">
        <v>0.0</v>
      </c>
      <c r="R3208" s="5">
        <v>0.0</v>
      </c>
      <c r="S3208" s="5">
        <v>1365.03736273034</v>
      </c>
    </row>
    <row r="3209">
      <c r="A3209" s="6">
        <v>44896.0</v>
      </c>
      <c r="B3209" s="5">
        <v>1345.60238443407</v>
      </c>
      <c r="C3209" s="5">
        <v>1301.64573603889</v>
      </c>
      <c r="D3209" s="5">
        <v>1431.99650481571</v>
      </c>
      <c r="E3209" s="5">
        <v>1331.73516128036</v>
      </c>
      <c r="F3209" s="5">
        <v>1360.55529987293</v>
      </c>
      <c r="G3209" s="5">
        <v>19.6468550875482</v>
      </c>
      <c r="H3209" s="5">
        <v>19.6468550875482</v>
      </c>
      <c r="I3209" s="5">
        <v>19.6468550875482</v>
      </c>
      <c r="J3209" s="5">
        <v>-0.77642252590617</v>
      </c>
      <c r="K3209" s="5">
        <v>-0.77642252590617</v>
      </c>
      <c r="L3209" s="5">
        <v>-0.77642252590617</v>
      </c>
      <c r="M3209" s="5">
        <v>20.4232776134544</v>
      </c>
      <c r="N3209" s="5">
        <v>20.4232776134544</v>
      </c>
      <c r="O3209" s="5">
        <v>20.4232776134544</v>
      </c>
      <c r="P3209" s="5">
        <v>0.0</v>
      </c>
      <c r="Q3209" s="5">
        <v>0.0</v>
      </c>
      <c r="R3209" s="5">
        <v>0.0</v>
      </c>
      <c r="S3209" s="5">
        <v>1365.24923952162</v>
      </c>
    </row>
    <row r="3210">
      <c r="A3210" s="6">
        <v>44897.0</v>
      </c>
      <c r="B3210" s="5">
        <v>1346.77323063358</v>
      </c>
      <c r="C3210" s="5">
        <v>1298.88633919078</v>
      </c>
      <c r="D3210" s="5">
        <v>1430.45431626751</v>
      </c>
      <c r="E3210" s="5">
        <v>1332.83328536548</v>
      </c>
      <c r="F3210" s="5">
        <v>1361.83078691579</v>
      </c>
      <c r="G3210" s="5">
        <v>18.5826699930613</v>
      </c>
      <c r="H3210" s="5">
        <v>18.5826699930613</v>
      </c>
      <c r="I3210" s="5">
        <v>18.5826699930613</v>
      </c>
      <c r="J3210" s="5">
        <v>-1.59155056649199</v>
      </c>
      <c r="K3210" s="5">
        <v>-1.59155056649199</v>
      </c>
      <c r="L3210" s="5">
        <v>-1.59155056649199</v>
      </c>
      <c r="M3210" s="5">
        <v>20.1742205595532</v>
      </c>
      <c r="N3210" s="5">
        <v>20.1742205595532</v>
      </c>
      <c r="O3210" s="5">
        <v>20.1742205595532</v>
      </c>
      <c r="P3210" s="5">
        <v>0.0</v>
      </c>
      <c r="Q3210" s="5">
        <v>0.0</v>
      </c>
      <c r="R3210" s="5">
        <v>0.0</v>
      </c>
      <c r="S3210" s="5">
        <v>1365.35590062665</v>
      </c>
    </row>
    <row r="3211">
      <c r="A3211" s="6">
        <v>44898.0</v>
      </c>
      <c r="B3211" s="5">
        <v>1347.9440768331</v>
      </c>
      <c r="C3211" s="5">
        <v>1302.32080880361</v>
      </c>
      <c r="D3211" s="5">
        <v>1437.0421665834</v>
      </c>
      <c r="E3211" s="5">
        <v>1333.92892828494</v>
      </c>
      <c r="F3211" s="5">
        <v>1363.14519614007</v>
      </c>
      <c r="G3211" s="5">
        <v>21.0613235729979</v>
      </c>
      <c r="H3211" s="5">
        <v>21.0613235729979</v>
      </c>
      <c r="I3211" s="5">
        <v>21.0613235729979</v>
      </c>
      <c r="J3211" s="5">
        <v>1.20724640990831</v>
      </c>
      <c r="K3211" s="5">
        <v>1.20724640990831</v>
      </c>
      <c r="L3211" s="5">
        <v>1.20724640990831</v>
      </c>
      <c r="M3211" s="5">
        <v>19.8540771630896</v>
      </c>
      <c r="N3211" s="5">
        <v>19.8540771630896</v>
      </c>
      <c r="O3211" s="5">
        <v>19.8540771630896</v>
      </c>
      <c r="P3211" s="5">
        <v>0.0</v>
      </c>
      <c r="Q3211" s="5">
        <v>0.0</v>
      </c>
      <c r="R3211" s="5">
        <v>0.0</v>
      </c>
      <c r="S3211" s="5">
        <v>1369.0054004061</v>
      </c>
    </row>
    <row r="3212">
      <c r="A3212" s="6">
        <v>44899.0</v>
      </c>
      <c r="B3212" s="5">
        <v>1349.11492303261</v>
      </c>
      <c r="C3212" s="5">
        <v>1311.08725783346</v>
      </c>
      <c r="D3212" s="5">
        <v>1435.35322486425</v>
      </c>
      <c r="E3212" s="5">
        <v>1335.03285721987</v>
      </c>
      <c r="F3212" s="5">
        <v>1364.45960536436</v>
      </c>
      <c r="G3212" s="5">
        <v>20.6749122900033</v>
      </c>
      <c r="H3212" s="5">
        <v>20.6749122900033</v>
      </c>
      <c r="I3212" s="5">
        <v>20.6749122900033</v>
      </c>
      <c r="J3212" s="5">
        <v>1.20724879232953</v>
      </c>
      <c r="K3212" s="5">
        <v>1.20724879232953</v>
      </c>
      <c r="L3212" s="5">
        <v>1.20724879232953</v>
      </c>
      <c r="M3212" s="5">
        <v>19.4676634976737</v>
      </c>
      <c r="N3212" s="5">
        <v>19.4676634976737</v>
      </c>
      <c r="O3212" s="5">
        <v>19.4676634976737</v>
      </c>
      <c r="P3212" s="5">
        <v>0.0</v>
      </c>
      <c r="Q3212" s="5">
        <v>0.0</v>
      </c>
      <c r="R3212" s="5">
        <v>0.0</v>
      </c>
      <c r="S3212" s="5">
        <v>1369.78983532261</v>
      </c>
    </row>
    <row r="3213">
      <c r="A3213" s="6">
        <v>44900.0</v>
      </c>
      <c r="B3213" s="5">
        <v>1350.28576923212</v>
      </c>
      <c r="C3213" s="5">
        <v>1304.24132614113</v>
      </c>
      <c r="D3213" s="5">
        <v>1435.33213437012</v>
      </c>
      <c r="E3213" s="5">
        <v>1336.14462789835</v>
      </c>
      <c r="F3213" s="5">
        <v>1365.77401458864</v>
      </c>
      <c r="G3213" s="5">
        <v>19.1126742855424</v>
      </c>
      <c r="H3213" s="5">
        <v>19.1126742855424</v>
      </c>
      <c r="I3213" s="5">
        <v>19.1126742855424</v>
      </c>
      <c r="J3213" s="5">
        <v>0.0905589421222943</v>
      </c>
      <c r="K3213" s="5">
        <v>0.0905589421222943</v>
      </c>
      <c r="L3213" s="5">
        <v>0.0905589421222943</v>
      </c>
      <c r="M3213" s="5">
        <v>19.0221153434201</v>
      </c>
      <c r="N3213" s="5">
        <v>19.0221153434201</v>
      </c>
      <c r="O3213" s="5">
        <v>19.0221153434201</v>
      </c>
      <c r="P3213" s="5">
        <v>0.0</v>
      </c>
      <c r="Q3213" s="5">
        <v>0.0</v>
      </c>
      <c r="R3213" s="5">
        <v>0.0</v>
      </c>
      <c r="S3213" s="5">
        <v>1369.39844351767</v>
      </c>
    </row>
    <row r="3214">
      <c r="A3214" s="6">
        <v>44901.0</v>
      </c>
      <c r="B3214" s="5">
        <v>1351.45661543164</v>
      </c>
      <c r="C3214" s="5">
        <v>1306.0471038239</v>
      </c>
      <c r="D3214" s="5">
        <v>1436.03391062229</v>
      </c>
      <c r="E3214" s="5">
        <v>1337.25688794472</v>
      </c>
      <c r="F3214" s="5">
        <v>1367.08842381293</v>
      </c>
      <c r="G3214" s="5">
        <v>18.3826625932991</v>
      </c>
      <c r="H3214" s="5">
        <v>18.3826625932991</v>
      </c>
      <c r="I3214" s="5">
        <v>18.3826625932991</v>
      </c>
      <c r="J3214" s="5">
        <v>-0.144118857245359</v>
      </c>
      <c r="K3214" s="5">
        <v>-0.144118857245359</v>
      </c>
      <c r="L3214" s="5">
        <v>-0.144118857245359</v>
      </c>
      <c r="M3214" s="5">
        <v>18.5267814505445</v>
      </c>
      <c r="N3214" s="5">
        <v>18.5267814505445</v>
      </c>
      <c r="O3214" s="5">
        <v>18.5267814505445</v>
      </c>
      <c r="P3214" s="5">
        <v>0.0</v>
      </c>
      <c r="Q3214" s="5">
        <v>0.0</v>
      </c>
      <c r="R3214" s="5">
        <v>0.0</v>
      </c>
      <c r="S3214" s="5">
        <v>1369.83927802494</v>
      </c>
    </row>
    <row r="3215">
      <c r="A3215" s="6">
        <v>44902.0</v>
      </c>
      <c r="B3215" s="5">
        <v>1352.62746163115</v>
      </c>
      <c r="C3215" s="5">
        <v>1307.31970329022</v>
      </c>
      <c r="D3215" s="5">
        <v>1432.7720412749</v>
      </c>
      <c r="E3215" s="5">
        <v>1338.36931842897</v>
      </c>
      <c r="F3215" s="5">
        <v>1368.40283303721</v>
      </c>
      <c r="G3215" s="5">
        <v>18.0000844186594</v>
      </c>
      <c r="H3215" s="5">
        <v>18.0000844186594</v>
      </c>
      <c r="I3215" s="5">
        <v>18.0000844186594</v>
      </c>
      <c r="J3215" s="5">
        <v>0.00703780528091722</v>
      </c>
      <c r="K3215" s="5">
        <v>0.00703780528091722</v>
      </c>
      <c r="L3215" s="5">
        <v>0.00703780528091722</v>
      </c>
      <c r="M3215" s="5">
        <v>17.9930466133785</v>
      </c>
      <c r="N3215" s="5">
        <v>17.9930466133785</v>
      </c>
      <c r="O3215" s="5">
        <v>17.9930466133785</v>
      </c>
      <c r="P3215" s="5">
        <v>0.0</v>
      </c>
      <c r="Q3215" s="5">
        <v>0.0</v>
      </c>
      <c r="R3215" s="5">
        <v>0.0</v>
      </c>
      <c r="S3215" s="5">
        <v>1370.62754604981</v>
      </c>
    </row>
    <row r="3216">
      <c r="A3216" s="6">
        <v>44903.0</v>
      </c>
      <c r="B3216" s="5">
        <v>1353.79830783066</v>
      </c>
      <c r="C3216" s="5">
        <v>1305.96041783756</v>
      </c>
      <c r="D3216" s="5">
        <v>1435.65167638199</v>
      </c>
      <c r="E3216" s="5">
        <v>1339.42902613871</v>
      </c>
      <c r="F3216" s="5">
        <v>1369.69147822755</v>
      </c>
      <c r="G3216" s="5">
        <v>16.6576659297795</v>
      </c>
      <c r="H3216" s="5">
        <v>16.6576659297795</v>
      </c>
      <c r="I3216" s="5">
        <v>16.6576659297795</v>
      </c>
      <c r="J3216" s="5">
        <v>-0.776422525906891</v>
      </c>
      <c r="K3216" s="5">
        <v>-0.776422525906891</v>
      </c>
      <c r="L3216" s="5">
        <v>-0.776422525906891</v>
      </c>
      <c r="M3216" s="5">
        <v>17.4340884556864</v>
      </c>
      <c r="N3216" s="5">
        <v>17.4340884556864</v>
      </c>
      <c r="O3216" s="5">
        <v>17.4340884556864</v>
      </c>
      <c r="P3216" s="5">
        <v>0.0</v>
      </c>
      <c r="Q3216" s="5">
        <v>0.0</v>
      </c>
      <c r="R3216" s="5">
        <v>0.0</v>
      </c>
      <c r="S3216" s="5">
        <v>1370.45597376044</v>
      </c>
    </row>
    <row r="3217">
      <c r="A3217" s="6">
        <v>44904.0</v>
      </c>
      <c r="B3217" s="5">
        <v>1354.96915403018</v>
      </c>
      <c r="C3217" s="5">
        <v>1307.03992818544</v>
      </c>
      <c r="D3217" s="5">
        <v>1437.97654041266</v>
      </c>
      <c r="E3217" s="5">
        <v>1340.52999214493</v>
      </c>
      <c r="F3217" s="5">
        <v>1370.97631146018</v>
      </c>
      <c r="G3217" s="5">
        <v>15.2730232548238</v>
      </c>
      <c r="H3217" s="5">
        <v>15.2730232548238</v>
      </c>
      <c r="I3217" s="5">
        <v>15.2730232548238</v>
      </c>
      <c r="J3217" s="5">
        <v>-1.59155056649655</v>
      </c>
      <c r="K3217" s="5">
        <v>-1.59155056649655</v>
      </c>
      <c r="L3217" s="5">
        <v>-1.59155056649655</v>
      </c>
      <c r="M3217" s="5">
        <v>16.8645738213203</v>
      </c>
      <c r="N3217" s="5">
        <v>16.8645738213203</v>
      </c>
      <c r="O3217" s="5">
        <v>16.8645738213203</v>
      </c>
      <c r="P3217" s="5">
        <v>0.0</v>
      </c>
      <c r="Q3217" s="5">
        <v>0.0</v>
      </c>
      <c r="R3217" s="5">
        <v>0.0</v>
      </c>
      <c r="S3217" s="5">
        <v>1370.242177285</v>
      </c>
    </row>
    <row r="3218">
      <c r="A3218" s="6">
        <v>44905.0</v>
      </c>
      <c r="B3218" s="5">
        <v>1356.14000022969</v>
      </c>
      <c r="C3218" s="5">
        <v>1306.68093701285</v>
      </c>
      <c r="D3218" s="5">
        <v>1439.62687399609</v>
      </c>
      <c r="E3218" s="5">
        <v>1341.63224115939</v>
      </c>
      <c r="F3218" s="5">
        <v>1372.26039968328</v>
      </c>
      <c r="G3218" s="5">
        <v>17.5075489150281</v>
      </c>
      <c r="H3218" s="5">
        <v>17.5075489150281</v>
      </c>
      <c r="I3218" s="5">
        <v>17.5075489150281</v>
      </c>
      <c r="J3218" s="5">
        <v>1.20724640990962</v>
      </c>
      <c r="K3218" s="5">
        <v>1.20724640990962</v>
      </c>
      <c r="L3218" s="5">
        <v>1.20724640990962</v>
      </c>
      <c r="M3218" s="5">
        <v>16.3003025051185</v>
      </c>
      <c r="N3218" s="5">
        <v>16.3003025051185</v>
      </c>
      <c r="O3218" s="5">
        <v>16.3003025051185</v>
      </c>
      <c r="P3218" s="5">
        <v>0.0</v>
      </c>
      <c r="Q3218" s="5">
        <v>0.0</v>
      </c>
      <c r="R3218" s="5">
        <v>0.0</v>
      </c>
      <c r="S3218" s="5">
        <v>1373.64754914472</v>
      </c>
    </row>
    <row r="3219">
      <c r="A3219" s="6">
        <v>44906.0</v>
      </c>
      <c r="B3219" s="5">
        <v>1357.3108464292</v>
      </c>
      <c r="C3219" s="5">
        <v>1308.95663367161</v>
      </c>
      <c r="D3219" s="5">
        <v>1439.16660425493</v>
      </c>
      <c r="E3219" s="5">
        <v>1342.73449017384</v>
      </c>
      <c r="F3219" s="5">
        <v>1373.53775936314</v>
      </c>
      <c r="G3219" s="5">
        <v>16.965056485412</v>
      </c>
      <c r="H3219" s="5">
        <v>16.965056485412</v>
      </c>
      <c r="I3219" s="5">
        <v>16.965056485412</v>
      </c>
      <c r="J3219" s="5">
        <v>1.20724879232745</v>
      </c>
      <c r="K3219" s="5">
        <v>1.20724879232745</v>
      </c>
      <c r="L3219" s="5">
        <v>1.20724879232745</v>
      </c>
      <c r="M3219" s="5">
        <v>15.7578076930845</v>
      </c>
      <c r="N3219" s="5">
        <v>15.7578076930845</v>
      </c>
      <c r="O3219" s="5">
        <v>15.7578076930845</v>
      </c>
      <c r="P3219" s="5">
        <v>0.0</v>
      </c>
      <c r="Q3219" s="5">
        <v>0.0</v>
      </c>
      <c r="R3219" s="5">
        <v>0.0</v>
      </c>
      <c r="S3219" s="5">
        <v>1374.27590291462</v>
      </c>
    </row>
    <row r="3220">
      <c r="A3220" s="6">
        <v>44907.0</v>
      </c>
      <c r="B3220" s="5">
        <v>1358.48169262872</v>
      </c>
      <c r="C3220" s="5">
        <v>1309.27594888379</v>
      </c>
      <c r="D3220" s="5">
        <v>1444.11980285792</v>
      </c>
      <c r="E3220" s="5">
        <v>1343.83673918829</v>
      </c>
      <c r="F3220" s="5">
        <v>1374.83954106794</v>
      </c>
      <c r="G3220" s="5">
        <v>15.3444828013606</v>
      </c>
      <c r="H3220" s="5">
        <v>15.3444828013606</v>
      </c>
      <c r="I3220" s="5">
        <v>15.3444828013606</v>
      </c>
      <c r="J3220" s="5">
        <v>0.0905589421232407</v>
      </c>
      <c r="K3220" s="5">
        <v>0.0905589421232407</v>
      </c>
      <c r="L3220" s="5">
        <v>0.0905589421232407</v>
      </c>
      <c r="M3220" s="5">
        <v>15.2539238592374</v>
      </c>
      <c r="N3220" s="5">
        <v>15.2539238592374</v>
      </c>
      <c r="O3220" s="5">
        <v>15.2539238592374</v>
      </c>
      <c r="P3220" s="5">
        <v>0.0</v>
      </c>
      <c r="Q3220" s="5">
        <v>0.0</v>
      </c>
      <c r="R3220" s="5">
        <v>0.0</v>
      </c>
      <c r="S3220" s="5">
        <v>1373.82617543008</v>
      </c>
    </row>
    <row r="3221">
      <c r="A3221" s="6">
        <v>44908.0</v>
      </c>
      <c r="B3221" s="5">
        <v>1359.65253882823</v>
      </c>
      <c r="C3221" s="5">
        <v>1310.80561107275</v>
      </c>
      <c r="D3221" s="5">
        <v>1441.87839565818</v>
      </c>
      <c r="E3221" s="5">
        <v>1344.93898820275</v>
      </c>
      <c r="F3221" s="5">
        <v>1376.0807973727</v>
      </c>
      <c r="G3221" s="5">
        <v>14.661215090586</v>
      </c>
      <c r="H3221" s="5">
        <v>14.661215090586</v>
      </c>
      <c r="I3221" s="5">
        <v>14.661215090586</v>
      </c>
      <c r="J3221" s="5">
        <v>-0.144118857244271</v>
      </c>
      <c r="K3221" s="5">
        <v>-0.144118857244271</v>
      </c>
      <c r="L3221" s="5">
        <v>-0.144118857244271</v>
      </c>
      <c r="M3221" s="5">
        <v>14.8053339478303</v>
      </c>
      <c r="N3221" s="5">
        <v>14.8053339478303</v>
      </c>
      <c r="O3221" s="5">
        <v>14.8053339478303</v>
      </c>
      <c r="P3221" s="5">
        <v>0.0</v>
      </c>
      <c r="Q3221" s="5">
        <v>0.0</v>
      </c>
      <c r="R3221" s="5">
        <v>0.0</v>
      </c>
      <c r="S3221" s="5">
        <v>1374.31375391882</v>
      </c>
    </row>
    <row r="3222">
      <c r="A3222" s="6">
        <v>44909.0</v>
      </c>
      <c r="B3222" s="5">
        <v>1360.82338502774</v>
      </c>
      <c r="C3222" s="5">
        <v>1308.25470616694</v>
      </c>
      <c r="D3222" s="5">
        <v>1444.71961470355</v>
      </c>
      <c r="E3222" s="5">
        <v>1346.04549769901</v>
      </c>
      <c r="F3222" s="5">
        <v>1377.32794462216</v>
      </c>
      <c r="G3222" s="5">
        <v>14.4351462251465</v>
      </c>
      <c r="H3222" s="5">
        <v>14.4351462251465</v>
      </c>
      <c r="I3222" s="5">
        <v>14.4351462251465</v>
      </c>
      <c r="J3222" s="5">
        <v>0.00703780528222829</v>
      </c>
      <c r="K3222" s="5">
        <v>0.00703780528222829</v>
      </c>
      <c r="L3222" s="5">
        <v>0.00703780528222829</v>
      </c>
      <c r="M3222" s="5">
        <v>14.4281084198643</v>
      </c>
      <c r="N3222" s="5">
        <v>14.4281084198643</v>
      </c>
      <c r="O3222" s="5">
        <v>14.4281084198643</v>
      </c>
      <c r="P3222" s="5">
        <v>0.0</v>
      </c>
      <c r="Q3222" s="5">
        <v>0.0</v>
      </c>
      <c r="R3222" s="5">
        <v>0.0</v>
      </c>
      <c r="S3222" s="5">
        <v>1375.25853125289</v>
      </c>
    </row>
    <row r="3223">
      <c r="A3223" s="6">
        <v>44910.0</v>
      </c>
      <c r="B3223" s="5">
        <v>1361.99423122726</v>
      </c>
      <c r="C3223" s="5">
        <v>1307.40712797346</v>
      </c>
      <c r="D3223" s="5">
        <v>1439.37618216527</v>
      </c>
      <c r="E3223" s="5">
        <v>1347.18422788322</v>
      </c>
      <c r="F3223" s="5">
        <v>1378.57275503648</v>
      </c>
      <c r="G3223" s="5">
        <v>13.3608266125854</v>
      </c>
      <c r="H3223" s="5">
        <v>13.3608266125854</v>
      </c>
      <c r="I3223" s="5">
        <v>13.3608266125854</v>
      </c>
      <c r="J3223" s="5">
        <v>-0.776422525900539</v>
      </c>
      <c r="K3223" s="5">
        <v>-0.776422525900539</v>
      </c>
      <c r="L3223" s="5">
        <v>-0.776422525900539</v>
      </c>
      <c r="M3223" s="5">
        <v>14.1372491384859</v>
      </c>
      <c r="N3223" s="5">
        <v>14.1372491384859</v>
      </c>
      <c r="O3223" s="5">
        <v>14.1372491384859</v>
      </c>
      <c r="P3223" s="5">
        <v>0.0</v>
      </c>
      <c r="Q3223" s="5">
        <v>0.0</v>
      </c>
      <c r="R3223" s="5">
        <v>0.0</v>
      </c>
      <c r="S3223" s="5">
        <v>1375.35505783984</v>
      </c>
    </row>
    <row r="3224">
      <c r="A3224" s="6">
        <v>44911.0</v>
      </c>
      <c r="B3224" s="5">
        <v>1363.16507742677</v>
      </c>
      <c r="C3224" s="5">
        <v>1312.7462011399</v>
      </c>
      <c r="D3224" s="5">
        <v>1446.10356521115</v>
      </c>
      <c r="E3224" s="5">
        <v>1348.26535226885</v>
      </c>
      <c r="F3224" s="5">
        <v>1379.83220631724</v>
      </c>
      <c r="G3224" s="5">
        <v>12.3547005281843</v>
      </c>
      <c r="H3224" s="5">
        <v>12.3547005281843</v>
      </c>
      <c r="I3224" s="5">
        <v>12.3547005281843</v>
      </c>
      <c r="J3224" s="5">
        <v>-1.59155056649563</v>
      </c>
      <c r="K3224" s="5">
        <v>-1.59155056649563</v>
      </c>
      <c r="L3224" s="5">
        <v>-1.59155056649563</v>
      </c>
      <c r="M3224" s="5">
        <v>13.9462510946799</v>
      </c>
      <c r="N3224" s="5">
        <v>13.9462510946799</v>
      </c>
      <c r="O3224" s="5">
        <v>13.9462510946799</v>
      </c>
      <c r="P3224" s="5">
        <v>0.0</v>
      </c>
      <c r="Q3224" s="5">
        <v>0.0</v>
      </c>
      <c r="R3224" s="5">
        <v>0.0</v>
      </c>
      <c r="S3224" s="5">
        <v>1375.51977795495</v>
      </c>
    </row>
    <row r="3225">
      <c r="A3225" s="6">
        <v>44912.0</v>
      </c>
      <c r="B3225" s="5">
        <v>1364.33592362628</v>
      </c>
      <c r="C3225" s="5">
        <v>1312.37147883149</v>
      </c>
      <c r="D3225" s="5">
        <v>1442.23458328175</v>
      </c>
      <c r="E3225" s="5">
        <v>1349.35175550279</v>
      </c>
      <c r="F3225" s="5">
        <v>1381.10792576603</v>
      </c>
      <c r="G3225" s="5">
        <v>15.073941039384</v>
      </c>
      <c r="H3225" s="5">
        <v>15.073941039384</v>
      </c>
      <c r="I3225" s="5">
        <v>15.073941039384</v>
      </c>
      <c r="J3225" s="5">
        <v>1.20724640991174</v>
      </c>
      <c r="K3225" s="5">
        <v>1.20724640991174</v>
      </c>
      <c r="L3225" s="5">
        <v>1.20724640991174</v>
      </c>
      <c r="M3225" s="5">
        <v>13.8666946294722</v>
      </c>
      <c r="N3225" s="5">
        <v>13.8666946294722</v>
      </c>
      <c r="O3225" s="5">
        <v>13.8666946294722</v>
      </c>
      <c r="P3225" s="5">
        <v>0.0</v>
      </c>
      <c r="Q3225" s="5">
        <v>0.0</v>
      </c>
      <c r="R3225" s="5">
        <v>0.0</v>
      </c>
      <c r="S3225" s="5">
        <v>1379.40986466567</v>
      </c>
    </row>
    <row r="3226">
      <c r="A3226" s="6">
        <v>44913.0</v>
      </c>
      <c r="B3226" s="5">
        <v>1365.5067698258</v>
      </c>
      <c r="C3226" s="5">
        <v>1315.05116036179</v>
      </c>
      <c r="D3226" s="5">
        <v>1449.49598207858</v>
      </c>
      <c r="E3226" s="5">
        <v>1350.44524777823</v>
      </c>
      <c r="F3226" s="5">
        <v>1382.34484380262</v>
      </c>
      <c r="G3226" s="5">
        <v>15.1151288909095</v>
      </c>
      <c r="H3226" s="5">
        <v>15.1151288909095</v>
      </c>
      <c r="I3226" s="5">
        <v>15.1151288909095</v>
      </c>
      <c r="J3226" s="5">
        <v>1.20724879232891</v>
      </c>
      <c r="K3226" s="5">
        <v>1.20724879232891</v>
      </c>
      <c r="L3226" s="5">
        <v>1.20724879232891</v>
      </c>
      <c r="M3226" s="5">
        <v>13.9078800985806</v>
      </c>
      <c r="N3226" s="5">
        <v>13.9078800985806</v>
      </c>
      <c r="O3226" s="5">
        <v>13.9078800985806</v>
      </c>
      <c r="P3226" s="5">
        <v>0.0</v>
      </c>
      <c r="Q3226" s="5">
        <v>0.0</v>
      </c>
      <c r="R3226" s="5">
        <v>0.0</v>
      </c>
      <c r="S3226" s="5">
        <v>1380.62189871671</v>
      </c>
    </row>
    <row r="3227">
      <c r="A3227" s="6">
        <v>44914.0</v>
      </c>
      <c r="B3227" s="5">
        <v>1366.67761602531</v>
      </c>
      <c r="C3227" s="5">
        <v>1315.86420481324</v>
      </c>
      <c r="D3227" s="5">
        <v>1442.40947009342</v>
      </c>
      <c r="E3227" s="5">
        <v>1351.47444189978</v>
      </c>
      <c r="F3227" s="5">
        <v>1383.58135183124</v>
      </c>
      <c r="G3227" s="5">
        <v>14.1670748105044</v>
      </c>
      <c r="H3227" s="5">
        <v>14.1670748105044</v>
      </c>
      <c r="I3227" s="5">
        <v>14.1670748105044</v>
      </c>
      <c r="J3227" s="5">
        <v>0.0905589421194195</v>
      </c>
      <c r="K3227" s="5">
        <v>0.0905589421194195</v>
      </c>
      <c r="L3227" s="5">
        <v>0.0905589421194195</v>
      </c>
      <c r="M3227" s="5">
        <v>14.076515868385</v>
      </c>
      <c r="N3227" s="5">
        <v>14.076515868385</v>
      </c>
      <c r="O3227" s="5">
        <v>14.076515868385</v>
      </c>
      <c r="P3227" s="5">
        <v>0.0</v>
      </c>
      <c r="Q3227" s="5">
        <v>0.0</v>
      </c>
      <c r="R3227" s="5">
        <v>0.0</v>
      </c>
      <c r="S3227" s="5">
        <v>1380.84469083581</v>
      </c>
    </row>
    <row r="3228">
      <c r="A3228" s="6">
        <v>44915.0</v>
      </c>
      <c r="B3228" s="5">
        <v>1367.84846222482</v>
      </c>
      <c r="C3228" s="5">
        <v>1322.39979833693</v>
      </c>
      <c r="D3228" s="5">
        <v>1445.90891320945</v>
      </c>
      <c r="E3228" s="5">
        <v>1352.56596804113</v>
      </c>
      <c r="F3228" s="5">
        <v>1384.90279119667</v>
      </c>
      <c r="G3228" s="5">
        <v>14.2323502982424</v>
      </c>
      <c r="H3228" s="5">
        <v>14.2323502982424</v>
      </c>
      <c r="I3228" s="5">
        <v>14.2323502982424</v>
      </c>
      <c r="J3228" s="5">
        <v>-0.144118857246011</v>
      </c>
      <c r="K3228" s="5">
        <v>-0.144118857246011</v>
      </c>
      <c r="L3228" s="5">
        <v>-0.144118857246011</v>
      </c>
      <c r="M3228" s="5">
        <v>14.3764691554884</v>
      </c>
      <c r="N3228" s="5">
        <v>14.3764691554884</v>
      </c>
      <c r="O3228" s="5">
        <v>14.3764691554884</v>
      </c>
      <c r="P3228" s="5">
        <v>0.0</v>
      </c>
      <c r="Q3228" s="5">
        <v>0.0</v>
      </c>
      <c r="R3228" s="5">
        <v>0.0</v>
      </c>
      <c r="S3228" s="5">
        <v>1382.08081252306</v>
      </c>
    </row>
    <row r="3229">
      <c r="A3229" s="6">
        <v>44916.0</v>
      </c>
      <c r="B3229" s="5">
        <v>1369.01930842434</v>
      </c>
      <c r="C3229" s="5">
        <v>1322.36055634051</v>
      </c>
      <c r="D3229" s="5">
        <v>1450.06965741809</v>
      </c>
      <c r="E3229" s="5">
        <v>1353.64339553685</v>
      </c>
      <c r="F3229" s="5">
        <v>1386.15386371479</v>
      </c>
      <c r="G3229" s="5">
        <v>14.8156253690615</v>
      </c>
      <c r="H3229" s="5">
        <v>14.8156253690615</v>
      </c>
      <c r="I3229" s="5">
        <v>14.8156253690615</v>
      </c>
      <c r="J3229" s="5">
        <v>0.00703780528137583</v>
      </c>
      <c r="K3229" s="5">
        <v>0.00703780528137583</v>
      </c>
      <c r="L3229" s="5">
        <v>0.00703780528137583</v>
      </c>
      <c r="M3229" s="5">
        <v>14.8085875637801</v>
      </c>
      <c r="N3229" s="5">
        <v>14.8085875637801</v>
      </c>
      <c r="O3229" s="5">
        <v>14.8085875637801</v>
      </c>
      <c r="P3229" s="5">
        <v>0.0</v>
      </c>
      <c r="Q3229" s="5">
        <v>0.0</v>
      </c>
      <c r="R3229" s="5">
        <v>0.0</v>
      </c>
      <c r="S3229" s="5">
        <v>1383.8349337934</v>
      </c>
    </row>
    <row r="3230">
      <c r="A3230" s="6">
        <v>44917.0</v>
      </c>
      <c r="B3230" s="5">
        <v>1370.19015462385</v>
      </c>
      <c r="C3230" s="5">
        <v>1316.04264167594</v>
      </c>
      <c r="D3230" s="5">
        <v>1453.22888586777</v>
      </c>
      <c r="E3230" s="5">
        <v>1354.72988638523</v>
      </c>
      <c r="F3230" s="5">
        <v>1387.40317437423</v>
      </c>
      <c r="G3230" s="5">
        <v>14.5941747517869</v>
      </c>
      <c r="H3230" s="5">
        <v>14.5941747517869</v>
      </c>
      <c r="I3230" s="5">
        <v>14.5941747517869</v>
      </c>
      <c r="J3230" s="5">
        <v>-0.776422525902636</v>
      </c>
      <c r="K3230" s="5">
        <v>-0.776422525902636</v>
      </c>
      <c r="L3230" s="5">
        <v>-0.776422525902636</v>
      </c>
      <c r="M3230" s="5">
        <v>15.3705972776895</v>
      </c>
      <c r="N3230" s="5">
        <v>15.3705972776895</v>
      </c>
      <c r="O3230" s="5">
        <v>15.3705972776895</v>
      </c>
      <c r="P3230" s="5">
        <v>0.0</v>
      </c>
      <c r="Q3230" s="5">
        <v>0.0</v>
      </c>
      <c r="R3230" s="5">
        <v>0.0</v>
      </c>
      <c r="S3230" s="5">
        <v>1384.78432937564</v>
      </c>
    </row>
    <row r="3231">
      <c r="A3231" s="6">
        <v>44918.0</v>
      </c>
      <c r="B3231" s="5">
        <v>1371.36100082336</v>
      </c>
      <c r="C3231" s="5">
        <v>1320.61771318111</v>
      </c>
      <c r="D3231" s="5">
        <v>1454.71090483388</v>
      </c>
      <c r="E3231" s="5">
        <v>1355.83784837253</v>
      </c>
      <c r="F3231" s="5">
        <v>1388.65248503366</v>
      </c>
      <c r="G3231" s="5">
        <v>14.4655312245363</v>
      </c>
      <c r="H3231" s="5">
        <v>14.4655312245363</v>
      </c>
      <c r="I3231" s="5">
        <v>14.4655312245363</v>
      </c>
      <c r="J3231" s="5">
        <v>-1.59155056649439</v>
      </c>
      <c r="K3231" s="5">
        <v>-1.59155056649439</v>
      </c>
      <c r="L3231" s="5">
        <v>-1.59155056649439</v>
      </c>
      <c r="M3231" s="5">
        <v>16.0570817910307</v>
      </c>
      <c r="N3231" s="5">
        <v>16.0570817910307</v>
      </c>
      <c r="O3231" s="5">
        <v>16.0570817910307</v>
      </c>
      <c r="P3231" s="5">
        <v>0.0</v>
      </c>
      <c r="Q3231" s="5">
        <v>0.0</v>
      </c>
      <c r="R3231" s="5">
        <v>0.0</v>
      </c>
      <c r="S3231" s="5">
        <v>1385.8265320479</v>
      </c>
    </row>
    <row r="3232">
      <c r="A3232" s="6">
        <v>44919.0</v>
      </c>
      <c r="B3232" s="5">
        <v>1372.53184702288</v>
      </c>
      <c r="C3232" s="5">
        <v>1323.7808362398</v>
      </c>
      <c r="D3232" s="5">
        <v>1461.71486988074</v>
      </c>
      <c r="E3232" s="5">
        <v>1356.93662356906</v>
      </c>
      <c r="F3232" s="5">
        <v>1389.9017956931</v>
      </c>
      <c r="G3232" s="5">
        <v>18.0667892551512</v>
      </c>
      <c r="H3232" s="5">
        <v>18.0667892551512</v>
      </c>
      <c r="I3232" s="5">
        <v>18.0667892551512</v>
      </c>
      <c r="J3232" s="5">
        <v>1.20724640991305</v>
      </c>
      <c r="K3232" s="5">
        <v>1.20724640991305</v>
      </c>
      <c r="L3232" s="5">
        <v>1.20724640991305</v>
      </c>
      <c r="M3232" s="5">
        <v>16.8595428452382</v>
      </c>
      <c r="N3232" s="5">
        <v>16.8595428452382</v>
      </c>
      <c r="O3232" s="5">
        <v>16.8595428452382</v>
      </c>
      <c r="P3232" s="5">
        <v>0.0</v>
      </c>
      <c r="Q3232" s="5">
        <v>0.0</v>
      </c>
      <c r="R3232" s="5">
        <v>0.0</v>
      </c>
      <c r="S3232" s="5">
        <v>1390.59863627803</v>
      </c>
    </row>
    <row r="3233">
      <c r="A3233" s="6">
        <v>44920.0</v>
      </c>
      <c r="B3233" s="5">
        <v>1373.70269322239</v>
      </c>
      <c r="C3233" s="5">
        <v>1323.85374069335</v>
      </c>
      <c r="D3233" s="5">
        <v>1455.36366749564</v>
      </c>
      <c r="E3233" s="5">
        <v>1357.83478026048</v>
      </c>
      <c r="F3233" s="5">
        <v>1391.15110635254</v>
      </c>
      <c r="G3233" s="5">
        <v>18.9737917732168</v>
      </c>
      <c r="H3233" s="5">
        <v>18.9737917732168</v>
      </c>
      <c r="I3233" s="5">
        <v>18.9737917732168</v>
      </c>
      <c r="J3233" s="5">
        <v>1.20724879232683</v>
      </c>
      <c r="K3233" s="5">
        <v>1.20724879232683</v>
      </c>
      <c r="L3233" s="5">
        <v>1.20724879232683</v>
      </c>
      <c r="M3233" s="5">
        <v>17.76654298089</v>
      </c>
      <c r="N3233" s="5">
        <v>17.76654298089</v>
      </c>
      <c r="O3233" s="5">
        <v>17.76654298089</v>
      </c>
      <c r="P3233" s="5">
        <v>0.0</v>
      </c>
      <c r="Q3233" s="5">
        <v>0.0</v>
      </c>
      <c r="R3233" s="5">
        <v>0.0</v>
      </c>
      <c r="S3233" s="5">
        <v>1392.67648499561</v>
      </c>
    </row>
    <row r="3234">
      <c r="A3234" s="6">
        <v>44921.0</v>
      </c>
      <c r="B3234" s="5">
        <v>1374.8735394219</v>
      </c>
      <c r="C3234" s="5">
        <v>1323.10151439571</v>
      </c>
      <c r="D3234" s="5">
        <v>1460.36670936106</v>
      </c>
      <c r="E3234" s="5">
        <v>1358.75604248111</v>
      </c>
      <c r="F3234" s="5">
        <v>1392.40041701197</v>
      </c>
      <c r="G3234" s="5">
        <v>18.8544857781001</v>
      </c>
      <c r="H3234" s="5">
        <v>18.8544857781001</v>
      </c>
      <c r="I3234" s="5">
        <v>18.8544857781001</v>
      </c>
      <c r="J3234" s="5">
        <v>0.0905589421203658</v>
      </c>
      <c r="K3234" s="5">
        <v>0.0905589421203658</v>
      </c>
      <c r="L3234" s="5">
        <v>0.0905589421203658</v>
      </c>
      <c r="M3234" s="5">
        <v>18.7639268359797</v>
      </c>
      <c r="N3234" s="5">
        <v>18.7639268359797</v>
      </c>
      <c r="O3234" s="5">
        <v>18.7639268359797</v>
      </c>
      <c r="P3234" s="5">
        <v>0.0</v>
      </c>
      <c r="Q3234" s="5">
        <v>0.0</v>
      </c>
      <c r="R3234" s="5">
        <v>0.0</v>
      </c>
      <c r="S3234" s="5">
        <v>1393.7280252</v>
      </c>
    </row>
    <row r="3235">
      <c r="A3235" s="6">
        <v>44922.0</v>
      </c>
      <c r="B3235" s="5">
        <v>1376.04438562142</v>
      </c>
      <c r="C3235" s="5">
        <v>1326.09655579817</v>
      </c>
      <c r="D3235" s="5">
        <v>1462.12202263731</v>
      </c>
      <c r="E3235" s="5">
        <v>1359.79244408127</v>
      </c>
      <c r="F3235" s="5">
        <v>1393.64972767141</v>
      </c>
      <c r="G3235" s="5">
        <v>19.6909972607831</v>
      </c>
      <c r="H3235" s="5">
        <v>19.6909972607831</v>
      </c>
      <c r="I3235" s="5">
        <v>19.6909972607831</v>
      </c>
      <c r="J3235" s="5">
        <v>-0.144118857244923</v>
      </c>
      <c r="K3235" s="5">
        <v>-0.144118857244923</v>
      </c>
      <c r="L3235" s="5">
        <v>-0.144118857244923</v>
      </c>
      <c r="M3235" s="5">
        <v>19.835116118028</v>
      </c>
      <c r="N3235" s="5">
        <v>19.835116118028</v>
      </c>
      <c r="O3235" s="5">
        <v>19.835116118028</v>
      </c>
      <c r="P3235" s="5">
        <v>0.0</v>
      </c>
      <c r="Q3235" s="5">
        <v>0.0</v>
      </c>
      <c r="R3235" s="5">
        <v>0.0</v>
      </c>
      <c r="S3235" s="5">
        <v>1395.7353828822</v>
      </c>
    </row>
    <row r="3236">
      <c r="A3236" s="6">
        <v>44923.0</v>
      </c>
      <c r="B3236" s="5">
        <v>1377.21523182093</v>
      </c>
      <c r="C3236" s="5">
        <v>1336.27071716402</v>
      </c>
      <c r="D3236" s="5">
        <v>1464.80666185414</v>
      </c>
      <c r="E3236" s="5">
        <v>1360.83681898324</v>
      </c>
      <c r="F3236" s="5">
        <v>1394.89903833084</v>
      </c>
      <c r="G3236" s="5">
        <v>20.9685089024934</v>
      </c>
      <c r="H3236" s="5">
        <v>20.9685089024934</v>
      </c>
      <c r="I3236" s="5">
        <v>20.9685089024934</v>
      </c>
      <c r="J3236" s="5">
        <v>0.0070378052826869</v>
      </c>
      <c r="K3236" s="5">
        <v>0.0070378052826869</v>
      </c>
      <c r="L3236" s="5">
        <v>0.0070378052826869</v>
      </c>
      <c r="M3236" s="5">
        <v>20.9614710972108</v>
      </c>
      <c r="N3236" s="5">
        <v>20.9614710972108</v>
      </c>
      <c r="O3236" s="5">
        <v>20.9614710972108</v>
      </c>
      <c r="P3236" s="5">
        <v>0.0</v>
      </c>
      <c r="Q3236" s="5">
        <v>0.0</v>
      </c>
      <c r="R3236" s="5">
        <v>0.0</v>
      </c>
      <c r="S3236" s="5">
        <v>1398.18374072342</v>
      </c>
    </row>
    <row r="3237">
      <c r="A3237" s="6">
        <v>44924.0</v>
      </c>
      <c r="B3237" s="5">
        <v>1378.38607802044</v>
      </c>
      <c r="C3237" s="5">
        <v>1333.70659259153</v>
      </c>
      <c r="D3237" s="5">
        <v>1466.32767386261</v>
      </c>
      <c r="E3237" s="5">
        <v>1361.890585261</v>
      </c>
      <c r="F3237" s="5">
        <v>1396.14834899028</v>
      </c>
      <c r="G3237" s="5">
        <v>21.3462870481641</v>
      </c>
      <c r="H3237" s="5">
        <v>21.3462870481641</v>
      </c>
      <c r="I3237" s="5">
        <v>21.3462870481641</v>
      </c>
      <c r="J3237" s="5">
        <v>-0.776422525903357</v>
      </c>
      <c r="K3237" s="5">
        <v>-0.776422525903357</v>
      </c>
      <c r="L3237" s="5">
        <v>-0.776422525903357</v>
      </c>
      <c r="M3237" s="5">
        <v>22.1227095740675</v>
      </c>
      <c r="N3237" s="5">
        <v>22.1227095740675</v>
      </c>
      <c r="O3237" s="5">
        <v>22.1227095740675</v>
      </c>
      <c r="P3237" s="5">
        <v>0.0</v>
      </c>
      <c r="Q3237" s="5">
        <v>0.0</v>
      </c>
      <c r="R3237" s="5">
        <v>0.0</v>
      </c>
      <c r="S3237" s="5">
        <v>1399.73236506861</v>
      </c>
    </row>
    <row r="3238">
      <c r="A3238" s="6">
        <v>44925.0</v>
      </c>
      <c r="B3238" s="5">
        <v>1379.55692421996</v>
      </c>
      <c r="C3238" s="5">
        <v>1336.08478800928</v>
      </c>
      <c r="D3238" s="5">
        <v>1468.3109923044</v>
      </c>
      <c r="E3238" s="5">
        <v>1362.94568301495</v>
      </c>
      <c r="F3238" s="5">
        <v>1397.39605247483</v>
      </c>
      <c r="G3238" s="5">
        <v>21.7058220556251</v>
      </c>
      <c r="H3238" s="5">
        <v>21.7058220556251</v>
      </c>
      <c r="I3238" s="5">
        <v>21.7058220556251</v>
      </c>
      <c r="J3238" s="5">
        <v>-1.59155056649378</v>
      </c>
      <c r="K3238" s="5">
        <v>-1.59155056649378</v>
      </c>
      <c r="L3238" s="5">
        <v>-1.59155056649378</v>
      </c>
      <c r="M3238" s="5">
        <v>23.2973726221189</v>
      </c>
      <c r="N3238" s="5">
        <v>23.2973726221189</v>
      </c>
      <c r="O3238" s="5">
        <v>23.2973726221189</v>
      </c>
      <c r="P3238" s="5">
        <v>0.0</v>
      </c>
      <c r="Q3238" s="5">
        <v>0.0</v>
      </c>
      <c r="R3238" s="5">
        <v>0.0</v>
      </c>
      <c r="S3238" s="5">
        <v>1401.26274627558</v>
      </c>
    </row>
    <row r="3239">
      <c r="A3239" s="6">
        <v>44926.0</v>
      </c>
      <c r="B3239" s="5">
        <v>1380.72777041947</v>
      </c>
      <c r="C3239" s="5">
        <v>1337.53423119314</v>
      </c>
      <c r="D3239" s="5">
        <v>1471.18366067515</v>
      </c>
      <c r="E3239" s="5">
        <v>1364.00078076889</v>
      </c>
      <c r="F3239" s="5">
        <v>1398.64181581675</v>
      </c>
      <c r="G3239" s="5">
        <v>25.6705714506981</v>
      </c>
      <c r="H3239" s="5">
        <v>25.6705714506981</v>
      </c>
      <c r="I3239" s="5">
        <v>25.6705714506981</v>
      </c>
      <c r="J3239" s="5">
        <v>1.20724640990613</v>
      </c>
      <c r="K3239" s="5">
        <v>1.20724640990613</v>
      </c>
      <c r="L3239" s="5">
        <v>1.20724640990613</v>
      </c>
      <c r="M3239" s="5">
        <v>24.4633250407919</v>
      </c>
      <c r="N3239" s="5">
        <v>24.4633250407919</v>
      </c>
      <c r="O3239" s="5">
        <v>24.4633250407919</v>
      </c>
      <c r="P3239" s="5">
        <v>0.0</v>
      </c>
      <c r="Q3239" s="5">
        <v>0.0</v>
      </c>
      <c r="R3239" s="5">
        <v>0.0</v>
      </c>
      <c r="S3239" s="5">
        <v>1406.39834187017</v>
      </c>
    </row>
    <row r="3240">
      <c r="A3240" s="6">
        <v>44927.0</v>
      </c>
      <c r="B3240" s="5">
        <v>1381.89861661898</v>
      </c>
      <c r="C3240" s="5">
        <v>1343.59082645722</v>
      </c>
      <c r="D3240" s="5">
        <v>1475.935533102</v>
      </c>
      <c r="E3240" s="5">
        <v>1365.06787532373</v>
      </c>
      <c r="F3240" s="5">
        <v>1399.89515305684</v>
      </c>
      <c r="G3240" s="5">
        <v>26.8055262096945</v>
      </c>
      <c r="H3240" s="5">
        <v>26.8055262096945</v>
      </c>
      <c r="I3240" s="5">
        <v>26.8055262096945</v>
      </c>
      <c r="J3240" s="5">
        <v>1.20724879233222</v>
      </c>
      <c r="K3240" s="5">
        <v>1.20724879233222</v>
      </c>
      <c r="L3240" s="5">
        <v>1.20724879233222</v>
      </c>
      <c r="M3240" s="5">
        <v>25.5982774173623</v>
      </c>
      <c r="N3240" s="5">
        <v>25.5982774173623</v>
      </c>
      <c r="O3240" s="5">
        <v>25.5982774173623</v>
      </c>
      <c r="P3240" s="5">
        <v>0.0</v>
      </c>
      <c r="Q3240" s="5">
        <v>0.0</v>
      </c>
      <c r="R3240" s="5">
        <v>0.0</v>
      </c>
      <c r="S3240" s="5">
        <v>1408.70414282868</v>
      </c>
    </row>
    <row r="3241">
      <c r="A3241" s="6">
        <v>44928.0</v>
      </c>
      <c r="B3241" s="5">
        <v>1383.0694628185</v>
      </c>
      <c r="C3241" s="5">
        <v>1346.16524726643</v>
      </c>
      <c r="D3241" s="5">
        <v>1475.25165515073</v>
      </c>
      <c r="E3241" s="5">
        <v>1366.16993787101</v>
      </c>
      <c r="F3241" s="5">
        <v>1401.14107136084</v>
      </c>
      <c r="G3241" s="5">
        <v>26.7708749607031</v>
      </c>
      <c r="H3241" s="5">
        <v>26.7708749607031</v>
      </c>
      <c r="I3241" s="5">
        <v>26.7708749607031</v>
      </c>
      <c r="J3241" s="5">
        <v>0.0905589421213122</v>
      </c>
      <c r="K3241" s="5">
        <v>0.0905589421213122</v>
      </c>
      <c r="L3241" s="5">
        <v>0.0905589421213122</v>
      </c>
      <c r="M3241" s="5">
        <v>26.6803160185818</v>
      </c>
      <c r="N3241" s="5">
        <v>26.6803160185818</v>
      </c>
      <c r="O3241" s="5">
        <v>26.6803160185818</v>
      </c>
      <c r="P3241" s="5">
        <v>0.0</v>
      </c>
      <c r="Q3241" s="5">
        <v>0.0</v>
      </c>
      <c r="R3241" s="5">
        <v>0.0</v>
      </c>
      <c r="S3241" s="5">
        <v>1409.8403377792</v>
      </c>
    </row>
    <row r="3242">
      <c r="A3242" s="6">
        <v>44929.0</v>
      </c>
      <c r="B3242" s="5">
        <v>1384.24030901801</v>
      </c>
      <c r="C3242" s="5">
        <v>1344.56239563884</v>
      </c>
      <c r="D3242" s="5">
        <v>1477.02121129712</v>
      </c>
      <c r="E3242" s="5">
        <v>1367.27200041829</v>
      </c>
      <c r="F3242" s="5">
        <v>1402.50306076588</v>
      </c>
      <c r="G3242" s="5">
        <v>27.5443075768512</v>
      </c>
      <c r="H3242" s="5">
        <v>27.5443075768512</v>
      </c>
      <c r="I3242" s="5">
        <v>27.5443075768512</v>
      </c>
      <c r="J3242" s="5">
        <v>-0.144118857246359</v>
      </c>
      <c r="K3242" s="5">
        <v>-0.144118857246359</v>
      </c>
      <c r="L3242" s="5">
        <v>-0.144118857246359</v>
      </c>
      <c r="M3242" s="5">
        <v>27.6884264340976</v>
      </c>
      <c r="N3242" s="5">
        <v>27.6884264340976</v>
      </c>
      <c r="O3242" s="5">
        <v>27.6884264340976</v>
      </c>
      <c r="P3242" s="5">
        <v>0.0</v>
      </c>
      <c r="Q3242" s="5">
        <v>0.0</v>
      </c>
      <c r="R3242" s="5">
        <v>0.0</v>
      </c>
      <c r="S3242" s="5">
        <v>1411.78461659486</v>
      </c>
    </row>
    <row r="3243">
      <c r="A3243" s="6">
        <v>44930.0</v>
      </c>
      <c r="B3243" s="5">
        <v>1385.41115521752</v>
      </c>
      <c r="C3243" s="5">
        <v>1347.35807686741</v>
      </c>
      <c r="D3243" s="5">
        <v>1477.38467338888</v>
      </c>
      <c r="E3243" s="5">
        <v>1368.37406296557</v>
      </c>
      <c r="F3243" s="5">
        <v>1403.8160095834</v>
      </c>
      <c r="G3243" s="5">
        <v>28.6100347899199</v>
      </c>
      <c r="H3243" s="5">
        <v>28.6100347899199</v>
      </c>
      <c r="I3243" s="5">
        <v>28.6100347899199</v>
      </c>
      <c r="J3243" s="5">
        <v>0.00703780528183431</v>
      </c>
      <c r="K3243" s="5">
        <v>0.00703780528183431</v>
      </c>
      <c r="L3243" s="5">
        <v>0.00703780528183431</v>
      </c>
      <c r="M3243" s="5">
        <v>28.6029969846381</v>
      </c>
      <c r="N3243" s="5">
        <v>28.6029969846381</v>
      </c>
      <c r="O3243" s="5">
        <v>28.6029969846381</v>
      </c>
      <c r="P3243" s="5">
        <v>0.0</v>
      </c>
      <c r="Q3243" s="5">
        <v>0.0</v>
      </c>
      <c r="R3243" s="5">
        <v>0.0</v>
      </c>
      <c r="S3243" s="5">
        <v>1414.02119000744</v>
      </c>
    </row>
    <row r="3244">
      <c r="A3244" s="6">
        <v>44931.0</v>
      </c>
      <c r="B3244" s="5">
        <v>1386.58200141704</v>
      </c>
      <c r="C3244" s="5">
        <v>1348.58545602263</v>
      </c>
      <c r="D3244" s="5">
        <v>1487.12142640083</v>
      </c>
      <c r="E3244" s="5">
        <v>1369.47612551285</v>
      </c>
      <c r="F3244" s="5">
        <v>1405.066426736</v>
      </c>
      <c r="G3244" s="5">
        <v>28.6298658611134</v>
      </c>
      <c r="H3244" s="5">
        <v>28.6298658611134</v>
      </c>
      <c r="I3244" s="5">
        <v>28.6298658611134</v>
      </c>
      <c r="J3244" s="5">
        <v>-0.776422525899755</v>
      </c>
      <c r="K3244" s="5">
        <v>-0.776422525899755</v>
      </c>
      <c r="L3244" s="5">
        <v>-0.776422525899755</v>
      </c>
      <c r="M3244" s="5">
        <v>29.4062883870132</v>
      </c>
      <c r="N3244" s="5">
        <v>29.4062883870132</v>
      </c>
      <c r="O3244" s="5">
        <v>29.4062883870132</v>
      </c>
      <c r="P3244" s="5">
        <v>0.0</v>
      </c>
      <c r="Q3244" s="5">
        <v>0.0</v>
      </c>
      <c r="R3244" s="5">
        <v>0.0</v>
      </c>
      <c r="S3244" s="5">
        <v>1415.21186727815</v>
      </c>
    </row>
    <row r="3245">
      <c r="A3245" s="6">
        <v>44932.0</v>
      </c>
      <c r="B3245" s="5">
        <v>1387.75284761655</v>
      </c>
      <c r="C3245" s="5">
        <v>1350.54200060086</v>
      </c>
      <c r="D3245" s="5">
        <v>1482.18486347434</v>
      </c>
      <c r="E3245" s="5">
        <v>1370.54239073724</v>
      </c>
      <c r="F3245" s="5">
        <v>1406.3168438886</v>
      </c>
      <c r="G3245" s="5">
        <v>28.4913064570769</v>
      </c>
      <c r="H3245" s="5">
        <v>28.4913064570769</v>
      </c>
      <c r="I3245" s="5">
        <v>28.4913064570769</v>
      </c>
      <c r="J3245" s="5">
        <v>-1.59155056649254</v>
      </c>
      <c r="K3245" s="5">
        <v>-1.59155056649254</v>
      </c>
      <c r="L3245" s="5">
        <v>-1.59155056649254</v>
      </c>
      <c r="M3245" s="5">
        <v>30.0828570235695</v>
      </c>
      <c r="N3245" s="5">
        <v>30.0828570235695</v>
      </c>
      <c r="O3245" s="5">
        <v>30.0828570235695</v>
      </c>
      <c r="P3245" s="5">
        <v>0.0</v>
      </c>
      <c r="Q3245" s="5">
        <v>0.0</v>
      </c>
      <c r="R3245" s="5">
        <v>0.0</v>
      </c>
      <c r="S3245" s="5">
        <v>1416.24415407363</v>
      </c>
    </row>
    <row r="3246">
      <c r="A3246" s="6">
        <v>44933.0</v>
      </c>
      <c r="B3246" s="5">
        <v>1388.92369381606</v>
      </c>
      <c r="C3246" s="5">
        <v>1354.75460645534</v>
      </c>
      <c r="D3246" s="5">
        <v>1491.76476449866</v>
      </c>
      <c r="E3246" s="5">
        <v>1371.53673549349</v>
      </c>
      <c r="F3246" s="5">
        <v>1407.5672610412</v>
      </c>
      <c r="G3246" s="5">
        <v>31.8271667828647</v>
      </c>
      <c r="H3246" s="5">
        <v>31.8271667828647</v>
      </c>
      <c r="I3246" s="5">
        <v>31.8271667828647</v>
      </c>
      <c r="J3246" s="5">
        <v>1.20724640990744</v>
      </c>
      <c r="K3246" s="5">
        <v>1.20724640990744</v>
      </c>
      <c r="L3246" s="5">
        <v>1.20724640990744</v>
      </c>
      <c r="M3246" s="5">
        <v>30.6199203729573</v>
      </c>
      <c r="N3246" s="5">
        <v>30.6199203729573</v>
      </c>
      <c r="O3246" s="5">
        <v>30.6199203729573</v>
      </c>
      <c r="P3246" s="5">
        <v>0.0</v>
      </c>
      <c r="Q3246" s="5">
        <v>0.0</v>
      </c>
      <c r="R3246" s="5">
        <v>0.0</v>
      </c>
      <c r="S3246" s="5">
        <v>1420.75086059893</v>
      </c>
    </row>
    <row r="3247">
      <c r="A3247" s="6">
        <v>44934.0</v>
      </c>
      <c r="B3247" s="5">
        <v>1390.09454001558</v>
      </c>
      <c r="C3247" s="5">
        <v>1357.5842910171</v>
      </c>
      <c r="D3247" s="5">
        <v>1488.67949071041</v>
      </c>
      <c r="E3247" s="5">
        <v>1372.53108024975</v>
      </c>
      <c r="F3247" s="5">
        <v>1408.8176781938</v>
      </c>
      <c r="G3247" s="5">
        <v>32.2149034817534</v>
      </c>
      <c r="H3247" s="5">
        <v>32.2149034817534</v>
      </c>
      <c r="I3247" s="5">
        <v>32.2149034817534</v>
      </c>
      <c r="J3247" s="5">
        <v>1.20724879233014</v>
      </c>
      <c r="K3247" s="5">
        <v>1.20724879233014</v>
      </c>
      <c r="L3247" s="5">
        <v>1.20724879233014</v>
      </c>
      <c r="M3247" s="5">
        <v>31.0076546894233</v>
      </c>
      <c r="N3247" s="5">
        <v>31.0076546894233</v>
      </c>
      <c r="O3247" s="5">
        <v>31.0076546894233</v>
      </c>
      <c r="P3247" s="5">
        <v>0.0</v>
      </c>
      <c r="Q3247" s="5">
        <v>0.0</v>
      </c>
      <c r="R3247" s="5">
        <v>0.0</v>
      </c>
      <c r="S3247" s="5">
        <v>1422.30944349733</v>
      </c>
    </row>
    <row r="3248">
      <c r="A3248" s="6">
        <v>44935.0</v>
      </c>
      <c r="B3248" s="5">
        <v>1391.26538621509</v>
      </c>
      <c r="C3248" s="5">
        <v>1353.87559556066</v>
      </c>
      <c r="D3248" s="5">
        <v>1483.47284671561</v>
      </c>
      <c r="E3248" s="5">
        <v>1373.61276760772</v>
      </c>
      <c r="F3248" s="5">
        <v>1410.0680953464</v>
      </c>
      <c r="G3248" s="5">
        <v>31.329975769446</v>
      </c>
      <c r="H3248" s="5">
        <v>31.329975769446</v>
      </c>
      <c r="I3248" s="5">
        <v>31.329975769446</v>
      </c>
      <c r="J3248" s="5">
        <v>0.0905589421198748</v>
      </c>
      <c r="K3248" s="5">
        <v>0.0905589421198748</v>
      </c>
      <c r="L3248" s="5">
        <v>0.0905589421198748</v>
      </c>
      <c r="M3248" s="5">
        <v>31.2394168273261</v>
      </c>
      <c r="N3248" s="5">
        <v>31.2394168273261</v>
      </c>
      <c r="O3248" s="5">
        <v>31.2394168273261</v>
      </c>
      <c r="P3248" s="5">
        <v>0.0</v>
      </c>
      <c r="Q3248" s="5">
        <v>0.0</v>
      </c>
      <c r="R3248" s="5">
        <v>0.0</v>
      </c>
      <c r="S3248" s="5">
        <v>1422.59536198453</v>
      </c>
    </row>
    <row r="3249">
      <c r="A3249" s="6">
        <v>44936.0</v>
      </c>
      <c r="B3249" s="5">
        <v>1392.4362324146</v>
      </c>
      <c r="C3249" s="5">
        <v>1357.10553294183</v>
      </c>
      <c r="D3249" s="5">
        <v>1493.40964429967</v>
      </c>
      <c r="E3249" s="5">
        <v>1374.71956518385</v>
      </c>
      <c r="F3249" s="5">
        <v>1411.31851249899</v>
      </c>
      <c r="G3249" s="5">
        <v>31.1677652893443</v>
      </c>
      <c r="H3249" s="5">
        <v>31.1677652893443</v>
      </c>
      <c r="I3249" s="5">
        <v>31.1677652893443</v>
      </c>
      <c r="J3249" s="5">
        <v>-0.144118857242747</v>
      </c>
      <c r="K3249" s="5">
        <v>-0.144118857242747</v>
      </c>
      <c r="L3249" s="5">
        <v>-0.144118857242747</v>
      </c>
      <c r="M3249" s="5">
        <v>31.3118841465871</v>
      </c>
      <c r="N3249" s="5">
        <v>31.3118841465871</v>
      </c>
      <c r="O3249" s="5">
        <v>31.3118841465871</v>
      </c>
      <c r="P3249" s="5">
        <v>0.0</v>
      </c>
      <c r="Q3249" s="5">
        <v>0.0</v>
      </c>
      <c r="R3249" s="5">
        <v>0.0</v>
      </c>
      <c r="S3249" s="5">
        <v>1423.60399770394</v>
      </c>
    </row>
    <row r="3250">
      <c r="A3250" s="6">
        <v>44937.0</v>
      </c>
      <c r="B3250" s="5">
        <v>1393.60707861411</v>
      </c>
      <c r="C3250" s="5">
        <v>1360.32913805885</v>
      </c>
      <c r="D3250" s="5">
        <v>1489.96324814239</v>
      </c>
      <c r="E3250" s="5">
        <v>1375.82753020662</v>
      </c>
      <c r="F3250" s="5">
        <v>1412.56892965159</v>
      </c>
      <c r="G3250" s="5">
        <v>31.2321464521857</v>
      </c>
      <c r="H3250" s="5">
        <v>31.2321464521857</v>
      </c>
      <c r="I3250" s="5">
        <v>31.2321464521857</v>
      </c>
      <c r="J3250" s="5">
        <v>0.00703780528080091</v>
      </c>
      <c r="K3250" s="5">
        <v>0.00703780528080091</v>
      </c>
      <c r="L3250" s="5">
        <v>0.00703780528080091</v>
      </c>
      <c r="M3250" s="5">
        <v>31.2251086469049</v>
      </c>
      <c r="N3250" s="5">
        <v>31.2251086469049</v>
      </c>
      <c r="O3250" s="5">
        <v>31.2251086469049</v>
      </c>
      <c r="P3250" s="5">
        <v>0.0</v>
      </c>
      <c r="Q3250" s="5">
        <v>0.0</v>
      </c>
      <c r="R3250" s="5">
        <v>0.0</v>
      </c>
      <c r="S3250" s="5">
        <v>1424.8392250663</v>
      </c>
    </row>
    <row r="3251">
      <c r="A3251" s="6">
        <v>44938.0</v>
      </c>
      <c r="B3251" s="5">
        <v>1394.77792481363</v>
      </c>
      <c r="C3251" s="5">
        <v>1363.63094868807</v>
      </c>
      <c r="D3251" s="5">
        <v>1488.44169806806</v>
      </c>
      <c r="E3251" s="5">
        <v>1376.97307682579</v>
      </c>
      <c r="F3251" s="5">
        <v>1413.81934680419</v>
      </c>
      <c r="G3251" s="5">
        <v>30.2060612765977</v>
      </c>
      <c r="H3251" s="5">
        <v>30.2060612765977</v>
      </c>
      <c r="I3251" s="5">
        <v>30.2060612765977</v>
      </c>
      <c r="J3251" s="5">
        <v>-0.776422525899101</v>
      </c>
      <c r="K3251" s="5">
        <v>-0.776422525899101</v>
      </c>
      <c r="L3251" s="5">
        <v>-0.776422525899101</v>
      </c>
      <c r="M3251" s="5">
        <v>30.9824838024968</v>
      </c>
      <c r="N3251" s="5">
        <v>30.9824838024968</v>
      </c>
      <c r="O3251" s="5">
        <v>30.9824838024968</v>
      </c>
      <c r="P3251" s="5">
        <v>0.0</v>
      </c>
      <c r="Q3251" s="5">
        <v>0.0</v>
      </c>
      <c r="R3251" s="5">
        <v>0.0</v>
      </c>
      <c r="S3251" s="5">
        <v>1424.98398609023</v>
      </c>
    </row>
    <row r="3252">
      <c r="A3252" s="6">
        <v>44939.0</v>
      </c>
      <c r="B3252" s="5">
        <v>1395.94877101314</v>
      </c>
      <c r="C3252" s="5">
        <v>1360.27446703531</v>
      </c>
      <c r="D3252" s="5">
        <v>1488.19500842076</v>
      </c>
      <c r="E3252" s="5">
        <v>1378.11978104579</v>
      </c>
      <c r="F3252" s="5">
        <v>1415.06976395679</v>
      </c>
      <c r="G3252" s="5">
        <v>28.9990743737289</v>
      </c>
      <c r="H3252" s="5">
        <v>28.9990743737289</v>
      </c>
      <c r="I3252" s="5">
        <v>28.9990743737289</v>
      </c>
      <c r="J3252" s="5">
        <v>-1.5915505664913</v>
      </c>
      <c r="K3252" s="5">
        <v>-1.5915505664913</v>
      </c>
      <c r="L3252" s="5">
        <v>-1.5915505664913</v>
      </c>
      <c r="M3252" s="5">
        <v>30.5906249402202</v>
      </c>
      <c r="N3252" s="5">
        <v>30.5906249402202</v>
      </c>
      <c r="O3252" s="5">
        <v>30.5906249402202</v>
      </c>
      <c r="P3252" s="5">
        <v>0.0</v>
      </c>
      <c r="Q3252" s="5">
        <v>0.0</v>
      </c>
      <c r="R3252" s="5">
        <v>0.0</v>
      </c>
      <c r="S3252" s="5">
        <v>1424.94784538687</v>
      </c>
    </row>
    <row r="3253">
      <c r="A3253" s="6">
        <v>44940.0</v>
      </c>
      <c r="B3253" s="5">
        <v>1397.11961721265</v>
      </c>
      <c r="C3253" s="5">
        <v>1362.16252540399</v>
      </c>
      <c r="D3253" s="5">
        <v>1496.28033279138</v>
      </c>
      <c r="E3253" s="5">
        <v>1379.23993741437</v>
      </c>
      <c r="F3253" s="5">
        <v>1416.32018110939</v>
      </c>
      <c r="G3253" s="5">
        <v>31.266412766231</v>
      </c>
      <c r="H3253" s="5">
        <v>31.266412766231</v>
      </c>
      <c r="I3253" s="5">
        <v>31.266412766231</v>
      </c>
      <c r="J3253" s="5">
        <v>1.20724640990956</v>
      </c>
      <c r="K3253" s="5">
        <v>1.20724640990956</v>
      </c>
      <c r="L3253" s="5">
        <v>1.20724640990956</v>
      </c>
      <c r="M3253" s="5">
        <v>30.0591663563214</v>
      </c>
      <c r="N3253" s="5">
        <v>30.0591663563214</v>
      </c>
      <c r="O3253" s="5">
        <v>30.0591663563214</v>
      </c>
      <c r="P3253" s="5">
        <v>0.0</v>
      </c>
      <c r="Q3253" s="5">
        <v>0.0</v>
      </c>
      <c r="R3253" s="5">
        <v>0.0</v>
      </c>
      <c r="S3253" s="5">
        <v>1428.38602997889</v>
      </c>
    </row>
    <row r="3254">
      <c r="A3254" s="6">
        <v>44941.0</v>
      </c>
      <c r="B3254" s="5">
        <v>1398.29046341217</v>
      </c>
      <c r="C3254" s="5">
        <v>1361.09022022824</v>
      </c>
      <c r="D3254" s="5">
        <v>1496.54353061807</v>
      </c>
      <c r="E3254" s="5">
        <v>1380.41318948578</v>
      </c>
      <c r="F3254" s="5">
        <v>1417.57059826199</v>
      </c>
      <c r="G3254" s="5">
        <v>30.6077294274706</v>
      </c>
      <c r="H3254" s="5">
        <v>30.6077294274706</v>
      </c>
      <c r="I3254" s="5">
        <v>30.6077294274706</v>
      </c>
      <c r="J3254" s="5">
        <v>1.20724879232983</v>
      </c>
      <c r="K3254" s="5">
        <v>1.20724879232983</v>
      </c>
      <c r="L3254" s="5">
        <v>1.20724879232983</v>
      </c>
      <c r="M3254" s="5">
        <v>29.4004806351407</v>
      </c>
      <c r="N3254" s="5">
        <v>29.4004806351407</v>
      </c>
      <c r="O3254" s="5">
        <v>29.4004806351407</v>
      </c>
      <c r="P3254" s="5">
        <v>0.0</v>
      </c>
      <c r="Q3254" s="5">
        <v>0.0</v>
      </c>
      <c r="R3254" s="5">
        <v>0.0</v>
      </c>
      <c r="S3254" s="5">
        <v>1428.89819283964</v>
      </c>
    </row>
    <row r="3255">
      <c r="A3255" s="6">
        <v>44942.0</v>
      </c>
      <c r="B3255" s="5">
        <v>1399.46130961168</v>
      </c>
      <c r="C3255" s="5">
        <v>1363.85211143568</v>
      </c>
      <c r="D3255" s="5">
        <v>1493.9629041692</v>
      </c>
      <c r="E3255" s="5">
        <v>1381.54365898841</v>
      </c>
      <c r="F3255" s="5">
        <v>1418.819897018</v>
      </c>
      <c r="G3255" s="5">
        <v>28.7198866955905</v>
      </c>
      <c r="H3255" s="5">
        <v>28.7198866955905</v>
      </c>
      <c r="I3255" s="5">
        <v>28.7198866955905</v>
      </c>
      <c r="J3255" s="5">
        <v>0.0905589421257492</v>
      </c>
      <c r="K3255" s="5">
        <v>0.0905589421257492</v>
      </c>
      <c r="L3255" s="5">
        <v>0.0905589421257492</v>
      </c>
      <c r="M3255" s="5">
        <v>28.6293277534647</v>
      </c>
      <c r="N3255" s="5">
        <v>28.6293277534647</v>
      </c>
      <c r="O3255" s="5">
        <v>28.6293277534647</v>
      </c>
      <c r="P3255" s="5">
        <v>0.0</v>
      </c>
      <c r="Q3255" s="5">
        <v>0.0</v>
      </c>
      <c r="R3255" s="5">
        <v>0.0</v>
      </c>
      <c r="S3255" s="5">
        <v>1428.18119630727</v>
      </c>
    </row>
    <row r="3256">
      <c r="A3256" s="6">
        <v>44943.0</v>
      </c>
      <c r="B3256" s="5">
        <v>1400.63215581119</v>
      </c>
      <c r="C3256" s="5">
        <v>1360.88649022521</v>
      </c>
      <c r="D3256" s="5">
        <v>1495.9244521392</v>
      </c>
      <c r="E3256" s="5">
        <v>1382.63897831129</v>
      </c>
      <c r="F3256" s="5">
        <v>1420.06725592731</v>
      </c>
      <c r="G3256" s="5">
        <v>27.6183246107825</v>
      </c>
      <c r="H3256" s="5">
        <v>27.6183246107825</v>
      </c>
      <c r="I3256" s="5">
        <v>27.6183246107825</v>
      </c>
      <c r="J3256" s="5">
        <v>-0.144118857244182</v>
      </c>
      <c r="K3256" s="5">
        <v>-0.144118857244182</v>
      </c>
      <c r="L3256" s="5">
        <v>-0.144118857244182</v>
      </c>
      <c r="M3256" s="5">
        <v>27.7624434680266</v>
      </c>
      <c r="N3256" s="5">
        <v>27.7624434680266</v>
      </c>
      <c r="O3256" s="5">
        <v>27.7624434680266</v>
      </c>
      <c r="P3256" s="5">
        <v>0.0</v>
      </c>
      <c r="Q3256" s="5">
        <v>0.0</v>
      </c>
      <c r="R3256" s="5">
        <v>0.0</v>
      </c>
      <c r="S3256" s="5">
        <v>1428.25048042198</v>
      </c>
    </row>
    <row r="3257">
      <c r="A3257" s="6">
        <v>44944.0</v>
      </c>
      <c r="B3257" s="5">
        <v>1401.80300201071</v>
      </c>
      <c r="C3257" s="5">
        <v>1360.9091418671</v>
      </c>
      <c r="D3257" s="5">
        <v>1499.14005828533</v>
      </c>
      <c r="E3257" s="5">
        <v>1383.69682015963</v>
      </c>
      <c r="F3257" s="5">
        <v>1421.34668086629</v>
      </c>
      <c r="G3257" s="5">
        <v>26.8251159423144</v>
      </c>
      <c r="H3257" s="5">
        <v>26.8251159423144</v>
      </c>
      <c r="I3257" s="5">
        <v>26.8251159423144</v>
      </c>
      <c r="J3257" s="5">
        <v>0.00703780527994828</v>
      </c>
      <c r="K3257" s="5">
        <v>0.00703780527994828</v>
      </c>
      <c r="L3257" s="5">
        <v>0.00703780527994828</v>
      </c>
      <c r="M3257" s="5">
        <v>26.8180781370345</v>
      </c>
      <c r="N3257" s="5">
        <v>26.8180781370345</v>
      </c>
      <c r="O3257" s="5">
        <v>26.8180781370345</v>
      </c>
      <c r="P3257" s="5">
        <v>0.0</v>
      </c>
      <c r="Q3257" s="5">
        <v>0.0</v>
      </c>
      <c r="R3257" s="5">
        <v>0.0</v>
      </c>
      <c r="S3257" s="5">
        <v>1428.62811795302</v>
      </c>
    </row>
    <row r="3258">
      <c r="A3258" s="6">
        <v>44945.0</v>
      </c>
      <c r="B3258" s="5">
        <v>1402.97384821022</v>
      </c>
      <c r="C3258" s="5">
        <v>1364.37992475822</v>
      </c>
      <c r="D3258" s="5">
        <v>1488.07080716711</v>
      </c>
      <c r="E3258" s="5">
        <v>1384.67746170305</v>
      </c>
      <c r="F3258" s="5">
        <v>1422.64444227564</v>
      </c>
      <c r="G3258" s="5">
        <v>25.039075947984</v>
      </c>
      <c r="H3258" s="5">
        <v>25.039075947984</v>
      </c>
      <c r="I3258" s="5">
        <v>25.039075947984</v>
      </c>
      <c r="J3258" s="5">
        <v>-0.776422525901198</v>
      </c>
      <c r="K3258" s="5">
        <v>-0.776422525901198</v>
      </c>
      <c r="L3258" s="5">
        <v>-0.776422525901198</v>
      </c>
      <c r="M3258" s="5">
        <v>25.8154984738852</v>
      </c>
      <c r="N3258" s="5">
        <v>25.8154984738852</v>
      </c>
      <c r="O3258" s="5">
        <v>25.8154984738852</v>
      </c>
      <c r="P3258" s="5">
        <v>0.0</v>
      </c>
      <c r="Q3258" s="5">
        <v>0.0</v>
      </c>
      <c r="R3258" s="5">
        <v>0.0</v>
      </c>
      <c r="S3258" s="5">
        <v>1428.0129241582</v>
      </c>
    </row>
    <row r="3259">
      <c r="A3259" s="6">
        <v>44946.0</v>
      </c>
      <c r="B3259" s="5">
        <v>1404.14469440973</v>
      </c>
      <c r="C3259" s="5">
        <v>1363.36932004489</v>
      </c>
      <c r="D3259" s="5">
        <v>1496.84984869707</v>
      </c>
      <c r="E3259" s="5">
        <v>1385.69153435252</v>
      </c>
      <c r="F3259" s="5">
        <v>1423.88181310671</v>
      </c>
      <c r="G3259" s="5">
        <v>23.182915167963</v>
      </c>
      <c r="H3259" s="5">
        <v>23.182915167963</v>
      </c>
      <c r="I3259" s="5">
        <v>23.182915167963</v>
      </c>
      <c r="J3259" s="5">
        <v>-1.59155056649037</v>
      </c>
      <c r="K3259" s="5">
        <v>-1.59155056649037</v>
      </c>
      <c r="L3259" s="5">
        <v>-1.59155056649037</v>
      </c>
      <c r="M3259" s="5">
        <v>24.7744657344534</v>
      </c>
      <c r="N3259" s="5">
        <v>24.7744657344534</v>
      </c>
      <c r="O3259" s="5">
        <v>24.7744657344534</v>
      </c>
      <c r="P3259" s="5">
        <v>0.0</v>
      </c>
      <c r="Q3259" s="5">
        <v>0.0</v>
      </c>
      <c r="R3259" s="5">
        <v>0.0</v>
      </c>
      <c r="S3259" s="5">
        <v>1427.3276095777</v>
      </c>
    </row>
    <row r="3260">
      <c r="A3260" s="6">
        <v>44947.0</v>
      </c>
      <c r="B3260" s="5">
        <v>1405.31554060925</v>
      </c>
      <c r="C3260" s="5">
        <v>1362.32497221344</v>
      </c>
      <c r="D3260" s="5">
        <v>1494.79649136653</v>
      </c>
      <c r="E3260" s="5">
        <v>1386.66528236283</v>
      </c>
      <c r="F3260" s="5">
        <v>1425.13142478792</v>
      </c>
      <c r="G3260" s="5">
        <v>24.9219508807188</v>
      </c>
      <c r="H3260" s="5">
        <v>24.9219508807188</v>
      </c>
      <c r="I3260" s="5">
        <v>24.9219508807188</v>
      </c>
      <c r="J3260" s="5">
        <v>1.20724640991006</v>
      </c>
      <c r="K3260" s="5">
        <v>1.20724640991006</v>
      </c>
      <c r="L3260" s="5">
        <v>1.20724640991006</v>
      </c>
      <c r="M3260" s="5">
        <v>23.7147044708088</v>
      </c>
      <c r="N3260" s="5">
        <v>23.7147044708088</v>
      </c>
      <c r="O3260" s="5">
        <v>23.7147044708088</v>
      </c>
      <c r="P3260" s="5">
        <v>0.0</v>
      </c>
      <c r="Q3260" s="5">
        <v>0.0</v>
      </c>
      <c r="R3260" s="5">
        <v>0.0</v>
      </c>
      <c r="S3260" s="5">
        <v>1430.23749148997</v>
      </c>
    </row>
    <row r="3261">
      <c r="A3261" s="6">
        <v>44948.0</v>
      </c>
      <c r="B3261" s="5">
        <v>1406.48638680876</v>
      </c>
      <c r="C3261" s="5">
        <v>1361.06334217241</v>
      </c>
      <c r="D3261" s="5">
        <v>1497.53385666423</v>
      </c>
      <c r="E3261" s="5">
        <v>1387.68236713698</v>
      </c>
      <c r="F3261" s="5">
        <v>1426.46139283069</v>
      </c>
      <c r="G3261" s="5">
        <v>23.8626250186942</v>
      </c>
      <c r="H3261" s="5">
        <v>23.8626250186942</v>
      </c>
      <c r="I3261" s="5">
        <v>23.8626250186942</v>
      </c>
      <c r="J3261" s="5">
        <v>1.20724879232952</v>
      </c>
      <c r="K3261" s="5">
        <v>1.20724879232952</v>
      </c>
      <c r="L3261" s="5">
        <v>1.20724879232952</v>
      </c>
      <c r="M3261" s="5">
        <v>22.6553762263647</v>
      </c>
      <c r="N3261" s="5">
        <v>22.6553762263647</v>
      </c>
      <c r="O3261" s="5">
        <v>22.6553762263647</v>
      </c>
      <c r="P3261" s="5">
        <v>0.0</v>
      </c>
      <c r="Q3261" s="5">
        <v>0.0</v>
      </c>
      <c r="R3261" s="5">
        <v>0.0</v>
      </c>
      <c r="S3261" s="5">
        <v>1430.34901182745</v>
      </c>
    </row>
    <row r="3262">
      <c r="A3262" s="6">
        <v>44949.0</v>
      </c>
      <c r="B3262" s="5">
        <v>1407.65723300827</v>
      </c>
      <c r="C3262" s="5">
        <v>1362.8123364556</v>
      </c>
      <c r="D3262" s="5">
        <v>1499.9746241381</v>
      </c>
      <c r="E3262" s="5">
        <v>1388.69993229212</v>
      </c>
      <c r="F3262" s="5">
        <v>1427.785556734</v>
      </c>
      <c r="G3262" s="5">
        <v>21.7051313357987</v>
      </c>
      <c r="H3262" s="5">
        <v>21.7051313357987</v>
      </c>
      <c r="I3262" s="5">
        <v>21.7051313357987</v>
      </c>
      <c r="J3262" s="5">
        <v>0.0905589421219279</v>
      </c>
      <c r="K3262" s="5">
        <v>0.0905589421219279</v>
      </c>
      <c r="L3262" s="5">
        <v>0.0905589421219279</v>
      </c>
      <c r="M3262" s="5">
        <v>21.6145723936768</v>
      </c>
      <c r="N3262" s="5">
        <v>21.6145723936768</v>
      </c>
      <c r="O3262" s="5">
        <v>21.6145723936768</v>
      </c>
      <c r="P3262" s="5">
        <v>0.0</v>
      </c>
      <c r="Q3262" s="5">
        <v>0.0</v>
      </c>
      <c r="R3262" s="5">
        <v>0.0</v>
      </c>
      <c r="S3262" s="5">
        <v>1429.36236434407</v>
      </c>
    </row>
    <row r="3263">
      <c r="A3263" s="6">
        <v>44950.0</v>
      </c>
      <c r="B3263" s="5">
        <v>1408.82807920779</v>
      </c>
      <c r="C3263" s="5">
        <v>1363.56270624645</v>
      </c>
      <c r="D3263" s="5">
        <v>1496.54988889053</v>
      </c>
      <c r="E3263" s="5">
        <v>1389.71860882188</v>
      </c>
      <c r="F3263" s="5">
        <v>1429.05295089307</v>
      </c>
      <c r="G3263" s="5">
        <v>20.4647210537488</v>
      </c>
      <c r="H3263" s="5">
        <v>20.4647210537488</v>
      </c>
      <c r="I3263" s="5">
        <v>20.4647210537488</v>
      </c>
      <c r="J3263" s="5">
        <v>-0.144118857245618</v>
      </c>
      <c r="K3263" s="5">
        <v>-0.144118857245618</v>
      </c>
      <c r="L3263" s="5">
        <v>-0.144118857245618</v>
      </c>
      <c r="M3263" s="5">
        <v>20.6088399109945</v>
      </c>
      <c r="N3263" s="5">
        <v>20.6088399109945</v>
      </c>
      <c r="O3263" s="5">
        <v>20.6088399109945</v>
      </c>
      <c r="P3263" s="5">
        <v>0.0</v>
      </c>
      <c r="Q3263" s="5">
        <v>0.0</v>
      </c>
      <c r="R3263" s="5">
        <v>0.0</v>
      </c>
      <c r="S3263" s="5">
        <v>1429.29280026154</v>
      </c>
    </row>
    <row r="3264">
      <c r="A3264" s="6">
        <v>44951.0</v>
      </c>
      <c r="B3264" s="5">
        <v>1409.9989254073</v>
      </c>
      <c r="C3264" s="5">
        <v>1363.53021256605</v>
      </c>
      <c r="D3264" s="5">
        <v>1495.38583238934</v>
      </c>
      <c r="E3264" s="5">
        <v>1390.74688345351</v>
      </c>
      <c r="F3264" s="5">
        <v>1430.3097225187</v>
      </c>
      <c r="G3264" s="5">
        <v>19.6597903577847</v>
      </c>
      <c r="H3264" s="5">
        <v>19.6597903577847</v>
      </c>
      <c r="I3264" s="5">
        <v>19.6597903577847</v>
      </c>
      <c r="J3264" s="5">
        <v>0.00703780528125932</v>
      </c>
      <c r="K3264" s="5">
        <v>0.00703780528125932</v>
      </c>
      <c r="L3264" s="5">
        <v>0.00703780528125932</v>
      </c>
      <c r="M3264" s="5">
        <v>19.6527525525034</v>
      </c>
      <c r="N3264" s="5">
        <v>19.6527525525034</v>
      </c>
      <c r="O3264" s="5">
        <v>19.6527525525034</v>
      </c>
      <c r="P3264" s="5">
        <v>0.0</v>
      </c>
      <c r="Q3264" s="5">
        <v>0.0</v>
      </c>
      <c r="R3264" s="5">
        <v>0.0</v>
      </c>
      <c r="S3264" s="5">
        <v>1429.65871576508</v>
      </c>
    </row>
    <row r="3265">
      <c r="A3265" s="6">
        <v>44952.0</v>
      </c>
      <c r="B3265" s="5">
        <v>1411.16977160681</v>
      </c>
      <c r="C3265" s="5">
        <v>1363.98907246029</v>
      </c>
      <c r="D3265" s="5">
        <v>1494.50983781624</v>
      </c>
      <c r="E3265" s="5">
        <v>1391.77830189513</v>
      </c>
      <c r="F3265" s="5">
        <v>1431.56590656658</v>
      </c>
      <c r="G3265" s="5">
        <v>17.9821167704317</v>
      </c>
      <c r="H3265" s="5">
        <v>17.9821167704317</v>
      </c>
      <c r="I3265" s="5">
        <v>17.9821167704317</v>
      </c>
      <c r="J3265" s="5">
        <v>-0.77642252590192</v>
      </c>
      <c r="K3265" s="5">
        <v>-0.77642252590192</v>
      </c>
      <c r="L3265" s="5">
        <v>-0.77642252590192</v>
      </c>
      <c r="M3265" s="5">
        <v>18.7585392963336</v>
      </c>
      <c r="N3265" s="5">
        <v>18.7585392963336</v>
      </c>
      <c r="O3265" s="5">
        <v>18.7585392963336</v>
      </c>
      <c r="P3265" s="5">
        <v>0.0</v>
      </c>
      <c r="Q3265" s="5">
        <v>0.0</v>
      </c>
      <c r="R3265" s="5">
        <v>0.0</v>
      </c>
      <c r="S3265" s="5">
        <v>1429.15188837724</v>
      </c>
    </row>
    <row r="3266">
      <c r="A3266" s="6">
        <v>44953.0</v>
      </c>
      <c r="B3266" s="5">
        <v>1412.34061780633</v>
      </c>
      <c r="C3266" s="5">
        <v>1365.61302203182</v>
      </c>
      <c r="D3266" s="5">
        <v>1497.59884242681</v>
      </c>
      <c r="E3266" s="5">
        <v>1392.81033964241</v>
      </c>
      <c r="F3266" s="5">
        <v>1432.81384824232</v>
      </c>
      <c r="G3266" s="5">
        <v>16.3442291027056</v>
      </c>
      <c r="H3266" s="5">
        <v>16.3442291027056</v>
      </c>
      <c r="I3266" s="5">
        <v>16.3442291027056</v>
      </c>
      <c r="J3266" s="5">
        <v>-1.59155056649462</v>
      </c>
      <c r="K3266" s="5">
        <v>-1.59155056649462</v>
      </c>
      <c r="L3266" s="5">
        <v>-1.59155056649462</v>
      </c>
      <c r="M3266" s="5">
        <v>17.9357796692002</v>
      </c>
      <c r="N3266" s="5">
        <v>17.9357796692002</v>
      </c>
      <c r="O3266" s="5">
        <v>17.9357796692002</v>
      </c>
      <c r="P3266" s="5">
        <v>0.0</v>
      </c>
      <c r="Q3266" s="5">
        <v>0.0</v>
      </c>
      <c r="R3266" s="5">
        <v>0.0</v>
      </c>
      <c r="S3266" s="5">
        <v>1428.68484690903</v>
      </c>
    </row>
    <row r="3267">
      <c r="A3267" s="6">
        <v>44954.0</v>
      </c>
      <c r="B3267" s="5">
        <v>1413.51146400584</v>
      </c>
      <c r="C3267" s="5">
        <v>1365.81683396042</v>
      </c>
      <c r="D3267" s="5">
        <v>1494.930839008</v>
      </c>
      <c r="E3267" s="5">
        <v>1393.90254819946</v>
      </c>
      <c r="F3267" s="5">
        <v>1434.04292528447</v>
      </c>
      <c r="G3267" s="5">
        <v>18.398420521746</v>
      </c>
      <c r="H3267" s="5">
        <v>18.398420521746</v>
      </c>
      <c r="I3267" s="5">
        <v>18.398420521746</v>
      </c>
      <c r="J3267" s="5">
        <v>1.20724640990396</v>
      </c>
      <c r="K3267" s="5">
        <v>1.20724640990396</v>
      </c>
      <c r="L3267" s="5">
        <v>1.20724640990396</v>
      </c>
      <c r="M3267" s="5">
        <v>17.191174111842</v>
      </c>
      <c r="N3267" s="5">
        <v>17.191174111842</v>
      </c>
      <c r="O3267" s="5">
        <v>17.191174111842</v>
      </c>
      <c r="P3267" s="5">
        <v>0.0</v>
      </c>
      <c r="Q3267" s="5">
        <v>0.0</v>
      </c>
      <c r="R3267" s="5">
        <v>0.0</v>
      </c>
      <c r="S3267" s="5">
        <v>1431.90988452758</v>
      </c>
    </row>
    <row r="3268">
      <c r="A3268" s="6">
        <v>44955.0</v>
      </c>
      <c r="B3268" s="5">
        <v>1414.68231020535</v>
      </c>
      <c r="C3268" s="5">
        <v>1367.28248832844</v>
      </c>
      <c r="D3268" s="5">
        <v>1495.95097386263</v>
      </c>
      <c r="E3268" s="5">
        <v>1394.99475675652</v>
      </c>
      <c r="F3268" s="5">
        <v>1435.27200232662</v>
      </c>
      <c r="G3268" s="5">
        <v>17.7356441293671</v>
      </c>
      <c r="H3268" s="5">
        <v>17.7356441293671</v>
      </c>
      <c r="I3268" s="5">
        <v>17.7356441293671</v>
      </c>
      <c r="J3268" s="5">
        <v>1.20724879232921</v>
      </c>
      <c r="K3268" s="5">
        <v>1.20724879232921</v>
      </c>
      <c r="L3268" s="5">
        <v>1.20724879232921</v>
      </c>
      <c r="M3268" s="5">
        <v>16.5283953370378</v>
      </c>
      <c r="N3268" s="5">
        <v>16.5283953370378</v>
      </c>
      <c r="O3268" s="5">
        <v>16.5283953370378</v>
      </c>
      <c r="P3268" s="5">
        <v>0.0</v>
      </c>
      <c r="Q3268" s="5">
        <v>0.0</v>
      </c>
      <c r="R3268" s="5">
        <v>0.0</v>
      </c>
      <c r="S3268" s="5">
        <v>1432.41795433472</v>
      </c>
    </row>
    <row r="3269">
      <c r="A3269" s="6">
        <v>44956.0</v>
      </c>
      <c r="B3269" s="5">
        <v>1415.85315640487</v>
      </c>
      <c r="C3269" s="5">
        <v>1368.398994534</v>
      </c>
      <c r="D3269" s="5">
        <v>1502.26812528565</v>
      </c>
      <c r="E3269" s="5">
        <v>1396.08696531357</v>
      </c>
      <c r="F3269" s="5">
        <v>1436.50107936876</v>
      </c>
      <c r="G3269" s="5">
        <v>16.0385833622259</v>
      </c>
      <c r="H3269" s="5">
        <v>16.0385833622259</v>
      </c>
      <c r="I3269" s="5">
        <v>16.0385833622259</v>
      </c>
      <c r="J3269" s="5">
        <v>0.0905589421228742</v>
      </c>
      <c r="K3269" s="5">
        <v>0.0905589421228742</v>
      </c>
      <c r="L3269" s="5">
        <v>0.0905589421228742</v>
      </c>
      <c r="M3269" s="5">
        <v>15.948024420103</v>
      </c>
      <c r="N3269" s="5">
        <v>15.948024420103</v>
      </c>
      <c r="O3269" s="5">
        <v>15.948024420103</v>
      </c>
      <c r="P3269" s="5">
        <v>0.0</v>
      </c>
      <c r="Q3269" s="5">
        <v>0.0</v>
      </c>
      <c r="R3269" s="5">
        <v>0.0</v>
      </c>
      <c r="S3269" s="5">
        <v>1431.89173976709</v>
      </c>
    </row>
    <row r="3270">
      <c r="A3270" s="6">
        <v>44957.0</v>
      </c>
      <c r="B3270" s="5">
        <v>1417.02400260438</v>
      </c>
      <c r="C3270" s="5">
        <v>1361.63617707586</v>
      </c>
      <c r="D3270" s="5">
        <v>1500.83539894545</v>
      </c>
      <c r="E3270" s="5">
        <v>1397.18347053881</v>
      </c>
      <c r="F3270" s="5">
        <v>1437.78237583836</v>
      </c>
      <c r="G3270" s="5">
        <v>15.3034541752443</v>
      </c>
      <c r="H3270" s="5">
        <v>15.3034541752443</v>
      </c>
      <c r="I3270" s="5">
        <v>15.3034541752443</v>
      </c>
      <c r="J3270" s="5">
        <v>-0.14411885724453</v>
      </c>
      <c r="K3270" s="5">
        <v>-0.14411885724453</v>
      </c>
      <c r="L3270" s="5">
        <v>-0.14411885724453</v>
      </c>
      <c r="M3270" s="5">
        <v>15.4475730324888</v>
      </c>
      <c r="N3270" s="5">
        <v>15.4475730324888</v>
      </c>
      <c r="O3270" s="5">
        <v>15.4475730324888</v>
      </c>
      <c r="P3270" s="5">
        <v>0.0</v>
      </c>
      <c r="Q3270" s="5">
        <v>0.0</v>
      </c>
      <c r="R3270" s="5">
        <v>0.0</v>
      </c>
      <c r="S3270" s="5">
        <v>1432.32745677962</v>
      </c>
    </row>
    <row r="3271">
      <c r="A3271" s="6">
        <v>44958.0</v>
      </c>
      <c r="B3271" s="5">
        <v>1418.19484880389</v>
      </c>
      <c r="C3271" s="5">
        <v>1369.88827028784</v>
      </c>
      <c r="D3271" s="5">
        <v>1500.94539431238</v>
      </c>
      <c r="E3271" s="5">
        <v>1398.28089041021</v>
      </c>
      <c r="F3271" s="5">
        <v>1439.14524713267</v>
      </c>
      <c r="G3271" s="5">
        <v>15.0286286730326</v>
      </c>
      <c r="H3271" s="5">
        <v>15.0286286730326</v>
      </c>
      <c r="I3271" s="5">
        <v>15.0286286730326</v>
      </c>
      <c r="J3271" s="5">
        <v>0.0070378052823896</v>
      </c>
      <c r="K3271" s="5">
        <v>0.0070378052823896</v>
      </c>
      <c r="L3271" s="5">
        <v>0.0070378052823896</v>
      </c>
      <c r="M3271" s="5">
        <v>15.0215908677502</v>
      </c>
      <c r="N3271" s="5">
        <v>15.0215908677502</v>
      </c>
      <c r="O3271" s="5">
        <v>15.0215908677502</v>
      </c>
      <c r="P3271" s="5">
        <v>0.0</v>
      </c>
      <c r="Q3271" s="5">
        <v>0.0</v>
      </c>
      <c r="R3271" s="5">
        <v>0.0</v>
      </c>
      <c r="S3271" s="5">
        <v>1433.22347747693</v>
      </c>
    </row>
    <row r="3272">
      <c r="A3272" s="6">
        <v>44959.0</v>
      </c>
      <c r="B3272" s="5">
        <v>1419.36569500341</v>
      </c>
      <c r="C3272" s="5">
        <v>1367.45987217126</v>
      </c>
      <c r="D3272" s="5">
        <v>1501.02498015536</v>
      </c>
      <c r="E3272" s="5">
        <v>1399.37831028161</v>
      </c>
      <c r="F3272" s="5">
        <v>1440.43786530071</v>
      </c>
      <c r="G3272" s="5">
        <v>13.8854324551717</v>
      </c>
      <c r="H3272" s="5">
        <v>13.8854324551717</v>
      </c>
      <c r="I3272" s="5">
        <v>13.8854324551717</v>
      </c>
      <c r="J3272" s="5">
        <v>-0.776422525902642</v>
      </c>
      <c r="K3272" s="5">
        <v>-0.776422525902642</v>
      </c>
      <c r="L3272" s="5">
        <v>-0.776422525902642</v>
      </c>
      <c r="M3272" s="5">
        <v>14.6618549810744</v>
      </c>
      <c r="N3272" s="5">
        <v>14.6618549810744</v>
      </c>
      <c r="O3272" s="5">
        <v>14.6618549810744</v>
      </c>
      <c r="P3272" s="5">
        <v>0.0</v>
      </c>
      <c r="Q3272" s="5">
        <v>0.0</v>
      </c>
      <c r="R3272" s="5">
        <v>0.0</v>
      </c>
      <c r="S3272" s="5">
        <v>1433.25112745858</v>
      </c>
    </row>
    <row r="3273">
      <c r="A3273" s="6">
        <v>44960.0</v>
      </c>
      <c r="B3273" s="5">
        <v>1420.53654120292</v>
      </c>
      <c r="C3273" s="5">
        <v>1364.97230761451</v>
      </c>
      <c r="D3273" s="5">
        <v>1498.71539214547</v>
      </c>
      <c r="E3273" s="5">
        <v>1400.475730153</v>
      </c>
      <c r="F3273" s="5">
        <v>1441.71050572399</v>
      </c>
      <c r="G3273" s="5">
        <v>12.7660849671119</v>
      </c>
      <c r="H3273" s="5">
        <v>12.7660849671119</v>
      </c>
      <c r="I3273" s="5">
        <v>12.7660849671119</v>
      </c>
      <c r="J3273" s="5">
        <v>-1.59155056649401</v>
      </c>
      <c r="K3273" s="5">
        <v>-1.59155056649401</v>
      </c>
      <c r="L3273" s="5">
        <v>-1.59155056649401</v>
      </c>
      <c r="M3273" s="5">
        <v>14.3576355336059</v>
      </c>
      <c r="N3273" s="5">
        <v>14.3576355336059</v>
      </c>
      <c r="O3273" s="5">
        <v>14.3576355336059</v>
      </c>
      <c r="P3273" s="5">
        <v>0.0</v>
      </c>
      <c r="Q3273" s="5">
        <v>0.0</v>
      </c>
      <c r="R3273" s="5">
        <v>0.0</v>
      </c>
      <c r="S3273" s="5">
        <v>1433.30262617003</v>
      </c>
    </row>
    <row r="3274">
      <c r="A3274" s="6">
        <v>44961.0</v>
      </c>
      <c r="B3274" s="5">
        <v>1421.70738740243</v>
      </c>
      <c r="C3274" s="5">
        <v>1370.16442834302</v>
      </c>
      <c r="D3274" s="5">
        <v>1511.44972792639</v>
      </c>
      <c r="E3274" s="5">
        <v>1401.5731500244</v>
      </c>
      <c r="F3274" s="5">
        <v>1442.970871788</v>
      </c>
      <c r="G3274" s="5">
        <v>15.3032767724559</v>
      </c>
      <c r="H3274" s="5">
        <v>15.3032767724559</v>
      </c>
      <c r="I3274" s="5">
        <v>15.3032767724559</v>
      </c>
      <c r="J3274" s="5">
        <v>1.20724640990446</v>
      </c>
      <c r="K3274" s="5">
        <v>1.20724640990446</v>
      </c>
      <c r="L3274" s="5">
        <v>1.20724640990446</v>
      </c>
      <c r="M3274" s="5">
        <v>14.0960303625514</v>
      </c>
      <c r="N3274" s="5">
        <v>14.0960303625514</v>
      </c>
      <c r="O3274" s="5">
        <v>14.0960303625514</v>
      </c>
      <c r="P3274" s="5">
        <v>0.0</v>
      </c>
      <c r="Q3274" s="5">
        <v>0.0</v>
      </c>
      <c r="R3274" s="5">
        <v>0.0</v>
      </c>
      <c r="S3274" s="5">
        <v>1437.01066417489</v>
      </c>
    </row>
    <row r="3275">
      <c r="A3275" s="6">
        <v>44962.0</v>
      </c>
      <c r="B3275" s="5">
        <v>1422.87823360195</v>
      </c>
      <c r="C3275" s="5">
        <v>1369.7271560969</v>
      </c>
      <c r="D3275" s="5">
        <v>1504.99726009117</v>
      </c>
      <c r="E3275" s="5">
        <v>1402.67124608079</v>
      </c>
      <c r="F3275" s="5">
        <v>1444.22903609654</v>
      </c>
      <c r="G3275" s="5">
        <v>15.069607736752</v>
      </c>
      <c r="H3275" s="5">
        <v>15.069607736752</v>
      </c>
      <c r="I3275" s="5">
        <v>15.069607736752</v>
      </c>
      <c r="J3275" s="5">
        <v>1.20724879232713</v>
      </c>
      <c r="K3275" s="5">
        <v>1.20724879232713</v>
      </c>
      <c r="L3275" s="5">
        <v>1.20724879232713</v>
      </c>
      <c r="M3275" s="5">
        <v>13.8623589444249</v>
      </c>
      <c r="N3275" s="5">
        <v>13.8623589444249</v>
      </c>
      <c r="O3275" s="5">
        <v>13.8623589444249</v>
      </c>
      <c r="P3275" s="5">
        <v>0.0</v>
      </c>
      <c r="Q3275" s="5">
        <v>0.0</v>
      </c>
      <c r="R3275" s="5">
        <v>0.0</v>
      </c>
      <c r="S3275" s="5">
        <v>1437.9478413387</v>
      </c>
    </row>
    <row r="3276">
      <c r="A3276" s="6">
        <v>44963.0</v>
      </c>
      <c r="B3276" s="5">
        <v>1424.04907980146</v>
      </c>
      <c r="C3276" s="5">
        <v>1369.56148768297</v>
      </c>
      <c r="D3276" s="5">
        <v>1504.98455305191</v>
      </c>
      <c r="E3276" s="5">
        <v>1403.74973821523</v>
      </c>
      <c r="F3276" s="5">
        <v>1445.48720040509</v>
      </c>
      <c r="G3276" s="5">
        <v>13.7311636749156</v>
      </c>
      <c r="H3276" s="5">
        <v>13.7311636749156</v>
      </c>
      <c r="I3276" s="5">
        <v>13.7311636749156</v>
      </c>
      <c r="J3276" s="5">
        <v>0.0905589421214368</v>
      </c>
      <c r="K3276" s="5">
        <v>0.0905589421214368</v>
      </c>
      <c r="L3276" s="5">
        <v>0.0905589421214368</v>
      </c>
      <c r="M3276" s="5">
        <v>13.6406047327942</v>
      </c>
      <c r="N3276" s="5">
        <v>13.6406047327942</v>
      </c>
      <c r="O3276" s="5">
        <v>13.6406047327942</v>
      </c>
      <c r="P3276" s="5">
        <v>0.0</v>
      </c>
      <c r="Q3276" s="5">
        <v>0.0</v>
      </c>
      <c r="R3276" s="5">
        <v>0.0</v>
      </c>
      <c r="S3276" s="5">
        <v>1437.78024347637</v>
      </c>
    </row>
    <row r="3277">
      <c r="A3277" s="6">
        <v>44964.0</v>
      </c>
      <c r="B3277" s="5">
        <v>1425.21992600097</v>
      </c>
      <c r="C3277" s="5">
        <v>1370.77895387638</v>
      </c>
      <c r="D3277" s="5">
        <v>1504.26376146301</v>
      </c>
      <c r="E3277" s="5">
        <v>1404.8116504778</v>
      </c>
      <c r="F3277" s="5">
        <v>1446.77245796094</v>
      </c>
      <c r="G3277" s="5">
        <v>13.2697747190088</v>
      </c>
      <c r="H3277" s="5">
        <v>13.2697747190088</v>
      </c>
      <c r="I3277" s="5">
        <v>13.2697747190088</v>
      </c>
      <c r="J3277" s="5">
        <v>-0.144118857248794</v>
      </c>
      <c r="K3277" s="5">
        <v>-0.144118857248794</v>
      </c>
      <c r="L3277" s="5">
        <v>-0.144118857248794</v>
      </c>
      <c r="M3277" s="5">
        <v>13.4138935762576</v>
      </c>
      <c r="N3277" s="5">
        <v>13.4138935762576</v>
      </c>
      <c r="O3277" s="5">
        <v>13.4138935762576</v>
      </c>
      <c r="P3277" s="5">
        <v>0.0</v>
      </c>
      <c r="Q3277" s="5">
        <v>0.0</v>
      </c>
      <c r="R3277" s="5">
        <v>0.0</v>
      </c>
      <c r="S3277" s="5">
        <v>1438.48970071998</v>
      </c>
    </row>
    <row r="3278">
      <c r="A3278" s="6">
        <v>44965.0</v>
      </c>
      <c r="B3278" s="5">
        <v>1426.39077220049</v>
      </c>
      <c r="C3278" s="5">
        <v>1373.49447268327</v>
      </c>
      <c r="D3278" s="5">
        <v>1504.96270583126</v>
      </c>
      <c r="E3278" s="5">
        <v>1405.87356274036</v>
      </c>
      <c r="F3278" s="5">
        <v>1448.11596196588</v>
      </c>
      <c r="G3278" s="5">
        <v>13.1720327969248</v>
      </c>
      <c r="H3278" s="5">
        <v>13.1720327969248</v>
      </c>
      <c r="I3278" s="5">
        <v>13.1720327969248</v>
      </c>
      <c r="J3278" s="5">
        <v>0.00703780528370077</v>
      </c>
      <c r="K3278" s="5">
        <v>0.00703780528370077</v>
      </c>
      <c r="L3278" s="5">
        <v>0.00703780528370077</v>
      </c>
      <c r="M3278" s="5">
        <v>13.1649949916411</v>
      </c>
      <c r="N3278" s="5">
        <v>13.1649949916411</v>
      </c>
      <c r="O3278" s="5">
        <v>13.1649949916411</v>
      </c>
      <c r="P3278" s="5">
        <v>0.0</v>
      </c>
      <c r="Q3278" s="5">
        <v>0.0</v>
      </c>
      <c r="R3278" s="5">
        <v>0.0</v>
      </c>
      <c r="S3278" s="5">
        <v>1439.56280499741</v>
      </c>
    </row>
    <row r="3279">
      <c r="A3279" s="6">
        <v>44966.0</v>
      </c>
      <c r="B3279" s="5">
        <v>1427.5616184</v>
      </c>
      <c r="C3279" s="5">
        <v>1374.03362025971</v>
      </c>
      <c r="D3279" s="5">
        <v>1508.09940893768</v>
      </c>
      <c r="E3279" s="5">
        <v>1406.92556402152</v>
      </c>
      <c r="F3279" s="5">
        <v>1449.46314651654</v>
      </c>
      <c r="G3279" s="5">
        <v>12.1004099798206</v>
      </c>
      <c r="H3279" s="5">
        <v>12.1004099798206</v>
      </c>
      <c r="I3279" s="5">
        <v>12.1004099798206</v>
      </c>
      <c r="J3279" s="5">
        <v>-0.776422525903364</v>
      </c>
      <c r="K3279" s="5">
        <v>-0.776422525903364</v>
      </c>
      <c r="L3279" s="5">
        <v>-0.776422525903364</v>
      </c>
      <c r="M3279" s="5">
        <v>12.876832505724</v>
      </c>
      <c r="N3279" s="5">
        <v>12.876832505724</v>
      </c>
      <c r="O3279" s="5">
        <v>12.876832505724</v>
      </c>
      <c r="P3279" s="5">
        <v>0.0</v>
      </c>
      <c r="Q3279" s="5">
        <v>0.0</v>
      </c>
      <c r="R3279" s="5">
        <v>0.0</v>
      </c>
      <c r="S3279" s="5">
        <v>1439.66202837982</v>
      </c>
    </row>
    <row r="3280">
      <c r="A3280" s="6">
        <v>44967.0</v>
      </c>
      <c r="B3280" s="5">
        <v>1428.73246459951</v>
      </c>
      <c r="C3280" s="5">
        <v>1371.57131456475</v>
      </c>
      <c r="D3280" s="5">
        <v>1508.83136975883</v>
      </c>
      <c r="E3280" s="5">
        <v>1407.96897917838</v>
      </c>
      <c r="F3280" s="5">
        <v>1450.81033106719</v>
      </c>
      <c r="G3280" s="5">
        <v>10.9414385337881</v>
      </c>
      <c r="H3280" s="5">
        <v>10.9414385337881</v>
      </c>
      <c r="I3280" s="5">
        <v>10.9414385337881</v>
      </c>
      <c r="J3280" s="5">
        <v>-1.59155056649277</v>
      </c>
      <c r="K3280" s="5">
        <v>-1.59155056649277</v>
      </c>
      <c r="L3280" s="5">
        <v>-1.59155056649277</v>
      </c>
      <c r="M3280" s="5">
        <v>12.5329891002809</v>
      </c>
      <c r="N3280" s="5">
        <v>12.5329891002809</v>
      </c>
      <c r="O3280" s="5">
        <v>12.5329891002809</v>
      </c>
      <c r="P3280" s="5">
        <v>0.0</v>
      </c>
      <c r="Q3280" s="5">
        <v>0.0</v>
      </c>
      <c r="R3280" s="5">
        <v>0.0</v>
      </c>
      <c r="S3280" s="5">
        <v>1439.6739031333</v>
      </c>
    </row>
    <row r="3281">
      <c r="A3281" s="6">
        <v>44968.0</v>
      </c>
      <c r="B3281" s="5">
        <v>1429.90331079902</v>
      </c>
      <c r="C3281" s="5">
        <v>1377.07305510996</v>
      </c>
      <c r="D3281" s="5">
        <v>1506.97675939951</v>
      </c>
      <c r="E3281" s="5">
        <v>1409.01239433525</v>
      </c>
      <c r="F3281" s="5">
        <v>1452.15751561784</v>
      </c>
      <c r="G3281" s="5">
        <v>13.3254404128149</v>
      </c>
      <c r="H3281" s="5">
        <v>13.3254404128149</v>
      </c>
      <c r="I3281" s="5">
        <v>13.3254404128149</v>
      </c>
      <c r="J3281" s="5">
        <v>1.20724640990657</v>
      </c>
      <c r="K3281" s="5">
        <v>1.20724640990657</v>
      </c>
      <c r="L3281" s="5">
        <v>1.20724640990657</v>
      </c>
      <c r="M3281" s="5">
        <v>12.1181940029084</v>
      </c>
      <c r="N3281" s="5">
        <v>12.1181940029084</v>
      </c>
      <c r="O3281" s="5">
        <v>12.1181940029084</v>
      </c>
      <c r="P3281" s="5">
        <v>0.0</v>
      </c>
      <c r="Q3281" s="5">
        <v>0.0</v>
      </c>
      <c r="R3281" s="5">
        <v>0.0</v>
      </c>
      <c r="S3281" s="5">
        <v>1443.22875121184</v>
      </c>
    </row>
    <row r="3282">
      <c r="A3282" s="6">
        <v>44969.0</v>
      </c>
      <c r="B3282" s="5">
        <v>1431.07415699854</v>
      </c>
      <c r="C3282" s="5">
        <v>1377.43880418357</v>
      </c>
      <c r="D3282" s="5">
        <v>1509.25895168802</v>
      </c>
      <c r="E3282" s="5">
        <v>1410.05580949211</v>
      </c>
      <c r="F3282" s="5">
        <v>1453.5047001685</v>
      </c>
      <c r="G3282" s="5">
        <v>12.8260264445812</v>
      </c>
      <c r="H3282" s="5">
        <v>12.8260264445812</v>
      </c>
      <c r="I3282" s="5">
        <v>12.8260264445812</v>
      </c>
      <c r="J3282" s="5">
        <v>1.20724879233074</v>
      </c>
      <c r="K3282" s="5">
        <v>1.20724879233074</v>
      </c>
      <c r="L3282" s="5">
        <v>1.20724879233074</v>
      </c>
      <c r="M3282" s="5">
        <v>11.6187776522505</v>
      </c>
      <c r="N3282" s="5">
        <v>11.6187776522505</v>
      </c>
      <c r="O3282" s="5">
        <v>11.6187776522505</v>
      </c>
      <c r="P3282" s="5">
        <v>0.0</v>
      </c>
      <c r="Q3282" s="5">
        <v>0.0</v>
      </c>
      <c r="R3282" s="5">
        <v>0.0</v>
      </c>
      <c r="S3282" s="5">
        <v>1443.90018344312</v>
      </c>
    </row>
    <row r="3283">
      <c r="A3283" s="6">
        <v>44970.0</v>
      </c>
      <c r="B3283" s="5">
        <v>1432.24500319805</v>
      </c>
      <c r="C3283" s="5">
        <v>1374.08001956787</v>
      </c>
      <c r="D3283" s="5">
        <v>1508.37524608591</v>
      </c>
      <c r="E3283" s="5">
        <v>1411.1085947704</v>
      </c>
      <c r="F3283" s="5">
        <v>1454.82428642532</v>
      </c>
      <c r="G3283" s="5">
        <v>11.1136415547567</v>
      </c>
      <c r="H3283" s="5">
        <v>11.1136415547567</v>
      </c>
      <c r="I3283" s="5">
        <v>11.1136415547567</v>
      </c>
      <c r="J3283" s="5">
        <v>0.0905589421199994</v>
      </c>
      <c r="K3283" s="5">
        <v>0.0905589421199994</v>
      </c>
      <c r="L3283" s="5">
        <v>0.0905589421199994</v>
      </c>
      <c r="M3283" s="5">
        <v>11.0230826126367</v>
      </c>
      <c r="N3283" s="5">
        <v>11.0230826126367</v>
      </c>
      <c r="O3283" s="5">
        <v>11.0230826126367</v>
      </c>
      <c r="P3283" s="5">
        <v>0.0</v>
      </c>
      <c r="Q3283" s="5">
        <v>0.0</v>
      </c>
      <c r="R3283" s="5">
        <v>0.0</v>
      </c>
      <c r="S3283" s="5">
        <v>1443.35864475281</v>
      </c>
    </row>
    <row r="3284">
      <c r="A3284" s="6">
        <v>44971.0</v>
      </c>
      <c r="B3284" s="5">
        <v>1433.41584939756</v>
      </c>
      <c r="C3284" s="5">
        <v>1374.43094772102</v>
      </c>
      <c r="D3284" s="5">
        <v>1506.57658396735</v>
      </c>
      <c r="E3284" s="5">
        <v>1412.16186748318</v>
      </c>
      <c r="F3284" s="5">
        <v>1456.06743790747</v>
      </c>
      <c r="G3284" s="5">
        <v>10.1777006339506</v>
      </c>
      <c r="H3284" s="5">
        <v>10.1777006339506</v>
      </c>
      <c r="I3284" s="5">
        <v>10.1777006339506</v>
      </c>
      <c r="J3284" s="5">
        <v>-0.144118857242659</v>
      </c>
      <c r="K3284" s="5">
        <v>-0.144118857242659</v>
      </c>
      <c r="L3284" s="5">
        <v>-0.144118857242659</v>
      </c>
      <c r="M3284" s="5">
        <v>10.3218194911933</v>
      </c>
      <c r="N3284" s="5">
        <v>10.3218194911933</v>
      </c>
      <c r="O3284" s="5">
        <v>10.3218194911933</v>
      </c>
      <c r="P3284" s="5">
        <v>0.0</v>
      </c>
      <c r="Q3284" s="5">
        <v>0.0</v>
      </c>
      <c r="R3284" s="5">
        <v>0.0</v>
      </c>
      <c r="S3284" s="5">
        <v>1443.59355003152</v>
      </c>
    </row>
    <row r="3285">
      <c r="A3285" s="6">
        <v>44972.0</v>
      </c>
      <c r="B3285" s="5">
        <v>1434.58669559708</v>
      </c>
      <c r="C3285" s="5">
        <v>1378.22423210446</v>
      </c>
      <c r="D3285" s="5">
        <v>1512.90232430438</v>
      </c>
      <c r="E3285" s="5">
        <v>1413.21514019597</v>
      </c>
      <c r="F3285" s="5">
        <v>1457.31346295044</v>
      </c>
      <c r="G3285" s="5">
        <v>9.51539628817104</v>
      </c>
      <c r="H3285" s="5">
        <v>9.51539628817104</v>
      </c>
      <c r="I3285" s="5">
        <v>9.51539628817104</v>
      </c>
      <c r="J3285" s="5">
        <v>0.00703780528068446</v>
      </c>
      <c r="K3285" s="5">
        <v>0.00703780528068446</v>
      </c>
      <c r="L3285" s="5">
        <v>0.00703780528068446</v>
      </c>
      <c r="M3285" s="5">
        <v>9.50835848289035</v>
      </c>
      <c r="N3285" s="5">
        <v>9.50835848289035</v>
      </c>
      <c r="O3285" s="5">
        <v>9.50835848289035</v>
      </c>
      <c r="P3285" s="5">
        <v>0.0</v>
      </c>
      <c r="Q3285" s="5">
        <v>0.0</v>
      </c>
      <c r="R3285" s="5">
        <v>0.0</v>
      </c>
      <c r="S3285" s="5">
        <v>1444.10209188525</v>
      </c>
    </row>
    <row r="3286">
      <c r="A3286" s="6">
        <v>44973.0</v>
      </c>
      <c r="B3286" s="5">
        <v>1435.75754179659</v>
      </c>
      <c r="C3286" s="5">
        <v>1379.81391398031</v>
      </c>
      <c r="D3286" s="5">
        <v>1513.97908281704</v>
      </c>
      <c r="E3286" s="5">
        <v>1414.26841290876</v>
      </c>
      <c r="F3286" s="5">
        <v>1458.56715179194</v>
      </c>
      <c r="G3286" s="5">
        <v>7.80252646403811</v>
      </c>
      <c r="H3286" s="5">
        <v>7.80252646403811</v>
      </c>
      <c r="I3286" s="5">
        <v>7.80252646403811</v>
      </c>
      <c r="J3286" s="5">
        <v>-0.776422525905461</v>
      </c>
      <c r="K3286" s="5">
        <v>-0.776422525905461</v>
      </c>
      <c r="L3286" s="5">
        <v>-0.776422525905461</v>
      </c>
      <c r="M3286" s="5">
        <v>8.57894898994357</v>
      </c>
      <c r="N3286" s="5">
        <v>8.57894898994357</v>
      </c>
      <c r="O3286" s="5">
        <v>8.57894898994357</v>
      </c>
      <c r="P3286" s="5">
        <v>0.0</v>
      </c>
      <c r="Q3286" s="5">
        <v>0.0</v>
      </c>
      <c r="R3286" s="5">
        <v>0.0</v>
      </c>
      <c r="S3286" s="5">
        <v>1443.56006826063</v>
      </c>
    </row>
    <row r="3287">
      <c r="A3287" s="6">
        <v>44974.0</v>
      </c>
      <c r="B3287" s="5">
        <v>1436.9283879961</v>
      </c>
      <c r="C3287" s="5">
        <v>1372.78557223851</v>
      </c>
      <c r="D3287" s="5">
        <v>1511.48095966644</v>
      </c>
      <c r="E3287" s="5">
        <v>1415.32168562154</v>
      </c>
      <c r="F3287" s="5">
        <v>1459.82084063343</v>
      </c>
      <c r="G3287" s="5">
        <v>5.94131121261196</v>
      </c>
      <c r="H3287" s="5">
        <v>5.94131121261196</v>
      </c>
      <c r="I3287" s="5">
        <v>5.94131121261196</v>
      </c>
      <c r="J3287" s="5">
        <v>-1.59155056649185</v>
      </c>
      <c r="K3287" s="5">
        <v>-1.59155056649185</v>
      </c>
      <c r="L3287" s="5">
        <v>-1.59155056649185</v>
      </c>
      <c r="M3287" s="5">
        <v>7.53286177910381</v>
      </c>
      <c r="N3287" s="5">
        <v>7.53286177910381</v>
      </c>
      <c r="O3287" s="5">
        <v>7.53286177910381</v>
      </c>
      <c r="P3287" s="5">
        <v>0.0</v>
      </c>
      <c r="Q3287" s="5">
        <v>0.0</v>
      </c>
      <c r="R3287" s="5">
        <v>0.0</v>
      </c>
      <c r="S3287" s="5">
        <v>1442.86969920872</v>
      </c>
    </row>
    <row r="3288">
      <c r="A3288" s="6">
        <v>44975.0</v>
      </c>
      <c r="B3288" s="5">
        <v>1438.09923419562</v>
      </c>
      <c r="C3288" s="5">
        <v>1379.65541470762</v>
      </c>
      <c r="D3288" s="5">
        <v>1515.10054421158</v>
      </c>
      <c r="E3288" s="5">
        <v>1416.37495833433</v>
      </c>
      <c r="F3288" s="5">
        <v>1461.07452947493</v>
      </c>
      <c r="G3288" s="5">
        <v>7.57969670603744</v>
      </c>
      <c r="H3288" s="5">
        <v>7.57969670603744</v>
      </c>
      <c r="I3288" s="5">
        <v>7.57969670603744</v>
      </c>
      <c r="J3288" s="5">
        <v>1.20724640990869</v>
      </c>
      <c r="K3288" s="5">
        <v>1.20724640990869</v>
      </c>
      <c r="L3288" s="5">
        <v>1.20724640990869</v>
      </c>
      <c r="M3288" s="5">
        <v>6.37245029612874</v>
      </c>
      <c r="N3288" s="5">
        <v>6.37245029612874</v>
      </c>
      <c r="O3288" s="5">
        <v>6.37245029612874</v>
      </c>
      <c r="P3288" s="5">
        <v>0.0</v>
      </c>
      <c r="Q3288" s="5">
        <v>0.0</v>
      </c>
      <c r="R3288" s="5">
        <v>0.0</v>
      </c>
      <c r="S3288" s="5">
        <v>1445.67893090165</v>
      </c>
    </row>
    <row r="3289">
      <c r="A3289" s="6">
        <v>44976.0</v>
      </c>
      <c r="B3289" s="5">
        <v>1439.27008039513</v>
      </c>
      <c r="C3289" s="5">
        <v>1382.38290252436</v>
      </c>
      <c r="D3289" s="5">
        <v>1517.78758114615</v>
      </c>
      <c r="E3289" s="5">
        <v>1417.43605364303</v>
      </c>
      <c r="F3289" s="5">
        <v>1462.45756666374</v>
      </c>
      <c r="G3289" s="5">
        <v>6.31037878217556</v>
      </c>
      <c r="H3289" s="5">
        <v>6.31037878217556</v>
      </c>
      <c r="I3289" s="5">
        <v>6.31037878217556</v>
      </c>
      <c r="J3289" s="5">
        <v>1.20724879232866</v>
      </c>
      <c r="K3289" s="5">
        <v>1.20724879232866</v>
      </c>
      <c r="L3289" s="5">
        <v>1.20724879232866</v>
      </c>
      <c r="M3289" s="5">
        <v>5.10312998984689</v>
      </c>
      <c r="N3289" s="5">
        <v>5.10312998984689</v>
      </c>
      <c r="O3289" s="5">
        <v>5.10312998984689</v>
      </c>
      <c r="P3289" s="5">
        <v>0.0</v>
      </c>
      <c r="Q3289" s="5">
        <v>0.0</v>
      </c>
      <c r="R3289" s="5">
        <v>0.0</v>
      </c>
      <c r="S3289" s="5">
        <v>1445.58045917731</v>
      </c>
    </row>
    <row r="3290">
      <c r="A3290" s="6">
        <v>44977.0</v>
      </c>
      <c r="B3290" s="5">
        <v>1440.44092659464</v>
      </c>
      <c r="C3290" s="5">
        <v>1375.61320179914</v>
      </c>
      <c r="D3290" s="5">
        <v>1512.66833624932</v>
      </c>
      <c r="E3290" s="5">
        <v>1418.51542337593</v>
      </c>
      <c r="F3290" s="5">
        <v>1463.97018439568</v>
      </c>
      <c r="G3290" s="5">
        <v>3.82383568793547</v>
      </c>
      <c r="H3290" s="5">
        <v>3.82383568793547</v>
      </c>
      <c r="I3290" s="5">
        <v>3.82383568793547</v>
      </c>
      <c r="J3290" s="5">
        <v>0.0905589421185618</v>
      </c>
      <c r="K3290" s="5">
        <v>0.0905589421185618</v>
      </c>
      <c r="L3290" s="5">
        <v>0.0905589421185618</v>
      </c>
      <c r="M3290" s="5">
        <v>3.73327674581691</v>
      </c>
      <c r="N3290" s="5">
        <v>3.73327674581691</v>
      </c>
      <c r="O3290" s="5">
        <v>3.73327674581691</v>
      </c>
      <c r="P3290" s="5">
        <v>0.0</v>
      </c>
      <c r="Q3290" s="5">
        <v>0.0</v>
      </c>
      <c r="R3290" s="5">
        <v>0.0</v>
      </c>
      <c r="S3290" s="5">
        <v>1444.26476228258</v>
      </c>
    </row>
    <row r="3291">
      <c r="A3291" s="6">
        <v>44978.0</v>
      </c>
      <c r="B3291" s="5">
        <v>1441.61177279416</v>
      </c>
      <c r="C3291" s="5">
        <v>1380.50104216665</v>
      </c>
      <c r="D3291" s="5">
        <v>1507.82703825612</v>
      </c>
      <c r="E3291" s="5">
        <v>1419.59631342428</v>
      </c>
      <c r="F3291" s="5">
        <v>1465.3142728463</v>
      </c>
      <c r="G3291" s="5">
        <v>2.12992887120057</v>
      </c>
      <c r="H3291" s="5">
        <v>2.12992887120057</v>
      </c>
      <c r="I3291" s="5">
        <v>2.12992887120057</v>
      </c>
      <c r="J3291" s="5">
        <v>-0.144118857244094</v>
      </c>
      <c r="K3291" s="5">
        <v>-0.144118857244094</v>
      </c>
      <c r="L3291" s="5">
        <v>-0.144118857244094</v>
      </c>
      <c r="M3291" s="5">
        <v>2.27404772844466</v>
      </c>
      <c r="N3291" s="5">
        <v>2.27404772844466</v>
      </c>
      <c r="O3291" s="5">
        <v>2.27404772844466</v>
      </c>
      <c r="P3291" s="5">
        <v>0.0</v>
      </c>
      <c r="Q3291" s="5">
        <v>0.0</v>
      </c>
      <c r="R3291" s="5">
        <v>0.0</v>
      </c>
      <c r="S3291" s="5">
        <v>1443.74170166536</v>
      </c>
    </row>
    <row r="3292">
      <c r="A3292" s="6">
        <v>44979.0</v>
      </c>
      <c r="B3292" s="5">
        <v>1442.78261899367</v>
      </c>
      <c r="C3292" s="5">
        <v>1375.41803611639</v>
      </c>
      <c r="D3292" s="5">
        <v>1514.98020082948</v>
      </c>
      <c r="E3292" s="5">
        <v>1420.67827538072</v>
      </c>
      <c r="F3292" s="5">
        <v>1466.63539290526</v>
      </c>
      <c r="G3292" s="5">
        <v>0.746167824860125</v>
      </c>
      <c r="H3292" s="5">
        <v>0.746167824860125</v>
      </c>
      <c r="I3292" s="5">
        <v>0.746167824860125</v>
      </c>
      <c r="J3292" s="5">
        <v>0.00703780528199566</v>
      </c>
      <c r="K3292" s="5">
        <v>0.00703780528199566</v>
      </c>
      <c r="L3292" s="5">
        <v>0.00703780528199566</v>
      </c>
      <c r="M3292" s="5">
        <v>0.739130019578129</v>
      </c>
      <c r="N3292" s="5">
        <v>0.739130019578129</v>
      </c>
      <c r="O3292" s="5">
        <v>0.739130019578129</v>
      </c>
      <c r="P3292" s="5">
        <v>0.0</v>
      </c>
      <c r="Q3292" s="5">
        <v>0.0</v>
      </c>
      <c r="R3292" s="5">
        <v>0.0</v>
      </c>
      <c r="S3292" s="5">
        <v>1443.52878681853</v>
      </c>
    </row>
    <row r="3293">
      <c r="A3293" s="6">
        <v>44980.0</v>
      </c>
      <c r="B3293" s="5">
        <v>1443.95346519318</v>
      </c>
      <c r="C3293" s="5">
        <v>1376.01540539551</v>
      </c>
      <c r="D3293" s="5">
        <v>1510.72966609124</v>
      </c>
      <c r="E3293" s="5">
        <v>1421.76023733715</v>
      </c>
      <c r="F3293" s="5">
        <v>1467.95618313751</v>
      </c>
      <c r="G3293" s="5">
        <v>-1.63199816267746</v>
      </c>
      <c r="H3293" s="5">
        <v>-1.63199816267746</v>
      </c>
      <c r="I3293" s="5">
        <v>-1.63199816267746</v>
      </c>
      <c r="J3293" s="5">
        <v>-0.776422525900483</v>
      </c>
      <c r="K3293" s="5">
        <v>-0.776422525900483</v>
      </c>
      <c r="L3293" s="5">
        <v>-0.776422525900483</v>
      </c>
      <c r="M3293" s="5">
        <v>-0.855575636776977</v>
      </c>
      <c r="N3293" s="5">
        <v>-0.855575636776977</v>
      </c>
      <c r="O3293" s="5">
        <v>-0.855575636776977</v>
      </c>
      <c r="P3293" s="5">
        <v>0.0</v>
      </c>
      <c r="Q3293" s="5">
        <v>0.0</v>
      </c>
      <c r="R3293" s="5">
        <v>0.0</v>
      </c>
      <c r="S3293" s="5">
        <v>1442.32146703051</v>
      </c>
    </row>
    <row r="3294">
      <c r="A3294" s="6">
        <v>44981.0</v>
      </c>
      <c r="B3294" s="5">
        <v>1445.1243113927</v>
      </c>
      <c r="C3294" s="5">
        <v>1372.78355372245</v>
      </c>
      <c r="D3294" s="5">
        <v>1511.60759268669</v>
      </c>
      <c r="E3294" s="5">
        <v>1422.84219929358</v>
      </c>
      <c r="F3294" s="5">
        <v>1469.26512916835</v>
      </c>
      <c r="G3294" s="5">
        <v>-4.08387753911113</v>
      </c>
      <c r="H3294" s="5">
        <v>-4.08387753911113</v>
      </c>
      <c r="I3294" s="5">
        <v>-4.08387753911113</v>
      </c>
      <c r="J3294" s="5">
        <v>-1.59155056649641</v>
      </c>
      <c r="K3294" s="5">
        <v>-1.59155056649641</v>
      </c>
      <c r="L3294" s="5">
        <v>-1.59155056649641</v>
      </c>
      <c r="M3294" s="5">
        <v>-2.49232697261471</v>
      </c>
      <c r="N3294" s="5">
        <v>-2.49232697261471</v>
      </c>
      <c r="O3294" s="5">
        <v>-2.49232697261471</v>
      </c>
      <c r="P3294" s="5">
        <v>0.0</v>
      </c>
      <c r="Q3294" s="5">
        <v>0.0</v>
      </c>
      <c r="R3294" s="5">
        <v>0.0</v>
      </c>
      <c r="S3294" s="5">
        <v>1441.04043385359</v>
      </c>
    </row>
    <row r="3295">
      <c r="A3295" s="6">
        <v>44982.0</v>
      </c>
      <c r="B3295" s="5">
        <v>1446.29515759221</v>
      </c>
      <c r="C3295" s="5">
        <v>1371.052235297</v>
      </c>
      <c r="D3295" s="5">
        <v>1512.55697077511</v>
      </c>
      <c r="E3295" s="5">
        <v>1423.92416125002</v>
      </c>
      <c r="F3295" s="5">
        <v>1470.50409249485</v>
      </c>
      <c r="G3295" s="5">
        <v>-2.94471136047949</v>
      </c>
      <c r="H3295" s="5">
        <v>-2.94471136047949</v>
      </c>
      <c r="I3295" s="5">
        <v>-2.94471136047949</v>
      </c>
      <c r="J3295" s="5">
        <v>1.20724640990919</v>
      </c>
      <c r="K3295" s="5">
        <v>1.20724640990919</v>
      </c>
      <c r="L3295" s="5">
        <v>1.20724640990919</v>
      </c>
      <c r="M3295" s="5">
        <v>-4.15195777038868</v>
      </c>
      <c r="N3295" s="5">
        <v>-4.15195777038868</v>
      </c>
      <c r="O3295" s="5">
        <v>-4.15195777038868</v>
      </c>
      <c r="P3295" s="5">
        <v>0.0</v>
      </c>
      <c r="Q3295" s="5">
        <v>0.0</v>
      </c>
      <c r="R3295" s="5">
        <v>0.0</v>
      </c>
      <c r="S3295" s="5">
        <v>1443.35044623173</v>
      </c>
    </row>
    <row r="3296">
      <c r="A3296" s="6">
        <v>44983.0</v>
      </c>
      <c r="B3296" s="5">
        <v>1447.46600379172</v>
      </c>
      <c r="C3296" s="5">
        <v>1379.08954798062</v>
      </c>
      <c r="D3296" s="5">
        <v>1508.14133327418</v>
      </c>
      <c r="E3296" s="5">
        <v>1425.00612320645</v>
      </c>
      <c r="F3296" s="5">
        <v>1471.73979353916</v>
      </c>
      <c r="G3296" s="5">
        <v>-4.60708050371077</v>
      </c>
      <c r="H3296" s="5">
        <v>-4.60708050371077</v>
      </c>
      <c r="I3296" s="5">
        <v>-4.60708050371077</v>
      </c>
      <c r="J3296" s="5">
        <v>1.20724879233012</v>
      </c>
      <c r="K3296" s="5">
        <v>1.20724879233012</v>
      </c>
      <c r="L3296" s="5">
        <v>1.20724879233012</v>
      </c>
      <c r="M3296" s="5">
        <v>-5.8143292960409</v>
      </c>
      <c r="N3296" s="5">
        <v>-5.8143292960409</v>
      </c>
      <c r="O3296" s="5">
        <v>-5.8143292960409</v>
      </c>
      <c r="P3296" s="5">
        <v>0.0</v>
      </c>
      <c r="Q3296" s="5">
        <v>0.0</v>
      </c>
      <c r="R3296" s="5">
        <v>0.0</v>
      </c>
      <c r="S3296" s="5">
        <v>1442.85892328801</v>
      </c>
    </row>
    <row r="3297">
      <c r="A3297" s="6">
        <v>44984.0</v>
      </c>
      <c r="B3297" s="5">
        <v>1448.63684999124</v>
      </c>
      <c r="C3297" s="5">
        <v>1371.44851454049</v>
      </c>
      <c r="D3297" s="5">
        <v>1508.89434160695</v>
      </c>
      <c r="E3297" s="5">
        <v>1426.08888513747</v>
      </c>
      <c r="F3297" s="5">
        <v>1472.97549458346</v>
      </c>
      <c r="G3297" s="5">
        <v>-7.36824427280529</v>
      </c>
      <c r="H3297" s="5">
        <v>-7.36824427280529</v>
      </c>
      <c r="I3297" s="5">
        <v>-7.36824427280529</v>
      </c>
      <c r="J3297" s="5">
        <v>0.0905589421195083</v>
      </c>
      <c r="K3297" s="5">
        <v>0.0905589421195083</v>
      </c>
      <c r="L3297" s="5">
        <v>0.0905589421195083</v>
      </c>
      <c r="M3297" s="5">
        <v>-7.45880321492479</v>
      </c>
      <c r="N3297" s="5">
        <v>-7.45880321492479</v>
      </c>
      <c r="O3297" s="5">
        <v>-7.45880321492479</v>
      </c>
      <c r="P3297" s="5">
        <v>0.0</v>
      </c>
      <c r="Q3297" s="5">
        <v>0.0</v>
      </c>
      <c r="R3297" s="5">
        <v>0.0</v>
      </c>
      <c r="S3297" s="5">
        <v>1441.26860571843</v>
      </c>
    </row>
    <row r="3298">
      <c r="A3298" s="6">
        <v>44985.0</v>
      </c>
      <c r="B3298" s="5">
        <v>1449.80769619075</v>
      </c>
      <c r="C3298" s="5">
        <v>1373.82603638475</v>
      </c>
      <c r="D3298" s="5">
        <v>1505.68933198882</v>
      </c>
      <c r="E3298" s="5">
        <v>1427.11474725748</v>
      </c>
      <c r="F3298" s="5">
        <v>1474.21119562777</v>
      </c>
      <c r="G3298" s="5">
        <v>-9.20884202692761</v>
      </c>
      <c r="H3298" s="5">
        <v>-9.20884202692761</v>
      </c>
      <c r="I3298" s="5">
        <v>-9.20884202692761</v>
      </c>
      <c r="J3298" s="5">
        <v>-0.144118857245835</v>
      </c>
      <c r="K3298" s="5">
        <v>-0.144118857245835</v>
      </c>
      <c r="L3298" s="5">
        <v>-0.144118857245835</v>
      </c>
      <c r="M3298" s="5">
        <v>-9.06472316968178</v>
      </c>
      <c r="N3298" s="5">
        <v>-9.06472316968178</v>
      </c>
      <c r="O3298" s="5">
        <v>-9.06472316968178</v>
      </c>
      <c r="P3298" s="5">
        <v>0.0</v>
      </c>
      <c r="Q3298" s="5">
        <v>0.0</v>
      </c>
      <c r="R3298" s="5">
        <v>0.0</v>
      </c>
      <c r="S3298" s="5">
        <v>1440.59885416382</v>
      </c>
    </row>
    <row r="3299">
      <c r="A3299" s="6">
        <v>44986.0</v>
      </c>
      <c r="B3299" s="5">
        <v>1450.97854239026</v>
      </c>
      <c r="C3299" s="5">
        <v>1375.89536675699</v>
      </c>
      <c r="D3299" s="5">
        <v>1511.53817769821</v>
      </c>
      <c r="E3299" s="5">
        <v>1428.21144293104</v>
      </c>
      <c r="F3299" s="5">
        <v>1475.44689667207</v>
      </c>
      <c r="G3299" s="5">
        <v>-10.6048543109443</v>
      </c>
      <c r="H3299" s="5">
        <v>-10.6048543109443</v>
      </c>
      <c r="I3299" s="5">
        <v>-10.6048543109443</v>
      </c>
      <c r="J3299" s="5">
        <v>0.00703780528330676</v>
      </c>
      <c r="K3299" s="5">
        <v>0.00703780528330676</v>
      </c>
      <c r="L3299" s="5">
        <v>0.00703780528330676</v>
      </c>
      <c r="M3299" s="5">
        <v>-10.6118921162276</v>
      </c>
      <c r="N3299" s="5">
        <v>-10.6118921162276</v>
      </c>
      <c r="O3299" s="5">
        <v>-10.6118921162276</v>
      </c>
      <c r="P3299" s="5">
        <v>0.0</v>
      </c>
      <c r="Q3299" s="5">
        <v>0.0</v>
      </c>
      <c r="R3299" s="5">
        <v>0.0</v>
      </c>
      <c r="S3299" s="5">
        <v>1440.37368807932</v>
      </c>
    </row>
    <row r="3300">
      <c r="A3300" s="6">
        <v>44987.0</v>
      </c>
      <c r="B3300" s="5">
        <v>1452.14938858978</v>
      </c>
      <c r="C3300" s="5">
        <v>1370.24432461797</v>
      </c>
      <c r="D3300" s="5">
        <v>1506.10654915892</v>
      </c>
      <c r="E3300" s="5">
        <v>1429.31452727517</v>
      </c>
      <c r="F3300" s="5">
        <v>1476.68259771637</v>
      </c>
      <c r="G3300" s="5">
        <v>-12.8574553176972</v>
      </c>
      <c r="H3300" s="5">
        <v>-12.8574553176972</v>
      </c>
      <c r="I3300" s="5">
        <v>-12.8574553176972</v>
      </c>
      <c r="J3300" s="5">
        <v>-0.77642252590258</v>
      </c>
      <c r="K3300" s="5">
        <v>-0.77642252590258</v>
      </c>
      <c r="L3300" s="5">
        <v>-0.77642252590258</v>
      </c>
      <c r="M3300" s="5">
        <v>-12.0810327917946</v>
      </c>
      <c r="N3300" s="5">
        <v>-12.0810327917946</v>
      </c>
      <c r="O3300" s="5">
        <v>-12.0810327917946</v>
      </c>
      <c r="P3300" s="5">
        <v>0.0</v>
      </c>
      <c r="Q3300" s="5">
        <v>0.0</v>
      </c>
      <c r="R3300" s="5">
        <v>0.0</v>
      </c>
      <c r="S3300" s="5">
        <v>1439.29193327208</v>
      </c>
    </row>
    <row r="3301">
      <c r="A3301" s="6">
        <v>44988.0</v>
      </c>
      <c r="B3301" s="5">
        <v>1453.32023478929</v>
      </c>
      <c r="C3301" s="5">
        <v>1368.92237330758</v>
      </c>
      <c r="D3301" s="5">
        <v>1505.74991606118</v>
      </c>
      <c r="E3301" s="5">
        <v>1430.41593298863</v>
      </c>
      <c r="F3301" s="5">
        <v>1477.91829876068</v>
      </c>
      <c r="G3301" s="5">
        <v>-15.0457698831768</v>
      </c>
      <c r="H3301" s="5">
        <v>-15.0457698831768</v>
      </c>
      <c r="I3301" s="5">
        <v>-15.0457698831768</v>
      </c>
      <c r="J3301" s="5">
        <v>-1.59155056649549</v>
      </c>
      <c r="K3301" s="5">
        <v>-1.59155056649549</v>
      </c>
      <c r="L3301" s="5">
        <v>-1.59155056649549</v>
      </c>
      <c r="M3301" s="5">
        <v>-13.4542193166813</v>
      </c>
      <c r="N3301" s="5">
        <v>-13.4542193166813</v>
      </c>
      <c r="O3301" s="5">
        <v>-13.4542193166813</v>
      </c>
      <c r="P3301" s="5">
        <v>0.0</v>
      </c>
      <c r="Q3301" s="5">
        <v>0.0</v>
      </c>
      <c r="R3301" s="5">
        <v>0.0</v>
      </c>
      <c r="S3301" s="5">
        <v>1438.27446490611</v>
      </c>
    </row>
    <row r="3302">
      <c r="A3302" s="6">
        <v>44989.0</v>
      </c>
      <c r="B3302" s="5">
        <v>1454.4910809888</v>
      </c>
      <c r="C3302" s="5">
        <v>1371.91084223491</v>
      </c>
      <c r="D3302" s="5">
        <v>1509.52638500948</v>
      </c>
      <c r="E3302" s="5">
        <v>1431.48761947029</v>
      </c>
      <c r="F3302" s="5">
        <v>1479.15399980498</v>
      </c>
      <c r="G3302" s="5">
        <v>-13.5080224772982</v>
      </c>
      <c r="H3302" s="5">
        <v>-13.5080224772982</v>
      </c>
      <c r="I3302" s="5">
        <v>-13.5080224772982</v>
      </c>
      <c r="J3302" s="5">
        <v>1.20724640991131</v>
      </c>
      <c r="K3302" s="5">
        <v>1.20724640991131</v>
      </c>
      <c r="L3302" s="5">
        <v>1.20724640991131</v>
      </c>
      <c r="M3302" s="5">
        <v>-14.7152688872095</v>
      </c>
      <c r="N3302" s="5">
        <v>-14.7152688872095</v>
      </c>
      <c r="O3302" s="5">
        <v>-14.7152688872095</v>
      </c>
      <c r="P3302" s="5">
        <v>0.0</v>
      </c>
      <c r="Q3302" s="5">
        <v>0.0</v>
      </c>
      <c r="R3302" s="5">
        <v>0.0</v>
      </c>
      <c r="S3302" s="5">
        <v>1440.9830585115</v>
      </c>
    </row>
    <row r="3303">
      <c r="A3303" s="6">
        <v>44990.0</v>
      </c>
      <c r="B3303" s="5">
        <v>1455.66192718832</v>
      </c>
      <c r="C3303" s="5">
        <v>1374.6284041731</v>
      </c>
      <c r="D3303" s="5">
        <v>1509.39221637309</v>
      </c>
      <c r="E3303" s="5">
        <v>1432.4508455827</v>
      </c>
      <c r="F3303" s="5">
        <v>1480.38970084929</v>
      </c>
      <c r="G3303" s="5">
        <v>-14.6428349789519</v>
      </c>
      <c r="H3303" s="5">
        <v>-14.6428349789519</v>
      </c>
      <c r="I3303" s="5">
        <v>-14.6428349789519</v>
      </c>
      <c r="J3303" s="5">
        <v>1.20724879232804</v>
      </c>
      <c r="K3303" s="5">
        <v>1.20724879232804</v>
      </c>
      <c r="L3303" s="5">
        <v>1.20724879232804</v>
      </c>
      <c r="M3303" s="5">
        <v>-15.8500837712799</v>
      </c>
      <c r="N3303" s="5">
        <v>-15.8500837712799</v>
      </c>
      <c r="O3303" s="5">
        <v>-15.8500837712799</v>
      </c>
      <c r="P3303" s="5">
        <v>0.0</v>
      </c>
      <c r="Q3303" s="5">
        <v>0.0</v>
      </c>
      <c r="R3303" s="5">
        <v>0.0</v>
      </c>
      <c r="S3303" s="5">
        <v>1441.01909220936</v>
      </c>
    </row>
    <row r="3304">
      <c r="A3304" s="6">
        <v>44991.0</v>
      </c>
      <c r="B3304" s="5">
        <v>1456.83277338783</v>
      </c>
      <c r="C3304" s="5">
        <v>1370.76415698292</v>
      </c>
      <c r="D3304" s="5">
        <v>1511.19979526349</v>
      </c>
      <c r="E3304" s="5">
        <v>1433.51174360224</v>
      </c>
      <c r="F3304" s="5">
        <v>1481.62540189359</v>
      </c>
      <c r="G3304" s="5">
        <v>-16.7563763889647</v>
      </c>
      <c r="H3304" s="5">
        <v>-16.7563763889647</v>
      </c>
      <c r="I3304" s="5">
        <v>-16.7563763889647</v>
      </c>
      <c r="J3304" s="5">
        <v>0.0905589421229988</v>
      </c>
      <c r="K3304" s="5">
        <v>0.0905589421229988</v>
      </c>
      <c r="L3304" s="5">
        <v>0.0905589421229988</v>
      </c>
      <c r="M3304" s="5">
        <v>-16.8469353310877</v>
      </c>
      <c r="N3304" s="5">
        <v>-16.8469353310877</v>
      </c>
      <c r="O3304" s="5">
        <v>-16.8469353310877</v>
      </c>
      <c r="P3304" s="5">
        <v>0.0</v>
      </c>
      <c r="Q3304" s="5">
        <v>0.0</v>
      </c>
      <c r="R3304" s="5">
        <v>0.0</v>
      </c>
      <c r="S3304" s="5">
        <v>1440.07639699886</v>
      </c>
    </row>
    <row r="3305">
      <c r="A3305" s="6">
        <v>44992.0</v>
      </c>
      <c r="B3305" s="5">
        <v>1458.00361958734</v>
      </c>
      <c r="C3305" s="5">
        <v>1370.85516927725</v>
      </c>
      <c r="D3305" s="5">
        <v>1508.87927731714</v>
      </c>
      <c r="E3305" s="5">
        <v>1434.56331318465</v>
      </c>
      <c r="F3305" s="5">
        <v>1482.8611029379</v>
      </c>
      <c r="G3305" s="5">
        <v>-17.8408023811288</v>
      </c>
      <c r="H3305" s="5">
        <v>-17.8408023811288</v>
      </c>
      <c r="I3305" s="5">
        <v>-17.8408023811288</v>
      </c>
      <c r="J3305" s="5">
        <v>-0.14411885724727</v>
      </c>
      <c r="K3305" s="5">
        <v>-0.14411885724727</v>
      </c>
      <c r="L3305" s="5">
        <v>-0.14411885724727</v>
      </c>
      <c r="M3305" s="5">
        <v>-17.6966835238815</v>
      </c>
      <c r="N3305" s="5">
        <v>-17.6966835238815</v>
      </c>
      <c r="O3305" s="5">
        <v>-17.6966835238815</v>
      </c>
      <c r="P3305" s="5">
        <v>0.0</v>
      </c>
      <c r="Q3305" s="5">
        <v>0.0</v>
      </c>
      <c r="R3305" s="5">
        <v>0.0</v>
      </c>
      <c r="S3305" s="5">
        <v>1440.16281720621</v>
      </c>
    </row>
    <row r="3306">
      <c r="A3306" s="6">
        <v>44993.0</v>
      </c>
      <c r="B3306" s="5">
        <v>1459.17446578686</v>
      </c>
      <c r="C3306" s="5">
        <v>1369.10906441989</v>
      </c>
      <c r="D3306" s="5">
        <v>1512.99267971155</v>
      </c>
      <c r="E3306" s="5">
        <v>1435.27000000977</v>
      </c>
      <c r="F3306" s="5">
        <v>1484.0968039822</v>
      </c>
      <c r="G3306" s="5">
        <v>-18.3858894148967</v>
      </c>
      <c r="H3306" s="5">
        <v>-18.3858894148967</v>
      </c>
      <c r="I3306" s="5">
        <v>-18.3858894148967</v>
      </c>
      <c r="J3306" s="5">
        <v>0.00703780528029069</v>
      </c>
      <c r="K3306" s="5">
        <v>0.00703780528029069</v>
      </c>
      <c r="L3306" s="5">
        <v>0.00703780528029069</v>
      </c>
      <c r="M3306" s="5">
        <v>-18.392927220177</v>
      </c>
      <c r="N3306" s="5">
        <v>-18.392927220177</v>
      </c>
      <c r="O3306" s="5">
        <v>-18.392927220177</v>
      </c>
      <c r="P3306" s="5">
        <v>0.0</v>
      </c>
      <c r="Q3306" s="5">
        <v>0.0</v>
      </c>
      <c r="R3306" s="5">
        <v>0.0</v>
      </c>
      <c r="S3306" s="5">
        <v>1440.78857637196</v>
      </c>
    </row>
    <row r="3307">
      <c r="A3307" s="6">
        <v>44994.0</v>
      </c>
      <c r="B3307" s="5">
        <v>1460.34531198637</v>
      </c>
      <c r="C3307" s="5">
        <v>1376.15584359635</v>
      </c>
      <c r="D3307" s="5">
        <v>1511.50845558283</v>
      </c>
      <c r="E3307" s="5">
        <v>1436.35191721061</v>
      </c>
      <c r="F3307" s="5">
        <v>1485.33250502651</v>
      </c>
      <c r="G3307" s="5">
        <v>-19.7085051992132</v>
      </c>
      <c r="H3307" s="5">
        <v>-19.7085051992132</v>
      </c>
      <c r="I3307" s="5">
        <v>-19.7085051992132</v>
      </c>
      <c r="J3307" s="5">
        <v>-0.776422525901927</v>
      </c>
      <c r="K3307" s="5">
        <v>-0.776422525901927</v>
      </c>
      <c r="L3307" s="5">
        <v>-0.776422525901927</v>
      </c>
      <c r="M3307" s="5">
        <v>-18.9320826733113</v>
      </c>
      <c r="N3307" s="5">
        <v>-18.9320826733113</v>
      </c>
      <c r="O3307" s="5">
        <v>-18.9320826733113</v>
      </c>
      <c r="P3307" s="5">
        <v>0.0</v>
      </c>
      <c r="Q3307" s="5">
        <v>0.0</v>
      </c>
      <c r="R3307" s="5">
        <v>0.0</v>
      </c>
      <c r="S3307" s="5">
        <v>1440.63680678716</v>
      </c>
    </row>
    <row r="3308">
      <c r="A3308" s="6">
        <v>44995.0</v>
      </c>
      <c r="B3308" s="5">
        <v>1461.51615818588</v>
      </c>
      <c r="C3308" s="5">
        <v>1374.07213699353</v>
      </c>
      <c r="D3308" s="5">
        <v>1510.21826482812</v>
      </c>
      <c r="E3308" s="5">
        <v>1437.4932997114</v>
      </c>
      <c r="F3308" s="5">
        <v>1486.56820607081</v>
      </c>
      <c r="G3308" s="5">
        <v>-20.9049400833023</v>
      </c>
      <c r="H3308" s="5">
        <v>-20.9049400833023</v>
      </c>
      <c r="I3308" s="5">
        <v>-20.9049400833023</v>
      </c>
      <c r="J3308" s="5">
        <v>-1.59155056649456</v>
      </c>
      <c r="K3308" s="5">
        <v>-1.59155056649456</v>
      </c>
      <c r="L3308" s="5">
        <v>-1.59155056649456</v>
      </c>
      <c r="M3308" s="5">
        <v>-19.3133895168077</v>
      </c>
      <c r="N3308" s="5">
        <v>-19.3133895168077</v>
      </c>
      <c r="O3308" s="5">
        <v>-19.3133895168077</v>
      </c>
      <c r="P3308" s="5">
        <v>0.0</v>
      </c>
      <c r="Q3308" s="5">
        <v>0.0</v>
      </c>
      <c r="R3308" s="5">
        <v>0.0</v>
      </c>
      <c r="S3308" s="5">
        <v>1440.61121810258</v>
      </c>
    </row>
    <row r="3309">
      <c r="A3309" s="6">
        <v>44996.0</v>
      </c>
      <c r="B3309" s="5">
        <v>1462.6870043854</v>
      </c>
      <c r="C3309" s="5">
        <v>1381.91755029353</v>
      </c>
      <c r="D3309" s="5">
        <v>1511.83110817216</v>
      </c>
      <c r="E3309" s="5">
        <v>1438.63468221219</v>
      </c>
      <c r="F3309" s="5">
        <v>1487.80390711511</v>
      </c>
      <c r="G3309" s="5">
        <v>-18.33159928749</v>
      </c>
      <c r="H3309" s="5">
        <v>-18.33159928749</v>
      </c>
      <c r="I3309" s="5">
        <v>-18.33159928749</v>
      </c>
      <c r="J3309" s="5">
        <v>1.2072464099044</v>
      </c>
      <c r="K3309" s="5">
        <v>1.2072464099044</v>
      </c>
      <c r="L3309" s="5">
        <v>1.2072464099044</v>
      </c>
      <c r="M3309" s="5">
        <v>-19.5388456973944</v>
      </c>
      <c r="N3309" s="5">
        <v>-19.5388456973944</v>
      </c>
      <c r="O3309" s="5">
        <v>-19.5388456973944</v>
      </c>
      <c r="P3309" s="5">
        <v>0.0</v>
      </c>
      <c r="Q3309" s="5">
        <v>0.0</v>
      </c>
      <c r="R3309" s="5">
        <v>0.0</v>
      </c>
      <c r="S3309" s="5">
        <v>1444.35540509791</v>
      </c>
    </row>
    <row r="3310">
      <c r="A3310" s="6">
        <v>44997.0</v>
      </c>
      <c r="B3310" s="5">
        <v>1463.85785058491</v>
      </c>
      <c r="C3310" s="5">
        <v>1375.32005666931</v>
      </c>
      <c r="D3310" s="5">
        <v>1517.35020142028</v>
      </c>
      <c r="E3310" s="5">
        <v>1439.77606471298</v>
      </c>
      <c r="F3310" s="5">
        <v>1489.03960815942</v>
      </c>
      <c r="G3310" s="5">
        <v>-18.4058259212681</v>
      </c>
      <c r="H3310" s="5">
        <v>-18.4058259212681</v>
      </c>
      <c r="I3310" s="5">
        <v>-18.4058259212681</v>
      </c>
      <c r="J3310" s="5">
        <v>1.20724879232596</v>
      </c>
      <c r="K3310" s="5">
        <v>1.20724879232596</v>
      </c>
      <c r="L3310" s="5">
        <v>1.20724879232596</v>
      </c>
      <c r="M3310" s="5">
        <v>-19.613074713594</v>
      </c>
      <c r="N3310" s="5">
        <v>-19.613074713594</v>
      </c>
      <c r="O3310" s="5">
        <v>-19.613074713594</v>
      </c>
      <c r="P3310" s="5">
        <v>0.0</v>
      </c>
      <c r="Q3310" s="5">
        <v>0.0</v>
      </c>
      <c r="R3310" s="5">
        <v>0.0</v>
      </c>
      <c r="S3310" s="5">
        <v>1445.45202466364</v>
      </c>
    </row>
    <row r="3311">
      <c r="A3311" s="6">
        <v>44998.0</v>
      </c>
      <c r="B3311" s="5">
        <v>1465.02869678442</v>
      </c>
      <c r="C3311" s="5">
        <v>1379.19338351531</v>
      </c>
      <c r="D3311" s="5">
        <v>1517.05069918204</v>
      </c>
      <c r="E3311" s="5">
        <v>1440.91744721377</v>
      </c>
      <c r="F3311" s="5">
        <v>1490.27530920372</v>
      </c>
      <c r="G3311" s="5">
        <v>-19.4525714248151</v>
      </c>
      <c r="H3311" s="5">
        <v>-19.4525714248151</v>
      </c>
      <c r="I3311" s="5">
        <v>-19.4525714248151</v>
      </c>
      <c r="J3311" s="5">
        <v>0.0905589421215614</v>
      </c>
      <c r="K3311" s="5">
        <v>0.0905589421215614</v>
      </c>
      <c r="L3311" s="5">
        <v>0.0905589421215614</v>
      </c>
      <c r="M3311" s="5">
        <v>-19.5431303669367</v>
      </c>
      <c r="N3311" s="5">
        <v>-19.5431303669367</v>
      </c>
      <c r="O3311" s="5">
        <v>-19.5431303669367</v>
      </c>
      <c r="P3311" s="5">
        <v>0.0</v>
      </c>
      <c r="Q3311" s="5">
        <v>0.0</v>
      </c>
      <c r="R3311" s="5">
        <v>0.0</v>
      </c>
      <c r="S3311" s="5">
        <v>1445.57612535961</v>
      </c>
    </row>
    <row r="3312">
      <c r="A3312" s="6">
        <v>44999.0</v>
      </c>
      <c r="B3312" s="5">
        <v>1466.19954298393</v>
      </c>
      <c r="C3312" s="5">
        <v>1372.13820440649</v>
      </c>
      <c r="D3312" s="5">
        <v>1517.02602907897</v>
      </c>
      <c r="E3312" s="5">
        <v>1442.0682799157</v>
      </c>
      <c r="F3312" s="5">
        <v>1491.51101024803</v>
      </c>
      <c r="G3312" s="5">
        <v>-19.4823647506822</v>
      </c>
      <c r="H3312" s="5">
        <v>-19.4823647506822</v>
      </c>
      <c r="I3312" s="5">
        <v>-19.4823647506822</v>
      </c>
      <c r="J3312" s="5">
        <v>-0.144118857246182</v>
      </c>
      <c r="K3312" s="5">
        <v>-0.144118857246182</v>
      </c>
      <c r="L3312" s="5">
        <v>-0.144118857246182</v>
      </c>
      <c r="M3312" s="5">
        <v>-19.338245893436</v>
      </c>
      <c r="N3312" s="5">
        <v>-19.338245893436</v>
      </c>
      <c r="O3312" s="5">
        <v>-19.338245893436</v>
      </c>
      <c r="P3312" s="5">
        <v>0.0</v>
      </c>
      <c r="Q3312" s="5">
        <v>0.0</v>
      </c>
      <c r="R3312" s="5">
        <v>0.0</v>
      </c>
      <c r="S3312" s="5">
        <v>1446.71717823325</v>
      </c>
    </row>
    <row r="3313">
      <c r="A3313" s="6">
        <v>45000.0</v>
      </c>
      <c r="B3313" s="5">
        <v>1467.37038918345</v>
      </c>
      <c r="C3313" s="5">
        <v>1380.87130644933</v>
      </c>
      <c r="D3313" s="5">
        <v>1515.32433902007</v>
      </c>
      <c r="E3313" s="5">
        <v>1443.17832545132</v>
      </c>
      <c r="F3313" s="5">
        <v>1492.74671129233</v>
      </c>
      <c r="G3313" s="5">
        <v>-19.0024979761008</v>
      </c>
      <c r="H3313" s="5">
        <v>-19.0024979761008</v>
      </c>
      <c r="I3313" s="5">
        <v>-19.0024979761008</v>
      </c>
      <c r="J3313" s="5">
        <v>0.00703780528160159</v>
      </c>
      <c r="K3313" s="5">
        <v>0.00703780528160159</v>
      </c>
      <c r="L3313" s="5">
        <v>0.00703780528160159</v>
      </c>
      <c r="M3313" s="5">
        <v>-19.0095357813823</v>
      </c>
      <c r="N3313" s="5">
        <v>-19.0095357813823</v>
      </c>
      <c r="O3313" s="5">
        <v>-19.0095357813823</v>
      </c>
      <c r="P3313" s="5">
        <v>0.0</v>
      </c>
      <c r="Q3313" s="5">
        <v>0.0</v>
      </c>
      <c r="R3313" s="5">
        <v>0.0</v>
      </c>
      <c r="S3313" s="5">
        <v>1448.36789120735</v>
      </c>
    </row>
    <row r="3314">
      <c r="A3314" s="6">
        <v>45001.0</v>
      </c>
      <c r="B3314" s="5">
        <v>1468.54123538296</v>
      </c>
      <c r="C3314" s="5">
        <v>1381.91506008451</v>
      </c>
      <c r="D3314" s="5">
        <v>1518.00217186045</v>
      </c>
      <c r="E3314" s="5">
        <v>1444.16853493055</v>
      </c>
      <c r="F3314" s="5">
        <v>1493.98241233664</v>
      </c>
      <c r="G3314" s="5">
        <v>-19.3460822843373</v>
      </c>
      <c r="H3314" s="5">
        <v>-19.3460822843373</v>
      </c>
      <c r="I3314" s="5">
        <v>-19.3460822843373</v>
      </c>
      <c r="J3314" s="5">
        <v>-0.776422525904024</v>
      </c>
      <c r="K3314" s="5">
        <v>-0.776422525904024</v>
      </c>
      <c r="L3314" s="5">
        <v>-0.776422525904024</v>
      </c>
      <c r="M3314" s="5">
        <v>-18.5696597584333</v>
      </c>
      <c r="N3314" s="5">
        <v>-18.5696597584333</v>
      </c>
      <c r="O3314" s="5">
        <v>-18.5696597584333</v>
      </c>
      <c r="P3314" s="5">
        <v>0.0</v>
      </c>
      <c r="Q3314" s="5">
        <v>0.0</v>
      </c>
      <c r="R3314" s="5">
        <v>0.0</v>
      </c>
      <c r="S3314" s="5">
        <v>1449.19515309862</v>
      </c>
    </row>
    <row r="3315">
      <c r="A3315" s="6">
        <v>45002.0</v>
      </c>
      <c r="B3315" s="5">
        <v>1469.71208158247</v>
      </c>
      <c r="C3315" s="5">
        <v>1379.66781636007</v>
      </c>
      <c r="D3315" s="5">
        <v>1517.76731328722</v>
      </c>
      <c r="E3315" s="5">
        <v>1445.24242543869</v>
      </c>
      <c r="F3315" s="5">
        <v>1495.30349434332</v>
      </c>
      <c r="G3315" s="5">
        <v>-19.6240098822973</v>
      </c>
      <c r="H3315" s="5">
        <v>-19.6240098822973</v>
      </c>
      <c r="I3315" s="5">
        <v>-19.6240098822973</v>
      </c>
      <c r="J3315" s="5">
        <v>-1.59155056649363</v>
      </c>
      <c r="K3315" s="5">
        <v>-1.59155056649363</v>
      </c>
      <c r="L3315" s="5">
        <v>-1.59155056649363</v>
      </c>
      <c r="M3315" s="5">
        <v>-18.0324593158036</v>
      </c>
      <c r="N3315" s="5">
        <v>-18.0324593158036</v>
      </c>
      <c r="O3315" s="5">
        <v>-18.0324593158036</v>
      </c>
      <c r="P3315" s="5">
        <v>0.0</v>
      </c>
      <c r="Q3315" s="5">
        <v>0.0</v>
      </c>
      <c r="R3315" s="5">
        <v>0.0</v>
      </c>
      <c r="S3315" s="5">
        <v>1450.08807170018</v>
      </c>
    </row>
    <row r="3316">
      <c r="A3316" s="6">
        <v>45003.0</v>
      </c>
      <c r="B3316" s="5">
        <v>1470.88292778199</v>
      </c>
      <c r="C3316" s="5">
        <v>1382.26398986571</v>
      </c>
      <c r="D3316" s="5">
        <v>1523.69607995476</v>
      </c>
      <c r="E3316" s="5">
        <v>1446.29333494422</v>
      </c>
      <c r="F3316" s="5">
        <v>1496.6262402886</v>
      </c>
      <c r="G3316" s="5">
        <v>-16.2053312977869</v>
      </c>
      <c r="H3316" s="5">
        <v>-16.2053312977869</v>
      </c>
      <c r="I3316" s="5">
        <v>-16.2053312977869</v>
      </c>
      <c r="J3316" s="5">
        <v>1.20724640990651</v>
      </c>
      <c r="K3316" s="5">
        <v>1.20724640990651</v>
      </c>
      <c r="L3316" s="5">
        <v>1.20724640990651</v>
      </c>
      <c r="M3316" s="5">
        <v>-17.4125777076934</v>
      </c>
      <c r="N3316" s="5">
        <v>-17.4125777076934</v>
      </c>
      <c r="O3316" s="5">
        <v>-17.4125777076934</v>
      </c>
      <c r="P3316" s="5">
        <v>0.0</v>
      </c>
      <c r="Q3316" s="5">
        <v>0.0</v>
      </c>
      <c r="R3316" s="5">
        <v>0.0</v>
      </c>
      <c r="S3316" s="5">
        <v>1454.6775964842</v>
      </c>
    </row>
    <row r="3317">
      <c r="A3317" s="6">
        <v>45004.0</v>
      </c>
      <c r="B3317" s="5">
        <v>1472.0537739815</v>
      </c>
      <c r="C3317" s="5">
        <v>1386.04096384367</v>
      </c>
      <c r="D3317" s="5">
        <v>1525.70620370253</v>
      </c>
      <c r="E3317" s="5">
        <v>1447.28552148592</v>
      </c>
      <c r="F3317" s="5">
        <v>1497.94898623387</v>
      </c>
      <c r="G3317" s="5">
        <v>-15.5178258149637</v>
      </c>
      <c r="H3317" s="5">
        <v>-15.5178258149637</v>
      </c>
      <c r="I3317" s="5">
        <v>-15.5178258149637</v>
      </c>
      <c r="J3317" s="5">
        <v>1.20724879232742</v>
      </c>
      <c r="K3317" s="5">
        <v>1.20724879232742</v>
      </c>
      <c r="L3317" s="5">
        <v>1.20724879232742</v>
      </c>
      <c r="M3317" s="5">
        <v>-16.7250746072912</v>
      </c>
      <c r="N3317" s="5">
        <v>-16.7250746072912</v>
      </c>
      <c r="O3317" s="5">
        <v>-16.7250746072912</v>
      </c>
      <c r="P3317" s="5">
        <v>0.0</v>
      </c>
      <c r="Q3317" s="5">
        <v>0.0</v>
      </c>
      <c r="R3317" s="5">
        <v>0.0</v>
      </c>
      <c r="S3317" s="5">
        <v>1456.53594816654</v>
      </c>
    </row>
    <row r="3318">
      <c r="A3318" s="6">
        <v>45005.0</v>
      </c>
      <c r="B3318" s="5">
        <v>1473.22462018101</v>
      </c>
      <c r="C3318" s="5">
        <v>1389.38558844391</v>
      </c>
      <c r="D3318" s="5">
        <v>1527.24719924634</v>
      </c>
      <c r="E3318" s="5">
        <v>1448.29013532399</v>
      </c>
      <c r="F3318" s="5">
        <v>1499.27173217915</v>
      </c>
      <c r="G3318" s="5">
        <v>-15.8944875715868</v>
      </c>
      <c r="H3318" s="5">
        <v>-15.8944875715868</v>
      </c>
      <c r="I3318" s="5">
        <v>-15.8944875715868</v>
      </c>
      <c r="J3318" s="5">
        <v>0.0905589421177401</v>
      </c>
      <c r="K3318" s="5">
        <v>0.0905589421177401</v>
      </c>
      <c r="L3318" s="5">
        <v>0.0905589421177401</v>
      </c>
      <c r="M3318" s="5">
        <v>-15.9850465137046</v>
      </c>
      <c r="N3318" s="5">
        <v>-15.9850465137046</v>
      </c>
      <c r="O3318" s="5">
        <v>-15.9850465137046</v>
      </c>
      <c r="P3318" s="5">
        <v>0.0</v>
      </c>
      <c r="Q3318" s="5">
        <v>0.0</v>
      </c>
      <c r="R3318" s="5">
        <v>0.0</v>
      </c>
      <c r="S3318" s="5">
        <v>1457.33013260943</v>
      </c>
    </row>
    <row r="3319">
      <c r="A3319" s="6">
        <v>45006.0</v>
      </c>
      <c r="B3319" s="5">
        <v>1474.39546638053</v>
      </c>
      <c r="C3319" s="5">
        <v>1391.24922485359</v>
      </c>
      <c r="D3319" s="5">
        <v>1528.58482696633</v>
      </c>
      <c r="E3319" s="5">
        <v>1449.29474916206</v>
      </c>
      <c r="F3319" s="5">
        <v>1500.56806961219</v>
      </c>
      <c r="G3319" s="5">
        <v>-15.3513824508276</v>
      </c>
      <c r="H3319" s="5">
        <v>-15.3513824508276</v>
      </c>
      <c r="I3319" s="5">
        <v>-15.3513824508276</v>
      </c>
      <c r="J3319" s="5">
        <v>-0.144118857245094</v>
      </c>
      <c r="K3319" s="5">
        <v>-0.144118857245094</v>
      </c>
      <c r="L3319" s="5">
        <v>-0.144118857245094</v>
      </c>
      <c r="M3319" s="5">
        <v>-15.2072635935826</v>
      </c>
      <c r="N3319" s="5">
        <v>-15.2072635935826</v>
      </c>
      <c r="O3319" s="5">
        <v>-15.2072635935826</v>
      </c>
      <c r="P3319" s="5">
        <v>0.0</v>
      </c>
      <c r="Q3319" s="5">
        <v>0.0</v>
      </c>
      <c r="R3319" s="5">
        <v>0.0</v>
      </c>
      <c r="S3319" s="5">
        <v>1459.0440839297</v>
      </c>
    </row>
    <row r="3320">
      <c r="A3320" s="6">
        <v>45007.0</v>
      </c>
      <c r="B3320" s="5">
        <v>1475.56631258004</v>
      </c>
      <c r="C3320" s="5">
        <v>1389.25989040975</v>
      </c>
      <c r="D3320" s="5">
        <v>1532.02501761316</v>
      </c>
      <c r="E3320" s="5">
        <v>1450.33148508437</v>
      </c>
      <c r="F3320" s="5">
        <v>1501.90693284616</v>
      </c>
      <c r="G3320" s="5">
        <v>-14.3987951181114</v>
      </c>
      <c r="H3320" s="5">
        <v>-14.3987951181114</v>
      </c>
      <c r="I3320" s="5">
        <v>-14.3987951181114</v>
      </c>
      <c r="J3320" s="5">
        <v>0.00703780528273174</v>
      </c>
      <c r="K3320" s="5">
        <v>0.00703780528273174</v>
      </c>
      <c r="L3320" s="5">
        <v>0.00703780528273174</v>
      </c>
      <c r="M3320" s="5">
        <v>-14.4058329233941</v>
      </c>
      <c r="N3320" s="5">
        <v>-14.4058329233941</v>
      </c>
      <c r="O3320" s="5">
        <v>-14.4058329233941</v>
      </c>
      <c r="P3320" s="5">
        <v>0.0</v>
      </c>
      <c r="Q3320" s="5">
        <v>0.0</v>
      </c>
      <c r="R3320" s="5">
        <v>0.0</v>
      </c>
      <c r="S3320" s="5">
        <v>1461.16751746193</v>
      </c>
    </row>
    <row r="3321">
      <c r="A3321" s="6">
        <v>45008.0</v>
      </c>
      <c r="B3321" s="5">
        <v>1476.73715877955</v>
      </c>
      <c r="C3321" s="5">
        <v>1386.99350648329</v>
      </c>
      <c r="D3321" s="5">
        <v>1536.96766415634</v>
      </c>
      <c r="E3321" s="5">
        <v>1451.41595008766</v>
      </c>
      <c r="F3321" s="5">
        <v>1503.26798712653</v>
      </c>
      <c r="G3321" s="5">
        <v>-14.3703196237298</v>
      </c>
      <c r="H3321" s="5">
        <v>-14.3703196237298</v>
      </c>
      <c r="I3321" s="5">
        <v>-14.3703196237298</v>
      </c>
      <c r="J3321" s="5">
        <v>-0.776422525906121</v>
      </c>
      <c r="K3321" s="5">
        <v>-0.776422525906121</v>
      </c>
      <c r="L3321" s="5">
        <v>-0.776422525906121</v>
      </c>
      <c r="M3321" s="5">
        <v>-13.5938970978237</v>
      </c>
      <c r="N3321" s="5">
        <v>-13.5938970978237</v>
      </c>
      <c r="O3321" s="5">
        <v>-13.5938970978237</v>
      </c>
      <c r="P3321" s="5">
        <v>0.0</v>
      </c>
      <c r="Q3321" s="5">
        <v>0.0</v>
      </c>
      <c r="R3321" s="5">
        <v>0.0</v>
      </c>
      <c r="S3321" s="5">
        <v>1462.36683915582</v>
      </c>
    </row>
    <row r="3322">
      <c r="A3322" s="6">
        <v>45009.0</v>
      </c>
      <c r="B3322" s="5">
        <v>1477.90800497907</v>
      </c>
      <c r="C3322" s="5">
        <v>1393.5544491739</v>
      </c>
      <c r="D3322" s="5">
        <v>1531.27991693671</v>
      </c>
      <c r="E3322" s="5">
        <v>1452.46032978486</v>
      </c>
      <c r="F3322" s="5">
        <v>1504.60007268139</v>
      </c>
      <c r="G3322" s="5">
        <v>-14.3749264866341</v>
      </c>
      <c r="H3322" s="5">
        <v>-14.3749264866341</v>
      </c>
      <c r="I3322" s="5">
        <v>-14.3749264866341</v>
      </c>
      <c r="J3322" s="5">
        <v>-1.5915505664924</v>
      </c>
      <c r="K3322" s="5">
        <v>-1.5915505664924</v>
      </c>
      <c r="L3322" s="5">
        <v>-1.5915505664924</v>
      </c>
      <c r="M3322" s="5">
        <v>-12.7833759201417</v>
      </c>
      <c r="N3322" s="5">
        <v>-12.7833759201417</v>
      </c>
      <c r="O3322" s="5">
        <v>-12.7833759201417</v>
      </c>
      <c r="P3322" s="5">
        <v>0.0</v>
      </c>
      <c r="Q3322" s="5">
        <v>0.0</v>
      </c>
      <c r="R3322" s="5">
        <v>0.0</v>
      </c>
      <c r="S3322" s="5">
        <v>1463.53307849243</v>
      </c>
    </row>
  </sheetData>
  <drawing r:id="rId1"/>
</worksheet>
</file>