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C" sheetId="1" r:id="rId4"/>
    <sheet state="visible" name="CASH FLOW " sheetId="2" r:id="rId5"/>
    <sheet state="visible" name="Lionsgate DCF" sheetId="3" r:id="rId6"/>
    <sheet state="visible" name="Starz DCF" sheetId="4" r:id="rId7"/>
    <sheet state="visible" name="Synergy DCF" sheetId="5" r:id="rId8"/>
    <sheet state="visible" name="Synergy Valuation" sheetId="6" r:id="rId9"/>
  </sheets>
  <definedNames/>
  <calcPr/>
  <extLst>
    <ext uri="GoogleSheetsCustomDataVersion2">
      <go:sheetsCustomData xmlns:go="http://customooxmlschemas.google.com/" r:id="rId10" roundtripDataChecksum="JuzKHg1D8yAmptk9I7WXzrVWc0z2EBq1LH2mLO3zGn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">
      <text>
        <t xml:space="preserve">======
ID#AAAAaOM4xYU
NIKITA BANSAL    (2022-06-01 13:18:18)
https://www.businesswire.com/news/home/20160428006519/en/Starz-Reports-First-Quarter-2016-Financial-Results</t>
      </text>
    </comment>
    <comment authorId="0" ref="G6">
      <text>
        <t xml:space="preserve">======
ID#AAAAXNMqV2M
NIKITA BANSAL    (2022-06-01 09:33:30)
https://pages.stern.nyu.edu/~adamodar/New_Home_Page/datafile/histimpl.html</t>
      </text>
    </comment>
    <comment authorId="0" ref="C6">
      <text>
        <t xml:space="preserve">======
ID#AAAAaAS63UM
Sampanna Modi    (2022-05-31 10:49:11)
ASHWATH DATA SET FOR TRAILING 12 MONTHS ERP OF S&amp;P 500</t>
      </text>
    </comment>
    <comment authorId="0" ref="A8">
      <text>
        <t xml:space="preserve">======
ID#AAAAaAS63UI
Sampanna Modi    (2022-05-31 10:49:11)
total liabilities/share holders equity.
As of 30 june 2016</t>
      </text>
    </comment>
    <comment authorId="0" ref="C7">
      <text>
        <t xml:space="preserve">======
ID#AAAAaAS63UE
Sampanna Modi    (2022-05-31 10:49:11)
Ashwath data set of sector wise unlevered betas as of 1 jan 2017</t>
      </text>
    </comment>
    <comment authorId="0" ref="B16">
      <text>
        <t xml:space="preserve">======
ID#AAAAaAS63UA
Sampanna Modi    (2022-05-31 10:49:11)
ASHWATHS DATA FOR CORPORATE 10 YEAR BONDS IN 2016</t>
      </text>
    </comment>
  </commentList>
  <extLst>
    <ext uri="GoogleSheetsCustomDataVersion2">
      <go:sheetsCustomData xmlns:go="http://customooxmlschemas.google.com/" r:id="rId1" roundtripDataSignature="AMtx7mjiCudQjSXim2sTOs0pE7vGHCP9L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======
ID#AAAAa8F8QjM
Kritin Agrawal    (2022-06-14 11:46:26)
2016 ka ya 2015 ka revenue hai
------
ID#AAAAa8F8QjU
Sampanna Modi    (2022-06-14 12:32:41)
year ended on 31st december 2015,starz used to follow 31 dec to 31 dec wala accounting method</t>
      </text>
    </comment>
    <comment authorId="0" ref="G5">
      <text>
        <t xml:space="preserve">======
ID#AAAAbIcbInI
Sampanna Modi    (2022-06-13 12:39:19)
CEO SAID INLINE SPENDING IN 2017</t>
      </text>
    </comment>
  </commentList>
  <extLst>
    <ext uri="GoogleSheetsCustomDataVersion2">
      <go:sheetsCustomData xmlns:go="http://customooxmlschemas.google.com/" r:id="rId1" roundtripDataSignature="AMtx7mgXGtGAU1Ed8WMeGxM/9+fxuYqFL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ID#AAAAbeV3Bvo
Sampanna Modi    (2022-06-17 13:41:48)
revenue weighted growth rate</t>
      </text>
    </comment>
  </commentList>
  <extLst>
    <ext uri="GoogleSheetsCustomDataVersion2">
      <go:sheetsCustomData xmlns:go="http://customooxmlschemas.google.com/" r:id="rId1" roundtripDataSignature="AMtx7mhhJ0SAfBB7NOBXxbFWLTr8fmyg5Q=="/>
    </ext>
  </extLst>
</comments>
</file>

<file path=xl/sharedStrings.xml><?xml version="1.0" encoding="utf-8"?>
<sst xmlns="http://schemas.openxmlformats.org/spreadsheetml/2006/main" count="215" uniqueCount="150">
  <si>
    <t xml:space="preserve">Lionsgate </t>
  </si>
  <si>
    <t>Starz</t>
  </si>
  <si>
    <t>Country</t>
  </si>
  <si>
    <t>USA</t>
  </si>
  <si>
    <t xml:space="preserve">USA </t>
  </si>
  <si>
    <t>Industry</t>
  </si>
  <si>
    <t xml:space="preserve">Entertainment </t>
  </si>
  <si>
    <t xml:space="preserve">Risk Free Rate </t>
  </si>
  <si>
    <t>(As of 5th July 2016)</t>
  </si>
  <si>
    <t xml:space="preserve">Implied ERP </t>
  </si>
  <si>
    <t xml:space="preserve">Beta of the Sector(unlevered) </t>
  </si>
  <si>
    <t>Marginal Tax Rate</t>
  </si>
  <si>
    <t xml:space="preserve">D/E Ratio </t>
  </si>
  <si>
    <t xml:space="preserve">Company Beta </t>
  </si>
  <si>
    <t xml:space="preserve">Cost of Equity </t>
  </si>
  <si>
    <t>(INTEREST COVERAGE RATIO)</t>
  </si>
  <si>
    <t>RATING</t>
  </si>
  <si>
    <t>A1/A+</t>
  </si>
  <si>
    <t>Default Spread</t>
  </si>
  <si>
    <t xml:space="preserve">Country Risk Premium </t>
  </si>
  <si>
    <t xml:space="preserve">Cost of Debt </t>
  </si>
  <si>
    <t>Cost of Debt(After tax)</t>
  </si>
  <si>
    <t>MARKET VALUE OF EQUITY(thousands)</t>
  </si>
  <si>
    <t>MARKET VALUE OF ALL DEBT(THOUSANDS)</t>
  </si>
  <si>
    <t>BOOK VALUE OF EQUITY</t>
  </si>
  <si>
    <t>WACC(Market weights)</t>
  </si>
  <si>
    <t>WACC(Book Weights)</t>
  </si>
  <si>
    <t xml:space="preserve">DEBT CALCULATIONS FOR LIONSGATE </t>
  </si>
  <si>
    <t xml:space="preserve">INTEREST BEARING DEBT </t>
  </si>
  <si>
    <t>BOOK VALUE OF DEBT(THOUSANDS)</t>
  </si>
  <si>
    <t>INTEREST EXPENSE (THOUSANDS)</t>
  </si>
  <si>
    <t xml:space="preserve">Average Maturity </t>
  </si>
  <si>
    <t xml:space="preserve">PRETAX COST OF DEBT </t>
  </si>
  <si>
    <t xml:space="preserve">ESTIMATED MARKET VALUE OF INTEREST BEARING DEBT </t>
  </si>
  <si>
    <t xml:space="preserve">PV OF OPERATING LEASES </t>
  </si>
  <si>
    <t xml:space="preserve">MARKET VALUE OF ALL DEBT </t>
  </si>
  <si>
    <t>LEASE REPAYEMENTS(YEAR WISE)</t>
  </si>
  <si>
    <t>Operating Lease Commitements(Thousands)</t>
  </si>
  <si>
    <t xml:space="preserve">PV of these Lease Commitements (using pre tax cost of debt) </t>
  </si>
  <si>
    <t xml:space="preserve">TOTAL PV of Operating Leases </t>
  </si>
  <si>
    <t>DEBT REPYAMENTS(THOUSANDS)</t>
  </si>
  <si>
    <t>YEAR(MATURITY)</t>
  </si>
  <si>
    <t>Weight(%)</t>
  </si>
  <si>
    <t>AVG MATURITY(Years)</t>
  </si>
  <si>
    <t>DEBT CALUCLATIONS FOR STARZ</t>
  </si>
  <si>
    <t>BOOK VALUE OF DEBT(millions)</t>
  </si>
  <si>
    <t>INTEREST EXPENSE (millions)</t>
  </si>
  <si>
    <t>Operating Lease Commitements(millions)</t>
  </si>
  <si>
    <t>PV OF THE OPERATING LEASES</t>
  </si>
  <si>
    <t>TOTAL PV of Operating Leases(millions)</t>
  </si>
  <si>
    <t xml:space="preserve">DEBT REPAYMENTS </t>
  </si>
  <si>
    <t>Year(maturity)</t>
  </si>
  <si>
    <t>Avg.Maturity</t>
  </si>
  <si>
    <t>A</t>
  </si>
  <si>
    <t>B</t>
  </si>
  <si>
    <t>Lionsgate(This Year)</t>
  </si>
  <si>
    <t>Starz(This Year)(Values in millions)</t>
  </si>
  <si>
    <t>Lionsgate(Last year)</t>
  </si>
  <si>
    <t>Starz(Last Year)</t>
  </si>
  <si>
    <t xml:space="preserve">Proforma </t>
  </si>
  <si>
    <t>Revenue</t>
  </si>
  <si>
    <t>EBIT(millions)</t>
  </si>
  <si>
    <t xml:space="preserve">EFFECTIVE TAX RATE </t>
  </si>
  <si>
    <t xml:space="preserve">EBIT(1-T) in millions </t>
  </si>
  <si>
    <t>CURRENT ASSETS</t>
  </si>
  <si>
    <t>CURENT LIABLITIES</t>
  </si>
  <si>
    <t>CASH</t>
  </si>
  <si>
    <t>THIS YEAR WORKING CAPITAL</t>
  </si>
  <si>
    <t>Change in Non-Cash WC</t>
  </si>
  <si>
    <t>PP&amp;E</t>
  </si>
  <si>
    <t>Change in PP&amp;E</t>
  </si>
  <si>
    <t xml:space="preserve">Other Investment Change </t>
  </si>
  <si>
    <t>Capex</t>
  </si>
  <si>
    <t>Depreciation</t>
  </si>
  <si>
    <t>NetCapex</t>
  </si>
  <si>
    <t>NOTES</t>
  </si>
  <si>
    <t>1:Starz follows a 1 Jan to 1 Jan Financial Year</t>
  </si>
  <si>
    <t>Effective Tax Rate=</t>
  </si>
  <si>
    <t>Lionsgate</t>
  </si>
  <si>
    <t>Year</t>
  </si>
  <si>
    <t>Revenue(millions)</t>
  </si>
  <si>
    <t>Revenue Growth%</t>
  </si>
  <si>
    <t>EBIT</t>
  </si>
  <si>
    <t>EBIT Growth%</t>
  </si>
  <si>
    <t>EBIT(1-t)</t>
  </si>
  <si>
    <t>OM%</t>
  </si>
  <si>
    <t>Change in Revenue</t>
  </si>
  <si>
    <t>Reinvestnment Rate</t>
  </si>
  <si>
    <t>SALES/CAPITAL</t>
  </si>
  <si>
    <t>Reinvestment</t>
  </si>
  <si>
    <t>FCFF</t>
  </si>
  <si>
    <t>Invested Capital</t>
  </si>
  <si>
    <t>ROIC</t>
  </si>
  <si>
    <t>PV to Base year</t>
  </si>
  <si>
    <t>Base</t>
  </si>
  <si>
    <t xml:space="preserve"> </t>
  </si>
  <si>
    <t>Historical Figures</t>
  </si>
  <si>
    <t>Terminal Value</t>
  </si>
  <si>
    <t xml:space="preserve">PV of TV </t>
  </si>
  <si>
    <t xml:space="preserve">Year </t>
  </si>
  <si>
    <t>% Growth</t>
  </si>
  <si>
    <t xml:space="preserve">PV of Firm </t>
  </si>
  <si>
    <t>CAGR=</t>
  </si>
  <si>
    <t>Avg last 3 Years EBIT=</t>
  </si>
  <si>
    <t xml:space="preserve">Avg Revenue Growth </t>
  </si>
  <si>
    <t>Terminal Value=</t>
  </si>
  <si>
    <t xml:space="preserve">Latest EBIT </t>
  </si>
  <si>
    <t xml:space="preserve">Reinvestment Using Rate </t>
  </si>
  <si>
    <t>PV of Combined firm Post Deal</t>
  </si>
  <si>
    <t xml:space="preserve">Synergic Value </t>
  </si>
  <si>
    <t>BASIC NET INCOME PER SHARE  OF LIONSGATE =</t>
  </si>
  <si>
    <t>BASIC NET INCOME PER SHARE AFTER THE MERGER =</t>
  </si>
  <si>
    <t xml:space="preserve">No Deal </t>
  </si>
  <si>
    <t>Deal</t>
  </si>
  <si>
    <t>Lionsgate+Starz</t>
  </si>
  <si>
    <t>Enterprise Value(in Billion Dollars)</t>
  </si>
  <si>
    <t>Synergic Value=</t>
  </si>
  <si>
    <t>Current riskfree rate =</t>
  </si>
  <si>
    <t>Risk Premium =</t>
  </si>
  <si>
    <t>I will assume that there are zero excess returns beyond your high growth phase and that stable growth rate = riskfree rate.</t>
  </si>
  <si>
    <t>Acquiring firm</t>
  </si>
  <si>
    <t>Target Firm</t>
  </si>
  <si>
    <t>After merger</t>
  </si>
  <si>
    <t>In terminal year</t>
  </si>
  <si>
    <t>Beta</t>
  </si>
  <si>
    <t>Pre-tax cost of debt</t>
  </si>
  <si>
    <t>Tax rate</t>
  </si>
  <si>
    <t>Debt to Capital Ratio</t>
  </si>
  <si>
    <t>Revenues</t>
  </si>
  <si>
    <t>Operating Income (EBIT)</t>
  </si>
  <si>
    <t>Pre-tax return on capital</t>
  </si>
  <si>
    <t>Reinvestment Rate =</t>
  </si>
  <si>
    <t>Length of growth period =</t>
  </si>
  <si>
    <t>Computed Values</t>
  </si>
  <si>
    <t>Target firm</t>
  </si>
  <si>
    <t>Value of firm with synergy</t>
  </si>
  <si>
    <t>In terminal year (Weights based on terminal value)</t>
  </si>
  <si>
    <t>Cost of Equity =</t>
  </si>
  <si>
    <t>After-tax cost of debt =</t>
  </si>
  <si>
    <t>Cost of capital =</t>
  </si>
  <si>
    <t>After-tax return on capital =</t>
  </si>
  <si>
    <t>Expected growth rate=</t>
  </si>
  <si>
    <t>Value of firm</t>
  </si>
  <si>
    <t>PV of FCFF in high growth =</t>
  </si>
  <si>
    <t>Terminal value =</t>
  </si>
  <si>
    <t>Value of firm today =</t>
  </si>
  <si>
    <t>Value of Synergy</t>
  </si>
  <si>
    <t>Value of independent firms</t>
  </si>
  <si>
    <t>Value of combined firm</t>
  </si>
  <si>
    <t>Value of synergy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</si>
</sst>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%"/>
    <numFmt numFmtId="165" formatCode="&quot;$&quot;#,##0.00"/>
    <numFmt numFmtId="166" formatCode="_-[$$-409]* #,##0_ ;_-[$$-409]* \-#,##0\ ;_-[$$-409]* &quot;-&quot;??_ ;_-@_ "/>
    <numFmt numFmtId="167" formatCode="0.00000000"/>
    <numFmt numFmtId="168" formatCode="0.00000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9.0"/>
      <color theme="1"/>
      <name val="Inherit"/>
    </font>
    <font>
      <sz val="10.0"/>
      <color theme="1"/>
      <name val="Times New Roman"/>
    </font>
    <font>
      <u/>
      <sz val="11.0"/>
      <color theme="10"/>
      <name val="Calibri"/>
    </font>
    <font>
      <sz val="11.0"/>
      <color rgb="FF000000"/>
      <name val="Times New Roman"/>
    </font>
    <font>
      <color theme="1"/>
      <name val="Times New Roman"/>
    </font>
    <font>
      <b/>
      <sz val="11.0"/>
      <color rgb="FF44546A"/>
      <name val="Calibri"/>
    </font>
    <font>
      <sz val="11.0"/>
      <color rgb="FFFFFFFF"/>
      <name val="Calibri"/>
    </font>
    <font/>
    <font>
      <sz val="9.0"/>
      <color rgb="FF000000"/>
      <name val="Times New Roman"/>
    </font>
    <font>
      <b/>
      <sz val="11.0"/>
      <color rgb="FF1155CC"/>
      <name val="Inconsolata"/>
    </font>
    <font>
      <color rgb="FFFF0000"/>
      <name val="Verdana"/>
    </font>
    <font>
      <sz val="11.0"/>
      <color theme="1"/>
      <name val="Times New Roman"/>
    </font>
    <font>
      <b/>
      <i/>
      <color theme="1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5B9BD5"/>
        <bgColor rgb="FF5B9BD5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1" numFmtId="0" xfId="0" applyFill="1" applyFont="1"/>
    <xf borderId="0" fillId="2" fontId="4" numFmtId="10" xfId="0" applyFont="1" applyNumberFormat="1"/>
    <xf borderId="0" fillId="0" fontId="2" numFmtId="0" xfId="0" applyAlignment="1" applyFont="1">
      <alignment horizontal="center"/>
    </xf>
    <xf borderId="0" fillId="0" fontId="3" numFmtId="10" xfId="0" applyFont="1" applyNumberFormat="1"/>
    <xf borderId="0" fillId="0" fontId="4" numFmtId="10" xfId="0" applyFont="1" applyNumberFormat="1"/>
    <xf borderId="0" fillId="0" fontId="4" numFmtId="9" xfId="0" applyFont="1" applyNumberFormat="1"/>
    <xf borderId="0" fillId="0" fontId="3" numFmtId="9" xfId="0" applyFont="1" applyNumberFormat="1"/>
    <xf borderId="0" fillId="2" fontId="4" numFmtId="9" xfId="0" applyFont="1" applyNumberFormat="1"/>
    <xf borderId="0" fillId="3" fontId="3" numFmtId="0" xfId="0" applyFill="1" applyFont="1"/>
    <xf borderId="1" fillId="0" fontId="1" numFmtId="0" xfId="0" applyAlignment="1" applyBorder="1" applyFont="1">
      <alignment shrinkToFit="0" wrapText="1"/>
    </xf>
    <xf borderId="0" fillId="3" fontId="4" numFmtId="10" xfId="0" applyFont="1" applyNumberFormat="1"/>
    <xf borderId="1" fillId="2" fontId="1" numFmtId="0" xfId="0" applyAlignment="1" applyBorder="1" applyFont="1">
      <alignment shrinkToFit="0" wrapText="1"/>
    </xf>
    <xf borderId="0" fillId="0" fontId="3" numFmtId="164" xfId="0" applyFont="1" applyNumberFormat="1"/>
    <xf borderId="0" fillId="4" fontId="5" numFmtId="164" xfId="0" applyFill="1" applyFont="1" applyNumberFormat="1"/>
    <xf borderId="0" fillId="0" fontId="1" numFmtId="0" xfId="0" applyAlignment="1" applyFont="1">
      <alignment shrinkToFit="0" wrapText="1"/>
    </xf>
    <xf borderId="0" fillId="3" fontId="6" numFmtId="3" xfId="0" applyAlignment="1" applyFont="1" applyNumberFormat="1">
      <alignment horizontal="right" shrinkToFit="0" vertical="center" wrapText="1"/>
    </xf>
    <xf borderId="0" fillId="3" fontId="7" numFmtId="0" xfId="0" applyFont="1"/>
    <xf borderId="0" fillId="4" fontId="5" numFmtId="0" xfId="0" applyFont="1"/>
    <xf borderId="0" fillId="2" fontId="2" numFmtId="0" xfId="0" applyFont="1"/>
    <xf borderId="0" fillId="2" fontId="3" numFmtId="10" xfId="0" applyFont="1" applyNumberFormat="1"/>
    <xf borderId="2" fillId="5" fontId="1" numFmtId="0" xfId="0" applyBorder="1" applyFill="1" applyFont="1"/>
    <xf borderId="0" fillId="0" fontId="3" numFmtId="165" xfId="0" applyFont="1" applyNumberFormat="1"/>
    <xf borderId="0" fillId="2" fontId="1" numFmtId="165" xfId="0" applyFont="1" applyNumberFormat="1"/>
    <xf borderId="0" fillId="0" fontId="8" numFmtId="0" xfId="0" applyFont="1"/>
    <xf borderId="0" fillId="2" fontId="3" numFmtId="165" xfId="0" applyFont="1" applyNumberFormat="1"/>
    <xf borderId="0" fillId="4" fontId="5" numFmtId="10" xfId="0" applyFont="1" applyNumberFormat="1"/>
    <xf borderId="0" fillId="0" fontId="2" numFmtId="0" xfId="0" applyAlignment="1" applyFont="1">
      <alignment horizontal="left"/>
    </xf>
    <xf borderId="0" fillId="0" fontId="9" numFmtId="165" xfId="0" applyAlignment="1" applyFont="1" applyNumberFormat="1">
      <alignment horizontal="right" shrinkToFit="0" vertical="bottom" wrapText="0"/>
    </xf>
    <xf borderId="0" fillId="3" fontId="3" numFmtId="165" xfId="0" applyAlignment="1" applyFont="1" applyNumberForma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4" fontId="10" numFmtId="165" xfId="0" applyAlignment="1" applyFont="1" applyNumberFormat="1">
      <alignment horizontal="right" vertical="bottom"/>
    </xf>
    <xf borderId="0" fillId="0" fontId="10" numFmtId="165" xfId="0" applyAlignment="1" applyFont="1" applyNumberFormat="1">
      <alignment horizontal="right"/>
    </xf>
    <xf borderId="0" fillId="0" fontId="11" numFmtId="0" xfId="0" applyAlignment="1" applyFont="1">
      <alignment horizontal="center" vertical="bottom"/>
    </xf>
    <xf borderId="3" fillId="6" fontId="4" numFmtId="10" xfId="0" applyAlignment="1" applyBorder="1" applyFill="1" applyFont="1" applyNumberFormat="1">
      <alignment horizontal="right" vertical="bottom"/>
    </xf>
    <xf borderId="0" fillId="0" fontId="4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4" fillId="7" fontId="12" numFmtId="0" xfId="0" applyAlignment="1" applyBorder="1" applyFill="1" applyFont="1">
      <alignment horizontal="center" vertical="bottom"/>
    </xf>
    <xf borderId="5" fillId="0" fontId="13" numFmtId="0" xfId="0" applyBorder="1" applyFont="1"/>
    <xf borderId="6" fillId="0" fontId="13" numFmtId="0" xfId="0" applyBorder="1" applyFont="1"/>
    <xf borderId="0" fillId="7" fontId="12" numFmtId="0" xfId="0" applyAlignment="1" applyFont="1">
      <alignment horizontal="center" vertical="bottom"/>
    </xf>
    <xf borderId="3" fillId="8" fontId="4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0" fillId="0" fontId="14" numFmtId="4" xfId="0" applyAlignment="1" applyFont="1" applyNumberFormat="1">
      <alignment horizontal="right" shrinkToFit="0" vertical="bottom" wrapText="0"/>
    </xf>
    <xf borderId="0" fillId="0" fontId="4" numFmtId="166" xfId="0" applyAlignment="1" applyFont="1" applyNumberFormat="1">
      <alignment horizontal="right" vertical="bottom"/>
    </xf>
    <xf borderId="3" fillId="0" fontId="4" numFmtId="166" xfId="0" applyAlignment="1" applyBorder="1" applyFont="1" applyNumberFormat="1">
      <alignment horizontal="right" vertical="bottom"/>
    </xf>
    <xf borderId="3" fillId="2" fontId="4" numFmtId="10" xfId="0" applyAlignment="1" applyBorder="1" applyFont="1" applyNumberFormat="1">
      <alignment horizontal="right" vertical="bottom"/>
    </xf>
    <xf borderId="3" fillId="2" fontId="4" numFmtId="0" xfId="0" applyAlignment="1" applyBorder="1" applyFont="1">
      <alignment horizontal="right" vertical="bottom"/>
    </xf>
    <xf borderId="3" fillId="0" fontId="4" numFmtId="166" xfId="0" applyAlignment="1" applyBorder="1" applyFont="1" applyNumberFormat="1">
      <alignment vertical="bottom"/>
    </xf>
    <xf borderId="3" fillId="0" fontId="4" numFmtId="10" xfId="0" applyAlignment="1" applyBorder="1" applyFont="1" applyNumberFormat="1">
      <alignment horizontal="right" vertical="bottom"/>
    </xf>
    <xf borderId="3" fillId="9" fontId="4" numFmtId="166" xfId="0" applyAlignment="1" applyBorder="1" applyFill="1" applyFont="1" applyNumberFormat="1">
      <alignment horizontal="right" vertical="bottom"/>
    </xf>
    <xf borderId="3" fillId="0" fontId="1" numFmtId="0" xfId="0" applyAlignment="1" applyBorder="1" applyFont="1">
      <alignment horizontal="right" vertical="bottom"/>
    </xf>
    <xf borderId="0" fillId="0" fontId="10" numFmtId="165" xfId="0" applyFont="1" applyNumberFormat="1"/>
    <xf borderId="3" fillId="0" fontId="4" numFmtId="10" xfId="0" applyAlignment="1" applyBorder="1" applyFont="1" applyNumberFormat="1">
      <alignment vertical="bottom"/>
    </xf>
    <xf borderId="3" fillId="0" fontId="4" numFmtId="165" xfId="0" applyAlignment="1" applyBorder="1" applyFont="1" applyNumberFormat="1">
      <alignment horizontal="right" readingOrder="0" vertical="bottom"/>
    </xf>
    <xf borderId="3" fillId="0" fontId="4" numFmtId="165" xfId="0" applyAlignment="1" applyBorder="1" applyFont="1" applyNumberFormat="1">
      <alignment horizontal="right" vertical="bottom"/>
    </xf>
    <xf borderId="3" fillId="0" fontId="1" numFmtId="1" xfId="0" applyAlignment="1" applyBorder="1" applyFont="1" applyNumberFormat="1">
      <alignment vertical="bottom"/>
    </xf>
    <xf borderId="0" fillId="9" fontId="3" numFmtId="165" xfId="0" applyFont="1" applyNumberFormat="1"/>
    <xf borderId="0" fillId="8" fontId="3" numFmtId="0" xfId="0" applyAlignment="1" applyFont="1">
      <alignment horizontal="right"/>
    </xf>
    <xf borderId="0" fillId="8" fontId="3" numFmtId="0" xfId="0" applyFont="1"/>
    <xf borderId="0" fillId="0" fontId="2" numFmtId="166" xfId="0" applyFont="1" applyNumberFormat="1"/>
    <xf borderId="0" fillId="4" fontId="15" numFmtId="0" xfId="0" applyFont="1"/>
    <xf borderId="0" fillId="0" fontId="2" numFmtId="165" xfId="0" applyFont="1" applyNumberFormat="1"/>
    <xf borderId="0" fillId="0" fontId="3" numFmtId="2" xfId="0" applyFont="1" applyNumberFormat="1"/>
    <xf borderId="0" fillId="0" fontId="3" numFmtId="167" xfId="0" applyFont="1" applyNumberFormat="1"/>
    <xf borderId="3" fillId="0" fontId="4" numFmtId="165" xfId="0" applyAlignment="1" applyBorder="1" applyFont="1" applyNumberFormat="1">
      <alignment vertical="bottom"/>
    </xf>
    <xf borderId="3" fillId="3" fontId="4" numFmtId="10" xfId="0" applyAlignment="1" applyBorder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3" numFmtId="166" xfId="0" applyFont="1" applyNumberFormat="1"/>
    <xf borderId="0" fillId="10" fontId="2" numFmtId="0" xfId="0" applyAlignment="1" applyFill="1" applyFont="1">
      <alignment horizontal="center"/>
    </xf>
    <xf borderId="0" fillId="11" fontId="2" numFmtId="0" xfId="0" applyFill="1" applyFont="1"/>
    <xf borderId="3" fillId="12" fontId="4" numFmtId="10" xfId="0" applyAlignment="1" applyBorder="1" applyFill="1" applyFont="1" applyNumberFormat="1">
      <alignment horizontal="center" vertical="bottom"/>
    </xf>
    <xf borderId="3" fillId="12" fontId="4" numFmtId="10" xfId="0" applyAlignment="1" applyBorder="1" applyFont="1" applyNumberFormat="1">
      <alignment vertical="bottom"/>
    </xf>
    <xf borderId="3" fillId="0" fontId="4" numFmtId="0" xfId="0" applyAlignment="1" applyBorder="1" applyFont="1">
      <alignment shrinkToFit="0" vertical="bottom" wrapText="0"/>
    </xf>
    <xf borderId="3" fillId="12" fontId="4" numFmtId="2" xfId="0" applyAlignment="1" applyBorder="1" applyFont="1" applyNumberFormat="1">
      <alignment horizontal="center" vertical="bottom"/>
    </xf>
    <xf borderId="3" fillId="12" fontId="16" numFmtId="168" xfId="0" applyAlignment="1" applyBorder="1" applyFont="1" applyNumberFormat="1">
      <alignment horizontal="center" vertical="bottom"/>
    </xf>
    <xf borderId="3" fillId="0" fontId="16" numFmtId="0" xfId="0" applyAlignment="1" applyBorder="1" applyFont="1">
      <alignment horizontal="right" vertical="bottom"/>
    </xf>
    <xf borderId="3" fillId="12" fontId="4" numFmtId="0" xfId="0" applyAlignment="1" applyBorder="1" applyFont="1">
      <alignment vertical="bottom"/>
    </xf>
    <xf borderId="0" fillId="12" fontId="17" numFmtId="165" xfId="0" applyAlignment="1" applyFont="1" applyNumberFormat="1">
      <alignment horizontal="right" shrinkToFit="0" vertical="bottom" wrapText="0"/>
    </xf>
    <xf borderId="0" fillId="12" fontId="3" numFmtId="165" xfId="0" applyFont="1" applyNumberFormat="1"/>
    <xf borderId="3" fillId="12" fontId="16" numFmtId="166" xfId="0" applyAlignment="1" applyBorder="1" applyFont="1" applyNumberFormat="1">
      <alignment horizontal="center" vertical="bottom"/>
    </xf>
    <xf borderId="3" fillId="12" fontId="4" numFmtId="165" xfId="0" applyAlignment="1" applyBorder="1" applyFont="1" applyNumberFormat="1">
      <alignment vertical="bottom"/>
    </xf>
    <xf borderId="3" fillId="12" fontId="4" numFmtId="1" xfId="0" applyAlignment="1" applyBorder="1" applyFont="1" applyNumberFormat="1">
      <alignment horizontal="center" vertical="bottom"/>
    </xf>
    <xf borderId="3" fillId="13" fontId="16" numFmtId="10" xfId="0" applyAlignment="1" applyBorder="1" applyFill="1" applyFont="1" applyNumberFormat="1">
      <alignment horizontal="center" vertical="bottom"/>
    </xf>
    <xf borderId="3" fillId="0" fontId="4" numFmtId="10" xfId="0" applyAlignment="1" applyBorder="1" applyFont="1" applyNumberFormat="1">
      <alignment horizontal="center" vertical="bottom"/>
    </xf>
    <xf borderId="3" fillId="13" fontId="4" numFmtId="0" xfId="0" applyAlignment="1" applyBorder="1" applyFont="1">
      <alignment vertical="bottom"/>
    </xf>
    <xf borderId="3" fillId="13" fontId="4" numFmtId="10" xfId="0" applyAlignment="1" applyBorder="1" applyFont="1" applyNumberFormat="1">
      <alignment horizontal="center" vertical="bottom"/>
    </xf>
    <xf borderId="3" fillId="13" fontId="4" numFmtId="166" xfId="0" applyAlignment="1" applyBorder="1" applyFont="1" applyNumberFormat="1">
      <alignment horizontal="center" vertical="bottom"/>
    </xf>
    <xf borderId="0" fillId="0" fontId="4" numFmtId="165" xfId="0" applyAlignment="1" applyFont="1" applyNumberFormat="1">
      <alignment vertical="bottom"/>
    </xf>
    <xf borderId="3" fillId="0" fontId="18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3" fillId="0" fontId="4" numFmtId="166" xfId="0" applyAlignment="1" applyBorder="1" applyFont="1" applyNumberFormat="1">
      <alignment horizontal="center" vertical="bottom"/>
    </xf>
    <xf borderId="0" fillId="0" fontId="4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7.29"/>
    <col customWidth="1" min="3" max="3" width="15.86"/>
    <col customWidth="1" min="4" max="4" width="16.14"/>
    <col customWidth="1" min="5" max="5" width="8.71"/>
    <col customWidth="1" min="6" max="6" width="23.86"/>
    <col customWidth="1" min="7" max="7" width="22.29"/>
    <col customWidth="1" min="8" max="8" width="8.71"/>
    <col customWidth="1" min="9" max="9" width="15.71"/>
    <col customWidth="1" min="10" max="10" width="11.29"/>
    <col customWidth="1" min="11" max="28" width="8.71"/>
  </cols>
  <sheetData>
    <row r="1" ht="14.25" customHeight="1">
      <c r="A1" s="1"/>
      <c r="B1" s="1" t="s">
        <v>0</v>
      </c>
      <c r="C1" s="1" t="s">
        <v>1</v>
      </c>
      <c r="F1" s="2"/>
      <c r="G1" s="2"/>
    </row>
    <row r="2" ht="14.25" customHeight="1">
      <c r="A2" s="1" t="s">
        <v>2</v>
      </c>
      <c r="B2" s="3" t="s">
        <v>3</v>
      </c>
      <c r="C2" s="3" t="s">
        <v>4</v>
      </c>
    </row>
    <row r="3" ht="14.25" customHeight="1">
      <c r="A3" s="1" t="s">
        <v>5</v>
      </c>
      <c r="B3" s="3" t="s">
        <v>6</v>
      </c>
      <c r="C3" s="3" t="s">
        <v>6</v>
      </c>
    </row>
    <row r="4" ht="14.25" customHeight="1">
      <c r="A4" s="4" t="s">
        <v>7</v>
      </c>
      <c r="B4" s="5">
        <v>0.01375</v>
      </c>
      <c r="C4" s="5">
        <v>0.01375</v>
      </c>
      <c r="D4" s="6" t="s">
        <v>8</v>
      </c>
      <c r="F4" s="7"/>
      <c r="G4" s="7"/>
    </row>
    <row r="5" ht="14.25" customHeight="1">
      <c r="A5" s="1"/>
    </row>
    <row r="6" ht="14.25" customHeight="1">
      <c r="A6" s="1" t="s">
        <v>9</v>
      </c>
      <c r="B6" s="8">
        <v>0.0627</v>
      </c>
      <c r="C6" s="8">
        <v>0.0627</v>
      </c>
      <c r="F6" s="7"/>
      <c r="G6" s="7"/>
    </row>
    <row r="7" ht="14.25" customHeight="1">
      <c r="A7" s="1" t="s">
        <v>10</v>
      </c>
      <c r="B7" s="3">
        <v>0.97</v>
      </c>
      <c r="C7" s="3">
        <v>0.97</v>
      </c>
      <c r="G7" s="9"/>
      <c r="H7" s="6" t="s">
        <v>11</v>
      </c>
      <c r="J7" s="9">
        <v>0.4</v>
      </c>
    </row>
    <row r="8" ht="14.25" customHeight="1">
      <c r="A8" s="1" t="s">
        <v>12</v>
      </c>
      <c r="B8" s="9">
        <v>1.46</v>
      </c>
      <c r="C8" s="9">
        <v>2.47</v>
      </c>
      <c r="F8" s="10"/>
      <c r="G8" s="7"/>
    </row>
    <row r="9" ht="14.25" customHeight="1">
      <c r="A9" s="1" t="s">
        <v>13</v>
      </c>
      <c r="B9" s="3">
        <f>(B7*((1+(1-J7)*B8)))</f>
        <v>1.81972</v>
      </c>
      <c r="C9" s="3">
        <f>(C7*((1+(1-J7)*C8)))</f>
        <v>2.40754</v>
      </c>
    </row>
    <row r="10" ht="14.25" customHeight="1">
      <c r="A10" s="4" t="s">
        <v>14</v>
      </c>
      <c r="B10" s="11">
        <f t="shared" ref="B10:C10" si="1">(B4+B9*B6)</f>
        <v>0.127846444</v>
      </c>
      <c r="C10" s="11">
        <f t="shared" si="1"/>
        <v>0.164702758</v>
      </c>
    </row>
    <row r="11" ht="14.25" customHeight="1">
      <c r="B11" s="10"/>
    </row>
    <row r="12" ht="14.25" customHeight="1"/>
    <row r="13" ht="14.25" customHeight="1">
      <c r="F13" s="10"/>
      <c r="G13" s="10"/>
    </row>
    <row r="14" ht="14.25" customHeight="1">
      <c r="A14" s="1" t="s">
        <v>15</v>
      </c>
      <c r="B14" s="3">
        <f>(-25+222.2+260)/54.9</f>
        <v>8.327868852</v>
      </c>
      <c r="C14" s="3">
        <f>(219.5/23.4)</f>
        <v>9.38034188</v>
      </c>
      <c r="D14" s="7"/>
      <c r="J14" s="12"/>
      <c r="K14" s="12"/>
      <c r="L14" s="12"/>
      <c r="M14" s="12"/>
    </row>
    <row r="15" ht="14.25" customHeight="1">
      <c r="A15" s="1" t="s">
        <v>16</v>
      </c>
      <c r="B15" s="3" t="s">
        <v>17</v>
      </c>
      <c r="C15" s="3" t="s">
        <v>17</v>
      </c>
      <c r="J15" s="12"/>
      <c r="K15" s="12"/>
      <c r="L15" s="12"/>
      <c r="M15" s="12"/>
    </row>
    <row r="16" ht="14.25" customHeight="1">
      <c r="A16" s="1" t="s">
        <v>18</v>
      </c>
      <c r="B16" s="8">
        <v>0.011</v>
      </c>
      <c r="C16" s="8">
        <v>0.011</v>
      </c>
      <c r="F16" s="7"/>
      <c r="G16" s="7"/>
      <c r="J16" s="12"/>
      <c r="K16" s="12"/>
      <c r="L16" s="12"/>
      <c r="M16" s="12"/>
    </row>
    <row r="17" ht="14.25" customHeight="1">
      <c r="A17" s="13" t="s">
        <v>19</v>
      </c>
      <c r="B17" s="9">
        <v>0.0</v>
      </c>
      <c r="C17" s="9">
        <v>0.0</v>
      </c>
      <c r="F17" s="10"/>
      <c r="G17" s="10"/>
      <c r="J17" s="12"/>
      <c r="K17" s="12"/>
      <c r="L17" s="12"/>
      <c r="M17" s="12"/>
    </row>
    <row r="18" ht="14.25" customHeight="1">
      <c r="A18" s="13" t="s">
        <v>20</v>
      </c>
      <c r="B18" s="8">
        <f t="shared" ref="B18:C18" si="2">(B4+B16)</f>
        <v>0.02475</v>
      </c>
      <c r="C18" s="8">
        <f t="shared" si="2"/>
        <v>0.02475</v>
      </c>
      <c r="D18" s="8"/>
      <c r="E18" s="8"/>
      <c r="F18" s="8"/>
      <c r="G18" s="8"/>
      <c r="H18" s="8"/>
      <c r="I18" s="8"/>
      <c r="J18" s="14"/>
      <c r="K18" s="14"/>
      <c r="L18" s="14"/>
      <c r="M18" s="12"/>
    </row>
    <row r="19" ht="14.25" customHeight="1">
      <c r="A19" s="15" t="s">
        <v>21</v>
      </c>
      <c r="B19" s="5">
        <f>B18*(1-J7)</f>
        <v>0.01485</v>
      </c>
      <c r="C19" s="5">
        <f>C18*(1-J7)</f>
        <v>0.01485</v>
      </c>
      <c r="F19" s="16"/>
      <c r="G19" s="17"/>
      <c r="J19" s="12"/>
      <c r="K19" s="12"/>
      <c r="L19" s="12"/>
      <c r="M19" s="12"/>
    </row>
    <row r="20" ht="14.25" customHeight="1">
      <c r="J20" s="12"/>
      <c r="K20" s="12"/>
      <c r="L20" s="12"/>
      <c r="M20" s="12"/>
    </row>
    <row r="21" ht="14.25" customHeight="1">
      <c r="A21" s="18" t="s">
        <v>22</v>
      </c>
      <c r="B21" s="3">
        <f>(149395104*20*1000)/1000000</f>
        <v>2987902.08</v>
      </c>
      <c r="C21" s="3">
        <v>2690334.357</v>
      </c>
      <c r="D21" s="3">
        <f>(2690334.357/1000)</f>
        <v>2690.334357</v>
      </c>
      <c r="J21" s="12"/>
      <c r="K21" s="19"/>
      <c r="L21" s="20"/>
      <c r="M21" s="12"/>
    </row>
    <row r="22" ht="14.25" customHeight="1">
      <c r="A22" s="1" t="s">
        <v>23</v>
      </c>
      <c r="B22" s="3">
        <v>1629268.987</v>
      </c>
      <c r="C22" s="3">
        <f>(1169.278488*1000)</f>
        <v>1169278.488</v>
      </c>
      <c r="D22" s="3">
        <f>C22/1000</f>
        <v>1169.278488</v>
      </c>
      <c r="J22" s="12"/>
      <c r="K22" s="12"/>
      <c r="L22" s="12"/>
      <c r="M22" s="12"/>
    </row>
    <row r="23" ht="14.25" customHeight="1">
      <c r="A23" s="2" t="s">
        <v>24</v>
      </c>
      <c r="B23" s="3">
        <f>(870.1*1000)</f>
        <v>870100</v>
      </c>
      <c r="C23" s="3">
        <f>(235.6*1000)</f>
        <v>235600</v>
      </c>
      <c r="D23" s="3">
        <f>D21+D22</f>
        <v>3859.612845</v>
      </c>
      <c r="J23" s="12"/>
      <c r="K23" s="12"/>
      <c r="L23" s="12"/>
      <c r="M23" s="12"/>
    </row>
    <row r="24" ht="14.25" customHeight="1">
      <c r="A24" s="4" t="s">
        <v>25</v>
      </c>
      <c r="B24" s="5">
        <f t="shared" ref="B24:C24" si="3">(B10*B21+B19*B22)/(B21+B22)</f>
        <v>0.08797319712</v>
      </c>
      <c r="C24" s="11">
        <f t="shared" si="3"/>
        <v>0.1193045242</v>
      </c>
      <c r="F24" s="21"/>
      <c r="G24" s="21"/>
    </row>
    <row r="25" ht="14.25" customHeight="1">
      <c r="A25" s="22" t="s">
        <v>26</v>
      </c>
      <c r="B25" s="23">
        <f>(B10*B23+B19*B28)/(B23+B28)</f>
        <v>0.05630893497</v>
      </c>
      <c r="C25" s="23">
        <f>(C10*C23+C19*C51)/(C51+C23)</f>
        <v>0.04167978173</v>
      </c>
    </row>
    <row r="26" ht="14.25" customHeight="1">
      <c r="A26" s="24" t="s">
        <v>27</v>
      </c>
    </row>
    <row r="27" ht="14.25" customHeight="1">
      <c r="A27" s="1" t="s">
        <v>28</v>
      </c>
    </row>
    <row r="28" ht="14.25" customHeight="1">
      <c r="A28" s="2" t="s">
        <v>29</v>
      </c>
      <c r="B28" s="3">
        <f>(161000+225000+400000+715360)</f>
        <v>1501360</v>
      </c>
    </row>
    <row r="29" ht="14.25" customHeight="1">
      <c r="A29" s="2" t="s">
        <v>30</v>
      </c>
      <c r="B29" s="3">
        <v>54879.0</v>
      </c>
    </row>
    <row r="30" ht="14.25" customHeight="1">
      <c r="A30" s="2" t="s">
        <v>31</v>
      </c>
      <c r="B30" s="3">
        <v>2.0473</v>
      </c>
    </row>
    <row r="31" ht="14.25" customHeight="1">
      <c r="A31" s="2" t="s">
        <v>32</v>
      </c>
      <c r="B31" s="8">
        <v>0.0248</v>
      </c>
    </row>
    <row r="32" ht="14.25" customHeight="1">
      <c r="A32" s="2" t="s">
        <v>33</v>
      </c>
      <c r="B32" s="3">
        <f>B29*(1-(1+B18)^-B30)/B18 + B28/(1+B18)^B30</f>
        <v>1536315.06</v>
      </c>
    </row>
    <row r="33" ht="14.25" customHeight="1">
      <c r="A33" s="2" t="s">
        <v>34</v>
      </c>
      <c r="B33" s="3">
        <v>92953.92657</v>
      </c>
    </row>
    <row r="34" ht="14.25" customHeight="1">
      <c r="A34" s="22" t="s">
        <v>35</v>
      </c>
      <c r="B34" s="22">
        <f>SUM(B32:B33)</f>
        <v>1629268.987</v>
      </c>
    </row>
    <row r="35" ht="14.25" customHeight="1">
      <c r="A35" s="2"/>
    </row>
    <row r="36" ht="14.25" customHeight="1">
      <c r="A36" s="2" t="s">
        <v>36</v>
      </c>
      <c r="B36" s="3">
        <v>1.0</v>
      </c>
      <c r="C36" s="3">
        <v>2.0</v>
      </c>
      <c r="D36" s="3">
        <v>3.0</v>
      </c>
      <c r="E36" s="3">
        <v>4.0</v>
      </c>
      <c r="F36" s="3">
        <v>5.0</v>
      </c>
      <c r="I36" s="3">
        <v>6.0</v>
      </c>
      <c r="J36" s="3">
        <v>7.0</v>
      </c>
    </row>
    <row r="37" ht="14.25" customHeight="1">
      <c r="A37" s="2" t="s">
        <v>37</v>
      </c>
      <c r="B37" s="3">
        <v>10908.0</v>
      </c>
      <c r="C37" s="3">
        <v>14073.0</v>
      </c>
      <c r="D37" s="3">
        <v>14468.0</v>
      </c>
      <c r="E37" s="3">
        <v>14863.0</v>
      </c>
      <c r="F37" s="3">
        <v>14799.0</v>
      </c>
      <c r="I37" s="3">
        <v>16931.0</v>
      </c>
      <c r="J37" s="3">
        <v>16931.0</v>
      </c>
    </row>
    <row r="38" ht="14.25" customHeight="1">
      <c r="A38" s="2" t="s">
        <v>38</v>
      </c>
      <c r="B38" s="3">
        <f>(B37)/(1+B18)^(B36)</f>
        <v>10644.54745</v>
      </c>
      <c r="C38" s="3">
        <f>(C37)/(1+B18)^(C36)</f>
        <v>13401.42048</v>
      </c>
      <c r="D38" s="3">
        <f>(D37)/(1+B18)^(D36)</f>
        <v>13444.81154</v>
      </c>
      <c r="E38" s="3">
        <f>(E37)/(1+B18)^(E36)</f>
        <v>13478.28917</v>
      </c>
      <c r="F38" s="3">
        <f>(F37)/(1+B18)^(F36)</f>
        <v>13096.12269</v>
      </c>
      <c r="I38" s="3">
        <f>(I37)/(1+B18)^(I36)</f>
        <v>14620.93168</v>
      </c>
      <c r="J38" s="3">
        <f>(J37)/(1+B18)^(J36)</f>
        <v>14267.80354</v>
      </c>
    </row>
    <row r="39" ht="14.25" customHeight="1">
      <c r="A39" s="22" t="s">
        <v>39</v>
      </c>
      <c r="B39" s="22">
        <f>SUM(B38:J38)</f>
        <v>92953.92657</v>
      </c>
    </row>
    <row r="40" ht="14.25" customHeight="1">
      <c r="A40" s="2"/>
    </row>
    <row r="41" ht="14.25" customHeight="1">
      <c r="A41" s="2" t="s">
        <v>40</v>
      </c>
      <c r="B41" s="2" t="s">
        <v>41</v>
      </c>
      <c r="C41" s="2" t="s">
        <v>42</v>
      </c>
      <c r="D41" s="2" t="s">
        <v>43</v>
      </c>
    </row>
    <row r="42" ht="14.25" customHeight="1">
      <c r="A42" s="25">
        <f>(705204+290441)</f>
        <v>995645</v>
      </c>
      <c r="B42" s="3">
        <v>1.0</v>
      </c>
      <c r="C42" s="3">
        <f t="shared" ref="C42:C45" si="4">(A42/A$46)</f>
        <v>0.4682816543</v>
      </c>
      <c r="D42" s="3">
        <f>SUMPRODUCT(B42:B45,C42:C45)</f>
        <v>2.047381038</v>
      </c>
    </row>
    <row r="43" ht="14.25" customHeight="1">
      <c r="A43" s="25">
        <f>(212295+221842)</f>
        <v>434137</v>
      </c>
      <c r="B43" s="3">
        <v>2.0</v>
      </c>
      <c r="C43" s="3">
        <f t="shared" si="4"/>
        <v>0.2041876297</v>
      </c>
    </row>
    <row r="44" ht="14.25" customHeight="1">
      <c r="A44" s="25">
        <f>(286000+10385)</f>
        <v>296385</v>
      </c>
      <c r="B44" s="3">
        <v>3.0</v>
      </c>
      <c r="C44" s="3">
        <f t="shared" si="4"/>
        <v>0.1393987396</v>
      </c>
    </row>
    <row r="45" ht="14.25" customHeight="1">
      <c r="A45" s="25">
        <v>400000.0</v>
      </c>
      <c r="B45" s="3">
        <v>4.0</v>
      </c>
      <c r="C45" s="3">
        <f t="shared" si="4"/>
        <v>0.1881319765</v>
      </c>
    </row>
    <row r="46" ht="14.25" customHeight="1">
      <c r="A46" s="25">
        <f>SUM(A42:A45)</f>
        <v>2126167</v>
      </c>
    </row>
    <row r="47" ht="14.25" customHeight="1"/>
    <row r="48" ht="14.25" customHeight="1"/>
    <row r="49" ht="14.25" customHeight="1">
      <c r="A49" s="24" t="s">
        <v>44</v>
      </c>
    </row>
    <row r="50" ht="14.25" customHeight="1"/>
    <row r="51" ht="14.25" customHeight="1">
      <c r="A51" s="2" t="s">
        <v>45</v>
      </c>
      <c r="B51" s="25">
        <f>(5.8+1074.5)</f>
        <v>1080.3</v>
      </c>
      <c r="C51" s="25">
        <f>(5.8+1074.5)*1000</f>
        <v>1080300</v>
      </c>
    </row>
    <row r="52" ht="14.25" customHeight="1">
      <c r="A52" s="2" t="s">
        <v>46</v>
      </c>
      <c r="B52" s="25">
        <v>46.0</v>
      </c>
    </row>
    <row r="53" ht="14.25" customHeight="1">
      <c r="A53" s="2" t="s">
        <v>31</v>
      </c>
      <c r="B53" s="3">
        <v>4.365</v>
      </c>
    </row>
    <row r="54" ht="14.25" customHeight="1">
      <c r="A54" s="2" t="s">
        <v>32</v>
      </c>
      <c r="B54" s="3">
        <v>2.48</v>
      </c>
    </row>
    <row r="55" ht="14.25" customHeight="1">
      <c r="A55" s="2" t="s">
        <v>33</v>
      </c>
      <c r="B55" s="25">
        <f>(B52*(1-(1+C18)^-B53)/C18+B51/(1+C18)^B53)</f>
        <v>1159.079143</v>
      </c>
    </row>
    <row r="56" ht="14.25" customHeight="1">
      <c r="A56" s="2" t="s">
        <v>34</v>
      </c>
      <c r="B56" s="3">
        <v>10.19934436</v>
      </c>
    </row>
    <row r="57" ht="14.25" customHeight="1">
      <c r="A57" s="4" t="s">
        <v>35</v>
      </c>
      <c r="B57" s="26">
        <f>SUM(B55:B56)</f>
        <v>1169.278488</v>
      </c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 t="s">
        <v>36</v>
      </c>
      <c r="B61" s="3">
        <v>1.0</v>
      </c>
      <c r="C61" s="3">
        <v>2.0</v>
      </c>
      <c r="D61" s="3">
        <v>3.0</v>
      </c>
      <c r="E61" s="3">
        <v>4.0</v>
      </c>
      <c r="F61" s="3">
        <v>5.0</v>
      </c>
      <c r="I61" s="27"/>
    </row>
    <row r="62" ht="14.25" customHeight="1">
      <c r="A62" s="2" t="s">
        <v>47</v>
      </c>
      <c r="B62" s="25">
        <v>3.9</v>
      </c>
      <c r="C62" s="25">
        <v>2.3</v>
      </c>
      <c r="D62" s="25">
        <v>2.2</v>
      </c>
      <c r="E62" s="25">
        <v>1.6</v>
      </c>
      <c r="F62" s="25">
        <v>0.8</v>
      </c>
    </row>
    <row r="63" ht="14.25" customHeight="1">
      <c r="A63" s="2" t="s">
        <v>48</v>
      </c>
      <c r="B63" s="25">
        <f t="shared" ref="B63:F63" si="5">(B62/((1+$C$18)^B61))</f>
        <v>3.805806294</v>
      </c>
      <c r="C63" s="25">
        <f t="shared" si="5"/>
        <v>2.190241391</v>
      </c>
      <c r="D63" s="25">
        <f t="shared" si="5"/>
        <v>2.044414252</v>
      </c>
      <c r="E63" s="25">
        <f t="shared" si="5"/>
        <v>1.450936061</v>
      </c>
      <c r="F63" s="25">
        <f t="shared" si="5"/>
        <v>0.7079463583</v>
      </c>
    </row>
    <row r="64" ht="14.25" customHeight="1">
      <c r="A64" s="22" t="s">
        <v>49</v>
      </c>
      <c r="B64" s="28">
        <f>SUM(B63:F63)</f>
        <v>10.19934436</v>
      </c>
    </row>
    <row r="65" ht="14.25" customHeight="1">
      <c r="A65" s="2" t="s">
        <v>50</v>
      </c>
      <c r="B65" s="2" t="s">
        <v>51</v>
      </c>
      <c r="C65" s="2" t="s">
        <v>42</v>
      </c>
      <c r="D65" s="2" t="s">
        <v>52</v>
      </c>
    </row>
    <row r="66" ht="14.25" customHeight="1">
      <c r="A66" s="25">
        <v>10.1</v>
      </c>
      <c r="B66" s="3">
        <v>1.0</v>
      </c>
      <c r="C66" s="3">
        <f t="shared" ref="C66:C71" si="6">(A66/$A$72)</f>
        <v>0.009177646524</v>
      </c>
      <c r="D66" s="3">
        <f>SUMPRODUCT(B66:B71,C66:C71)</f>
        <v>4.365651976</v>
      </c>
    </row>
    <row r="67" ht="14.25" customHeight="1">
      <c r="A67" s="25">
        <v>10.1</v>
      </c>
      <c r="B67" s="3">
        <v>2.0</v>
      </c>
      <c r="C67" s="3">
        <f t="shared" si="6"/>
        <v>0.009177646524</v>
      </c>
    </row>
    <row r="68" ht="14.25" customHeight="1">
      <c r="A68" s="25">
        <v>9.7</v>
      </c>
      <c r="B68" s="3">
        <v>3.0</v>
      </c>
      <c r="C68" s="3">
        <f t="shared" si="6"/>
        <v>0.008814175375</v>
      </c>
    </row>
    <row r="69" ht="14.25" customHeight="1">
      <c r="A69" s="25">
        <v>682.4</v>
      </c>
      <c r="B69" s="3">
        <v>4.0</v>
      </c>
      <c r="C69" s="3">
        <f t="shared" si="6"/>
        <v>0.620081781</v>
      </c>
    </row>
    <row r="70" ht="14.25" customHeight="1">
      <c r="A70" s="25">
        <v>313.8</v>
      </c>
      <c r="B70" s="3">
        <v>5.0</v>
      </c>
      <c r="C70" s="3">
        <f t="shared" si="6"/>
        <v>0.2851431168</v>
      </c>
    </row>
    <row r="71" ht="14.25" customHeight="1">
      <c r="A71" s="25">
        <v>74.4</v>
      </c>
      <c r="B71" s="3">
        <v>6.0</v>
      </c>
      <c r="C71" s="3">
        <f t="shared" si="6"/>
        <v>0.0676056338</v>
      </c>
    </row>
    <row r="72" ht="14.25" customHeight="1">
      <c r="A72" s="25">
        <f>SUM(A66:A71)</f>
        <v>1100.5</v>
      </c>
    </row>
    <row r="73" ht="14.25" customHeight="1"/>
    <row r="74" ht="14.25" customHeight="1"/>
    <row r="75" ht="14.25" customHeight="1">
      <c r="B75" s="29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>
      <c r="G93" s="3" t="s">
        <v>53</v>
      </c>
      <c r="H93" s="3" t="s">
        <v>54</v>
      </c>
    </row>
    <row r="94" ht="14.25" customHeight="1">
      <c r="G94" s="3">
        <v>32.72</v>
      </c>
      <c r="H94" s="3">
        <v>31.49</v>
      </c>
    </row>
    <row r="95" ht="14.25" customHeight="1">
      <c r="G95" s="3">
        <v>7267719.0</v>
      </c>
      <c r="H95" s="3">
        <v>8.5434562E7</v>
      </c>
    </row>
    <row r="96" ht="14.25" customHeight="1"/>
    <row r="97" ht="14.25" customHeight="1">
      <c r="G97" s="3">
        <f>(G94*G98+H94*H95)/1000</f>
        <v>2690334.357</v>
      </c>
    </row>
    <row r="98" ht="14.25" customHeight="1"/>
    <row r="99" ht="14.25" customHeight="1"/>
    <row r="100" ht="14.25" customHeight="1"/>
    <row r="101" ht="14.25" customHeight="1">
      <c r="G101" s="3">
        <v>2690334.357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H7:I7"/>
  </mergeCells>
  <conditionalFormatting sqref="F19">
    <cfRule type="notContainsBlanks" dxfId="0" priority="1">
      <formula>LEN(TRIM(F19))&gt;0</formula>
    </cfRule>
  </conditionalFormatting>
  <conditionalFormatting sqref="F19">
    <cfRule type="notContainsBlanks" dxfId="0" priority="2">
      <formula>LEN(TRIM(F19))&gt;0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22.43"/>
    <col customWidth="1" min="3" max="3" width="31.57"/>
    <col customWidth="1" min="4" max="4" width="23.29"/>
    <col customWidth="1" min="5" max="5" width="18.29"/>
    <col customWidth="1" min="6" max="6" width="23.43"/>
    <col customWidth="1" min="7" max="26" width="8.71"/>
  </cols>
  <sheetData>
    <row r="1" ht="14.25" customHeight="1">
      <c r="B1" s="2" t="s">
        <v>55</v>
      </c>
      <c r="C1" s="2" t="s">
        <v>56</v>
      </c>
      <c r="D1" s="30" t="s">
        <v>57</v>
      </c>
      <c r="E1" s="2" t="s">
        <v>58</v>
      </c>
      <c r="F1" s="2" t="s">
        <v>59</v>
      </c>
    </row>
    <row r="2" ht="14.25" customHeight="1">
      <c r="A2" s="2" t="s">
        <v>60</v>
      </c>
      <c r="B2" s="25">
        <v>2347419.0</v>
      </c>
      <c r="C2" s="25">
        <v>1536.7</v>
      </c>
      <c r="D2" s="25">
        <f>(2399.6*1000)</f>
        <v>2399600</v>
      </c>
      <c r="E2" s="25">
        <v>1467.5</v>
      </c>
      <c r="F2" s="31">
        <v>3884.1</v>
      </c>
    </row>
    <row r="3" ht="14.25" customHeight="1">
      <c r="A3" s="2" t="s">
        <v>61</v>
      </c>
      <c r="B3" s="25">
        <v>19.2</v>
      </c>
      <c r="C3" s="25">
        <f>(236.5+111.5)</f>
        <v>348</v>
      </c>
    </row>
    <row r="4" ht="14.25" customHeight="1">
      <c r="A4" s="2" t="s">
        <v>62</v>
      </c>
      <c r="B4" s="10">
        <v>0.4</v>
      </c>
      <c r="C4" s="10">
        <v>0.4</v>
      </c>
    </row>
    <row r="5" ht="14.25" customHeight="1">
      <c r="A5" s="2" t="s">
        <v>63</v>
      </c>
      <c r="B5" s="25">
        <f>(B3-B4*B3)</f>
        <v>11.52</v>
      </c>
      <c r="C5" s="25">
        <f>(C3*(1-C4))</f>
        <v>208.8</v>
      </c>
      <c r="F5" s="25">
        <v>350.0</v>
      </c>
    </row>
    <row r="6" ht="14.25" customHeight="1">
      <c r="A6" s="2"/>
    </row>
    <row r="7" ht="14.25" customHeight="1">
      <c r="A7" s="2"/>
    </row>
    <row r="8" ht="14.25" customHeight="1">
      <c r="A8" s="2"/>
    </row>
    <row r="9" ht="14.25" customHeight="1">
      <c r="A9" s="2"/>
    </row>
    <row r="10" ht="14.25" customHeight="1">
      <c r="A10" s="2" t="s">
        <v>64</v>
      </c>
      <c r="B10" s="32">
        <v>355735.0</v>
      </c>
      <c r="C10" s="33">
        <v>669.8</v>
      </c>
      <c r="D10" s="33">
        <v>285819.0</v>
      </c>
      <c r="E10" s="34">
        <v>636.1</v>
      </c>
    </row>
    <row r="11" ht="14.25" customHeight="1">
      <c r="A11" s="2" t="s">
        <v>65</v>
      </c>
      <c r="B11" s="33">
        <v>90837.0</v>
      </c>
      <c r="C11" s="34">
        <v>291.6</v>
      </c>
      <c r="D11" s="33">
        <v>121451.0</v>
      </c>
      <c r="E11" s="34">
        <v>350.2</v>
      </c>
    </row>
    <row r="12" ht="14.25" customHeight="1">
      <c r="A12" s="2" t="s">
        <v>66</v>
      </c>
      <c r="B12" s="33">
        <v>57742.0</v>
      </c>
      <c r="C12" s="34">
        <v>10.7</v>
      </c>
      <c r="D12" s="33">
        <v>102697.0</v>
      </c>
      <c r="E12" s="34">
        <v>13.4</v>
      </c>
    </row>
    <row r="13" ht="14.25" customHeight="1">
      <c r="A13" s="2" t="s">
        <v>67</v>
      </c>
      <c r="B13" s="35">
        <f t="shared" ref="B13:E13" si="1">(B10-B11-B12)</f>
        <v>207156</v>
      </c>
      <c r="C13" s="35">
        <f t="shared" si="1"/>
        <v>367.5</v>
      </c>
      <c r="D13" s="35">
        <f t="shared" si="1"/>
        <v>61671</v>
      </c>
      <c r="E13" s="35">
        <f t="shared" si="1"/>
        <v>272.5</v>
      </c>
    </row>
    <row r="14" ht="14.25" customHeight="1">
      <c r="A14" s="22" t="s">
        <v>68</v>
      </c>
      <c r="B14" s="28">
        <f t="shared" ref="B14:C14" si="2">(B13-D13)</f>
        <v>145485</v>
      </c>
      <c r="C14" s="28">
        <f t="shared" si="2"/>
        <v>95</v>
      </c>
      <c r="F14" s="25">
        <f>(B14+C14)</f>
        <v>145580</v>
      </c>
    </row>
    <row r="15" ht="14.25" customHeight="1">
      <c r="A15" s="2"/>
    </row>
    <row r="16" ht="14.25" customHeight="1">
      <c r="A16" s="2"/>
    </row>
    <row r="17" ht="14.25" customHeight="1">
      <c r="A17" s="2" t="s">
        <v>69</v>
      </c>
      <c r="B17" s="25">
        <v>18433.0</v>
      </c>
      <c r="C17" s="3">
        <v>89.2</v>
      </c>
      <c r="D17" s="25">
        <v>17013.0</v>
      </c>
      <c r="E17" s="3">
        <v>89.8</v>
      </c>
    </row>
    <row r="18" ht="14.25" customHeight="1">
      <c r="A18" s="2" t="s">
        <v>70</v>
      </c>
      <c r="B18" s="25">
        <f t="shared" ref="B18:C18" si="3">(B17-D17)</f>
        <v>1420</v>
      </c>
      <c r="C18" s="25">
        <f t="shared" si="3"/>
        <v>-0.6</v>
      </c>
    </row>
    <row r="19" ht="14.25" customHeight="1">
      <c r="A19" s="2" t="s">
        <v>71</v>
      </c>
      <c r="B19" s="25">
        <v>750.0</v>
      </c>
      <c r="C19" s="3">
        <v>0.0</v>
      </c>
    </row>
    <row r="20" ht="14.25" customHeight="1">
      <c r="A20" s="2" t="s">
        <v>72</v>
      </c>
      <c r="B20" s="25">
        <f t="shared" ref="B20:C20" si="4">SUM(B21:B22)</f>
        <v>15254</v>
      </c>
      <c r="C20" s="25">
        <f t="shared" si="4"/>
        <v>18.4</v>
      </c>
    </row>
    <row r="21" ht="14.25" customHeight="1">
      <c r="A21" s="2" t="s">
        <v>73</v>
      </c>
      <c r="B21" s="25">
        <v>13084.0</v>
      </c>
      <c r="C21" s="3">
        <v>19.0</v>
      </c>
    </row>
    <row r="22" ht="14.25" customHeight="1">
      <c r="A22" s="22" t="s">
        <v>74</v>
      </c>
      <c r="B22" s="28">
        <f t="shared" ref="B22:C22" si="5">SUM(B18:B19)</f>
        <v>2170</v>
      </c>
      <c r="C22" s="28">
        <f t="shared" si="5"/>
        <v>-0.6</v>
      </c>
      <c r="F22" s="25">
        <f>(B22+C22)</f>
        <v>2169.4</v>
      </c>
    </row>
    <row r="23" ht="14.25" customHeight="1"/>
    <row r="24" ht="14.25" customHeight="1"/>
    <row r="25" ht="14.25" customHeight="1"/>
    <row r="26" ht="14.25" customHeight="1">
      <c r="G26" s="3" t="s">
        <v>75</v>
      </c>
    </row>
    <row r="27" ht="14.25" customHeight="1">
      <c r="G27" s="3" t="s">
        <v>76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G9:K9"/>
    <mergeCell ref="G27:K2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0"/>
    <col customWidth="1" min="3" max="3" width="19.57"/>
    <col customWidth="1" min="4" max="4" width="23.86"/>
    <col customWidth="1" min="5" max="5" width="22.29"/>
    <col customWidth="1" min="8" max="8" width="29.57"/>
    <col customWidth="1" min="9" max="10" width="35.71"/>
    <col customWidth="1" min="14" max="14" width="26.14"/>
    <col customWidth="1" min="16" max="16" width="24.43"/>
  </cols>
  <sheetData>
    <row r="1">
      <c r="A1" s="36" t="s">
        <v>77</v>
      </c>
      <c r="C1" s="37">
        <v>0.4</v>
      </c>
      <c r="D1" s="38"/>
      <c r="E1" s="38"/>
      <c r="F1" s="39"/>
      <c r="G1" s="40" t="s">
        <v>78</v>
      </c>
      <c r="H1" s="41"/>
      <c r="I1" s="42"/>
      <c r="J1" s="43"/>
      <c r="K1" s="38"/>
      <c r="L1" s="38"/>
      <c r="M1" s="38"/>
      <c r="N1" s="38"/>
      <c r="O1" s="38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>
      <c r="A3" s="44" t="s">
        <v>79</v>
      </c>
      <c r="B3" s="44" t="s">
        <v>80</v>
      </c>
      <c r="C3" s="44" t="s">
        <v>81</v>
      </c>
      <c r="D3" s="44" t="s">
        <v>82</v>
      </c>
      <c r="E3" s="44" t="s">
        <v>83</v>
      </c>
      <c r="F3" s="44" t="s">
        <v>84</v>
      </c>
      <c r="G3" s="44" t="s">
        <v>85</v>
      </c>
      <c r="H3" s="44" t="s">
        <v>86</v>
      </c>
      <c r="I3" s="44" t="s">
        <v>87</v>
      </c>
      <c r="J3" s="44" t="s">
        <v>88</v>
      </c>
      <c r="K3" s="44" t="s">
        <v>89</v>
      </c>
      <c r="L3" s="44" t="s">
        <v>90</v>
      </c>
      <c r="M3" s="44" t="s">
        <v>91</v>
      </c>
      <c r="N3" s="44" t="s">
        <v>92</v>
      </c>
      <c r="O3" s="44" t="s">
        <v>93</v>
      </c>
    </row>
    <row r="4">
      <c r="A4" s="45" t="s">
        <v>94</v>
      </c>
      <c r="B4" s="31">
        <v>2347.4</v>
      </c>
      <c r="C4" s="46"/>
      <c r="D4" s="25">
        <v>175.8</v>
      </c>
      <c r="E4" s="47"/>
      <c r="F4" s="48">
        <f t="shared" ref="F4:F14" si="1">D4*(1-$C$1)</f>
        <v>105.48</v>
      </c>
      <c r="G4" s="49">
        <f>(D4/B4)</f>
        <v>0.07489136917</v>
      </c>
      <c r="H4" s="39"/>
      <c r="I4" s="49">
        <f>(('CASH FLOW '!B22+'CASH FLOW '!B14)/(1000*F22*(1-$C$1)))</f>
        <v>1.399838832</v>
      </c>
      <c r="J4" s="50">
        <v>1.63</v>
      </c>
      <c r="K4" s="39">
        <f>(F4*I4)</f>
        <v>147.655</v>
      </c>
      <c r="L4" s="51">
        <f t="shared" ref="L4:L14" si="2">(F4-K4)</f>
        <v>-42.175</v>
      </c>
      <c r="M4" s="48">
        <f>(WACC!B21+WACC!B22-'CASH FLOW '!B12)/1000</f>
        <v>4559.429067</v>
      </c>
      <c r="N4" s="52">
        <f t="shared" ref="N4:N14" si="3">(D4/M4)</f>
        <v>0.03855745915</v>
      </c>
      <c r="O4" s="53"/>
    </row>
    <row r="5">
      <c r="A5" s="54">
        <v>1.0</v>
      </c>
      <c r="B5" s="55">
        <f t="shared" ref="B5:B14" si="4">(B4+C5*B4)</f>
        <v>2699.51</v>
      </c>
      <c r="C5" s="56">
        <v>0.15</v>
      </c>
      <c r="D5" s="57" t="s">
        <v>95</v>
      </c>
      <c r="E5" s="52" t="str">
        <f t="shared" ref="E5:E14" si="5">(D5-D4)/D4</f>
        <v>#VALUE!</v>
      </c>
      <c r="F5" s="48" t="str">
        <f t="shared" si="1"/>
        <v>#VALUE!</v>
      </c>
      <c r="G5" s="52">
        <f>(G4+($G$14-G4)/2)</f>
        <v>0.1424456846</v>
      </c>
      <c r="H5" s="48">
        <f t="shared" ref="H5:H14" si="6">(B5-B4)</f>
        <v>352.11</v>
      </c>
      <c r="I5" s="52" t="str">
        <f t="shared" ref="I5:I14" si="7">(K5/F5)</f>
        <v>#VALUE!</v>
      </c>
      <c r="J5" s="52"/>
      <c r="K5" s="39">
        <f t="shared" ref="K5:K14" si="8">(H5/$J$4)</f>
        <v>216.0184049</v>
      </c>
      <c r="L5" s="51" t="str">
        <f t="shared" si="2"/>
        <v>#VALUE!</v>
      </c>
      <c r="M5" s="48">
        <f t="shared" ref="M5:M14" si="9">(M4+K5)</f>
        <v>4775.447472</v>
      </c>
      <c r="N5" s="52" t="str">
        <f t="shared" si="3"/>
        <v>#VALUE!</v>
      </c>
      <c r="O5" s="53" t="str">
        <f>(L5/(1+WACC!$B$24)^A5)</f>
        <v>#VALUE!</v>
      </c>
    </row>
    <row r="6">
      <c r="A6" s="54">
        <v>2.0</v>
      </c>
      <c r="B6" s="55">
        <f t="shared" si="4"/>
        <v>3067.693169</v>
      </c>
      <c r="C6" s="56">
        <f t="shared" ref="C6:C13" si="10">(C5-($C$5-$C$14)/9)</f>
        <v>0.1363888889</v>
      </c>
      <c r="D6" s="58">
        <f t="shared" ref="D6:D14" si="11">(B6*G6)</f>
        <v>457.7032448</v>
      </c>
      <c r="E6" s="52" t="str">
        <f t="shared" si="5"/>
        <v>#VALUE!</v>
      </c>
      <c r="F6" s="48">
        <f t="shared" si="1"/>
        <v>274.6219469</v>
      </c>
      <c r="G6" s="52">
        <f t="shared" ref="G6:G13" si="12">(G5+($G$14-G5)/10)</f>
        <v>0.1492011161</v>
      </c>
      <c r="H6" s="48">
        <f t="shared" si="6"/>
        <v>368.1831694</v>
      </c>
      <c r="I6" s="52">
        <f t="shared" si="7"/>
        <v>0.8225098089</v>
      </c>
      <c r="J6" s="52"/>
      <c r="K6" s="39">
        <f t="shared" si="8"/>
        <v>225.8792451</v>
      </c>
      <c r="L6" s="51">
        <f t="shared" si="2"/>
        <v>48.74270183</v>
      </c>
      <c r="M6" s="48">
        <f t="shared" si="9"/>
        <v>5001.326717</v>
      </c>
      <c r="N6" s="52">
        <f t="shared" si="3"/>
        <v>0.0915163657</v>
      </c>
      <c r="O6" s="53">
        <f>(L6/(1+WACC!$B$24)^A6)</f>
        <v>41.17875442</v>
      </c>
    </row>
    <row r="7">
      <c r="A7" s="54">
        <v>3.0</v>
      </c>
      <c r="B7" s="55">
        <f t="shared" si="4"/>
        <v>3444.33772</v>
      </c>
      <c r="C7" s="56">
        <f t="shared" si="10"/>
        <v>0.1227777778</v>
      </c>
      <c r="D7" s="58">
        <f t="shared" si="11"/>
        <v>534.840221</v>
      </c>
      <c r="E7" s="52">
        <f t="shared" si="5"/>
        <v>0.1685305426</v>
      </c>
      <c r="F7" s="48">
        <f t="shared" si="1"/>
        <v>320.9041326</v>
      </c>
      <c r="G7" s="52">
        <f t="shared" si="12"/>
        <v>0.1552810045</v>
      </c>
      <c r="H7" s="48">
        <f t="shared" si="6"/>
        <v>376.6445502</v>
      </c>
      <c r="I7" s="52">
        <f t="shared" si="7"/>
        <v>0.7200601449</v>
      </c>
      <c r="J7" s="52"/>
      <c r="K7" s="39">
        <f t="shared" si="8"/>
        <v>231.0702762</v>
      </c>
      <c r="L7" s="51">
        <f t="shared" si="2"/>
        <v>89.83385638</v>
      </c>
      <c r="M7" s="48">
        <f t="shared" si="9"/>
        <v>5232.396993</v>
      </c>
      <c r="N7" s="52">
        <f t="shared" si="3"/>
        <v>0.1022170569</v>
      </c>
      <c r="O7" s="53">
        <f>(L7/(1+WACC!$B$24)^A7)</f>
        <v>69.75662405</v>
      </c>
    </row>
    <row r="8">
      <c r="A8" s="54">
        <v>4.0</v>
      </c>
      <c r="B8" s="55">
        <f t="shared" si="4"/>
        <v>3820.344587</v>
      </c>
      <c r="C8" s="56">
        <f t="shared" si="10"/>
        <v>0.1091666667</v>
      </c>
      <c r="D8" s="58">
        <f t="shared" si="11"/>
        <v>614.131487</v>
      </c>
      <c r="E8" s="52">
        <f t="shared" si="5"/>
        <v>0.1482522496</v>
      </c>
      <c r="F8" s="48">
        <f t="shared" si="1"/>
        <v>368.4788922</v>
      </c>
      <c r="G8" s="52">
        <f t="shared" si="12"/>
        <v>0.1607529041</v>
      </c>
      <c r="H8" s="48">
        <f t="shared" si="6"/>
        <v>376.0068677</v>
      </c>
      <c r="I8" s="52">
        <f t="shared" si="7"/>
        <v>0.6260305946</v>
      </c>
      <c r="J8" s="52"/>
      <c r="K8" s="39">
        <f t="shared" si="8"/>
        <v>230.67906</v>
      </c>
      <c r="L8" s="51">
        <f t="shared" si="2"/>
        <v>137.7998322</v>
      </c>
      <c r="M8" s="48">
        <f t="shared" si="9"/>
        <v>5463.076053</v>
      </c>
      <c r="N8" s="52">
        <f t="shared" si="3"/>
        <v>0.112414962</v>
      </c>
      <c r="O8" s="53">
        <f>(L8/(1+WACC!$B$24)^A8)</f>
        <v>98.35034852</v>
      </c>
    </row>
    <row r="9">
      <c r="A9" s="54">
        <v>5.0</v>
      </c>
      <c r="B9" s="55">
        <f t="shared" si="4"/>
        <v>4185.399737</v>
      </c>
      <c r="C9" s="56">
        <f t="shared" si="10"/>
        <v>0.09555555556</v>
      </c>
      <c r="D9" s="58">
        <f t="shared" si="11"/>
        <v>693.4270406</v>
      </c>
      <c r="E9" s="52">
        <f t="shared" si="5"/>
        <v>0.1291182024</v>
      </c>
      <c r="F9" s="48">
        <f t="shared" si="1"/>
        <v>416.0562244</v>
      </c>
      <c r="G9" s="52">
        <f t="shared" si="12"/>
        <v>0.1656776137</v>
      </c>
      <c r="H9" s="48">
        <f t="shared" si="6"/>
        <v>365.0551495</v>
      </c>
      <c r="I9" s="52">
        <f t="shared" si="7"/>
        <v>0.5382931471</v>
      </c>
      <c r="J9" s="52"/>
      <c r="K9" s="39">
        <f t="shared" si="8"/>
        <v>223.9602144</v>
      </c>
      <c r="L9" s="51">
        <f t="shared" si="2"/>
        <v>192.09601</v>
      </c>
      <c r="M9" s="48">
        <f t="shared" si="9"/>
        <v>5687.036268</v>
      </c>
      <c r="N9" s="52">
        <f t="shared" si="3"/>
        <v>0.1219311796</v>
      </c>
      <c r="O9" s="53">
        <f>(L9/(1+WACC!$B$24)^A9)</f>
        <v>126.0164852</v>
      </c>
    </row>
    <row r="10">
      <c r="A10" s="54">
        <v>6.0</v>
      </c>
      <c r="B10" s="55">
        <f t="shared" si="4"/>
        <v>4528.369993</v>
      </c>
      <c r="C10" s="56">
        <f t="shared" si="10"/>
        <v>0.08194444444</v>
      </c>
      <c r="D10" s="58">
        <f t="shared" si="11"/>
        <v>770.3203507</v>
      </c>
      <c r="E10" s="52">
        <f t="shared" si="5"/>
        <v>0.1108888254</v>
      </c>
      <c r="F10" s="48">
        <f t="shared" si="1"/>
        <v>462.1922104</v>
      </c>
      <c r="G10" s="52">
        <f t="shared" si="12"/>
        <v>0.1701098523</v>
      </c>
      <c r="H10" s="48">
        <f t="shared" si="6"/>
        <v>342.9702562</v>
      </c>
      <c r="I10" s="52">
        <f t="shared" si="7"/>
        <v>0.4552460976</v>
      </c>
      <c r="J10" s="52"/>
      <c r="K10" s="39">
        <f t="shared" si="8"/>
        <v>210.4112001</v>
      </c>
      <c r="L10" s="51">
        <f t="shared" si="2"/>
        <v>251.7810103</v>
      </c>
      <c r="M10" s="48">
        <f t="shared" si="9"/>
        <v>5897.447468</v>
      </c>
      <c r="N10" s="52">
        <f t="shared" si="3"/>
        <v>0.1306192815</v>
      </c>
      <c r="O10" s="53">
        <f>(L10/(1+WACC!$B$24)^A10)</f>
        <v>151.8146887</v>
      </c>
    </row>
    <row r="11">
      <c r="A11" s="54">
        <v>7.0</v>
      </c>
      <c r="B11" s="55">
        <f t="shared" si="4"/>
        <v>4837.808609</v>
      </c>
      <c r="C11" s="56">
        <f t="shared" si="10"/>
        <v>0.06833333333</v>
      </c>
      <c r="D11" s="58">
        <f t="shared" si="11"/>
        <v>842.2569979</v>
      </c>
      <c r="E11" s="52">
        <f t="shared" si="5"/>
        <v>0.09338536524</v>
      </c>
      <c r="F11" s="48">
        <f t="shared" si="1"/>
        <v>505.3541988</v>
      </c>
      <c r="G11" s="52">
        <f t="shared" si="12"/>
        <v>0.1740988671</v>
      </c>
      <c r="H11" s="48">
        <f t="shared" si="6"/>
        <v>309.4386162</v>
      </c>
      <c r="I11" s="52">
        <f t="shared" si="7"/>
        <v>0.3756566034</v>
      </c>
      <c r="J11" s="52"/>
      <c r="K11" s="39">
        <f t="shared" si="8"/>
        <v>189.8396418</v>
      </c>
      <c r="L11" s="51">
        <f t="shared" si="2"/>
        <v>315.5145569</v>
      </c>
      <c r="M11" s="48">
        <f t="shared" si="9"/>
        <v>6087.28711</v>
      </c>
      <c r="N11" s="52">
        <f t="shared" si="3"/>
        <v>0.1383632779</v>
      </c>
      <c r="O11" s="53">
        <f>(L11/(1+WACC!$B$24)^A11)</f>
        <v>174.860625</v>
      </c>
    </row>
    <row r="12">
      <c r="A12" s="54">
        <v>8.0</v>
      </c>
      <c r="B12" s="55">
        <f t="shared" si="4"/>
        <v>5102.544247</v>
      </c>
      <c r="C12" s="56">
        <f t="shared" si="10"/>
        <v>0.05472222222</v>
      </c>
      <c r="D12" s="58">
        <f t="shared" si="11"/>
        <v>906.6658845</v>
      </c>
      <c r="E12" s="52">
        <f t="shared" si="5"/>
        <v>0.0764717737</v>
      </c>
      <c r="F12" s="48">
        <f t="shared" si="1"/>
        <v>543.9995307</v>
      </c>
      <c r="G12" s="52">
        <f t="shared" si="12"/>
        <v>0.1776889804</v>
      </c>
      <c r="H12" s="48">
        <f t="shared" si="6"/>
        <v>264.7356378</v>
      </c>
      <c r="I12" s="52">
        <f t="shared" si="7"/>
        <v>0.2985563269</v>
      </c>
      <c r="J12" s="52"/>
      <c r="K12" s="39">
        <f t="shared" si="8"/>
        <v>162.4145017</v>
      </c>
      <c r="L12" s="51">
        <f t="shared" si="2"/>
        <v>381.585029</v>
      </c>
      <c r="M12" s="48">
        <f t="shared" si="9"/>
        <v>6249.701611</v>
      </c>
      <c r="N12" s="52">
        <f t="shared" si="3"/>
        <v>0.1450734676</v>
      </c>
      <c r="O12" s="53">
        <f>(L12/(1+WACC!$B$24)^A12)</f>
        <v>194.3773944</v>
      </c>
    </row>
    <row r="13">
      <c r="A13" s="45">
        <v>9.0</v>
      </c>
      <c r="B13" s="55">
        <f t="shared" si="4"/>
        <v>5312.315511</v>
      </c>
      <c r="C13" s="56">
        <f t="shared" si="10"/>
        <v>0.04111111111</v>
      </c>
      <c r="D13" s="58">
        <f t="shared" si="11"/>
        <v>961.1045595</v>
      </c>
      <c r="E13" s="52">
        <f t="shared" si="5"/>
        <v>0.06004270805</v>
      </c>
      <c r="F13" s="48">
        <f t="shared" si="1"/>
        <v>576.6627357</v>
      </c>
      <c r="G13" s="52">
        <f t="shared" si="12"/>
        <v>0.1809200823</v>
      </c>
      <c r="H13" s="48">
        <f t="shared" si="6"/>
        <v>209.7712635</v>
      </c>
      <c r="I13" s="52">
        <f t="shared" si="7"/>
        <v>0.2231703537</v>
      </c>
      <c r="J13" s="52"/>
      <c r="K13" s="39">
        <f t="shared" si="8"/>
        <v>128.6940267</v>
      </c>
      <c r="L13" s="51">
        <f t="shared" si="2"/>
        <v>447.968709</v>
      </c>
      <c r="M13" s="48">
        <f t="shared" si="9"/>
        <v>6378.395638</v>
      </c>
      <c r="N13" s="52">
        <f t="shared" si="3"/>
        <v>0.1506812393</v>
      </c>
      <c r="O13" s="53">
        <f>(L13/(1+WACC!$B$24)^A13)</f>
        <v>209.7412789</v>
      </c>
    </row>
    <row r="14">
      <c r="A14" s="45">
        <v>10.0</v>
      </c>
      <c r="B14" s="55">
        <f t="shared" si="4"/>
        <v>5458.404187</v>
      </c>
      <c r="C14" s="56">
        <v>0.0275</v>
      </c>
      <c r="D14" s="58">
        <f t="shared" si="11"/>
        <v>1146.264879</v>
      </c>
      <c r="E14" s="52">
        <f t="shared" si="5"/>
        <v>0.1926536691</v>
      </c>
      <c r="F14" s="48">
        <f t="shared" si="1"/>
        <v>687.7589276</v>
      </c>
      <c r="G14" s="56">
        <v>0.21</v>
      </c>
      <c r="H14" s="48">
        <f t="shared" si="6"/>
        <v>146.0886765</v>
      </c>
      <c r="I14" s="52">
        <f t="shared" si="7"/>
        <v>0.1303144915</v>
      </c>
      <c r="J14" s="52"/>
      <c r="K14" s="39">
        <f t="shared" si="8"/>
        <v>89.62495493</v>
      </c>
      <c r="L14" s="51">
        <f t="shared" si="2"/>
        <v>598.1339726</v>
      </c>
      <c r="M14" s="48">
        <f t="shared" si="9"/>
        <v>6468.020593</v>
      </c>
      <c r="N14" s="52">
        <f t="shared" si="3"/>
        <v>0.1772203509</v>
      </c>
      <c r="O14" s="53">
        <f>(L14/(1+WACC!$B$24)^A14)</f>
        <v>257.40472</v>
      </c>
    </row>
    <row r="15">
      <c r="A15" s="40" t="s">
        <v>96</v>
      </c>
      <c r="B15" s="42"/>
      <c r="K15" s="59" t="s">
        <v>97</v>
      </c>
      <c r="L15" s="39">
        <f>($L$14*(1+$C$14)/(WACC!$B$24-$C$14))</f>
        <v>10162.89342</v>
      </c>
      <c r="N15" s="2" t="s">
        <v>98</v>
      </c>
      <c r="O15" s="60">
        <f>(L15/(1+WACC!$B$24)^10)</f>
        <v>4373.563204</v>
      </c>
    </row>
    <row r="16">
      <c r="A16" s="61" t="s">
        <v>99</v>
      </c>
      <c r="B16" s="62" t="s">
        <v>80</v>
      </c>
      <c r="C16" s="62" t="s">
        <v>100</v>
      </c>
      <c r="D16" s="62" t="s">
        <v>82</v>
      </c>
      <c r="K16" s="59"/>
      <c r="L16" s="39"/>
      <c r="N16" s="2" t="s">
        <v>101</v>
      </c>
      <c r="O16" s="63" t="str">
        <f>SUM(O5:O15)</f>
        <v>#VALUE!</v>
      </c>
    </row>
    <row r="17">
      <c r="A17" s="3">
        <v>2012.0</v>
      </c>
      <c r="B17" s="3">
        <v>1587.6</v>
      </c>
      <c r="N17" s="2"/>
      <c r="O17" s="64"/>
      <c r="P17" s="64"/>
    </row>
    <row r="18">
      <c r="A18" s="3">
        <v>2013.0</v>
      </c>
      <c r="B18" s="3">
        <v>2708.1</v>
      </c>
      <c r="C18" s="7">
        <f t="shared" ref="C18:C21" si="13">(B18-B17)/B17</f>
        <v>0.7057823129</v>
      </c>
      <c r="N18" s="2"/>
      <c r="O18" s="65"/>
      <c r="P18" s="65"/>
    </row>
    <row r="19">
      <c r="A19" s="3">
        <v>2014.0</v>
      </c>
      <c r="B19" s="3">
        <v>2630.3</v>
      </c>
      <c r="C19" s="7">
        <f t="shared" si="13"/>
        <v>-0.02872862893</v>
      </c>
      <c r="D19" s="25">
        <f>(152+60.2+32.9)</f>
        <v>245.1</v>
      </c>
      <c r="N19" s="2"/>
      <c r="O19" s="65"/>
    </row>
    <row r="20">
      <c r="A20" s="3">
        <v>2015.0</v>
      </c>
      <c r="B20" s="3">
        <v>2399.6</v>
      </c>
      <c r="C20" s="7">
        <f t="shared" si="13"/>
        <v>-0.08770862639</v>
      </c>
      <c r="D20" s="25">
        <f>(181.8+(52.5-2.8)+31.6)</f>
        <v>263.1</v>
      </c>
    </row>
    <row r="21">
      <c r="A21" s="3">
        <v>2016.0</v>
      </c>
      <c r="B21" s="3">
        <v>2347.4</v>
      </c>
      <c r="C21" s="7">
        <f t="shared" si="13"/>
        <v>-0.0217536256</v>
      </c>
      <c r="D21" s="25">
        <f>(42.7+53-76.5)</f>
        <v>19.2</v>
      </c>
    </row>
    <row r="22">
      <c r="B22" s="2" t="s">
        <v>102</v>
      </c>
      <c r="C22" s="66">
        <f>(B21/B17)^5-1</f>
        <v>6.066917967</v>
      </c>
      <c r="E22" s="2" t="s">
        <v>103</v>
      </c>
      <c r="F22" s="25">
        <f>AVERAGE(D19:D21)</f>
        <v>175.8</v>
      </c>
      <c r="N22" s="2"/>
      <c r="O22" s="67"/>
      <c r="P22" s="67"/>
    </row>
    <row r="23">
      <c r="B23" s="2" t="s">
        <v>104</v>
      </c>
      <c r="C23" s="7">
        <f>sum(C18:C21)/4</f>
        <v>0.141897858</v>
      </c>
    </row>
    <row r="26">
      <c r="D26" s="7"/>
    </row>
  </sheetData>
  <mergeCells count="3">
    <mergeCell ref="A1:B1"/>
    <mergeCell ref="G1:I1"/>
    <mergeCell ref="A15:B15"/>
  </mergeCells>
  <conditionalFormatting sqref="I4:J4">
    <cfRule type="notContainsBlanks" dxfId="0" priority="1">
      <formula>LEN(TRIM(I4))&gt;0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0"/>
    <col customWidth="1" min="9" max="9" width="18.86"/>
    <col customWidth="1" min="13" max="13" width="25.57"/>
    <col customWidth="1" min="15" max="15" width="23.57"/>
  </cols>
  <sheetData>
    <row r="1">
      <c r="A1" s="36" t="s">
        <v>77</v>
      </c>
      <c r="C1" s="37">
        <v>0.4</v>
      </c>
      <c r="D1" s="38"/>
      <c r="E1" s="38"/>
      <c r="F1" s="39"/>
      <c r="G1" s="40" t="s">
        <v>1</v>
      </c>
      <c r="H1" s="41"/>
      <c r="I1" s="42"/>
      <c r="J1" s="38"/>
      <c r="K1" s="38"/>
      <c r="L1" s="38"/>
      <c r="M1" s="38"/>
      <c r="N1" s="38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>
      <c r="A3" s="44" t="s">
        <v>79</v>
      </c>
      <c r="B3" s="44" t="s">
        <v>80</v>
      </c>
      <c r="C3" s="44" t="s">
        <v>81</v>
      </c>
      <c r="D3" s="44" t="s">
        <v>82</v>
      </c>
      <c r="E3" s="44" t="s">
        <v>83</v>
      </c>
      <c r="F3" s="44" t="s">
        <v>84</v>
      </c>
      <c r="G3" s="44" t="s">
        <v>85</v>
      </c>
      <c r="H3" s="44" t="s">
        <v>86</v>
      </c>
      <c r="I3" s="44" t="s">
        <v>87</v>
      </c>
      <c r="J3" s="44" t="s">
        <v>89</v>
      </c>
      <c r="K3" s="44" t="s">
        <v>90</v>
      </c>
      <c r="L3" s="44" t="s">
        <v>91</v>
      </c>
      <c r="M3" s="44" t="s">
        <v>92</v>
      </c>
      <c r="N3" s="44" t="s">
        <v>93</v>
      </c>
    </row>
    <row r="4">
      <c r="A4" s="45" t="s">
        <v>94</v>
      </c>
      <c r="B4" s="25">
        <v>1536.7</v>
      </c>
      <c r="C4" s="46"/>
      <c r="D4" s="25">
        <v>379.6</v>
      </c>
      <c r="E4" s="47"/>
      <c r="F4" s="48">
        <f t="shared" ref="F4:F9" si="1">D4*(1-$C$1)</f>
        <v>227.76</v>
      </c>
      <c r="G4" s="49">
        <f>(D4/B4)</f>
        <v>0.2470228412</v>
      </c>
      <c r="H4" s="39"/>
      <c r="I4" s="49">
        <f>(('CASH FLOW '!C22+'CASH FLOW '!C14)/(1000*D4*(1-C1)))</f>
        <v>0.0004144713734</v>
      </c>
      <c r="J4" s="68">
        <f t="shared" ref="J4:J9" si="2">(F4*I4)</f>
        <v>0.0944</v>
      </c>
      <c r="K4" s="51">
        <f t="shared" ref="K4:K9" si="3">(F4-J4)</f>
        <v>227.6656</v>
      </c>
      <c r="L4" s="48">
        <f>(WACC!B21+WACC!B22-'CASH FLOW '!B12)/1000</f>
        <v>4559.429067</v>
      </c>
      <c r="M4" s="52">
        <f t="shared" ref="M4:M9" si="4">(D4/L4)</f>
        <v>0.08325603807</v>
      </c>
      <c r="N4" s="53"/>
    </row>
    <row r="5">
      <c r="A5" s="54">
        <v>1.0</v>
      </c>
      <c r="B5" s="55">
        <f t="shared" ref="B5:B9" si="5">(B4*(1+C5))</f>
        <v>1690.37</v>
      </c>
      <c r="C5" s="56">
        <v>0.1</v>
      </c>
      <c r="D5" s="58">
        <f t="shared" ref="D5:D9" si="6">(B5*G5)</f>
        <v>417.52139</v>
      </c>
      <c r="E5" s="52">
        <f t="shared" ref="E5:E9" si="7">(D5-D4)/D4</f>
        <v>0.09989828767</v>
      </c>
      <c r="F5" s="48">
        <f t="shared" si="1"/>
        <v>250.512834</v>
      </c>
      <c r="G5" s="69">
        <v>0.247</v>
      </c>
      <c r="H5" s="48">
        <f t="shared" ref="H5:H9" si="8">(B5-B4)</f>
        <v>153.67</v>
      </c>
      <c r="I5" s="49">
        <v>0.0</v>
      </c>
      <c r="J5" s="68">
        <f t="shared" si="2"/>
        <v>0</v>
      </c>
      <c r="K5" s="51">
        <f t="shared" si="3"/>
        <v>250.512834</v>
      </c>
      <c r="L5" s="48">
        <f t="shared" ref="L5:L9" si="9">(L4+J5)</f>
        <v>4559.429067</v>
      </c>
      <c r="M5" s="52">
        <f t="shared" si="4"/>
        <v>0.09157317372</v>
      </c>
      <c r="N5" s="53">
        <f>(K5/(1+WACC!$C$24)^A5)</f>
        <v>223.8111511</v>
      </c>
    </row>
    <row r="6">
      <c r="A6" s="54">
        <v>2.0</v>
      </c>
      <c r="B6" s="55">
        <f t="shared" si="5"/>
        <v>1828.769044</v>
      </c>
      <c r="C6" s="56">
        <f t="shared" ref="C6:C8" si="10">(C5-($C$5-$C$9)/4)</f>
        <v>0.081875</v>
      </c>
      <c r="D6" s="58">
        <f t="shared" si="6"/>
        <v>457.1922609</v>
      </c>
      <c r="E6" s="52">
        <f t="shared" si="7"/>
        <v>0.09501518219</v>
      </c>
      <c r="F6" s="48">
        <f t="shared" si="1"/>
        <v>274.3153566</v>
      </c>
      <c r="G6" s="52">
        <v>0.25</v>
      </c>
      <c r="H6" s="48">
        <f t="shared" si="8"/>
        <v>138.3990438</v>
      </c>
      <c r="I6" s="49">
        <v>0.0</v>
      </c>
      <c r="J6" s="68">
        <f t="shared" si="2"/>
        <v>0</v>
      </c>
      <c r="K6" s="51">
        <f t="shared" si="3"/>
        <v>274.3153566</v>
      </c>
      <c r="L6" s="48">
        <f t="shared" si="9"/>
        <v>4559.429067</v>
      </c>
      <c r="M6" s="52">
        <f t="shared" si="4"/>
        <v>0.1002740155</v>
      </c>
      <c r="N6" s="53">
        <f>(K6/(1+WACC!$C$24)^A6)</f>
        <v>218.9543624</v>
      </c>
    </row>
    <row r="7">
      <c r="A7" s="54">
        <v>3.0</v>
      </c>
      <c r="B7" s="55">
        <f t="shared" si="5"/>
        <v>1945.35307</v>
      </c>
      <c r="C7" s="56">
        <f t="shared" si="10"/>
        <v>0.06375</v>
      </c>
      <c r="D7" s="58">
        <f t="shared" si="6"/>
        <v>496.0650329</v>
      </c>
      <c r="E7" s="52">
        <f t="shared" si="7"/>
        <v>0.085025</v>
      </c>
      <c r="F7" s="48">
        <f t="shared" si="1"/>
        <v>297.6390198</v>
      </c>
      <c r="G7" s="52">
        <v>0.255</v>
      </c>
      <c r="H7" s="48">
        <f t="shared" si="8"/>
        <v>116.5840265</v>
      </c>
      <c r="I7" s="49">
        <v>0.0</v>
      </c>
      <c r="J7" s="68">
        <f t="shared" si="2"/>
        <v>0</v>
      </c>
      <c r="K7" s="51">
        <f t="shared" si="3"/>
        <v>297.6390198</v>
      </c>
      <c r="L7" s="48">
        <f t="shared" si="9"/>
        <v>4559.429067</v>
      </c>
      <c r="M7" s="52">
        <f t="shared" si="4"/>
        <v>0.1087998137</v>
      </c>
      <c r="N7" s="53">
        <f>(K7/(1+WACC!$C$24)^A7)</f>
        <v>212.248724</v>
      </c>
    </row>
    <row r="8">
      <c r="A8" s="54">
        <v>4.0</v>
      </c>
      <c r="B8" s="55">
        <f t="shared" si="5"/>
        <v>2034.109804</v>
      </c>
      <c r="C8" s="56">
        <f t="shared" si="10"/>
        <v>0.045625</v>
      </c>
      <c r="D8" s="58">
        <f t="shared" si="6"/>
        <v>528.8685491</v>
      </c>
      <c r="E8" s="52">
        <f t="shared" si="7"/>
        <v>0.06612745098</v>
      </c>
      <c r="F8" s="48">
        <f t="shared" si="1"/>
        <v>317.3211294</v>
      </c>
      <c r="G8" s="52">
        <v>0.26</v>
      </c>
      <c r="H8" s="48">
        <f t="shared" si="8"/>
        <v>88.75673383</v>
      </c>
      <c r="I8" s="49">
        <v>0.0</v>
      </c>
      <c r="J8" s="68">
        <f t="shared" si="2"/>
        <v>0</v>
      </c>
      <c r="K8" s="51">
        <f t="shared" si="3"/>
        <v>317.3211294</v>
      </c>
      <c r="L8" s="48">
        <f t="shared" si="9"/>
        <v>4559.429067</v>
      </c>
      <c r="M8" s="52">
        <f t="shared" si="4"/>
        <v>0.115994468</v>
      </c>
      <c r="N8" s="53">
        <f>(K8/(1+WACC!$C$24)^A8)</f>
        <v>202.1649928</v>
      </c>
    </row>
    <row r="9">
      <c r="A9" s="54">
        <v>5.0</v>
      </c>
      <c r="B9" s="55">
        <f t="shared" si="5"/>
        <v>2090.047824</v>
      </c>
      <c r="C9" s="56">
        <v>0.0275</v>
      </c>
      <c r="D9" s="58">
        <f t="shared" si="6"/>
        <v>543.4124342</v>
      </c>
      <c r="E9" s="52">
        <f t="shared" si="7"/>
        <v>0.0275</v>
      </c>
      <c r="F9" s="48">
        <f t="shared" si="1"/>
        <v>326.0474605</v>
      </c>
      <c r="G9" s="52">
        <v>0.26</v>
      </c>
      <c r="H9" s="48">
        <f t="shared" si="8"/>
        <v>55.93801961</v>
      </c>
      <c r="I9" s="49">
        <v>0.0</v>
      </c>
      <c r="J9" s="68">
        <f t="shared" si="2"/>
        <v>0</v>
      </c>
      <c r="K9" s="51">
        <f t="shared" si="3"/>
        <v>326.0474605</v>
      </c>
      <c r="L9" s="48">
        <f t="shared" si="9"/>
        <v>4559.429067</v>
      </c>
      <c r="M9" s="52">
        <f t="shared" si="4"/>
        <v>0.1191843159</v>
      </c>
      <c r="N9" s="53">
        <f>(K9/(1+WACC!$C$24)^A9)</f>
        <v>185.5835705</v>
      </c>
    </row>
    <row r="10">
      <c r="A10" s="40" t="s">
        <v>96</v>
      </c>
      <c r="B10" s="42"/>
      <c r="J10" s="59" t="s">
        <v>105</v>
      </c>
      <c r="K10" s="68">
        <f>($K$9*(1+$C$9)/(WACC!$C$24-$C$9))</f>
        <v>3649.207581</v>
      </c>
      <c r="L10" s="39"/>
      <c r="M10" s="2" t="s">
        <v>98</v>
      </c>
      <c r="N10" s="60">
        <f>(K10/(1+WACC!$C$24)^A9)</f>
        <v>2077.099363</v>
      </c>
    </row>
    <row r="11">
      <c r="A11" s="61" t="s">
        <v>99</v>
      </c>
      <c r="B11" s="62" t="s">
        <v>80</v>
      </c>
      <c r="C11" s="62" t="s">
        <v>100</v>
      </c>
      <c r="D11" s="62" t="s">
        <v>82</v>
      </c>
      <c r="E11" s="62" t="s">
        <v>85</v>
      </c>
      <c r="J11" s="59"/>
      <c r="K11" s="39"/>
      <c r="M11" s="2" t="s">
        <v>101</v>
      </c>
      <c r="N11" s="63">
        <f>SUM(N5:N9)+N10</f>
        <v>3119.862164</v>
      </c>
      <c r="O11" s="2"/>
    </row>
    <row r="12">
      <c r="A12" s="3">
        <v>2012.0</v>
      </c>
      <c r="B12" s="3">
        <v>1419.1</v>
      </c>
      <c r="D12" s="3">
        <f>(252.3+130)</f>
        <v>382.3</v>
      </c>
      <c r="E12" s="7">
        <f t="shared" ref="E12:E15" si="11">(D12/B12)</f>
        <v>0.2693960961</v>
      </c>
      <c r="M12" s="2"/>
      <c r="N12" s="64"/>
    </row>
    <row r="13">
      <c r="A13" s="3">
        <v>2013.0</v>
      </c>
      <c r="B13" s="3">
        <v>1481.0</v>
      </c>
      <c r="C13" s="7">
        <f t="shared" ref="C13:C15" si="12">(B13-B12)/B12</f>
        <v>0.04361919526</v>
      </c>
      <c r="D13" s="3">
        <f>(249.8+139.4)</f>
        <v>389.2</v>
      </c>
      <c r="E13" s="7">
        <f t="shared" si="11"/>
        <v>0.2627954085</v>
      </c>
      <c r="M13" s="2"/>
      <c r="N13" s="65"/>
    </row>
    <row r="14">
      <c r="A14" s="3">
        <v>2014.0</v>
      </c>
      <c r="B14" s="3">
        <v>1467.5</v>
      </c>
      <c r="C14" s="7">
        <f t="shared" si="12"/>
        <v>-0.009115462525</v>
      </c>
      <c r="D14" s="25">
        <f>(269+140.8)</f>
        <v>409.8</v>
      </c>
      <c r="E14" s="7">
        <f t="shared" si="11"/>
        <v>0.2792504259</v>
      </c>
      <c r="M14" s="2"/>
      <c r="N14" s="65"/>
    </row>
    <row r="15">
      <c r="A15" s="3">
        <v>2015.0</v>
      </c>
      <c r="B15" s="3">
        <v>1536.7</v>
      </c>
      <c r="C15" s="7">
        <f t="shared" si="12"/>
        <v>0.04715502555</v>
      </c>
      <c r="D15" s="25">
        <f>(236.5+111.5)</f>
        <v>348</v>
      </c>
      <c r="E15" s="7">
        <f t="shared" si="11"/>
        <v>0.2264592959</v>
      </c>
    </row>
    <row r="16">
      <c r="C16" s="7"/>
      <c r="D16" s="25"/>
      <c r="E16" s="7">
        <f>SUM(E12:E15)/4</f>
        <v>0.2594753066</v>
      </c>
      <c r="N16" s="25"/>
    </row>
    <row r="17">
      <c r="B17" s="2" t="s">
        <v>102</v>
      </c>
      <c r="C17" s="3">
        <f>(B16/B12)^5-1</f>
        <v>-1</v>
      </c>
      <c r="E17" s="2" t="s">
        <v>106</v>
      </c>
      <c r="F17" s="25">
        <v>379.6</v>
      </c>
    </row>
    <row r="18">
      <c r="B18" s="2" t="s">
        <v>104</v>
      </c>
      <c r="C18" s="7">
        <f>sum(C13:C16)/4</f>
        <v>0.02041468957</v>
      </c>
    </row>
    <row r="21">
      <c r="D21" s="7"/>
    </row>
  </sheetData>
  <mergeCells count="3">
    <mergeCell ref="A1:B1"/>
    <mergeCell ref="G1:I1"/>
    <mergeCell ref="A10:B10"/>
  </mergeCells>
  <conditionalFormatting sqref="I4:I9">
    <cfRule type="notContainsBlanks" dxfId="0" priority="1">
      <formula>LEN(TRIM(I4))&gt;0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29"/>
    <col customWidth="1" min="9" max="9" width="18.14"/>
    <col customWidth="1" min="10" max="10" width="24.0"/>
  </cols>
  <sheetData>
    <row r="1">
      <c r="A1" s="36" t="s">
        <v>77</v>
      </c>
      <c r="C1" s="37">
        <v>0.4</v>
      </c>
      <c r="D1" s="38"/>
      <c r="E1" s="38"/>
      <c r="F1" s="39"/>
      <c r="G1" s="40" t="s">
        <v>78</v>
      </c>
      <c r="H1" s="41"/>
      <c r="I1" s="42"/>
      <c r="J1" s="38"/>
      <c r="K1" s="38"/>
      <c r="L1" s="38"/>
      <c r="M1" s="38"/>
      <c r="N1" s="38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>
      <c r="A3" s="44" t="s">
        <v>79</v>
      </c>
      <c r="B3" s="44" t="s">
        <v>80</v>
      </c>
      <c r="C3" s="44" t="s">
        <v>81</v>
      </c>
      <c r="D3" s="44" t="s">
        <v>82</v>
      </c>
      <c r="E3" s="44" t="s">
        <v>83</v>
      </c>
      <c r="F3" s="44" t="s">
        <v>84</v>
      </c>
      <c r="G3" s="44" t="s">
        <v>85</v>
      </c>
      <c r="H3" s="44" t="s">
        <v>86</v>
      </c>
      <c r="I3" s="44" t="s">
        <v>87</v>
      </c>
      <c r="J3" s="44" t="s">
        <v>107</v>
      </c>
      <c r="K3" s="44" t="s">
        <v>90</v>
      </c>
      <c r="L3" s="44" t="s">
        <v>91</v>
      </c>
      <c r="M3" s="44" t="s">
        <v>92</v>
      </c>
      <c r="N3" s="44" t="s">
        <v>93</v>
      </c>
    </row>
    <row r="4">
      <c r="A4" s="45" t="s">
        <v>94</v>
      </c>
      <c r="B4" s="31">
        <f>('Starz DCF'!B4+'Lionsgate DCF'!B4)</f>
        <v>3884.1</v>
      </c>
      <c r="C4" s="46"/>
      <c r="D4" s="25">
        <f>(G4*B4)</f>
        <v>582.615</v>
      </c>
      <c r="E4" s="47"/>
      <c r="F4" s="48">
        <f t="shared" ref="F4:F14" si="1">D4*(1-$C$1)</f>
        <v>349.569</v>
      </c>
      <c r="G4" s="49">
        <v>0.15</v>
      </c>
      <c r="H4" s="39"/>
      <c r="I4" s="49">
        <v>1.3998</v>
      </c>
      <c r="J4" s="39">
        <f t="shared" ref="J4:J14" si="2">(I4*F4)</f>
        <v>489.3266862</v>
      </c>
      <c r="K4" s="51">
        <f t="shared" ref="K4:K14" si="3">(F4-J4)</f>
        <v>-139.7576862</v>
      </c>
      <c r="L4" s="48">
        <f>('Lionsgate DCF'!M4+'Starz DCF'!L4)</f>
        <v>9118.858134</v>
      </c>
      <c r="M4" s="52"/>
      <c r="N4" s="53"/>
    </row>
    <row r="5">
      <c r="A5" s="54">
        <v>1.0</v>
      </c>
      <c r="B5" s="55">
        <f t="shared" ref="B5:B14" si="4">(B4+C5*B4)</f>
        <v>4391.934299</v>
      </c>
      <c r="C5" s="56">
        <f>('Lionsgate DCF'!C5*'Lionsgate DCF'!B5+'Starz DCF'!B5*'Starz DCF'!C5)/('Starz DCF'!B5+'Lionsgate DCF'!B5)</f>
        <v>0.130746968</v>
      </c>
      <c r="D5" s="58">
        <f t="shared" ref="D5:D14" si="5">(B5*G5)</f>
        <v>790.5481737</v>
      </c>
      <c r="E5" s="52">
        <f t="shared" ref="E5:E14" si="6">(D5-D4)/D4</f>
        <v>0.3568963616</v>
      </c>
      <c r="F5" s="48">
        <f t="shared" si="1"/>
        <v>474.3289042</v>
      </c>
      <c r="G5" s="52">
        <f>(G4+($G$14-G4)/2)</f>
        <v>0.18</v>
      </c>
      <c r="H5" s="48">
        <f t="shared" ref="H5:H14" si="7">(B5-B4)</f>
        <v>507.8342985</v>
      </c>
      <c r="I5" s="52">
        <f t="shared" ref="I5:I13" si="8">(I4-($I$4-$I$14)/10)</f>
        <v>1.27282</v>
      </c>
      <c r="J5" s="39">
        <f t="shared" si="2"/>
        <v>603.7353159</v>
      </c>
      <c r="K5" s="51">
        <f t="shared" si="3"/>
        <v>-129.4064117</v>
      </c>
      <c r="L5" s="48">
        <f t="shared" ref="L5:L14" si="9">(L4+J5)</f>
        <v>9722.59345</v>
      </c>
      <c r="M5" s="52">
        <f>(F5/L5)</f>
        <v>0.04878625304</v>
      </c>
      <c r="N5" s="53">
        <f t="shared" ref="N5:N14" si="10">(K5/(1+8.05%)^A5)</f>
        <v>-119.7653046</v>
      </c>
    </row>
    <row r="6">
      <c r="A6" s="54">
        <v>2.0</v>
      </c>
      <c r="B6" s="55">
        <f t="shared" si="4"/>
        <v>4915.782625</v>
      </c>
      <c r="C6" s="56">
        <f t="shared" ref="C6:C13" si="11">(C5-($C$5-$C$14)/9)</f>
        <v>0.1192750827</v>
      </c>
      <c r="D6" s="58">
        <f t="shared" si="5"/>
        <v>899.5882204</v>
      </c>
      <c r="E6" s="52">
        <f t="shared" si="6"/>
        <v>0.1379296674</v>
      </c>
      <c r="F6" s="48">
        <f t="shared" si="1"/>
        <v>539.7529322</v>
      </c>
      <c r="G6" s="52">
        <f t="shared" ref="G6:G13" si="12">(G5+($G$14-G5)/10)</f>
        <v>0.183</v>
      </c>
      <c r="H6" s="48">
        <f t="shared" si="7"/>
        <v>523.8483266</v>
      </c>
      <c r="I6" s="52">
        <f t="shared" si="8"/>
        <v>1.14584</v>
      </c>
      <c r="J6" s="39">
        <f t="shared" si="2"/>
        <v>618.4704999</v>
      </c>
      <c r="K6" s="51">
        <f t="shared" si="3"/>
        <v>-78.71756764</v>
      </c>
      <c r="L6" s="48">
        <f t="shared" si="9"/>
        <v>10341.06395</v>
      </c>
      <c r="M6" s="52">
        <f t="shared" ref="M6:M14" si="13">(D6/L6)</f>
        <v>0.08699184385</v>
      </c>
      <c r="N6" s="53">
        <f t="shared" si="10"/>
        <v>-67.4251814</v>
      </c>
    </row>
    <row r="7">
      <c r="A7" s="54">
        <v>3.0</v>
      </c>
      <c r="B7" s="55">
        <f t="shared" si="4"/>
        <v>5445.71971</v>
      </c>
      <c r="C7" s="56">
        <f t="shared" si="11"/>
        <v>0.1078031974</v>
      </c>
      <c r="D7" s="58">
        <f t="shared" si="5"/>
        <v>1011.27015</v>
      </c>
      <c r="E7" s="52">
        <f t="shared" si="6"/>
        <v>0.1241478347</v>
      </c>
      <c r="F7" s="48">
        <f t="shared" si="1"/>
        <v>606.76209</v>
      </c>
      <c r="G7" s="52">
        <f t="shared" si="12"/>
        <v>0.1857</v>
      </c>
      <c r="H7" s="48">
        <f t="shared" si="7"/>
        <v>529.9370845</v>
      </c>
      <c r="I7" s="52">
        <f t="shared" si="8"/>
        <v>1.01886</v>
      </c>
      <c r="J7" s="39">
        <f t="shared" si="2"/>
        <v>618.2056231</v>
      </c>
      <c r="K7" s="51">
        <f t="shared" si="3"/>
        <v>-11.44353302</v>
      </c>
      <c r="L7" s="48">
        <f t="shared" si="9"/>
        <v>10959.26957</v>
      </c>
      <c r="M7" s="52">
        <f t="shared" si="13"/>
        <v>0.09227532395</v>
      </c>
      <c r="N7" s="53">
        <f t="shared" si="10"/>
        <v>-9.071640127</v>
      </c>
    </row>
    <row r="8">
      <c r="A8" s="54">
        <v>4.0</v>
      </c>
      <c r="B8" s="55">
        <f t="shared" si="4"/>
        <v>5970.313034</v>
      </c>
      <c r="C8" s="56">
        <f t="shared" si="11"/>
        <v>0.09633131202</v>
      </c>
      <c r="D8" s="58">
        <f t="shared" si="5"/>
        <v>1123.194991</v>
      </c>
      <c r="E8" s="52">
        <f t="shared" si="6"/>
        <v>0.1106774891</v>
      </c>
      <c r="F8" s="48">
        <f t="shared" si="1"/>
        <v>673.9169947</v>
      </c>
      <c r="G8" s="52">
        <f t="shared" si="12"/>
        <v>0.18813</v>
      </c>
      <c r="H8" s="48">
        <f t="shared" si="7"/>
        <v>524.5933245</v>
      </c>
      <c r="I8" s="52">
        <f t="shared" si="8"/>
        <v>0.89188</v>
      </c>
      <c r="J8" s="39">
        <f t="shared" si="2"/>
        <v>601.0530892</v>
      </c>
      <c r="K8" s="51">
        <f t="shared" si="3"/>
        <v>72.86390546</v>
      </c>
      <c r="L8" s="48">
        <f t="shared" si="9"/>
        <v>11560.32266</v>
      </c>
      <c r="M8" s="52">
        <f t="shared" si="13"/>
        <v>0.09715948455</v>
      </c>
      <c r="N8" s="53">
        <f t="shared" si="10"/>
        <v>53.45808049</v>
      </c>
    </row>
    <row r="9">
      <c r="A9" s="54">
        <v>5.0</v>
      </c>
      <c r="B9" s="55">
        <f t="shared" si="4"/>
        <v>6476.950375</v>
      </c>
      <c r="C9" s="56">
        <f t="shared" si="11"/>
        <v>0.08485942668</v>
      </c>
      <c r="D9" s="58">
        <f t="shared" si="5"/>
        <v>1232.673765</v>
      </c>
      <c r="E9" s="52">
        <f t="shared" si="6"/>
        <v>0.09747085264</v>
      </c>
      <c r="F9" s="48">
        <f t="shared" si="1"/>
        <v>739.6042587</v>
      </c>
      <c r="G9" s="52">
        <f t="shared" si="12"/>
        <v>0.190317</v>
      </c>
      <c r="H9" s="48">
        <f t="shared" si="7"/>
        <v>506.6373412</v>
      </c>
      <c r="I9" s="52">
        <f t="shared" si="8"/>
        <v>0.7649</v>
      </c>
      <c r="J9" s="39">
        <f t="shared" si="2"/>
        <v>565.7232975</v>
      </c>
      <c r="K9" s="51">
        <f t="shared" si="3"/>
        <v>173.8809612</v>
      </c>
      <c r="L9" s="48">
        <f t="shared" si="9"/>
        <v>12126.04596</v>
      </c>
      <c r="M9" s="52">
        <f t="shared" si="13"/>
        <v>0.1016550464</v>
      </c>
      <c r="N9" s="53">
        <f t="shared" si="10"/>
        <v>118.0669043</v>
      </c>
    </row>
    <row r="10">
      <c r="A10" s="54">
        <v>6.0</v>
      </c>
      <c r="B10" s="55">
        <f t="shared" si="4"/>
        <v>6952.277839</v>
      </c>
      <c r="C10" s="56">
        <f t="shared" si="11"/>
        <v>0.07338754135</v>
      </c>
      <c r="D10" s="58">
        <f t="shared" si="5"/>
        <v>1336.82083</v>
      </c>
      <c r="E10" s="52">
        <f t="shared" si="6"/>
        <v>0.08448874984</v>
      </c>
      <c r="F10" s="48">
        <f t="shared" si="1"/>
        <v>802.0924979</v>
      </c>
      <c r="G10" s="52">
        <f t="shared" si="12"/>
        <v>0.1922853</v>
      </c>
      <c r="H10" s="48">
        <f t="shared" si="7"/>
        <v>475.3274635</v>
      </c>
      <c r="I10" s="52">
        <f t="shared" si="8"/>
        <v>0.63792</v>
      </c>
      <c r="J10" s="39">
        <f t="shared" si="2"/>
        <v>511.6708463</v>
      </c>
      <c r="K10" s="51">
        <f t="shared" si="3"/>
        <v>290.4216517</v>
      </c>
      <c r="L10" s="48">
        <f t="shared" si="9"/>
        <v>12637.71681</v>
      </c>
      <c r="M10" s="52">
        <f t="shared" si="13"/>
        <v>0.105780249</v>
      </c>
      <c r="N10" s="53">
        <f t="shared" si="10"/>
        <v>182.5073519</v>
      </c>
    </row>
    <row r="11">
      <c r="A11" s="54">
        <v>7.0</v>
      </c>
      <c r="B11" s="55">
        <f t="shared" si="4"/>
        <v>7382.732682</v>
      </c>
      <c r="C11" s="56">
        <f t="shared" si="11"/>
        <v>0.06191565601</v>
      </c>
      <c r="D11" s="58">
        <f t="shared" si="5"/>
        <v>1432.669258</v>
      </c>
      <c r="E11" s="52">
        <f t="shared" si="6"/>
        <v>0.07169878414</v>
      </c>
      <c r="F11" s="48">
        <f t="shared" si="1"/>
        <v>859.6015548</v>
      </c>
      <c r="G11" s="52">
        <f t="shared" si="12"/>
        <v>0.19405677</v>
      </c>
      <c r="H11" s="48">
        <f t="shared" si="7"/>
        <v>430.4548431</v>
      </c>
      <c r="I11" s="52">
        <f t="shared" si="8"/>
        <v>0.51094</v>
      </c>
      <c r="J11" s="39">
        <f t="shared" si="2"/>
        <v>439.2048184</v>
      </c>
      <c r="K11" s="51">
        <f t="shared" si="3"/>
        <v>420.3967364</v>
      </c>
      <c r="L11" s="48">
        <f t="shared" si="9"/>
        <v>13076.92162</v>
      </c>
      <c r="M11" s="52">
        <f t="shared" si="13"/>
        <v>0.1095570731</v>
      </c>
      <c r="N11" s="53">
        <f t="shared" si="10"/>
        <v>244.5039825</v>
      </c>
    </row>
    <row r="12">
      <c r="A12" s="54">
        <v>8.0</v>
      </c>
      <c r="B12" s="55">
        <f t="shared" si="4"/>
        <v>7755.145556</v>
      </c>
      <c r="C12" s="56">
        <f t="shared" si="11"/>
        <v>0.05044377067</v>
      </c>
      <c r="D12" s="58">
        <f t="shared" si="5"/>
        <v>1517.302704</v>
      </c>
      <c r="E12" s="52">
        <f t="shared" si="6"/>
        <v>0.05907395999</v>
      </c>
      <c r="F12" s="48">
        <f t="shared" si="1"/>
        <v>910.3816227</v>
      </c>
      <c r="G12" s="52">
        <f t="shared" si="12"/>
        <v>0.195651093</v>
      </c>
      <c r="H12" s="48">
        <f t="shared" si="7"/>
        <v>372.4128743</v>
      </c>
      <c r="I12" s="52">
        <f t="shared" si="8"/>
        <v>0.38396</v>
      </c>
      <c r="J12" s="39">
        <f t="shared" si="2"/>
        <v>349.5501278</v>
      </c>
      <c r="K12" s="51">
        <f t="shared" si="3"/>
        <v>560.8314948</v>
      </c>
      <c r="L12" s="48">
        <f t="shared" si="9"/>
        <v>13426.47175</v>
      </c>
      <c r="M12" s="52">
        <f t="shared" si="13"/>
        <v>0.1130082968</v>
      </c>
      <c r="N12" s="53">
        <f t="shared" si="10"/>
        <v>301.879919</v>
      </c>
    </row>
    <row r="13">
      <c r="A13" s="45">
        <v>9.0</v>
      </c>
      <c r="B13" s="55">
        <f t="shared" si="4"/>
        <v>8057.3782</v>
      </c>
      <c r="C13" s="56">
        <f t="shared" si="11"/>
        <v>0.03897188534</v>
      </c>
      <c r="D13" s="58">
        <f t="shared" si="5"/>
        <v>1587.996309</v>
      </c>
      <c r="E13" s="52">
        <f t="shared" si="6"/>
        <v>0.04659162859</v>
      </c>
      <c r="F13" s="48">
        <f t="shared" si="1"/>
        <v>952.7977851</v>
      </c>
      <c r="G13" s="52">
        <f t="shared" si="12"/>
        <v>0.1970859837</v>
      </c>
      <c r="H13" s="48">
        <f t="shared" si="7"/>
        <v>302.2326434</v>
      </c>
      <c r="I13" s="52">
        <f t="shared" si="8"/>
        <v>0.25698</v>
      </c>
      <c r="J13" s="39">
        <f t="shared" si="2"/>
        <v>244.8499748</v>
      </c>
      <c r="K13" s="51">
        <f t="shared" si="3"/>
        <v>707.9478103</v>
      </c>
      <c r="L13" s="48">
        <f t="shared" si="9"/>
        <v>13671.32173</v>
      </c>
      <c r="M13" s="52">
        <f t="shared" si="13"/>
        <v>0.1161552877</v>
      </c>
      <c r="N13" s="53">
        <f t="shared" si="10"/>
        <v>352.6779452</v>
      </c>
    </row>
    <row r="14">
      <c r="A14" s="45">
        <v>10.0</v>
      </c>
      <c r="B14" s="55">
        <f t="shared" si="4"/>
        <v>8278.9561</v>
      </c>
      <c r="C14" s="56">
        <v>0.0275</v>
      </c>
      <c r="D14" s="58">
        <f t="shared" si="5"/>
        <v>1738.580781</v>
      </c>
      <c r="E14" s="52">
        <f t="shared" si="6"/>
        <v>0.09482671446</v>
      </c>
      <c r="F14" s="48">
        <f t="shared" si="1"/>
        <v>1043.148469</v>
      </c>
      <c r="G14" s="56">
        <v>0.21</v>
      </c>
      <c r="H14" s="48">
        <f t="shared" si="7"/>
        <v>221.5779005</v>
      </c>
      <c r="I14" s="52">
        <v>0.13</v>
      </c>
      <c r="J14" s="39">
        <f t="shared" si="2"/>
        <v>135.6093009</v>
      </c>
      <c r="K14" s="51">
        <f t="shared" si="3"/>
        <v>907.5391677</v>
      </c>
      <c r="L14" s="48">
        <f t="shared" si="9"/>
        <v>13806.93103</v>
      </c>
      <c r="M14" s="52">
        <f t="shared" si="13"/>
        <v>0.125920871</v>
      </c>
      <c r="N14" s="53">
        <f t="shared" si="10"/>
        <v>418.425039</v>
      </c>
    </row>
    <row r="15">
      <c r="J15" s="70" t="s">
        <v>105</v>
      </c>
      <c r="K15" s="39">
        <f>($K$14*(1+$C$14)/(8.05%-$C$14))</f>
        <v>17594.27349</v>
      </c>
      <c r="M15" s="2" t="s">
        <v>98</v>
      </c>
      <c r="N15" s="60">
        <f>(K15/(1+8.05%)^A14)</f>
        <v>8111.919388</v>
      </c>
      <c r="O15" s="53"/>
    </row>
    <row r="16">
      <c r="D16" s="25"/>
      <c r="J16" s="70"/>
      <c r="K16" s="39"/>
      <c r="L16" s="6" t="s">
        <v>108</v>
      </c>
      <c r="N16" s="63">
        <f>SUM(N5:N15)</f>
        <v>9587.176484</v>
      </c>
    </row>
    <row r="17">
      <c r="O17" s="64"/>
    </row>
    <row r="18">
      <c r="A18" s="2" t="s">
        <v>109</v>
      </c>
      <c r="B18" s="71" t="str">
        <f>(N16-'Lionsgate DCF'!O16-'Starz DCF'!N11)</f>
        <v>#VALUE!</v>
      </c>
      <c r="C18" s="7"/>
      <c r="M18" s="2"/>
      <c r="N18" s="65"/>
      <c r="O18" s="65"/>
    </row>
    <row r="19">
      <c r="C19" s="7"/>
      <c r="D19" s="10"/>
      <c r="J19" s="7"/>
    </row>
    <row r="20">
      <c r="C20" s="7"/>
      <c r="D20" s="25"/>
    </row>
    <row r="21">
      <c r="C21" s="7"/>
      <c r="D21" s="25"/>
    </row>
    <row r="22">
      <c r="B22" s="2"/>
      <c r="C22" s="66"/>
      <c r="E22" s="2"/>
      <c r="O22" s="67"/>
    </row>
    <row r="23">
      <c r="A23" s="3" t="s">
        <v>110</v>
      </c>
      <c r="D23" s="3">
        <v>0.34</v>
      </c>
    </row>
    <row r="24">
      <c r="A24" s="3" t="s">
        <v>111</v>
      </c>
      <c r="D24" s="3">
        <v>0.77</v>
      </c>
    </row>
    <row r="26">
      <c r="D26" s="7"/>
    </row>
    <row r="31">
      <c r="D31" s="72" t="s">
        <v>112</v>
      </c>
      <c r="G31" s="73" t="s">
        <v>113</v>
      </c>
    </row>
    <row r="32">
      <c r="D32" s="2" t="s">
        <v>0</v>
      </c>
      <c r="E32" s="2" t="s">
        <v>1</v>
      </c>
      <c r="F32" s="2" t="s">
        <v>114</v>
      </c>
      <c r="G32" s="2" t="s">
        <v>114</v>
      </c>
    </row>
    <row r="33">
      <c r="B33" s="6" t="s">
        <v>115</v>
      </c>
      <c r="D33" s="25">
        <v>5.7</v>
      </c>
      <c r="E33" s="25">
        <v>3.12</v>
      </c>
      <c r="F33" s="25">
        <f>(D33+E33)</f>
        <v>8.82</v>
      </c>
      <c r="G33" s="25">
        <v>9.58</v>
      </c>
    </row>
    <row r="34">
      <c r="F34" s="2" t="s">
        <v>116</v>
      </c>
      <c r="G34" s="25">
        <f>(G33-F33)</f>
        <v>0.76</v>
      </c>
    </row>
  </sheetData>
  <mergeCells count="6">
    <mergeCell ref="A1:B1"/>
    <mergeCell ref="G1:I1"/>
    <mergeCell ref="L16:M16"/>
    <mergeCell ref="A23:C23"/>
    <mergeCell ref="D31:F31"/>
    <mergeCell ref="B33:C34"/>
  </mergeCells>
  <conditionalFormatting sqref="I4">
    <cfRule type="notContainsBlanks" dxfId="0" priority="1">
      <formula>LEN(TRIM(I4))&gt;0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4" max="4" width="26.86"/>
  </cols>
  <sheetData>
    <row r="1">
      <c r="A1" s="38"/>
      <c r="B1" s="39"/>
      <c r="C1" s="39"/>
      <c r="D1" s="38"/>
      <c r="E1" s="38"/>
      <c r="F1" s="38"/>
    </row>
    <row r="2">
      <c r="A2" s="39" t="s">
        <v>117</v>
      </c>
      <c r="B2" s="74">
        <v>0.0138</v>
      </c>
      <c r="C2" s="75"/>
      <c r="D2" s="38"/>
      <c r="E2" s="38"/>
      <c r="F2" s="38"/>
    </row>
    <row r="3">
      <c r="A3" s="39" t="s">
        <v>118</v>
      </c>
      <c r="B3" s="74">
        <v>0.0627</v>
      </c>
      <c r="C3" s="75"/>
      <c r="D3" s="38"/>
      <c r="E3" s="38"/>
      <c r="F3" s="38"/>
    </row>
    <row r="4">
      <c r="A4" s="76" t="s">
        <v>119</v>
      </c>
      <c r="B4" s="75"/>
      <c r="C4" s="75"/>
      <c r="D4" s="39"/>
      <c r="E4" s="39"/>
      <c r="F4" s="39"/>
    </row>
    <row r="5">
      <c r="A5" s="38"/>
      <c r="B5" s="38"/>
      <c r="C5" s="38"/>
      <c r="D5" s="38"/>
      <c r="E5" s="38"/>
      <c r="F5" s="38"/>
    </row>
    <row r="6">
      <c r="A6" s="38"/>
      <c r="B6" s="39" t="s">
        <v>120</v>
      </c>
      <c r="C6" s="39" t="s">
        <v>121</v>
      </c>
      <c r="D6" s="39" t="s">
        <v>122</v>
      </c>
      <c r="E6" s="76" t="s">
        <v>123</v>
      </c>
      <c r="F6" s="38"/>
    </row>
    <row r="7">
      <c r="A7" s="39" t="s">
        <v>124</v>
      </c>
      <c r="B7" s="77">
        <v>1.81</v>
      </c>
      <c r="C7" s="77">
        <v>2.425</v>
      </c>
      <c r="D7" s="78">
        <f>((B7/(1+(1-B9)*(B10/(1-B10))))*(B33/(B33+C33))+(C7/(1+(1-C9)*(C10/(1-C10))))*(C33/(B33+C33)))*(1+(1-D9)*(D10/(1-D10)))</f>
        <v>4.056973446</v>
      </c>
      <c r="E7" s="79">
        <f>((B7/(1+(1-B9)*(B10/(1-B10))))*(B32/(B32+C32))+(C7/(1+(1-C9)*(C10/(1-C10))))*(C32/(B32+C32)))*(1+(1-D9)*(D10/(1-D10)))</f>
        <v>4.045776789</v>
      </c>
      <c r="F7" s="38"/>
    </row>
    <row r="8">
      <c r="A8" s="39" t="s">
        <v>125</v>
      </c>
      <c r="B8" s="74">
        <v>0.0248</v>
      </c>
      <c r="C8" s="74">
        <v>0.0248</v>
      </c>
      <c r="D8" s="74">
        <v>0.0248</v>
      </c>
      <c r="E8" s="38"/>
      <c r="F8" s="38"/>
    </row>
    <row r="9">
      <c r="A9" s="39" t="s">
        <v>126</v>
      </c>
      <c r="B9" s="74">
        <v>0.4</v>
      </c>
      <c r="C9" s="74">
        <v>0.4</v>
      </c>
      <c r="D9" s="74">
        <v>0.4</v>
      </c>
      <c r="E9" s="38"/>
      <c r="F9" s="38" t="s">
        <v>95</v>
      </c>
    </row>
    <row r="10">
      <c r="A10" s="39" t="s">
        <v>127</v>
      </c>
      <c r="B10" s="74">
        <v>0.2997</v>
      </c>
      <c r="C10" s="74">
        <v>0.4995</v>
      </c>
      <c r="D10" s="74">
        <f>(2753.4/3715.3)</f>
        <v>0.7410976233</v>
      </c>
      <c r="E10" s="38"/>
      <c r="F10" s="38"/>
    </row>
    <row r="11">
      <c r="A11" s="39"/>
      <c r="B11" s="80"/>
      <c r="C11" s="80"/>
      <c r="D11" s="80"/>
      <c r="E11" s="38"/>
      <c r="F11" s="38"/>
    </row>
    <row r="12">
      <c r="A12" s="39" t="s">
        <v>128</v>
      </c>
      <c r="B12" s="81">
        <v>2347.4</v>
      </c>
      <c r="C12" s="82">
        <v>1536.7</v>
      </c>
      <c r="D12" s="83">
        <f>B12+C12</f>
        <v>3884.1</v>
      </c>
      <c r="E12" s="38"/>
      <c r="F12" s="38"/>
    </row>
    <row r="13">
      <c r="A13" s="39" t="s">
        <v>129</v>
      </c>
      <c r="B13" s="25">
        <v>175.8</v>
      </c>
      <c r="C13" s="25">
        <v>379.6</v>
      </c>
      <c r="D13" s="3">
        <v>582.62</v>
      </c>
      <c r="E13" s="38"/>
      <c r="F13" s="38" t="s">
        <v>95</v>
      </c>
    </row>
    <row r="14">
      <c r="A14" s="39"/>
      <c r="B14" s="84"/>
      <c r="C14" s="84"/>
      <c r="D14" s="84"/>
      <c r="E14" s="38"/>
      <c r="F14" s="38"/>
    </row>
    <row r="15">
      <c r="A15" s="39" t="s">
        <v>130</v>
      </c>
      <c r="B15" s="74">
        <v>0.1587</v>
      </c>
      <c r="C15" s="74">
        <v>0.1257</v>
      </c>
      <c r="D15" s="74" t="s">
        <v>95</v>
      </c>
      <c r="E15" s="38"/>
      <c r="F15" s="38"/>
    </row>
    <row r="16">
      <c r="A16" s="39" t="s">
        <v>131</v>
      </c>
      <c r="B16" s="74">
        <v>0.5411</v>
      </c>
      <c r="C16" s="74">
        <v>0.2465</v>
      </c>
      <c r="D16" s="74" t="s">
        <v>95</v>
      </c>
      <c r="E16" s="38"/>
      <c r="F16" s="38"/>
    </row>
    <row r="17">
      <c r="A17" s="39"/>
      <c r="B17" s="80"/>
      <c r="C17" s="80"/>
      <c r="D17" s="80"/>
      <c r="E17" s="38"/>
      <c r="F17" s="38"/>
    </row>
    <row r="18">
      <c r="A18" s="39" t="s">
        <v>132</v>
      </c>
      <c r="B18" s="85">
        <v>5.0</v>
      </c>
      <c r="C18" s="85">
        <v>0.0</v>
      </c>
      <c r="D18" s="80">
        <v>5.0</v>
      </c>
      <c r="E18" s="38"/>
      <c r="F18" s="38"/>
    </row>
    <row r="19">
      <c r="A19" s="38"/>
      <c r="B19" s="38"/>
      <c r="C19" s="38"/>
      <c r="D19" s="38"/>
      <c r="E19" s="38"/>
      <c r="F19" s="38"/>
    </row>
    <row r="20">
      <c r="A20" s="38"/>
      <c r="B20" s="38"/>
      <c r="C20" s="38"/>
      <c r="D20" s="38"/>
      <c r="E20" s="38"/>
      <c r="F20" s="38"/>
    </row>
    <row r="21">
      <c r="A21" s="38" t="s">
        <v>133</v>
      </c>
      <c r="B21" s="39" t="s">
        <v>120</v>
      </c>
      <c r="C21" s="39" t="s">
        <v>134</v>
      </c>
      <c r="D21" s="39" t="s">
        <v>135</v>
      </c>
      <c r="E21" s="76" t="s">
        <v>136</v>
      </c>
      <c r="F21" s="39"/>
    </row>
    <row r="22">
      <c r="A22" s="39" t="s">
        <v>137</v>
      </c>
      <c r="B22" s="86">
        <f>B2+B7*B3</f>
        <v>0.127287</v>
      </c>
      <c r="C22" s="86">
        <f>B2+C7*B3</f>
        <v>0.1658475</v>
      </c>
      <c r="D22" s="86">
        <f>B2+D7*B3</f>
        <v>0.2681722351</v>
      </c>
      <c r="E22" s="87">
        <f>B2+E7*B3</f>
        <v>0.2674702047</v>
      </c>
      <c r="F22" s="38"/>
    </row>
    <row r="23">
      <c r="A23" s="39" t="s">
        <v>138</v>
      </c>
      <c r="B23" s="86">
        <f t="shared" ref="B23:D23" si="1">B8*(1-B9)</f>
        <v>0.01488</v>
      </c>
      <c r="C23" s="86">
        <f t="shared" si="1"/>
        <v>0.01488</v>
      </c>
      <c r="D23" s="86">
        <f t="shared" si="1"/>
        <v>0.01488</v>
      </c>
      <c r="E23" s="87">
        <f>D23</f>
        <v>0.01488</v>
      </c>
      <c r="F23" s="38"/>
    </row>
    <row r="24">
      <c r="A24" s="39" t="s">
        <v>139</v>
      </c>
      <c r="B24" s="86">
        <f t="shared" ref="B24:D24" si="2">B22*(1-B10)+B23*B10</f>
        <v>0.0935986221</v>
      </c>
      <c r="C24" s="86">
        <f t="shared" si="2"/>
        <v>0.09043923375</v>
      </c>
      <c r="D24" s="86">
        <f t="shared" si="2"/>
        <v>0.08045796165</v>
      </c>
      <c r="E24" s="86">
        <f>E22*(1-D10)+E23*D10</f>
        <v>0.08027620431</v>
      </c>
      <c r="F24" s="38"/>
    </row>
    <row r="25">
      <c r="A25" s="39"/>
      <c r="B25" s="88"/>
      <c r="C25" s="88"/>
      <c r="D25" s="88"/>
      <c r="E25" s="38"/>
      <c r="F25" s="38"/>
    </row>
    <row r="26">
      <c r="A26" s="39" t="s">
        <v>140</v>
      </c>
      <c r="B26" s="86">
        <f t="shared" ref="B26:D26" si="3">B15*(1-B9)</f>
        <v>0.09522</v>
      </c>
      <c r="C26" s="86">
        <f t="shared" si="3"/>
        <v>0.07542</v>
      </c>
      <c r="D26" s="86" t="str">
        <f t="shared" si="3"/>
        <v>#VALUE!</v>
      </c>
      <c r="E26" s="38"/>
      <c r="F26" s="38"/>
    </row>
    <row r="27">
      <c r="A27" s="39" t="s">
        <v>131</v>
      </c>
      <c r="B27" s="86">
        <f t="shared" ref="B27:D27" si="4">B16</f>
        <v>0.5411</v>
      </c>
      <c r="C27" s="86">
        <f t="shared" si="4"/>
        <v>0.2465</v>
      </c>
      <c r="D27" s="86" t="str">
        <f t="shared" si="4"/>
        <v> </v>
      </c>
      <c r="E27" s="38"/>
      <c r="F27" s="38"/>
    </row>
    <row r="28">
      <c r="A28" s="39" t="s">
        <v>141</v>
      </c>
      <c r="B28" s="89">
        <f t="shared" ref="B28:D28" si="5">B26*B27</f>
        <v>0.051523542</v>
      </c>
      <c r="C28" s="89">
        <f t="shared" si="5"/>
        <v>0.01859103</v>
      </c>
      <c r="D28" s="89" t="str">
        <f t="shared" si="5"/>
        <v>#VALUE!</v>
      </c>
      <c r="E28" s="38"/>
      <c r="F28" s="38"/>
    </row>
    <row r="29">
      <c r="A29" s="39"/>
      <c r="B29" s="88"/>
      <c r="C29" s="88"/>
      <c r="D29" s="88"/>
      <c r="E29" s="38"/>
      <c r="F29" s="38"/>
    </row>
    <row r="30">
      <c r="A30" s="39" t="s">
        <v>142</v>
      </c>
      <c r="B30" s="88"/>
      <c r="C30" s="88"/>
      <c r="D30" s="88"/>
      <c r="E30" s="38"/>
      <c r="F30" s="38"/>
    </row>
    <row r="31">
      <c r="A31" s="39" t="s">
        <v>143</v>
      </c>
      <c r="B31" s="90">
        <f t="shared" ref="B31:D31" si="6">(B13*(1-B9)*(1-B16))*(1+B28)*(1-(1+B28)^B18/(1+B24)^B18)/(B24-B28)</f>
        <v>215.4813057</v>
      </c>
      <c r="C31" s="90">
        <f t="shared" si="6"/>
        <v>0</v>
      </c>
      <c r="D31" s="90" t="str">
        <f t="shared" si="6"/>
        <v>#VALUE!</v>
      </c>
      <c r="E31" s="38"/>
      <c r="F31" s="38"/>
    </row>
    <row r="32">
      <c r="A32" s="39" t="s">
        <v>144</v>
      </c>
      <c r="B32" s="90">
        <f>B13*(1-B9)*(1+B28)^B18*(1+B2)*(1-B2/B24)/(B24-B2)</f>
        <v>1468.750252</v>
      </c>
      <c r="C32" s="90">
        <f>C13*(1-C9)*(1+C28)^C18*(1+B2)*(1-B2/C24)/(C24-B2)</f>
        <v>2553.129637</v>
      </c>
      <c r="D32" s="90" t="str">
        <f>D13*(1-D9)*(1+D28)^D18*(1+B2)*(1-B2/E24)/(E24-B2)</f>
        <v>#VALUE!</v>
      </c>
      <c r="E32" s="38"/>
      <c r="F32" s="38"/>
    </row>
    <row r="33">
      <c r="A33" s="39" t="s">
        <v>145</v>
      </c>
      <c r="B33" s="90">
        <f t="shared" ref="B33:D33" si="7">B31+B32/(1+B24)^B18</f>
        <v>1154.465285</v>
      </c>
      <c r="C33" s="90">
        <f t="shared" si="7"/>
        <v>2553.129637</v>
      </c>
      <c r="D33" s="90" t="str">
        <f t="shared" si="7"/>
        <v>#VALUE!</v>
      </c>
      <c r="E33" s="91"/>
      <c r="F33" s="38"/>
    </row>
    <row r="34">
      <c r="A34" s="38"/>
      <c r="B34" s="38"/>
      <c r="C34" s="38"/>
      <c r="D34" s="38"/>
      <c r="E34" s="38"/>
      <c r="F34" s="38"/>
    </row>
    <row r="35">
      <c r="A35" s="92" t="s">
        <v>146</v>
      </c>
      <c r="B35" s="39"/>
      <c r="C35" s="38"/>
      <c r="D35" s="38"/>
      <c r="E35" s="93"/>
      <c r="F35" s="93"/>
    </row>
    <row r="36">
      <c r="A36" s="39" t="s">
        <v>147</v>
      </c>
      <c r="B36" s="94">
        <f>B33+C33</f>
        <v>3707.594921</v>
      </c>
      <c r="C36" s="91"/>
      <c r="D36" s="38"/>
      <c r="E36" s="38"/>
      <c r="F36" s="38"/>
    </row>
    <row r="37">
      <c r="A37" s="39" t="s">
        <v>148</v>
      </c>
      <c r="B37" s="94" t="str">
        <f>D33</f>
        <v>#VALUE!</v>
      </c>
      <c r="C37" s="95"/>
      <c r="D37" s="38"/>
      <c r="E37" s="38"/>
      <c r="F37" s="38"/>
    </row>
    <row r="38">
      <c r="A38" s="39" t="s">
        <v>149</v>
      </c>
      <c r="B38" s="94" t="str">
        <f>B37-B36</f>
        <v>#VALUE!</v>
      </c>
      <c r="C38" s="38"/>
      <c r="D38" s="38"/>
      <c r="E38" s="38"/>
      <c r="F38" s="38"/>
    </row>
    <row r="39">
      <c r="A39" s="38"/>
      <c r="B39" s="38"/>
      <c r="C39" s="38"/>
      <c r="D39" s="38"/>
      <c r="E39" s="38"/>
      <c r="F39" s="38"/>
    </row>
    <row r="40">
      <c r="A40" s="38"/>
      <c r="B40" s="38"/>
      <c r="C40" s="38"/>
      <c r="D40" s="38"/>
      <c r="E40" s="38"/>
      <c r="F40" s="3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2022-05-25T16:50:22Z</dcterms:created>
  <dc:creator>Sampanna Modi</dc:creator>
</cp:coreProperties>
</file>