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IC16FDevKit\HW\Product\BoM\"/>
    </mc:Choice>
  </mc:AlternateContent>
  <xr:revisionPtr revIDLastSave="0" documentId="13_ncr:1_{7068095E-4AF8-4729-83D8-7C6FEB162515}" xr6:coauthVersionLast="46" xr6:coauthVersionMax="46" xr10:uidLastSave="{00000000-0000-0000-0000-000000000000}"/>
  <bookViews>
    <workbookView xWindow="-120" yWindow="-120" windowWidth="29040" windowHeight="16440" xr2:uid="{C5FA07FF-FDD6-4B77-B916-5335DBA4CA4D}"/>
  </bookViews>
  <sheets>
    <sheet name="BOM" sheetId="1" r:id="rId1"/>
    <sheet name="vnd" sheetId="3" r:id="rId2"/>
  </sheets>
  <definedNames>
    <definedName name="ExternalData_1" localSheetId="1" hidden="1">vnd!$A$1:$H$2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4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01037-FF51-4F0A-90FE-163B5014E156}" keepAlive="1" name="Query - usd" description="Connection to the 'usd' query in the workbook." type="5" refreshedVersion="6" background="1">
    <dbPr connection="Provider=Microsoft.Mashup.OleDb.1;Data Source=$Workbook$;Location=usd;Extended Properties=&quot;&quot;" command="SELECT * FROM [usd]"/>
  </connection>
  <connection id="2" xr16:uid="{063C8027-CC86-4F14-9FE7-FDB05B42B2E7}" keepAlive="1" name="Query - vnd" description="Connection to the 'vnd' query in the workbook." type="5" refreshedVersion="6" background="1" saveData="1">
    <dbPr connection="Provider=Microsoft.Mashup.OleDb.1;Data Source=$Workbook$;Location=vnd;Extended Properties=&quot;&quot;" command="SELECT * FROM [vnd]"/>
  </connection>
</connections>
</file>

<file path=xl/sharedStrings.xml><?xml version="1.0" encoding="utf-8"?>
<sst xmlns="http://schemas.openxmlformats.org/spreadsheetml/2006/main" count="142" uniqueCount="135">
  <si>
    <t>Quantity</t>
  </si>
  <si>
    <t>References</t>
  </si>
  <si>
    <t>Stock Code</t>
  </si>
  <si>
    <t>Description</t>
  </si>
  <si>
    <t>Value</t>
  </si>
  <si>
    <t>Cost</t>
  </si>
  <si>
    <t>C1,C4,C5,C9,C10,C11,C12,C13,C15,C16,C17,C18,C19,C21,C25,C28,C29,C31</t>
  </si>
  <si>
    <t>CAP CER 0.1UF 16V X7R 0603</t>
  </si>
  <si>
    <t>100nF</t>
  </si>
  <si>
    <t>C2,C7,C22</t>
  </si>
  <si>
    <t>CAP TANT 220UF 20% 6.3V 1411</t>
  </si>
  <si>
    <t>220uF</t>
  </si>
  <si>
    <t>C3</t>
  </si>
  <si>
    <t>CAP CER 0.022UF 16V X7R 0603</t>
  </si>
  <si>
    <t>22nF</t>
  </si>
  <si>
    <t>C6,C20</t>
  </si>
  <si>
    <t>CAP CER 22UF 10V Y5V 0805</t>
  </si>
  <si>
    <t>22uF</t>
  </si>
  <si>
    <t>C8,C14,C26,C27</t>
  </si>
  <si>
    <t>CAP CER 10UF 6.3V Y5V 0805</t>
  </si>
  <si>
    <t>10uF</t>
  </si>
  <si>
    <t>C23,C24</t>
  </si>
  <si>
    <t>CAP CER 22PF 25V NPO 0603</t>
  </si>
  <si>
    <t>22p</t>
  </si>
  <si>
    <t>R1,R2,R3,R6,R8,R10,R11,R13,R16,R17,R20,R21,R22,R23,R30,R32,R33</t>
  </si>
  <si>
    <t>RES SMD 10K OHM 5% 1/10W 0603</t>
  </si>
  <si>
    <t>10k</t>
  </si>
  <si>
    <t>R4,R7,R15</t>
  </si>
  <si>
    <t>RES SMD 4.7K OHM 5% 1/10W 0603</t>
  </si>
  <si>
    <t>4k7</t>
  </si>
  <si>
    <t>R5</t>
  </si>
  <si>
    <t>RES SMD 2.2K OHM 5% 1/10W 0603</t>
  </si>
  <si>
    <t>2k2</t>
  </si>
  <si>
    <t>R9,R12,R14,R34</t>
  </si>
  <si>
    <t>RES SMD 1K OHM 5% 1/10W 0603</t>
  </si>
  <si>
    <t>1k</t>
  </si>
  <si>
    <t>R18</t>
  </si>
  <si>
    <t>RES SMD 100K OHM 1% 1/10W 0603</t>
  </si>
  <si>
    <t>100k</t>
  </si>
  <si>
    <t>R19</t>
  </si>
  <si>
    <t>RES SMD 300K OHM 1% 1/10W 0603</t>
  </si>
  <si>
    <t>300k</t>
  </si>
  <si>
    <t>U1</t>
  </si>
  <si>
    <t>Low Dropout Regulators(LDO) Positive Fixed 300mV @ 300mA 5.5V 3.3V 300mA SOT-23-5 RoHS</t>
  </si>
  <si>
    <t>LDO 3.3</t>
  </si>
  <si>
    <t>U2</t>
  </si>
  <si>
    <t>IC MCU 32BIT 64KB FLASH 28UQFN</t>
  </si>
  <si>
    <t>PIC32</t>
  </si>
  <si>
    <t>U3</t>
  </si>
  <si>
    <t>PIC16 Microcontroller (8kB code, 368B data, 256B EPROM, Ports A-E, 2xACMP, 2xCCP, PSP, 3xTimers, MSSP, USART, 8x10-bit ADC)</t>
  </si>
  <si>
    <t>PIC16F877A</t>
  </si>
  <si>
    <t>U4</t>
  </si>
  <si>
    <t>74AVC4T774 - 4-bit dual supply translating transceiver; 3-state@en-us</t>
  </si>
  <si>
    <t>Level Shifter</t>
  </si>
  <si>
    <t>U7</t>
  </si>
  <si>
    <t>IC FLASH 64MBIT SPI/QUAD 8SOP</t>
  </si>
  <si>
    <t>FLASH</t>
  </si>
  <si>
    <t>U8</t>
  </si>
  <si>
    <t>IC RTC CLK/CALENDAR I2C 8-SMT</t>
  </si>
  <si>
    <t>RTC(52H)</t>
  </si>
  <si>
    <t>U10</t>
  </si>
  <si>
    <t>Board Mount Temperature Sensors I2C-bus Fm+, 1 degree C accuracy, digital temperature sensor and thermal watchdog</t>
  </si>
  <si>
    <t>TEM(48H)</t>
  </si>
  <si>
    <t>Q1,Q2,Q6</t>
  </si>
  <si>
    <t>MOSFET N-CH 60V 190MA TO236AB</t>
  </si>
  <si>
    <t>N-CH</t>
  </si>
  <si>
    <t>Q3,Q9</t>
  </si>
  <si>
    <t>-12V, -4.3A @ 25°C, 1.3W, Single P-Channel HEXFET Power MOSFET in a Micro 3 package</t>
  </si>
  <si>
    <t>P-CH</t>
  </si>
  <si>
    <t>Q4,Q5</t>
  </si>
  <si>
    <t>TRANS PNP 30V 100MA SOT23-3</t>
  </si>
  <si>
    <t>Q7</t>
  </si>
  <si>
    <t>TRANS NPN 40V 0.2A SOT23</t>
  </si>
  <si>
    <t>D1</t>
  </si>
  <si>
    <t>LED RED CLEAR 0603 SMD</t>
  </si>
  <si>
    <t>PWR</t>
  </si>
  <si>
    <t>D2</t>
  </si>
  <si>
    <t>LED BLUE CLEAR 0603 SMD</t>
  </si>
  <si>
    <t>ULED(D6)</t>
  </si>
  <si>
    <t>D3</t>
  </si>
  <si>
    <t>LED GREEN CLEAR 0603 SMD</t>
  </si>
  <si>
    <t>STT</t>
  </si>
  <si>
    <t>BT1</t>
  </si>
  <si>
    <t>SWITCH TACTILE SPST-NO 0.05A 16V</t>
  </si>
  <si>
    <t>RESET</t>
  </si>
  <si>
    <t>BT2</t>
  </si>
  <si>
    <t>UBT(D7)</t>
  </si>
  <si>
    <t>F1</t>
  </si>
  <si>
    <t>PTC RESET FUSE 30V 500MA 1812</t>
  </si>
  <si>
    <t>500mA</t>
  </si>
  <si>
    <t>FT1</t>
  </si>
  <si>
    <t>FERRITE BEAD 1 KOHM 0603 1LN</t>
  </si>
  <si>
    <t>1kOhm@100MHz</t>
  </si>
  <si>
    <t>J1</t>
  </si>
  <si>
    <t>CONN RCPT USB2.0 MICRO B SMD R/A</t>
  </si>
  <si>
    <t>Micro USB</t>
  </si>
  <si>
    <t>J2</t>
  </si>
  <si>
    <t>RECEPTACLE STRIP, 1.27MM, VERTIC</t>
  </si>
  <si>
    <t>ICSP</t>
  </si>
  <si>
    <t>J3</t>
  </si>
  <si>
    <t>CONN HDR 8POS 0.1 TIN PCB</t>
  </si>
  <si>
    <t>CONN 16-23</t>
  </si>
  <si>
    <t>J4</t>
  </si>
  <si>
    <t>CONN HDR 10POS 0.1 TIN PCB</t>
  </si>
  <si>
    <t>CONN 24-33</t>
  </si>
  <si>
    <t>J5</t>
  </si>
  <si>
    <t>CONN HDR 15POS 0.1 TIN PCB</t>
  </si>
  <si>
    <t>CONN 1-15</t>
  </si>
  <si>
    <t>SW1</t>
  </si>
  <si>
    <t>SWITCH SLIDE SPDT 300MA 4V</t>
  </si>
  <si>
    <t>PWR SW</t>
  </si>
  <si>
    <t>TP4</t>
  </si>
  <si>
    <t>PC TEST POINT NATURAL</t>
  </si>
  <si>
    <t>GND</t>
  </si>
  <si>
    <t>X1</t>
  </si>
  <si>
    <t>CRYSTAL 20.0000MHZ 7PF SMD</t>
  </si>
  <si>
    <t>20MHz</t>
  </si>
  <si>
    <t>Sub-Cost</t>
  </si>
  <si>
    <t>No</t>
  </si>
  <si>
    <t>PCB</t>
  </si>
  <si>
    <t>USD</t>
  </si>
  <si>
    <t>VND</t>
  </si>
  <si>
    <t>title</t>
  </si>
  <si>
    <t>link</t>
  </si>
  <si>
    <t>xmlLink</t>
  </si>
  <si>
    <t>description</t>
  </si>
  <si>
    <t>language</t>
  </si>
  <si>
    <t>baseCurrency</t>
  </si>
  <si>
    <t>pubDate</t>
  </si>
  <si>
    <t>lastBuildDate</t>
  </si>
  <si>
    <t>en</t>
  </si>
  <si>
    <t>XML Daily Foreign Exchange Rates for Vietnamese Dong (VND)</t>
  </si>
  <si>
    <t>http://www.floatrates.com/currency/vnd/</t>
  </si>
  <si>
    <t>http://www.floatrates.com/daily/vnd.xml</t>
  </si>
  <si>
    <t>XML Daily foreign exchange rates for Vietnamese Dong (VND) from the Float Rates. Published at Wed, 27 Jan 2021 00:00:01 GMT.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</si>
</sst>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1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22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numFmt numFmtId="27" formatCode="dd/m/yyyy\ hh:mm"/>
    </dxf>
    <dxf>
      <numFmt numFmtId="27" formatCode="dd/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BAF880-63CB-424B-99F7-D67B20CA4050}" autoFormatId="16" applyNumberFormats="0" applyBorderFormats="0" applyFontFormats="0" applyPatternFormats="0" applyAlignmentFormats="0" applyWidthHeightFormats="0">
  <queryTableRefresh nextId="9">
    <queryTableFields count="8">
      <queryTableField id="1" name="title" tableColumnId="1"/>
      <queryTableField id="2" name="link" tableColumnId="2"/>
      <queryTableField id="3" name="xmlLink" tableColumnId="3"/>
      <queryTableField id="4" name="description" tableColumnId="4"/>
      <queryTableField id="5" name="language" tableColumnId="5"/>
      <queryTableField id="6" name="baseCurrency" tableColumnId="6"/>
      <queryTableField id="7" name="pubDate" tableColumnId="7"/>
      <queryTableField id="8" name="lastBuild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3AB01-96E3-4FAB-9644-C08B5B26B523}" name="vnd" displayName="vnd" ref="A1:H2" tableType="queryTable" totalsRowShown="0">
  <autoFilter ref="A1:H2" xr:uid="{AA36562D-CC45-434E-803B-36407F62B6DC}"/>
  <tableColumns count="8">
    <tableColumn id="1" xr3:uid="{D3549254-A3D7-48A7-96B0-3616B0A7E95B}" uniqueName="1" name="title" queryTableFieldId="1" dataDxfId="7"/>
    <tableColumn id="2" xr3:uid="{FFD44CB6-BDD6-44BD-B33C-C9DD68CB3106}" uniqueName="2" name="link" queryTableFieldId="2" dataDxfId="6"/>
    <tableColumn id="3" xr3:uid="{0704B569-0930-40B0-A2AE-CD69159E55E4}" uniqueName="3" name="xmlLink" queryTableFieldId="3" dataDxfId="5"/>
    <tableColumn id="4" xr3:uid="{92A149D7-8290-4059-A765-2D807956F2DE}" uniqueName="4" name="description" queryTableFieldId="4" dataDxfId="4"/>
    <tableColumn id="5" xr3:uid="{0124103F-D37E-450D-9D3A-A5E630C1F069}" uniqueName="5" name="language" queryTableFieldId="5" dataDxfId="3"/>
    <tableColumn id="6" xr3:uid="{F8C5BDF5-6775-44ED-A1EA-D47829D44BE6}" uniqueName="6" name="baseCurrency" queryTableFieldId="6" dataDxfId="2"/>
    <tableColumn id="7" xr3:uid="{549B33A3-8AB4-4C49-B68A-04BE1DC6014E}" uniqueName="7" name="pubDate" queryTableFieldId="7" dataDxfId="1"/>
    <tableColumn id="8" xr3:uid="{0E349F3A-FCA0-4076-AD74-EE97FFCC48D7}" uniqueName="8" name="lastBuildD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ABE1-80A8-4216-9DAE-11F15CA911B7}">
  <dimension ref="A1:H42"/>
  <sheetViews>
    <sheetView tabSelected="1" topLeftCell="D16" workbookViewId="0">
      <selection activeCell="E47" sqref="E47"/>
    </sheetView>
  </sheetViews>
  <sheetFormatPr defaultRowHeight="15" x14ac:dyDescent="0.25"/>
  <cols>
    <col min="1" max="1" width="3.5703125" style="5" bestFit="1" customWidth="1"/>
    <col min="2" max="2" width="8.7109375" style="5" bestFit="1" customWidth="1"/>
    <col min="3" max="3" width="65.140625" style="5" bestFit="1" customWidth="1"/>
    <col min="4" max="4" width="32.85546875" style="5" bestFit="1" customWidth="1"/>
    <col min="5" max="5" width="116.7109375" style="5" bestFit="1" customWidth="1"/>
    <col min="6" max="6" width="16.140625" style="5" bestFit="1" customWidth="1"/>
    <col min="7" max="7" width="8.5703125" style="5" bestFit="1" customWidth="1"/>
    <col min="8" max="8" width="9.5703125" style="5" bestFit="1" customWidth="1"/>
    <col min="9" max="16384" width="9.140625" style="5"/>
  </cols>
  <sheetData>
    <row r="1" spans="1:8" x14ac:dyDescent="0.25">
      <c r="A1" s="2" t="s">
        <v>118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117</v>
      </c>
    </row>
    <row r="2" spans="1:8" x14ac:dyDescent="0.25">
      <c r="A2" s="2">
        <v>1</v>
      </c>
      <c r="B2" s="6">
        <v>18</v>
      </c>
      <c r="C2" s="7" t="s">
        <v>6</v>
      </c>
      <c r="D2" s="8" t="str">
        <f>HYPERLINK("https://www.digikey.com/en/products/detail/yageo/CC0603JRX7R7BB104/5195185?s=N4IgTCBcDaIMJwAwDZEGYBSAlAGgdizwCEiBGRAFhAF0BfIA","CC0603JRX7R7BB104")</f>
        <v>CC0603JRX7R7BB104</v>
      </c>
      <c r="E2" s="7" t="s">
        <v>7</v>
      </c>
      <c r="F2" s="7" t="s">
        <v>8</v>
      </c>
      <c r="G2" s="12">
        <v>1.839E-2</v>
      </c>
      <c r="H2" s="12">
        <f>G2*B2</f>
        <v>0.33101999999999998</v>
      </c>
    </row>
    <row r="3" spans="1:8" x14ac:dyDescent="0.25">
      <c r="A3" s="2">
        <v>2</v>
      </c>
      <c r="B3" s="6">
        <v>3</v>
      </c>
      <c r="C3" s="7" t="s">
        <v>9</v>
      </c>
      <c r="D3" s="8" t="str">
        <f>HYPERLINK("https://www.digikey.com/en/products/detail/vishay-sprague/TMCMB0J227MTRF/10107352","TMCMB0J227MTRF")</f>
        <v>TMCMB0J227MTRF</v>
      </c>
      <c r="E3" s="7" t="s">
        <v>10</v>
      </c>
      <c r="F3" s="7" t="s">
        <v>11</v>
      </c>
      <c r="G3" s="12">
        <v>0.27983999999999998</v>
      </c>
      <c r="H3" s="12">
        <f t="shared" ref="H3:H40" si="0">G3*B3</f>
        <v>0.83951999999999993</v>
      </c>
    </row>
    <row r="4" spans="1:8" x14ac:dyDescent="0.25">
      <c r="A4" s="2">
        <v>3</v>
      </c>
      <c r="B4" s="6">
        <v>1</v>
      </c>
      <c r="C4" s="7" t="s">
        <v>12</v>
      </c>
      <c r="D4" s="8" t="str">
        <f>HYPERLINK("https://www.digikey.com/en/products/detail/yageo/CC0603JRX7R7BB223/5883644","CC0603JRX7R7BB223")</f>
        <v>CC0603JRX7R7BB223</v>
      </c>
      <c r="E4" s="7" t="s">
        <v>13</v>
      </c>
      <c r="F4" s="7" t="s">
        <v>14</v>
      </c>
      <c r="G4" s="12">
        <v>1.8599999999999998E-2</v>
      </c>
      <c r="H4" s="12">
        <f t="shared" si="0"/>
        <v>1.8599999999999998E-2</v>
      </c>
    </row>
    <row r="5" spans="1:8" x14ac:dyDescent="0.25">
      <c r="A5" s="2">
        <v>4</v>
      </c>
      <c r="B5" s="6">
        <v>2</v>
      </c>
      <c r="C5" s="7" t="s">
        <v>15</v>
      </c>
      <c r="D5" s="8" t="str">
        <f>HYPERLINK("https://www.digikey.com/en/products/detail/yageo/CC0805ZKY5V6BB226/5884300","CC0805ZKY5V6BB226")</f>
        <v>CC0805ZKY5V6BB226</v>
      </c>
      <c r="E5" s="7" t="s">
        <v>16</v>
      </c>
      <c r="F5" s="7" t="s">
        <v>17</v>
      </c>
      <c r="G5" s="12">
        <v>8.4080000000000002E-2</v>
      </c>
      <c r="H5" s="12">
        <f t="shared" si="0"/>
        <v>0.16816</v>
      </c>
    </row>
    <row r="6" spans="1:8" x14ac:dyDescent="0.25">
      <c r="A6" s="2">
        <v>5</v>
      </c>
      <c r="B6" s="6">
        <v>4</v>
      </c>
      <c r="C6" s="7" t="s">
        <v>18</v>
      </c>
      <c r="D6" s="8" t="str">
        <f>HYPERLINK("https://www.digikey.com/en/products/detail/yageo/CC0805ZKY5V5BB106/2833627","CC0805ZKY5V5BB106")</f>
        <v>CC0805ZKY5V5BB106</v>
      </c>
      <c r="E6" s="7" t="s">
        <v>19</v>
      </c>
      <c r="F6" s="7" t="s">
        <v>20</v>
      </c>
      <c r="G6" s="12">
        <v>3.8190000000000002E-2</v>
      </c>
      <c r="H6" s="12">
        <f t="shared" si="0"/>
        <v>0.15276000000000001</v>
      </c>
    </row>
    <row r="7" spans="1:8" x14ac:dyDescent="0.25">
      <c r="A7" s="2">
        <v>6</v>
      </c>
      <c r="B7" s="6">
        <v>2</v>
      </c>
      <c r="C7" s="7" t="s">
        <v>21</v>
      </c>
      <c r="D7" s="8" t="str">
        <f>HYPERLINK("https://www.digikey.com/en/products/detail/yageo/CC0603JRNPO8BN220/5883592","CC0603JRNPO8BN220")</f>
        <v>CC0603JRNPO8BN220</v>
      </c>
      <c r="E7" s="7" t="s">
        <v>22</v>
      </c>
      <c r="F7" s="7" t="s">
        <v>23</v>
      </c>
      <c r="G7" s="12">
        <v>1.3950000000000001E-2</v>
      </c>
      <c r="H7" s="12">
        <f t="shared" si="0"/>
        <v>2.7900000000000001E-2</v>
      </c>
    </row>
    <row r="8" spans="1:8" x14ac:dyDescent="0.25">
      <c r="A8" s="2">
        <v>7</v>
      </c>
      <c r="B8" s="6">
        <v>17</v>
      </c>
      <c r="C8" s="7" t="s">
        <v>24</v>
      </c>
      <c r="D8" s="8" t="str">
        <f>HYPERLINK("https://www.digikey.com/en/products/detail/yageo/AC0603JR-0710KL/2827830","AC0603JR-0710KL")</f>
        <v>AC0603JR-0710KL</v>
      </c>
      <c r="E8" s="7" t="s">
        <v>25</v>
      </c>
      <c r="F8" s="7" t="s">
        <v>26</v>
      </c>
      <c r="G8" s="12">
        <v>3.79E-3</v>
      </c>
      <c r="H8" s="12">
        <f t="shared" si="0"/>
        <v>6.4430000000000001E-2</v>
      </c>
    </row>
    <row r="9" spans="1:8" x14ac:dyDescent="0.25">
      <c r="A9" s="2">
        <v>8</v>
      </c>
      <c r="B9" s="6">
        <v>3</v>
      </c>
      <c r="C9" s="7" t="s">
        <v>27</v>
      </c>
      <c r="D9" s="8" t="str">
        <f>HYPERLINK("https://www.digikey.com/en/products/detail/yageo/AC0603JR-074K7L/5896467?s=N4IgTCBcDaIIIGEAMA2JBmAUgJQLRIHYAWAaQIBkQBdAXyA","AC0603JR-074K7L")</f>
        <v>AC0603JR-074K7L</v>
      </c>
      <c r="E9" s="7" t="s">
        <v>28</v>
      </c>
      <c r="F9" s="7" t="s">
        <v>29</v>
      </c>
      <c r="G9" s="12">
        <v>3.79E-3</v>
      </c>
      <c r="H9" s="12">
        <f t="shared" si="0"/>
        <v>1.137E-2</v>
      </c>
    </row>
    <row r="10" spans="1:8" x14ac:dyDescent="0.25">
      <c r="A10" s="2">
        <v>9</v>
      </c>
      <c r="B10" s="6">
        <v>1</v>
      </c>
      <c r="C10" s="7" t="s">
        <v>30</v>
      </c>
      <c r="D10" s="8" t="str">
        <f>HYPERLINK("https://www.digikey.com/en/products/detail/yageo/AC0603JR-072K2L/5896418?s=N4IgTCBcDaIIIGEAMA2JBmAUgJQLRIHYwBpMAGRAF0BfIA","AC0603JR-072K2L")</f>
        <v>AC0603JR-072K2L</v>
      </c>
      <c r="E10" s="7" t="s">
        <v>31</v>
      </c>
      <c r="F10" s="7" t="s">
        <v>32</v>
      </c>
      <c r="G10" s="12">
        <v>3.79E-3</v>
      </c>
      <c r="H10" s="12">
        <f t="shared" si="0"/>
        <v>3.79E-3</v>
      </c>
    </row>
    <row r="11" spans="1:8" x14ac:dyDescent="0.25">
      <c r="A11" s="2">
        <v>10</v>
      </c>
      <c r="B11" s="6">
        <v>4</v>
      </c>
      <c r="C11" s="7" t="s">
        <v>33</v>
      </c>
      <c r="D11" s="8" t="str">
        <f>HYPERLINK("https://www.digikey.com/en/products/detail/yageo/AC0603JR-071KL/5896388?s=N4IgTCBcDaIIIGEAMA2JBmAUgJQLRIHYBGAaQBkQBdAXyA","AC0603JR-071KL")</f>
        <v>AC0603JR-071KL</v>
      </c>
      <c r="E11" s="7" t="s">
        <v>34</v>
      </c>
      <c r="F11" s="7" t="s">
        <v>35</v>
      </c>
      <c r="G11" s="12">
        <v>3.79E-3</v>
      </c>
      <c r="H11" s="12">
        <f t="shared" si="0"/>
        <v>1.516E-2</v>
      </c>
    </row>
    <row r="12" spans="1:8" x14ac:dyDescent="0.25">
      <c r="A12" s="2">
        <v>11</v>
      </c>
      <c r="B12" s="6">
        <v>1</v>
      </c>
      <c r="C12" s="7" t="s">
        <v>36</v>
      </c>
      <c r="D12" s="8" t="str">
        <f>HYPERLINK("https://www.digikey.com/en/products/detail/yageo/RC0603FR-07100KL/726889","RC0603FR-07100KL")</f>
        <v>RC0603FR-07100KL</v>
      </c>
      <c r="E12" s="7" t="s">
        <v>37</v>
      </c>
      <c r="F12" s="7" t="s">
        <v>38</v>
      </c>
      <c r="G12" s="12">
        <v>3.79E-3</v>
      </c>
      <c r="H12" s="12">
        <f t="shared" si="0"/>
        <v>3.79E-3</v>
      </c>
    </row>
    <row r="13" spans="1:8" x14ac:dyDescent="0.25">
      <c r="A13" s="2">
        <v>12</v>
      </c>
      <c r="B13" s="6">
        <v>1</v>
      </c>
      <c r="C13" s="7" t="s">
        <v>39</v>
      </c>
      <c r="D13" s="8" t="str">
        <f>HYPERLINK("https://www.digikey.com/en/products/detail/yageo/RC0603FR-07300KL/727145?s=N4IgTCBcDaIEoGEAMA2JBmAYnAtEg7OkkgNIAyIAugL5A","RC0603FR-07300KL")</f>
        <v>RC0603FR-07300KL</v>
      </c>
      <c r="E13" s="7" t="s">
        <v>40</v>
      </c>
      <c r="F13" s="7" t="s">
        <v>41</v>
      </c>
      <c r="G13" s="12">
        <v>3.79E-3</v>
      </c>
      <c r="H13" s="12">
        <f t="shared" si="0"/>
        <v>3.79E-3</v>
      </c>
    </row>
    <row r="14" spans="1:8" x14ac:dyDescent="0.25">
      <c r="A14" s="2">
        <v>13</v>
      </c>
      <c r="B14" s="6">
        <v>1</v>
      </c>
      <c r="C14" s="7" t="s">
        <v>42</v>
      </c>
      <c r="D14" s="8" t="str">
        <f>HYPERLINK("https://www.digikey.com/en/products/detail/richtek-usa-inc/RT9193-33GB/2470048?s=N4IgTCBcDaIEoBUCcBGJBmAtO9BxAQiALoC%2BQA","RT9193-33GB")</f>
        <v>RT9193-33GB</v>
      </c>
      <c r="E14" s="7" t="s">
        <v>43</v>
      </c>
      <c r="F14" s="7" t="s">
        <v>44</v>
      </c>
      <c r="G14" s="12">
        <v>0.18894</v>
      </c>
      <c r="H14" s="12">
        <f t="shared" si="0"/>
        <v>0.18894</v>
      </c>
    </row>
    <row r="15" spans="1:8" x14ac:dyDescent="0.25">
      <c r="A15" s="2">
        <v>14</v>
      </c>
      <c r="B15" s="6">
        <v>1</v>
      </c>
      <c r="C15" s="7" t="s">
        <v>45</v>
      </c>
      <c r="D15" s="8" t="str">
        <f>HYPERLINK("https://www.digikey.com/en/products/detail/microchip-technology/PIC32MM0064GPM028-I-M6/8037777","PIC32MM0064GPM028-I/M6")</f>
        <v>PIC32MM0064GPM028-I/M6</v>
      </c>
      <c r="E15" s="7" t="s">
        <v>46</v>
      </c>
      <c r="F15" s="7" t="s">
        <v>47</v>
      </c>
      <c r="G15" s="12">
        <v>1.6830000000000001</v>
      </c>
      <c r="H15" s="12">
        <f t="shared" si="0"/>
        <v>1.6830000000000001</v>
      </c>
    </row>
    <row r="16" spans="1:8" x14ac:dyDescent="0.25">
      <c r="A16" s="2">
        <v>15</v>
      </c>
      <c r="B16" s="6">
        <v>1</v>
      </c>
      <c r="C16" s="7" t="s">
        <v>48</v>
      </c>
      <c r="D16" s="8" t="str">
        <f>HYPERLINK("https://www.digikey.com/en/products/detail/microchip-technology/PIC16F877A-I-PT/480769","PIC16F877A-I/PT")</f>
        <v>PIC16F877A-I/PT</v>
      </c>
      <c r="E16" s="7" t="s">
        <v>49</v>
      </c>
      <c r="F16" s="7" t="s">
        <v>50</v>
      </c>
      <c r="G16" s="12">
        <v>6.2370000000000001</v>
      </c>
      <c r="H16" s="12">
        <f t="shared" si="0"/>
        <v>6.2370000000000001</v>
      </c>
    </row>
    <row r="17" spans="1:8" x14ac:dyDescent="0.25">
      <c r="A17" s="2">
        <v>16</v>
      </c>
      <c r="B17" s="6">
        <v>1</v>
      </c>
      <c r="C17" s="7" t="s">
        <v>51</v>
      </c>
      <c r="D17" s="8" t="str">
        <f>HYPERLINK("https://www.digikey.com/en/products/detail/nexperia-usa-inc/74AVC4T774GUX/8540764","74AVC4T774GUX")</f>
        <v>74AVC4T774GUX</v>
      </c>
      <c r="E17" s="7" t="s">
        <v>52</v>
      </c>
      <c r="F17" s="7" t="s">
        <v>53</v>
      </c>
      <c r="G17" s="12">
        <v>0.2964</v>
      </c>
      <c r="H17" s="12">
        <f t="shared" si="0"/>
        <v>0.2964</v>
      </c>
    </row>
    <row r="18" spans="1:8" x14ac:dyDescent="0.25">
      <c r="A18" s="2">
        <v>17</v>
      </c>
      <c r="B18" s="6">
        <v>1</v>
      </c>
      <c r="C18" s="7" t="s">
        <v>54</v>
      </c>
      <c r="D18" s="8" t="str">
        <f>HYPERLINK("https://www.digikey.com/en/products/detail/gigadevice-semiconductor-hk-limited/GD25Q64CSIGR/9484691","GD25Q64CSIGR")</f>
        <v>GD25Q64CSIGR</v>
      </c>
      <c r="E18" s="7" t="s">
        <v>55</v>
      </c>
      <c r="F18" s="7" t="s">
        <v>56</v>
      </c>
      <c r="G18" s="12">
        <v>0.86390999999999996</v>
      </c>
      <c r="H18" s="12">
        <f t="shared" si="0"/>
        <v>0.86390999999999996</v>
      </c>
    </row>
    <row r="19" spans="1:8" x14ac:dyDescent="0.25">
      <c r="A19" s="2">
        <v>18</v>
      </c>
      <c r="B19" s="6">
        <v>1</v>
      </c>
      <c r="C19" s="7" t="s">
        <v>57</v>
      </c>
      <c r="D19" s="8" t="str">
        <f>HYPERLINK("https://www.digikey.com/en/products/detail/micro-crystal-ag/RV-3028-C7-32-768KHZ-1PPM-TA-QC/10431070","RV-3028-C7 32.768KHZ 1PPM-TA-QC")</f>
        <v>RV-3028-C7 32.768KHZ 1PPM-TA-QC</v>
      </c>
      <c r="E19" s="7" t="s">
        <v>58</v>
      </c>
      <c r="F19" s="7" t="s">
        <v>59</v>
      </c>
      <c r="G19" s="12">
        <v>1.4593799999999999</v>
      </c>
      <c r="H19" s="12">
        <f t="shared" si="0"/>
        <v>1.4593799999999999</v>
      </c>
    </row>
    <row r="20" spans="1:8" x14ac:dyDescent="0.25">
      <c r="A20" s="2">
        <v>19</v>
      </c>
      <c r="B20" s="6">
        <v>1</v>
      </c>
      <c r="C20" s="7" t="s">
        <v>60</v>
      </c>
      <c r="D20" s="8" t="str">
        <f>HYPERLINK("https://www.digikey.com/en/products/detail/nxp-usa-inc/PCT2075DP118/4475785","PCT2075DP,118")</f>
        <v>PCT2075DP,118</v>
      </c>
      <c r="E20" s="7" t="s">
        <v>61</v>
      </c>
      <c r="F20" s="7" t="s">
        <v>62</v>
      </c>
      <c r="G20" s="12">
        <v>0.315</v>
      </c>
      <c r="H20" s="12">
        <f t="shared" si="0"/>
        <v>0.315</v>
      </c>
    </row>
    <row r="21" spans="1:8" x14ac:dyDescent="0.25">
      <c r="A21" s="2">
        <v>20</v>
      </c>
      <c r="B21" s="6">
        <v>3</v>
      </c>
      <c r="C21" s="7" t="s">
        <v>63</v>
      </c>
      <c r="D21" s="8" t="str">
        <f>HYPERLINK("https://www.digikey.com/en/products/detail/nexperia-usa-inc/2N7002NXAKR/10416554","2N7002NXAKR")</f>
        <v>2N7002NXAKR</v>
      </c>
      <c r="E21" s="7" t="s">
        <v>64</v>
      </c>
      <c r="F21" s="7" t="s">
        <v>65</v>
      </c>
      <c r="G21" s="12">
        <v>1.653E-2</v>
      </c>
      <c r="H21" s="12">
        <f t="shared" si="0"/>
        <v>4.9589999999999995E-2</v>
      </c>
    </row>
    <row r="22" spans="1:8" x14ac:dyDescent="0.25">
      <c r="A22" s="2">
        <v>21</v>
      </c>
      <c r="B22" s="6">
        <v>2</v>
      </c>
      <c r="C22" s="7" t="s">
        <v>66</v>
      </c>
      <c r="D22" s="8" t="str">
        <f>HYPERLINK("https://www.digikey.com/en/products/detail/nexperia-usa-inc/PMV160UP215/2780255","PMV160UP,215")</f>
        <v>PMV160UP,215</v>
      </c>
      <c r="E22" s="7" t="s">
        <v>67</v>
      </c>
      <c r="F22" s="7" t="s">
        <v>68</v>
      </c>
      <c r="G22" s="12">
        <v>0.214</v>
      </c>
      <c r="H22" s="12">
        <f t="shared" si="0"/>
        <v>0.42799999999999999</v>
      </c>
    </row>
    <row r="23" spans="1:8" x14ac:dyDescent="0.25">
      <c r="A23" s="2">
        <v>22</v>
      </c>
      <c r="B23" s="6">
        <v>2</v>
      </c>
      <c r="C23" s="7" t="s">
        <v>69</v>
      </c>
      <c r="D23" s="8" t="str">
        <f>HYPERLINK("https://www.digikey.com/en/products/detail/on-semiconductor/BC858CLT1G/918354","BC858CLT1G")</f>
        <v>BC858CLT1G</v>
      </c>
      <c r="E23" s="7" t="s">
        <v>70</v>
      </c>
      <c r="F23" s="7" t="s">
        <v>68</v>
      </c>
      <c r="G23" s="12">
        <v>2.4799999999999999E-2</v>
      </c>
      <c r="H23" s="12">
        <f t="shared" si="0"/>
        <v>4.9599999999999998E-2</v>
      </c>
    </row>
    <row r="24" spans="1:8" x14ac:dyDescent="0.25">
      <c r="A24" s="2">
        <v>23</v>
      </c>
      <c r="B24" s="6">
        <v>1</v>
      </c>
      <c r="C24" s="7" t="s">
        <v>71</v>
      </c>
      <c r="D24" s="8" t="str">
        <f>HYPERLINK("https://www.digikey.com/en/products/detail/micro-commercial-co/MMBT3904-TP/717280","MMBT3904-TP")</f>
        <v>MMBT3904-TP</v>
      </c>
      <c r="E24" s="7" t="s">
        <v>72</v>
      </c>
      <c r="F24" s="7" t="s">
        <v>65</v>
      </c>
      <c r="G24" s="12">
        <v>1.8440000000000002E-2</v>
      </c>
      <c r="H24" s="12">
        <f t="shared" si="0"/>
        <v>1.8440000000000002E-2</v>
      </c>
    </row>
    <row r="25" spans="1:8" x14ac:dyDescent="0.25">
      <c r="A25" s="2">
        <v>24</v>
      </c>
      <c r="B25" s="6">
        <v>1</v>
      </c>
      <c r="C25" s="7" t="s">
        <v>73</v>
      </c>
      <c r="D25" s="8" t="str">
        <f>HYPERLINK("https://www.digikey.com/en/products/detail/würth-elektronik/150060SS75000/4489903","150060SS75000")</f>
        <v>150060SS75000</v>
      </c>
      <c r="E25" s="7" t="s">
        <v>74</v>
      </c>
      <c r="F25" s="7" t="s">
        <v>75</v>
      </c>
      <c r="G25" s="12">
        <v>9.9900000000000003E-2</v>
      </c>
      <c r="H25" s="12">
        <f t="shared" si="0"/>
        <v>9.9900000000000003E-2</v>
      </c>
    </row>
    <row r="26" spans="1:8" x14ac:dyDescent="0.25">
      <c r="A26" s="2">
        <v>25</v>
      </c>
      <c r="B26" s="6">
        <v>1</v>
      </c>
      <c r="C26" s="7" t="s">
        <v>76</v>
      </c>
      <c r="D26" s="8" t="str">
        <f>HYPERLINK("https://www.digikey.com/en/products/detail/würth-elektronik/150060BS75000/4489895","150060BS75000")</f>
        <v>150060BS75000</v>
      </c>
      <c r="E26" s="7" t="s">
        <v>77</v>
      </c>
      <c r="F26" s="7" t="s">
        <v>78</v>
      </c>
      <c r="G26" s="12">
        <v>0.108</v>
      </c>
      <c r="H26" s="12">
        <f t="shared" si="0"/>
        <v>0.108</v>
      </c>
    </row>
    <row r="27" spans="1:8" x14ac:dyDescent="0.25">
      <c r="A27" s="2">
        <v>26</v>
      </c>
      <c r="B27" s="6">
        <v>1</v>
      </c>
      <c r="C27" s="7" t="s">
        <v>79</v>
      </c>
      <c r="D27" s="8" t="str">
        <f>HYPERLINK("https://www.digikey.com/en/products/detail/würth-elektronik/150060VS75000/4489906","150060VS75000")</f>
        <v>150060VS75000</v>
      </c>
      <c r="E27" s="7" t="s">
        <v>80</v>
      </c>
      <c r="F27" s="7" t="s">
        <v>81</v>
      </c>
      <c r="G27" s="12">
        <v>9.9900000000000003E-2</v>
      </c>
      <c r="H27" s="12">
        <f t="shared" si="0"/>
        <v>9.9900000000000003E-2</v>
      </c>
    </row>
    <row r="28" spans="1:8" x14ac:dyDescent="0.25">
      <c r="A28" s="2">
        <v>27</v>
      </c>
      <c r="B28" s="6">
        <v>1</v>
      </c>
      <c r="C28" s="7" t="s">
        <v>82</v>
      </c>
      <c r="D28" s="8" t="str">
        <f>HYPERLINK("https://www.digikey.com/en/products/detail/c-k/PTS810-SJG-250-SMTR-LFS/4176612","PTS810 SJG 250 SMTR LFS")</f>
        <v>PTS810 SJG 250 SMTR LFS</v>
      </c>
      <c r="E28" s="7" t="s">
        <v>83</v>
      </c>
      <c r="F28" s="7" t="s">
        <v>84</v>
      </c>
      <c r="G28" s="12">
        <v>0.21956000000000001</v>
      </c>
      <c r="H28" s="12">
        <f t="shared" si="0"/>
        <v>0.21956000000000001</v>
      </c>
    </row>
    <row r="29" spans="1:8" x14ac:dyDescent="0.25">
      <c r="A29" s="2">
        <v>28</v>
      </c>
      <c r="B29" s="6">
        <v>1</v>
      </c>
      <c r="C29" s="7" t="s">
        <v>85</v>
      </c>
      <c r="D29" s="8" t="str">
        <f>HYPERLINK("https://www.digikey.com/en/products/detail/c-k/PTS810-SJG-250-SMTR-LFS/4176612","PTS810 SJG 250 SMTR LFS")</f>
        <v>PTS810 SJG 250 SMTR LFS</v>
      </c>
      <c r="E29" s="7" t="s">
        <v>83</v>
      </c>
      <c r="F29" s="7" t="s">
        <v>86</v>
      </c>
      <c r="G29" s="12">
        <v>0.21956000000000001</v>
      </c>
      <c r="H29" s="12">
        <f t="shared" si="0"/>
        <v>0.21956000000000001</v>
      </c>
    </row>
    <row r="30" spans="1:8" x14ac:dyDescent="0.25">
      <c r="A30" s="2">
        <v>29</v>
      </c>
      <c r="B30" s="6">
        <v>1</v>
      </c>
      <c r="C30" s="7" t="s">
        <v>87</v>
      </c>
      <c r="D30" s="8" t="str">
        <f>HYPERLINK("https://www.digikey.com/en/products/detail/bel-fuse-inc/0ZCG0050AF2C/4156100","0ZCG0050AF2C")</f>
        <v>0ZCG0050AF2C</v>
      </c>
      <c r="E30" s="7" t="s">
        <v>88</v>
      </c>
      <c r="F30" s="7" t="s">
        <v>89</v>
      </c>
      <c r="G30" s="12">
        <v>6.2700000000000006E-2</v>
      </c>
      <c r="H30" s="12">
        <f t="shared" si="0"/>
        <v>6.2700000000000006E-2</v>
      </c>
    </row>
    <row r="31" spans="1:8" x14ac:dyDescent="0.25">
      <c r="A31" s="2">
        <v>30</v>
      </c>
      <c r="B31" s="6">
        <v>1</v>
      </c>
      <c r="C31" s="7" t="s">
        <v>90</v>
      </c>
      <c r="D31" s="8" t="str">
        <f>HYPERLINK("https://www.digikey.com/en/products/detail/tdk-corporation/MPZ1608S102ATA00/3078621","MPZ1608S102ATA00")</f>
        <v>MPZ1608S102ATA00</v>
      </c>
      <c r="E31" s="7" t="s">
        <v>91</v>
      </c>
      <c r="F31" s="7" t="s">
        <v>92</v>
      </c>
      <c r="G31" s="12">
        <v>2.47E-2</v>
      </c>
      <c r="H31" s="12">
        <f t="shared" si="0"/>
        <v>2.47E-2</v>
      </c>
    </row>
    <row r="32" spans="1:8" x14ac:dyDescent="0.25">
      <c r="A32" s="2">
        <v>31</v>
      </c>
      <c r="B32" s="6">
        <v>1</v>
      </c>
      <c r="C32" s="7" t="s">
        <v>93</v>
      </c>
      <c r="D32" s="8" t="str">
        <f>HYPERLINK("https://www.digikey.com/en/products/detail/amphenol-icc-fci/10118192-0002LF/6817756","10118192-0002LF")</f>
        <v>10118192-0002LF</v>
      </c>
      <c r="E32" s="7" t="s">
        <v>94</v>
      </c>
      <c r="F32" s="7" t="s">
        <v>95</v>
      </c>
      <c r="G32" s="12">
        <v>0.24906</v>
      </c>
      <c r="H32" s="12">
        <f t="shared" si="0"/>
        <v>0.24906</v>
      </c>
    </row>
    <row r="33" spans="1:8" x14ac:dyDescent="0.25">
      <c r="A33" s="2">
        <v>32</v>
      </c>
      <c r="B33" s="6">
        <v>1</v>
      </c>
      <c r="C33" s="7" t="s">
        <v>96</v>
      </c>
      <c r="D33" s="8" t="str">
        <f>HYPERLINK("https://www.digikey.com/en/products/detail/adam-tech/HRS-2B-06-GA/9832932","HRS-2B-06-GA")</f>
        <v>HRS-2B-06-GA</v>
      </c>
      <c r="E33" s="7" t="s">
        <v>97</v>
      </c>
      <c r="F33" s="7" t="s">
        <v>98</v>
      </c>
      <c r="G33" s="12">
        <v>0.12373000000000001</v>
      </c>
      <c r="H33" s="12">
        <f t="shared" si="0"/>
        <v>0.12373000000000001</v>
      </c>
    </row>
    <row r="34" spans="1:8" x14ac:dyDescent="0.25">
      <c r="A34" s="2">
        <v>33</v>
      </c>
      <c r="B34" s="6">
        <v>1</v>
      </c>
      <c r="C34" s="7" t="s">
        <v>99</v>
      </c>
      <c r="D34" s="8" t="str">
        <f>HYPERLINK("https://www.digikey.com/en/products/detail/sullins-connector-solutions/PPTC081LFBN-RC/810147","PPTC081LFBN-RC")</f>
        <v>PPTC081LFBN-RC</v>
      </c>
      <c r="E34" s="7" t="s">
        <v>100</v>
      </c>
      <c r="F34" s="7" t="s">
        <v>101</v>
      </c>
      <c r="G34" s="12">
        <v>0.33412999999999998</v>
      </c>
      <c r="H34" s="12">
        <f t="shared" si="0"/>
        <v>0.33412999999999998</v>
      </c>
    </row>
    <row r="35" spans="1:8" x14ac:dyDescent="0.25">
      <c r="A35" s="2">
        <v>34</v>
      </c>
      <c r="B35" s="6">
        <v>1</v>
      </c>
      <c r="C35" s="7" t="s">
        <v>102</v>
      </c>
      <c r="D35" s="8" t="str">
        <f>HYPERLINK("https://www.digikey.com/en/products/detail/sullins-connector-solutions/PPTC101LFBN-RC/810149?s=N4IgTCBcDaIApwCoGECMAGVAZAYgIQDkBaAJWRAF0BfIA","PPTC101LFBN-RC")</f>
        <v>PPTC101LFBN-RC</v>
      </c>
      <c r="E35" s="7" t="s">
        <v>103</v>
      </c>
      <c r="F35" s="7" t="s">
        <v>104</v>
      </c>
      <c r="G35" s="12">
        <v>0.36</v>
      </c>
      <c r="H35" s="12">
        <f t="shared" si="0"/>
        <v>0.36</v>
      </c>
    </row>
    <row r="36" spans="1:8" x14ac:dyDescent="0.25">
      <c r="A36" s="2">
        <v>35</v>
      </c>
      <c r="B36" s="6">
        <v>1</v>
      </c>
      <c r="C36" s="7" t="s">
        <v>105</v>
      </c>
      <c r="D36" s="8" t="str">
        <f>HYPERLINK("https://www.digikey.com/en/products/detail/sullins-connector-solutions/PPTC151LFBN-RC/810153?s=N4IgTCBcDaIApwCoGECMBWVAZAYgIQDkBaAJWRAF0BfIA","PPTC151LFBN-RC")</f>
        <v>PPTC151LFBN-RC</v>
      </c>
      <c r="E36" s="7" t="s">
        <v>106</v>
      </c>
      <c r="F36" s="7" t="s">
        <v>107</v>
      </c>
      <c r="G36" s="12">
        <v>0.54</v>
      </c>
      <c r="H36" s="12">
        <f t="shared" si="0"/>
        <v>0.54</v>
      </c>
    </row>
    <row r="37" spans="1:8" x14ac:dyDescent="0.25">
      <c r="A37" s="2">
        <v>36</v>
      </c>
      <c r="B37" s="6">
        <v>1</v>
      </c>
      <c r="C37" s="7" t="s">
        <v>108</v>
      </c>
      <c r="D37" s="8" t="str">
        <f>HYPERLINK("https://www.digikey.com/en/products/detail/nidec-copal-electronics/CUS-12TB/1124222","CUS-12TB")</f>
        <v>CUS-12TB</v>
      </c>
      <c r="E37" s="7" t="s">
        <v>109</v>
      </c>
      <c r="F37" s="7" t="s">
        <v>110</v>
      </c>
      <c r="G37" s="12">
        <v>0.42496</v>
      </c>
      <c r="H37" s="12">
        <f t="shared" si="0"/>
        <v>0.42496</v>
      </c>
    </row>
    <row r="38" spans="1:8" x14ac:dyDescent="0.25">
      <c r="A38" s="2">
        <v>37</v>
      </c>
      <c r="B38" s="6">
        <v>1</v>
      </c>
      <c r="C38" s="7" t="s">
        <v>111</v>
      </c>
      <c r="D38" s="8" t="str">
        <f>HYPERLINK("https://www.digikey.com/en/products/detail/te-connectivity-amp-connectors/RCT-0C/2366050?s=N4IgTCBcDaIEoGEAqBaADAkBdAvkA","RCT-0C")</f>
        <v>RCT-0C</v>
      </c>
      <c r="E38" s="7" t="s">
        <v>112</v>
      </c>
      <c r="F38" s="7" t="s">
        <v>113</v>
      </c>
      <c r="G38" s="12">
        <v>0.11069</v>
      </c>
      <c r="H38" s="12">
        <f t="shared" si="0"/>
        <v>0.11069</v>
      </c>
    </row>
    <row r="39" spans="1:8" x14ac:dyDescent="0.25">
      <c r="A39" s="2">
        <v>38</v>
      </c>
      <c r="B39" s="6">
        <v>1</v>
      </c>
      <c r="C39" s="7" t="s">
        <v>114</v>
      </c>
      <c r="D39" s="8" t="str">
        <f>HYPERLINK("https://www.digikey.com/en/products/detail/epson/FA-238-20-0000MA50X-AG3/5259738","FA-238 20.0000MA50X-AG3")</f>
        <v>FA-238 20.0000MA50X-AG3</v>
      </c>
      <c r="E39" s="7" t="s">
        <v>115</v>
      </c>
      <c r="F39" s="7" t="s">
        <v>116</v>
      </c>
      <c r="G39" s="12">
        <v>0.19250999999999999</v>
      </c>
      <c r="H39" s="12">
        <f t="shared" si="0"/>
        <v>0.19250999999999999</v>
      </c>
    </row>
    <row r="40" spans="1:8" x14ac:dyDescent="0.25">
      <c r="A40" s="2">
        <v>39</v>
      </c>
      <c r="B40" s="6">
        <v>1</v>
      </c>
      <c r="C40" s="7" t="s">
        <v>119</v>
      </c>
      <c r="D40" s="9" t="s">
        <v>119</v>
      </c>
      <c r="E40" s="7" t="s">
        <v>119</v>
      </c>
      <c r="F40" s="7" t="s">
        <v>119</v>
      </c>
      <c r="G40" s="12">
        <v>1</v>
      </c>
      <c r="H40" s="12">
        <f t="shared" si="0"/>
        <v>1</v>
      </c>
    </row>
    <row r="41" spans="1:8" x14ac:dyDescent="0.25">
      <c r="A41" s="2"/>
      <c r="B41" s="2"/>
      <c r="C41" s="10"/>
      <c r="D41" s="10"/>
      <c r="E41" s="10"/>
      <c r="F41" s="10"/>
      <c r="G41" s="11" t="s">
        <v>120</v>
      </c>
      <c r="H41" s="12">
        <f>SUM(H2:H40)</f>
        <v>17.398949999999999</v>
      </c>
    </row>
    <row r="42" spans="1:8" x14ac:dyDescent="0.25">
      <c r="G42" s="5" t="s">
        <v>121</v>
      </c>
      <c r="H42" s="14">
        <f>H41*vnd!$I$3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6CAD-76FA-4C8F-A75B-2A39AB68CF82}">
  <dimension ref="A1:H2"/>
  <sheetViews>
    <sheetView topLeftCell="B1" workbookViewId="0">
      <selection activeCell="D16" sqref="D16"/>
    </sheetView>
  </sheetViews>
  <sheetFormatPr defaultRowHeight="15" x14ac:dyDescent="0.25"/>
  <cols>
    <col min="1" max="1" width="57.28515625" bestFit="1" customWidth="1"/>
    <col min="2" max="2" width="39.5703125" bestFit="1" customWidth="1"/>
    <col min="3" max="3" width="39.28515625" bestFit="1" customWidth="1"/>
    <col min="4" max="4" width="81.140625" bestFit="1" customWidth="1"/>
    <col min="5" max="5" width="11.28515625" bestFit="1" customWidth="1"/>
    <col min="6" max="6" width="15.42578125" bestFit="1" customWidth="1"/>
    <col min="7" max="7" width="14.28515625" bestFit="1" customWidth="1"/>
    <col min="8" max="8" width="15.140625" bestFit="1" customWidth="1"/>
  </cols>
  <sheetData>
    <row r="1" spans="1:8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25">
      <c r="A2" s="1" t="s">
        <v>131</v>
      </c>
      <c r="B2" s="1" t="s">
        <v>132</v>
      </c>
      <c r="C2" s="1" t="s">
        <v>133</v>
      </c>
      <c r="D2" s="1" t="s">
        <v>134</v>
      </c>
      <c r="E2" s="1" t="s">
        <v>130</v>
      </c>
      <c r="F2" s="1" t="s">
        <v>121</v>
      </c>
      <c r="G2" s="13">
        <v>44223.291678240741</v>
      </c>
      <c r="H2" s="13">
        <v>44223.291678240741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0 3 Q 7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N N 0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d D t S E 8 V v M / g A A A A v A w A A E w A c A E Z v c m 1 1 b G F z L 1 N l Y 3 R p b 2 4 x L m 0 g o h g A K K A U A A A A A A A A A A A A A A A A A A A A A A A A A A A A 7 Z F P S 8 Q w E M X v h X 6 H E C 8 t l B S v i h f r 0 d s W 9 J o 2 s 9 t g / p R k Y r e U / e 7 O W g W h v Q g e z W X C m + H 3 M n k R e t T e s c N a b + / z L M / i I A M o l q J i D 8 w A 5 h m j c / A p 9 E D K q z W i l Z 2 B W L x A J x r v E B z G g g + I 4 1 1 d T 9 M k j s Z L D B I h i t 7 b W k l t 5 p q A 4 m w N L 8 t q R d 7 w Z p D u R F 7 t P A I n 9 i d X t E G 6 e P T B N t 4 k 6 6 7 N W K z + 1 b J w 1 G i A V w x J Z w h n v F R s 4 U a 7 t 4 1 I d s 9 7 u o L Y B z 1 e d 9 6 C 6 E l J n r Y O n Y z Q p B D A 9 f O m O a b u i f b 9 1 h X d U V v 4 I k Z 8 T N q o 3 Y l L m W f a 7 f 7 I z z j e 3 R / H Q c D / O H 4 X x w d Q S w E C L Q A U A A I A C A D T d D t S S k b e a a I A A A D 1 A A A A E g A A A A A A A A A A A A A A A A A A A A A A Q 2 9 u Z m l n L 1 B h Y 2 t h Z 2 U u e G 1 s U E s B A i 0 A F A A C A A g A 0 3 Q 7 U g / K 6 a u k A A A A 6 Q A A A B M A A A A A A A A A A A A A A A A A 7 g A A A F t D b 2 5 0 Z W 5 0 X 1 R 5 c G V z X S 5 4 b W x Q S w E C L Q A U A A I A C A D T d D t S E 8 V v M / g A A A A v A w A A E w A A A A A A A A A A A A A A A A D f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F A A A A A A A A N I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d U M D c 6 M z U 6 M z k u O D U 4 M z A 5 M F o i I C 8 + P E V u d H J 5 I F R 5 c G U 9 I k Z p b G x D b 2 x 1 b W 5 U e X B l c y I g V m F s d W U 9 I n N C Z 1 l H Q m d Z R 0 J 3 Y z 0 i I C 8 + P E V u d H J 5 I F R 5 c G U 9 I k Z p b G x D b 2 x 1 b W 5 O Y W 1 l c y I g V m F s d W U 9 I n N b J n F 1 b 3 Q 7 d G l 0 b G U m c X V v d D s s J n F 1 b 3 Q 7 b G l u a y Z x d W 9 0 O y w m c X V v d D t 4 b W x M a W 5 r J n F 1 b 3 Q 7 L C Z x d W 9 0 O 2 R l c 2 N y a X B 0 a W 9 u J n F 1 b 3 Q 7 L C Z x d W 9 0 O 2 x h b m d 1 Y W d l J n F 1 b 3 Q 7 L C Z x d W 9 0 O 2 J h c 2 V D d X J y Z W 5 j e S Z x d W 9 0 O y w m c X V v d D t w d W J E Y X R l J n F 1 b 3 Q 7 L C Z x d W 9 0 O 2 x h c 3 R C d W l s Z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Q v Q 2 h h b m d l Z C B U e X B l L n t 0 a X R s Z S w w f S Z x d W 9 0 O y w m c X V v d D t T Z W N 0 a W 9 u M S 9 1 c 2 Q v Q 2 h h b m d l Z C B U e X B l L n t s a W 5 r L D F 9 J n F 1 b 3 Q 7 L C Z x d W 9 0 O 1 N l Y 3 R p b 2 4 x L 3 V z Z C 9 D a G F u Z 2 V k I F R 5 c G U u e 3 h t b E x p b m s s M n 0 m c X V v d D s s J n F 1 b 3 Q 7 U 2 V j d G l v b j E v d X N k L 0 N o Y W 5 n Z W Q g V H l w Z S 5 7 Z G V z Y 3 J p c H R p b 2 4 s M 3 0 m c X V v d D s s J n F 1 b 3 Q 7 U 2 V j d G l v b j E v d X N k L 0 N o Y W 5 n Z W Q g V H l w Z S 5 7 b G F u Z 3 V h Z 2 U s N H 0 m c X V v d D s s J n F 1 b 3 Q 7 U 2 V j d G l v b j E v d X N k L 0 N o Y W 5 n Z W Q g V H l w Z S 5 7 Y m F z Z U N 1 c n J l b m N 5 L D V 9 J n F 1 b 3 Q 7 L C Z x d W 9 0 O 1 N l Y 3 R p b 2 4 x L 3 V z Z C 9 D a G F u Z 2 V k I F R 5 c G U u e 3 B 1 Y k R h d G U s N n 0 m c X V v d D s s J n F 1 b 3 Q 7 U 2 V j d G l v b j E v d X N k L 0 N o Y W 5 n Z W Q g V H l w Z S 5 7 b G F z d E J 1 a W x k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1 c 2 Q v Q 2 h h b m d l Z C B U e X B l L n t 0 a X R s Z S w w f S Z x d W 9 0 O y w m c X V v d D t T Z W N 0 a W 9 u M S 9 1 c 2 Q v Q 2 h h b m d l Z C B U e X B l L n t s a W 5 r L D F 9 J n F 1 b 3 Q 7 L C Z x d W 9 0 O 1 N l Y 3 R p b 2 4 x L 3 V z Z C 9 D a G F u Z 2 V k I F R 5 c G U u e 3 h t b E x p b m s s M n 0 m c X V v d D s s J n F 1 b 3 Q 7 U 2 V j d G l v b j E v d X N k L 0 N o Y W 5 n Z W Q g V H l w Z S 5 7 Z G V z Y 3 J p c H R p b 2 4 s M 3 0 m c X V v d D s s J n F 1 b 3 Q 7 U 2 V j d G l v b j E v d X N k L 0 N o Y W 5 n Z W Q g V H l w Z S 5 7 b G F u Z 3 V h Z 2 U s N H 0 m c X V v d D s s J n F 1 b 3 Q 7 U 2 V j d G l v b j E v d X N k L 0 N o Y W 5 n Z W Q g V H l w Z S 5 7 Y m F z Z U N 1 c n J l b m N 5 L D V 9 J n F 1 b 3 Q 7 L C Z x d W 9 0 O 1 N l Y 3 R p b 2 4 x L 3 V z Z C 9 D a G F u Z 2 V k I F R 5 c G U u e 3 B 1 Y k R h d G U s N n 0 m c X V v d D s s J n F 1 b 3 Q 7 U 2 V j d G l v b j E v d X N k L 0 N o Y W 5 n Z W Q g V H l w Z S 5 7 b G F z d E J 1 a W x k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1 Q w N z o z O D o z O C 4 5 M D I y N z c 5 W i I g L z 4 8 R W 5 0 c n k g V H l w Z T 0 i R m l s b E N v b H V t b l R 5 c G V z I i B W Y W x 1 Z T 0 i c 0 J n W U d C Z 1 l H Q n d j P S I g L z 4 8 R W 5 0 c n k g V H l w Z T 0 i R m l s b E N v b H V t b k 5 h b W V z I i B W Y W x 1 Z T 0 i c 1 s m c X V v d D t 0 a X R s Z S Z x d W 9 0 O y w m c X V v d D t s a W 5 r J n F 1 b 3 Q 7 L C Z x d W 9 0 O 3 h t b E x p b m s m c X V v d D s s J n F 1 b 3 Q 7 Z G V z Y 3 J p c H R p b 2 4 m c X V v d D s s J n F 1 b 3 Q 7 b G F u Z 3 V h Z 2 U m c X V v d D s s J n F 1 b 3 Q 7 Y m F z Z U N 1 c n J l b m N 5 J n F 1 b 3 Q 7 L C Z x d W 9 0 O 3 B 1 Y k R h d G U m c X V v d D s s J n F 1 b 3 Q 7 b G F z d E J 1 a W x k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u Z C 9 D a G F u Z 2 V k I F R 5 c G U u e 3 R p d G x l L D B 9 J n F 1 b 3 Q 7 L C Z x d W 9 0 O 1 N l Y 3 R p b 2 4 x L 3 Z u Z C 9 D a G F u Z 2 V k I F R 5 c G U u e 2 x p b m s s M X 0 m c X V v d D s s J n F 1 b 3 Q 7 U 2 V j d G l v b j E v d m 5 k L 0 N o Y W 5 n Z W Q g V H l w Z S 5 7 e G 1 s T G l u a y w y f S Z x d W 9 0 O y w m c X V v d D t T Z W N 0 a W 9 u M S 9 2 b m Q v Q 2 h h b m d l Z C B U e X B l L n t k Z X N j c m l w d G l v b i w z f S Z x d W 9 0 O y w m c X V v d D t T Z W N 0 a W 9 u M S 9 2 b m Q v Q 2 h h b m d l Z C B U e X B l L n t s Y W 5 n d W F n Z S w 0 f S Z x d W 9 0 O y w m c X V v d D t T Z W N 0 a W 9 u M S 9 2 b m Q v Q 2 h h b m d l Z C B U e X B l L n t i Y X N l Q 3 V y c m V u Y 3 k s N X 0 m c X V v d D s s J n F 1 b 3 Q 7 U 2 V j d G l v b j E v d m 5 k L 0 N o Y W 5 n Z W Q g V H l w Z S 5 7 c H V i R G F 0 Z S w 2 f S Z x d W 9 0 O y w m c X V v d D t T Z W N 0 a W 9 u M S 9 2 b m Q v Q 2 h h b m d l Z C B U e X B l L n t s Y X N 0 Q n V p b G R E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u Z C 9 D a G F u Z 2 V k I F R 5 c G U u e 3 R p d G x l L D B 9 J n F 1 b 3 Q 7 L C Z x d W 9 0 O 1 N l Y 3 R p b 2 4 x L 3 Z u Z C 9 D a G F u Z 2 V k I F R 5 c G U u e 2 x p b m s s M X 0 m c X V v d D s s J n F 1 b 3 Q 7 U 2 V j d G l v b j E v d m 5 k L 0 N o Y W 5 n Z W Q g V H l w Z S 5 7 e G 1 s T G l u a y w y f S Z x d W 9 0 O y w m c X V v d D t T Z W N 0 a W 9 u M S 9 2 b m Q v Q 2 h h b m d l Z C B U e X B l L n t k Z X N j c m l w d G l v b i w z f S Z x d W 9 0 O y w m c X V v d D t T Z W N 0 a W 9 u M S 9 2 b m Q v Q 2 h h b m d l Z C B U e X B l L n t s Y W 5 n d W F n Z S w 0 f S Z x d W 9 0 O y w m c X V v d D t T Z W N 0 a W 9 u M S 9 2 b m Q v Q 2 h h b m d l Z C B U e X B l L n t i Y X N l Q 3 V y c m V u Y 3 k s N X 0 m c X V v d D s s J n F 1 b 3 Q 7 U 2 V j d G l v b j E v d m 5 k L 0 N o Y W 5 n Z W Q g V H l w Z S 5 7 c H V i R G F 0 Z S w 2 f S Z x d W 9 0 O y w m c X V v d D t T Z W N 0 a W 9 u M S 9 2 b m Q v Q 2 h h b m d l Z C B U e X B l L n t s Y X N 0 Q n V p b G R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5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0 / Z a y i 9 x P q 1 V n 9 4 m t A u E A A A A A A g A A A A A A E G Y A A A A B A A A g A A A A x 9 R 7 G d M m Q I 4 b W / L T 1 h M N Y + x n Y I 3 v 9 0 O T a K x U B H i 9 w K I A A A A A D o A A A A A C A A A g A A A A U N s c S e r v Y E H i 1 O / I / 5 b l Q L G R t E Y j u 7 u W h 5 B B p 3 C M s l p Q A A A A A l + v X x x A P o e h s 6 U Y O 9 y p l X S t G n k f 3 p g o l + j J m 2 X w g A 9 i W h P e L A 2 O X u K g r x D O m 8 M q P y t t T / z W z V 8 5 o t Y P j U b p i 8 E d 6 P B R 0 0 Y M M 2 W O W w P H 9 7 l A A A A A E 0 Q t t L K O 2 Z E / F c d I i v O p A e M w W U 7 7 3 u y B 9 L J Y z k U h U Q b n c v K e w f a v T U s p 4 u L 5 0 Q w l P 7 V M v r j r 3 b k x d z 4 1 t T Z 6 l g = = < / D a t a M a s h u p > 
</file>

<file path=customXml/itemProps1.xml><?xml version="1.0" encoding="utf-8"?>
<ds:datastoreItem xmlns:ds="http://schemas.openxmlformats.org/officeDocument/2006/customXml" ds:itemID="{A85D5A1E-8EAC-4C3F-B1F5-F4916E5F9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vnd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LIEM</cp:lastModifiedBy>
  <dcterms:created xsi:type="dcterms:W3CDTF">2021-01-27T07:19:46Z</dcterms:created>
  <dcterms:modified xsi:type="dcterms:W3CDTF">2021-01-27T08:00:30Z</dcterms:modified>
</cp:coreProperties>
</file>