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SAMPIDevKit\PIC16DevKit\PIC16F1887x\HW\Product\BoM\"/>
    </mc:Choice>
  </mc:AlternateContent>
  <xr:revisionPtr revIDLastSave="0" documentId="13_ncr:1_{E0520652-99F6-43DD-9F6F-6F1DE12BF144}" xr6:coauthVersionLast="46" xr6:coauthVersionMax="46" xr10:uidLastSave="{00000000-0000-0000-0000-000000000000}"/>
  <bookViews>
    <workbookView xWindow="-20610" yWindow="-90" windowWidth="20730" windowHeight="11760" xr2:uid="{ACE22CD8-8350-43B9-B6FE-84662C69CD7D}"/>
  </bookViews>
  <sheets>
    <sheet name="BOM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8" i="1" l="1"/>
  <c r="J21" i="1"/>
  <c r="H21" i="1"/>
  <c r="D21" i="1"/>
  <c r="B3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2" i="1"/>
  <c r="H2" i="1"/>
  <c r="H3" i="1"/>
  <c r="H4" i="1"/>
  <c r="H5" i="1"/>
  <c r="H6" i="1"/>
  <c r="H7" i="1"/>
  <c r="H8" i="1"/>
  <c r="H9" i="1"/>
  <c r="H10" i="1"/>
  <c r="H11" i="1"/>
  <c r="H13" i="1"/>
  <c r="H14" i="1"/>
  <c r="H15" i="1"/>
  <c r="H16" i="1"/>
  <c r="H17" i="1"/>
  <c r="H18" i="1"/>
  <c r="H19" i="1"/>
  <c r="H20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12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H38" i="1" l="1"/>
  <c r="J38" i="1"/>
</calcChain>
</file>

<file path=xl/sharedStrings.xml><?xml version="1.0" encoding="utf-8"?>
<sst xmlns="http://schemas.openxmlformats.org/spreadsheetml/2006/main" count="83" uniqueCount="83">
  <si>
    <t>References</t>
  </si>
  <si>
    <t>Description</t>
  </si>
  <si>
    <t>Unit Cost</t>
  </si>
  <si>
    <t>CAP CER 22UF 10V Y5V 0805</t>
  </si>
  <si>
    <t>CAP CER 1UF 16V X7R 0603</t>
  </si>
  <si>
    <t>CAP CER 0.1UF 16V X7R 0603</t>
  </si>
  <si>
    <t>CAP TANT 220UF 20% 6.3V 1411</t>
  </si>
  <si>
    <t>RES SMD 1K OHM 5% 1/10W 0603</t>
  </si>
  <si>
    <t>RES SMD 10K OHM 5% 1/10W 0603</t>
  </si>
  <si>
    <t>RES SMD 4.7K OHM 5% 1/10W 0603</t>
  </si>
  <si>
    <t>RES SMD 75K OHM 1% 1/10W 0603</t>
  </si>
  <si>
    <t>R8</t>
  </si>
  <si>
    <t>RES SMD 40.2K OHM 1% 1/10W 0603</t>
  </si>
  <si>
    <t>R9</t>
  </si>
  <si>
    <t>RES SMD 7.68K OHM 1% 1/10W 0603</t>
  </si>
  <si>
    <t>R24</t>
  </si>
  <si>
    <t>RES SMD 2.2K OHM 5% 1/10W 0603</t>
  </si>
  <si>
    <t>U1</t>
  </si>
  <si>
    <t>IC REG LINEAR 3.3V 300MA SOT23-3</t>
  </si>
  <si>
    <t>U2</t>
  </si>
  <si>
    <t>SENSOR ANALOG -10C-125C SOT23-3</t>
  </si>
  <si>
    <t>U3</t>
  </si>
  <si>
    <t>IC FLASH 4MBIT SPI 50MHZ 8SOIC</t>
  </si>
  <si>
    <t>U4</t>
  </si>
  <si>
    <t>IC RTC CLK/CALENDAR I2C 8-SMT</t>
  </si>
  <si>
    <t>U5</t>
  </si>
  <si>
    <t>IC REG BUCK ADJ 2A TSOT23-6</t>
  </si>
  <si>
    <t>U6</t>
  </si>
  <si>
    <t>IC MCU 32BIT 64KB FLASH 28UQFN</t>
  </si>
  <si>
    <t>U7</t>
  </si>
  <si>
    <t>IC TRNSLTR BIDIRECTIONAL 8VSSOP</t>
  </si>
  <si>
    <t>U8</t>
  </si>
  <si>
    <t>IC MCU 8BIT 28KB FLASH 44TQFP</t>
  </si>
  <si>
    <t>MOSFET P-CH 20V 6A SOT23F</t>
  </si>
  <si>
    <t>D1</t>
  </si>
  <si>
    <t>LED BLUE CLEAR 0603 SMD</t>
  </si>
  <si>
    <t>LED RED CLEAR 0603 SMD</t>
  </si>
  <si>
    <t>D3</t>
  </si>
  <si>
    <t>LED GREEN CLEAR 0603 SMD</t>
  </si>
  <si>
    <t>D4</t>
  </si>
  <si>
    <t>LED YELLOW CLEAR 0603 SMD</t>
  </si>
  <si>
    <t>D6</t>
  </si>
  <si>
    <t>DIODE GEN PURP 75V 300MA SOD323</t>
  </si>
  <si>
    <t>D7</t>
  </si>
  <si>
    <t>SWITCH TACTILE SPST-NO 0.05A 16V</t>
  </si>
  <si>
    <t>F1</t>
  </si>
  <si>
    <t>PTC RESET FUSE 30V 500MA 1812</t>
  </si>
  <si>
    <t>J1</t>
  </si>
  <si>
    <t>CONN RCPT USB2.0 MICRO B SMD R/A</t>
  </si>
  <si>
    <t>RECEPTACLE STRIP 10P 2.54MM PITC</t>
  </si>
  <si>
    <t>J4</t>
  </si>
  <si>
    <t>RECEPTACLE STRIP 7P 2.54MM PITCH</t>
  </si>
  <si>
    <t>J7</t>
  </si>
  <si>
    <t>RECEPTACLE STRIP 8P 2.54MM PITCH</t>
  </si>
  <si>
    <t>J8</t>
  </si>
  <si>
    <t>RECEPTACLE STRIP, 1.27MM,VERTICA</t>
  </si>
  <si>
    <t>L1</t>
  </si>
  <si>
    <t>FIXED IND 6.8UH 3A 80 MOHM SMD</t>
  </si>
  <si>
    <t>Schottky Diodes &amp; Rectifiers</t>
  </si>
  <si>
    <t>PCB</t>
  </si>
  <si>
    <t>SAMM-7x-FRT.PCB</t>
  </si>
  <si>
    <t>FR4, 1OZ, 1.6MM, BLACK/WHITE, HASL, 69x54MM</t>
  </si>
  <si>
    <t>BT1, BT2</t>
  </si>
  <si>
    <t>J2, J6</t>
  </si>
  <si>
    <t>D2, D5</t>
  </si>
  <si>
    <t>Q1, Q2</t>
  </si>
  <si>
    <t>R1, R10, R14, R23, R26</t>
  </si>
  <si>
    <t>R2, R3, R6, R22</t>
  </si>
  <si>
    <t>R4, R5, R11</t>
  </si>
  <si>
    <t>R7, R13</t>
  </si>
  <si>
    <t>C2, C18, C22</t>
  </si>
  <si>
    <t>No</t>
  </si>
  <si>
    <t>Q. Ty</t>
  </si>
  <si>
    <t>SMD Pins</t>
  </si>
  <si>
    <t>T/H Pins</t>
  </si>
  <si>
    <t>Summary</t>
  </si>
  <si>
    <t>Designed P/N</t>
  </si>
  <si>
    <t>Crossed P/N</t>
  </si>
  <si>
    <t>C1, C3, C12, C21, C26, C27</t>
  </si>
  <si>
    <t>C8, C23</t>
  </si>
  <si>
    <t>C4, C5, C6, C7, C9, C10, C11, C13, C14, C15, C16, C17, C19, C20, C24, C25</t>
  </si>
  <si>
    <t>U9</t>
  </si>
  <si>
    <t>IC REG LINEAR 3.3V 300MA SOT23-5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</si>
</sst>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0_);[Red]\(&quot;$&quot;#,##0.000\)"/>
    <numFmt numFmtId="165" formatCode="0.0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vertical="center"/>
    </xf>
    <xf numFmtId="0" fontId="1" fillId="0" borderId="1" xfId="1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right" vertical="center"/>
    </xf>
    <xf numFmtId="2" fontId="0" fillId="0" borderId="0" xfId="0" applyNumberFormat="1" applyFont="1" applyBorder="1" applyAlignment="1">
      <alignment horizontal="left" vertical="center"/>
    </xf>
    <xf numFmtId="1" fontId="0" fillId="0" borderId="1" xfId="0" applyNumberFormat="1" applyFont="1" applyBorder="1" applyAlignment="1">
      <alignment horizontal="right" vertical="center"/>
    </xf>
    <xf numFmtId="0" fontId="0" fillId="0" borderId="1" xfId="0" applyNumberFormat="1" applyFont="1" applyBorder="1" applyAlignment="1">
      <alignment horizontal="right" vertical="center"/>
    </xf>
    <xf numFmtId="1" fontId="5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left" vertical="center"/>
    </xf>
    <xf numFmtId="1" fontId="2" fillId="0" borderId="1" xfId="0" applyNumberFormat="1" applyFont="1" applyBorder="1" applyAlignment="1">
      <alignment horizontal="right" vertical="center"/>
    </xf>
    <xf numFmtId="165" fontId="2" fillId="0" borderId="1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1" xfId="1" applyNumberForma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99875-56A5-4753-AF51-51C62F254A62}">
  <sheetPr>
    <pageSetUpPr fitToPage="1"/>
  </sheetPr>
  <dimension ref="A1:K38"/>
  <sheetViews>
    <sheetView tabSelected="1" topLeftCell="C1" workbookViewId="0">
      <pane ySplit="1" topLeftCell="A16" activePane="bottomLeft" state="frozen"/>
      <selection pane="bottomLeft" sqref="A1:K38"/>
    </sheetView>
  </sheetViews>
  <sheetFormatPr defaultRowHeight="15" x14ac:dyDescent="0.25"/>
  <cols>
    <col min="1" max="1" width="9.28515625" style="4" bestFit="1" customWidth="1"/>
    <col min="2" max="2" width="5.42578125" style="5" bestFit="1" customWidth="1"/>
    <col min="3" max="3" width="63.140625" style="1" bestFit="1" customWidth="1"/>
    <col min="4" max="4" width="32.85546875" style="1" bestFit="1" customWidth="1"/>
    <col min="5" max="5" width="11.85546875" style="1" bestFit="1" customWidth="1"/>
    <col min="6" max="6" width="44.7109375" style="1" bestFit="1" customWidth="1"/>
    <col min="7" max="7" width="3" style="1" bestFit="1" customWidth="1"/>
    <col min="8" max="8" width="4" style="1" bestFit="1" customWidth="1"/>
    <col min="9" max="10" width="3" style="1" bestFit="1" customWidth="1"/>
    <col min="11" max="12" width="9.140625" style="1"/>
    <col min="13" max="13" width="32.85546875" style="1" bestFit="1" customWidth="1"/>
    <col min="14" max="16384" width="9.140625" style="1"/>
  </cols>
  <sheetData>
    <row r="1" spans="1:11" s="18" customFormat="1" x14ac:dyDescent="0.25">
      <c r="A1" s="17" t="s">
        <v>71</v>
      </c>
      <c r="B1" s="17" t="s">
        <v>72</v>
      </c>
      <c r="C1" s="17" t="s">
        <v>0</v>
      </c>
      <c r="D1" s="17" t="s">
        <v>76</v>
      </c>
      <c r="E1" s="17" t="s">
        <v>77</v>
      </c>
      <c r="F1" s="17" t="s">
        <v>1</v>
      </c>
      <c r="G1" s="19" t="s">
        <v>73</v>
      </c>
      <c r="H1" s="20"/>
      <c r="I1" s="19" t="s">
        <v>74</v>
      </c>
      <c r="J1" s="20"/>
      <c r="K1" s="17" t="s">
        <v>2</v>
      </c>
    </row>
    <row r="2" spans="1:11" x14ac:dyDescent="0.25">
      <c r="A2" s="6">
        <v>1</v>
      </c>
      <c r="B2" s="7">
        <v>6</v>
      </c>
      <c r="C2" s="2" t="s">
        <v>78</v>
      </c>
      <c r="D2" s="3" t="str">
        <f>HYPERLINK("https://www.digikey.com/en/products/detail/yageo/CC0805ZKY5V6BB226/5884300","CC0805ZKY5V6BB226")</f>
        <v>CC0805ZKY5V6BB226</v>
      </c>
      <c r="E2" s="3"/>
      <c r="F2" s="2" t="s">
        <v>3</v>
      </c>
      <c r="G2" s="10">
        <v>2</v>
      </c>
      <c r="H2" s="10">
        <f t="shared" ref="H2:H11" si="0">G2*B2</f>
        <v>12</v>
      </c>
      <c r="I2" s="10">
        <v>0</v>
      </c>
      <c r="J2" s="10">
        <f>I2*B2</f>
        <v>0</v>
      </c>
      <c r="K2" s="8">
        <v>0.23100000000000001</v>
      </c>
    </row>
    <row r="3" spans="1:11" x14ac:dyDescent="0.25">
      <c r="A3" s="6">
        <v>2</v>
      </c>
      <c r="B3" s="7">
        <v>16</v>
      </c>
      <c r="C3" s="2" t="s">
        <v>80</v>
      </c>
      <c r="D3" s="3" t="str">
        <f>HYPERLINK("https://www.digikey.com/en/products/detail/yageo/CC0603JRX7R7BB104/5195185","CC0603JRX7R7BB104")</f>
        <v>CC0603JRX7R7BB104</v>
      </c>
      <c r="E3" s="3"/>
      <c r="F3" s="2" t="s">
        <v>5</v>
      </c>
      <c r="G3" s="10">
        <v>2</v>
      </c>
      <c r="H3" s="10">
        <f t="shared" si="0"/>
        <v>32</v>
      </c>
      <c r="I3" s="10">
        <v>0</v>
      </c>
      <c r="J3" s="10">
        <f t="shared" ref="J3:J37" si="1">I3*B3</f>
        <v>0</v>
      </c>
      <c r="K3" s="8">
        <v>7.6999999999999999E-2</v>
      </c>
    </row>
    <row r="4" spans="1:11" x14ac:dyDescent="0.25">
      <c r="A4" s="6">
        <v>3</v>
      </c>
      <c r="B4" s="7">
        <v>2</v>
      </c>
      <c r="C4" s="2" t="s">
        <v>79</v>
      </c>
      <c r="D4" s="3" t="str">
        <f>HYPERLINK("https://www.digikey.com/en/products/detail/vishay-sprague/TMCMB0J227MTRF/10107352","TMCMB0J227MTRF")</f>
        <v>TMCMB0J227MTRF</v>
      </c>
      <c r="E4" s="3"/>
      <c r="F4" s="2" t="s">
        <v>6</v>
      </c>
      <c r="G4" s="10">
        <v>2</v>
      </c>
      <c r="H4" s="10">
        <f t="shared" si="0"/>
        <v>4</v>
      </c>
      <c r="I4" s="10">
        <v>0</v>
      </c>
      <c r="J4" s="10">
        <f t="shared" si="1"/>
        <v>0</v>
      </c>
      <c r="K4" s="8">
        <v>0.61199999999999999</v>
      </c>
    </row>
    <row r="5" spans="1:11" x14ac:dyDescent="0.25">
      <c r="A5" s="6">
        <v>4</v>
      </c>
      <c r="B5" s="7">
        <v>3</v>
      </c>
      <c r="C5" s="2" t="s">
        <v>70</v>
      </c>
      <c r="D5" s="3" t="str">
        <f>HYPERLINK("https://www.digikey.com/en/products/detail/yageo/CC0603JRX7R7BB105/7164369","CC0603JRX7R7BB105")</f>
        <v>CC0603JRX7R7BB105</v>
      </c>
      <c r="E5" s="3"/>
      <c r="F5" s="2" t="s">
        <v>4</v>
      </c>
      <c r="G5" s="10">
        <v>2</v>
      </c>
      <c r="H5" s="10">
        <f t="shared" si="0"/>
        <v>6</v>
      </c>
      <c r="I5" s="10">
        <v>0</v>
      </c>
      <c r="J5" s="10">
        <f t="shared" si="1"/>
        <v>0</v>
      </c>
      <c r="K5" s="8">
        <v>0.186</v>
      </c>
    </row>
    <row r="6" spans="1:11" x14ac:dyDescent="0.25">
      <c r="A6" s="6">
        <v>5</v>
      </c>
      <c r="B6" s="7">
        <v>5</v>
      </c>
      <c r="C6" s="2" t="s">
        <v>66</v>
      </c>
      <c r="D6" s="3" t="str">
        <f>HYPERLINK("https://www.digikey.com/en/products/detail/yageo/AC0603JR-071KL/5896388","AC0603JR-071KL")</f>
        <v>AC0603JR-071KL</v>
      </c>
      <c r="E6" s="3"/>
      <c r="F6" s="2" t="s">
        <v>7</v>
      </c>
      <c r="G6" s="10">
        <v>2</v>
      </c>
      <c r="H6" s="10">
        <f t="shared" si="0"/>
        <v>10</v>
      </c>
      <c r="I6" s="10">
        <v>0</v>
      </c>
      <c r="J6" s="10">
        <f t="shared" si="1"/>
        <v>0</v>
      </c>
      <c r="K6" s="8">
        <v>2.4E-2</v>
      </c>
    </row>
    <row r="7" spans="1:11" x14ac:dyDescent="0.25">
      <c r="A7" s="6">
        <v>6</v>
      </c>
      <c r="B7" s="7">
        <v>4</v>
      </c>
      <c r="C7" s="2" t="s">
        <v>67</v>
      </c>
      <c r="D7" s="3" t="str">
        <f>HYPERLINK("https://www.digikey.com/en/products/detail/yageo/AC0603JR-0710KL/2827830","AC0603JR-0710KL")</f>
        <v>AC0603JR-0710KL</v>
      </c>
      <c r="E7" s="3"/>
      <c r="F7" s="2" t="s">
        <v>8</v>
      </c>
      <c r="G7" s="10">
        <v>2</v>
      </c>
      <c r="H7" s="10">
        <f t="shared" si="0"/>
        <v>8</v>
      </c>
      <c r="I7" s="10">
        <v>0</v>
      </c>
      <c r="J7" s="10">
        <f t="shared" si="1"/>
        <v>0</v>
      </c>
      <c r="K7" s="8">
        <v>2.4E-2</v>
      </c>
    </row>
    <row r="8" spans="1:11" x14ac:dyDescent="0.25">
      <c r="A8" s="6">
        <v>7</v>
      </c>
      <c r="B8" s="7">
        <v>3</v>
      </c>
      <c r="C8" s="2" t="s">
        <v>68</v>
      </c>
      <c r="D8" s="3" t="str">
        <f>HYPERLINK("https://www.digikey.com/en/products/detail/yageo/AC0603JR-074K7L/5896467","AC0603JR-074K7L")</f>
        <v>AC0603JR-074K7L</v>
      </c>
      <c r="E8" s="3"/>
      <c r="F8" s="2" t="s">
        <v>9</v>
      </c>
      <c r="G8" s="10">
        <v>2</v>
      </c>
      <c r="H8" s="10">
        <f t="shared" si="0"/>
        <v>6</v>
      </c>
      <c r="I8" s="10">
        <v>0</v>
      </c>
      <c r="J8" s="10">
        <f t="shared" si="1"/>
        <v>0</v>
      </c>
      <c r="K8" s="8">
        <v>2.4E-2</v>
      </c>
    </row>
    <row r="9" spans="1:11" x14ac:dyDescent="0.25">
      <c r="A9" s="6">
        <v>8</v>
      </c>
      <c r="B9" s="7">
        <v>2</v>
      </c>
      <c r="C9" s="2" t="s">
        <v>69</v>
      </c>
      <c r="D9" s="3" t="str">
        <f>HYPERLINK("https://www.digikey.com/en/products/detail/yageo/RC0603FR-0775KL/727378","RC0603FR-0775KL")</f>
        <v>RC0603FR-0775KL</v>
      </c>
      <c r="E9" s="3"/>
      <c r="F9" s="2" t="s">
        <v>10</v>
      </c>
      <c r="G9" s="11">
        <v>2</v>
      </c>
      <c r="H9" s="10">
        <f t="shared" si="0"/>
        <v>4</v>
      </c>
      <c r="I9" s="11">
        <v>0</v>
      </c>
      <c r="J9" s="10">
        <f t="shared" si="1"/>
        <v>0</v>
      </c>
      <c r="K9" s="8">
        <v>2.4E-2</v>
      </c>
    </row>
    <row r="10" spans="1:11" x14ac:dyDescent="0.25">
      <c r="A10" s="6">
        <v>9</v>
      </c>
      <c r="B10" s="7">
        <v>1</v>
      </c>
      <c r="C10" s="2" t="s">
        <v>11</v>
      </c>
      <c r="D10" s="3" t="str">
        <f>HYPERLINK("https://www.digikey.com/en/products/detail/yageo/RC0603FR-0740K2L/727221","RC0603FR-0740K2L")</f>
        <v>RC0603FR-0740K2L</v>
      </c>
      <c r="E10" s="3"/>
      <c r="F10" s="2" t="s">
        <v>12</v>
      </c>
      <c r="G10" s="11">
        <v>2</v>
      </c>
      <c r="H10" s="10">
        <f t="shared" si="0"/>
        <v>2</v>
      </c>
      <c r="I10" s="11">
        <v>0</v>
      </c>
      <c r="J10" s="10">
        <f t="shared" si="1"/>
        <v>0</v>
      </c>
      <c r="K10" s="8">
        <v>2.4E-2</v>
      </c>
    </row>
    <row r="11" spans="1:11" x14ac:dyDescent="0.25">
      <c r="A11" s="6">
        <v>10</v>
      </c>
      <c r="B11" s="7">
        <v>1</v>
      </c>
      <c r="C11" s="2" t="s">
        <v>13</v>
      </c>
      <c r="D11" s="3" t="str">
        <f>HYPERLINK("https://www.digikey.com/en/products/detail/yageo/RC0603FR-077K68L/727367","RC0603FR-077K68L")</f>
        <v>RC0603FR-077K68L</v>
      </c>
      <c r="E11" s="3"/>
      <c r="F11" s="2" t="s">
        <v>14</v>
      </c>
      <c r="G11" s="11">
        <v>2</v>
      </c>
      <c r="H11" s="10">
        <f t="shared" si="0"/>
        <v>2</v>
      </c>
      <c r="I11" s="11">
        <v>0</v>
      </c>
      <c r="J11" s="10">
        <f t="shared" si="1"/>
        <v>0</v>
      </c>
      <c r="K11" s="8">
        <v>2.4E-2</v>
      </c>
    </row>
    <row r="12" spans="1:11" x14ac:dyDescent="0.25">
      <c r="A12" s="6">
        <v>11</v>
      </c>
      <c r="B12" s="7">
        <v>1</v>
      </c>
      <c r="C12" s="2" t="s">
        <v>15</v>
      </c>
      <c r="D12" s="3" t="str">
        <f>HYPERLINK("https://www.digikey.com/en/products/detail/yageo/AC0603JR-072K2L/5896418","AC0603JR-072K2L")</f>
        <v>AC0603JR-072K2L</v>
      </c>
      <c r="E12" s="3"/>
      <c r="F12" s="2" t="s">
        <v>16</v>
      </c>
      <c r="G12" s="11">
        <v>2</v>
      </c>
      <c r="H12" s="10">
        <f>G12*B12</f>
        <v>2</v>
      </c>
      <c r="I12" s="11">
        <v>0</v>
      </c>
      <c r="J12" s="10">
        <f t="shared" si="1"/>
        <v>0</v>
      </c>
      <c r="K12" s="8">
        <v>2.4E-2</v>
      </c>
    </row>
    <row r="13" spans="1:11" x14ac:dyDescent="0.25">
      <c r="A13" s="6">
        <v>12</v>
      </c>
      <c r="B13" s="7">
        <v>1</v>
      </c>
      <c r="C13" s="2" t="s">
        <v>17</v>
      </c>
      <c r="D13" s="3" t="str">
        <f>HYPERLINK("https://www.digikey.com/en/products/detail/diodes-incorporated/AP2210N-3-3TRG1/4470822","AP2210N-3.3TRG1")</f>
        <v>AP2210N-3.3TRG1</v>
      </c>
      <c r="E13" s="3"/>
      <c r="F13" s="2" t="s">
        <v>18</v>
      </c>
      <c r="G13" s="11">
        <v>3</v>
      </c>
      <c r="H13" s="10">
        <f t="shared" ref="H13:H37" si="2">G13*B13</f>
        <v>3</v>
      </c>
      <c r="I13" s="11">
        <v>0</v>
      </c>
      <c r="J13" s="10">
        <f t="shared" si="1"/>
        <v>0</v>
      </c>
      <c r="K13" s="8">
        <v>0.313</v>
      </c>
    </row>
    <row r="14" spans="1:11" x14ac:dyDescent="0.25">
      <c r="A14" s="6">
        <v>13</v>
      </c>
      <c r="B14" s="7">
        <v>1</v>
      </c>
      <c r="C14" s="2" t="s">
        <v>19</v>
      </c>
      <c r="D14" s="3" t="str">
        <f>HYPERLINK("https://www.digikey.com/en/products/detail/microchip-technology/MCP9701T-E-TT/1987445","MCP9700T-H/LT")</f>
        <v>MCP9700T-H/LT</v>
      </c>
      <c r="E14" s="3"/>
      <c r="F14" s="2" t="s">
        <v>20</v>
      </c>
      <c r="G14" s="11">
        <v>3</v>
      </c>
      <c r="H14" s="10">
        <f t="shared" si="2"/>
        <v>3</v>
      </c>
      <c r="I14" s="11">
        <v>0</v>
      </c>
      <c r="J14" s="10">
        <f t="shared" si="1"/>
        <v>0</v>
      </c>
      <c r="K14" s="8">
        <v>0.25</v>
      </c>
    </row>
    <row r="15" spans="1:11" x14ac:dyDescent="0.25">
      <c r="A15" s="6">
        <v>14</v>
      </c>
      <c r="B15" s="7">
        <v>1</v>
      </c>
      <c r="C15" s="2" t="s">
        <v>21</v>
      </c>
      <c r="D15" s="3" t="str">
        <f>HYPERLINK("https://www.digikey.com/en/products/detail/microchip-technology/SST25VF040B-50-4C-SAF/4740879","SST25VF040B-50-4C-SAF")</f>
        <v>SST25VF040B-50-4C-SAF</v>
      </c>
      <c r="E15" s="3"/>
      <c r="F15" s="2" t="s">
        <v>22</v>
      </c>
      <c r="G15" s="11">
        <v>8</v>
      </c>
      <c r="H15" s="10">
        <f t="shared" si="2"/>
        <v>8</v>
      </c>
      <c r="I15" s="11">
        <v>0</v>
      </c>
      <c r="J15" s="10">
        <f t="shared" si="1"/>
        <v>0</v>
      </c>
      <c r="K15" s="8">
        <v>0.84</v>
      </c>
    </row>
    <row r="16" spans="1:11" x14ac:dyDescent="0.25">
      <c r="A16" s="6">
        <v>15</v>
      </c>
      <c r="B16" s="7">
        <v>1</v>
      </c>
      <c r="C16" s="2" t="s">
        <v>23</v>
      </c>
      <c r="D16" s="3" t="str">
        <f>HYPERLINK("https://www.digikey.com/en/products/detail/micro-crystal-ag/RV-3028-C7-32-768KHZ-1PPM-TA-QC/10431070","RV-3028-C7 32.768KHZ 1PPM-TA-QC")</f>
        <v>RV-3028-C7 32.768KHZ 1PPM-TA-QC</v>
      </c>
      <c r="E16" s="3"/>
      <c r="F16" s="2" t="s">
        <v>24</v>
      </c>
      <c r="G16" s="11">
        <v>8</v>
      </c>
      <c r="H16" s="10">
        <f t="shared" si="2"/>
        <v>8</v>
      </c>
      <c r="I16" s="11">
        <v>0</v>
      </c>
      <c r="J16" s="10">
        <f t="shared" si="1"/>
        <v>0</v>
      </c>
      <c r="K16" s="8">
        <v>2.5659999999999998</v>
      </c>
    </row>
    <row r="17" spans="1:11" x14ac:dyDescent="0.25">
      <c r="A17" s="6">
        <v>16</v>
      </c>
      <c r="B17" s="7">
        <v>1</v>
      </c>
      <c r="C17" s="2" t="s">
        <v>25</v>
      </c>
      <c r="D17" s="3" t="str">
        <f>HYPERLINK("https://www.digikey.com/en/products/detail/monolithic-power-systems-inc/MP1470GJ-Z/9555284","MP1470GJ-Z")</f>
        <v>MP1470GJ-Z</v>
      </c>
      <c r="E17" s="3"/>
      <c r="F17" s="2" t="s">
        <v>26</v>
      </c>
      <c r="G17" s="11">
        <v>6</v>
      </c>
      <c r="H17" s="10">
        <f t="shared" si="2"/>
        <v>6</v>
      </c>
      <c r="I17" s="11">
        <v>0</v>
      </c>
      <c r="J17" s="10">
        <f t="shared" si="1"/>
        <v>0</v>
      </c>
      <c r="K17" s="8">
        <v>1.532</v>
      </c>
    </row>
    <row r="18" spans="1:11" x14ac:dyDescent="0.25">
      <c r="A18" s="6">
        <v>17</v>
      </c>
      <c r="B18" s="7">
        <v>1</v>
      </c>
      <c r="C18" s="2" t="s">
        <v>27</v>
      </c>
      <c r="D18" s="3" t="str">
        <f>HYPERLINK("https://www.digikey.com/en/products/detail/microchip-technology/PIC32MM0064GPM028-I-M6/8037777","PIC32MM0064GPM028-I/M6")</f>
        <v>PIC32MM0064GPM028-I/M6</v>
      </c>
      <c r="E18" s="3"/>
      <c r="F18" s="2" t="s">
        <v>28</v>
      </c>
      <c r="G18" s="11">
        <v>32</v>
      </c>
      <c r="H18" s="10">
        <f t="shared" si="2"/>
        <v>32</v>
      </c>
      <c r="I18" s="11">
        <v>0</v>
      </c>
      <c r="J18" s="10">
        <f t="shared" si="1"/>
        <v>0</v>
      </c>
      <c r="K18" s="8">
        <v>2.04</v>
      </c>
    </row>
    <row r="19" spans="1:11" x14ac:dyDescent="0.25">
      <c r="A19" s="6">
        <v>18</v>
      </c>
      <c r="B19" s="7">
        <v>1</v>
      </c>
      <c r="C19" s="2" t="s">
        <v>29</v>
      </c>
      <c r="D19" s="3" t="str">
        <f>HYPERLINK("https://www.digikey.com/en/products/detail/nexperia-usa-inc/74AVC2T45DC-125/1692558","74AVC2T45DC,125")</f>
        <v>74AVC2T45DC,125</v>
      </c>
      <c r="E19" s="3"/>
      <c r="F19" s="2" t="s">
        <v>30</v>
      </c>
      <c r="G19" s="11">
        <v>8</v>
      </c>
      <c r="H19" s="10">
        <f t="shared" si="2"/>
        <v>8</v>
      </c>
      <c r="I19" s="11">
        <v>0</v>
      </c>
      <c r="J19" s="10">
        <f t="shared" si="1"/>
        <v>0</v>
      </c>
      <c r="K19" s="8">
        <v>0.35299999999999998</v>
      </c>
    </row>
    <row r="20" spans="1:11" x14ac:dyDescent="0.25">
      <c r="A20" s="6">
        <v>19</v>
      </c>
      <c r="B20" s="7">
        <v>1</v>
      </c>
      <c r="C20" s="2" t="s">
        <v>31</v>
      </c>
      <c r="D20" s="3" t="str">
        <f>HYPERLINK("https://www.digikey.com/en/products/detail/microchip-technology/PIC16F18876-I-PT/6192935","PIC16F18876-I/PT")</f>
        <v>PIC16F18876-I/PT</v>
      </c>
      <c r="E20" s="3"/>
      <c r="F20" s="2" t="s">
        <v>32</v>
      </c>
      <c r="G20" s="11">
        <v>44</v>
      </c>
      <c r="H20" s="10">
        <f t="shared" si="2"/>
        <v>44</v>
      </c>
      <c r="I20" s="11">
        <v>0</v>
      </c>
      <c r="J20" s="10">
        <f t="shared" si="1"/>
        <v>0</v>
      </c>
      <c r="K20" s="8">
        <v>1.69</v>
      </c>
    </row>
    <row r="21" spans="1:11" x14ac:dyDescent="0.25">
      <c r="A21" s="6">
        <v>20</v>
      </c>
      <c r="B21" s="7">
        <v>1</v>
      </c>
      <c r="C21" s="2" t="s">
        <v>81</v>
      </c>
      <c r="D21" s="21" t="str">
        <f>HYPERLINK("https://www.digikey.com/en/products/detail/microchip-technology/MIC5504-3-3YM5-TR/4864018","MIC5504-3.3YM5-TR")</f>
        <v>MIC5504-3.3YM5-TR</v>
      </c>
      <c r="E21" s="3"/>
      <c r="F21" s="2" t="s">
        <v>82</v>
      </c>
      <c r="G21" s="11">
        <v>5</v>
      </c>
      <c r="H21" s="10">
        <f t="shared" si="2"/>
        <v>5</v>
      </c>
      <c r="I21" s="11">
        <v>0</v>
      </c>
      <c r="J21" s="10">
        <f t="shared" si="1"/>
        <v>0</v>
      </c>
      <c r="K21" s="8">
        <v>0.13</v>
      </c>
    </row>
    <row r="22" spans="1:11" x14ac:dyDescent="0.25">
      <c r="A22" s="6">
        <v>21</v>
      </c>
      <c r="B22" s="7">
        <v>2</v>
      </c>
      <c r="C22" s="2" t="s">
        <v>65</v>
      </c>
      <c r="D22" s="3" t="str">
        <f>HYPERLINK("https://www.digikey.com/en/products/detail/toshiba-semiconductor-and-storage/SSM3J378R-LF/9866021","SSM3J378R,LF")</f>
        <v>SSM3J378R,LF</v>
      </c>
      <c r="E22" s="3"/>
      <c r="F22" s="2" t="s">
        <v>33</v>
      </c>
      <c r="G22" s="11">
        <v>3</v>
      </c>
      <c r="H22" s="10">
        <f t="shared" si="2"/>
        <v>6</v>
      </c>
      <c r="I22" s="11">
        <v>0</v>
      </c>
      <c r="J22" s="10">
        <f t="shared" si="1"/>
        <v>0</v>
      </c>
      <c r="K22" s="8">
        <v>0.30199999999999999</v>
      </c>
    </row>
    <row r="23" spans="1:11" x14ac:dyDescent="0.25">
      <c r="A23" s="6">
        <v>22</v>
      </c>
      <c r="B23" s="7">
        <v>1</v>
      </c>
      <c r="C23" s="2" t="s">
        <v>34</v>
      </c>
      <c r="D23" s="3" t="str">
        <f>HYPERLINK("https://www.digikey.com/en/products/detail/würth-elektronik/150060BS75000/4489895","150060BS75000")</f>
        <v>150060BS75000</v>
      </c>
      <c r="E23" s="3"/>
      <c r="F23" s="2" t="s">
        <v>35</v>
      </c>
      <c r="G23" s="11">
        <v>2</v>
      </c>
      <c r="H23" s="10">
        <f t="shared" si="2"/>
        <v>2</v>
      </c>
      <c r="I23" s="11">
        <v>0</v>
      </c>
      <c r="J23" s="10">
        <f t="shared" si="1"/>
        <v>0</v>
      </c>
      <c r="K23" s="8">
        <v>0.16</v>
      </c>
    </row>
    <row r="24" spans="1:11" x14ac:dyDescent="0.25">
      <c r="A24" s="6">
        <v>23</v>
      </c>
      <c r="B24" s="7">
        <v>2</v>
      </c>
      <c r="C24" s="2" t="s">
        <v>64</v>
      </c>
      <c r="D24" s="3" t="str">
        <f>HYPERLINK("https://www.digikey.com/en/products/detail/würth-elektronik/150060SS75000/4489903","150060SS75000")</f>
        <v>150060SS75000</v>
      </c>
      <c r="E24" s="3"/>
      <c r="F24" s="2" t="s">
        <v>36</v>
      </c>
      <c r="G24" s="11">
        <v>2</v>
      </c>
      <c r="H24" s="10">
        <f t="shared" si="2"/>
        <v>4</v>
      </c>
      <c r="I24" s="11">
        <v>0</v>
      </c>
      <c r="J24" s="10">
        <f t="shared" si="1"/>
        <v>0</v>
      </c>
      <c r="K24" s="8">
        <v>0.14000000000000001</v>
      </c>
    </row>
    <row r="25" spans="1:11" x14ac:dyDescent="0.25">
      <c r="A25" s="6">
        <v>24</v>
      </c>
      <c r="B25" s="7">
        <v>1</v>
      </c>
      <c r="C25" s="2" t="s">
        <v>37</v>
      </c>
      <c r="D25" s="3" t="str">
        <f>HYPERLINK("https://www.digikey.com/en/products/detail/würth-elektronik/150060VS75000/4489906","150060VS75000")</f>
        <v>150060VS75000</v>
      </c>
      <c r="E25" s="3"/>
      <c r="F25" s="2" t="s">
        <v>38</v>
      </c>
      <c r="G25" s="11">
        <v>2</v>
      </c>
      <c r="H25" s="10">
        <f t="shared" si="2"/>
        <v>2</v>
      </c>
      <c r="I25" s="11">
        <v>0</v>
      </c>
      <c r="J25" s="10">
        <f t="shared" si="1"/>
        <v>0</v>
      </c>
      <c r="K25" s="8">
        <v>0.14000000000000001</v>
      </c>
    </row>
    <row r="26" spans="1:11" x14ac:dyDescent="0.25">
      <c r="A26" s="6">
        <v>25</v>
      </c>
      <c r="B26" s="7">
        <v>1</v>
      </c>
      <c r="C26" s="2" t="s">
        <v>39</v>
      </c>
      <c r="D26" s="3" t="str">
        <f>HYPERLINK("https://www.digikey.com/en/products/detail/würth-elektronik/150060YS75000/4489909","150060YS75000")</f>
        <v>150060YS75000</v>
      </c>
      <c r="E26" s="3"/>
      <c r="F26" s="2" t="s">
        <v>40</v>
      </c>
      <c r="G26" s="11">
        <v>2</v>
      </c>
      <c r="H26" s="10">
        <f t="shared" si="2"/>
        <v>2</v>
      </c>
      <c r="I26" s="11">
        <v>0</v>
      </c>
      <c r="J26" s="10">
        <f t="shared" si="1"/>
        <v>0</v>
      </c>
      <c r="K26" s="8">
        <v>0.14000000000000001</v>
      </c>
    </row>
    <row r="27" spans="1:11" x14ac:dyDescent="0.25">
      <c r="A27" s="6">
        <v>26</v>
      </c>
      <c r="B27" s="7">
        <v>1</v>
      </c>
      <c r="C27" s="2" t="s">
        <v>41</v>
      </c>
      <c r="D27" s="3" t="str">
        <f>HYPERLINK("https://www.digikey.com/en/products/detail/smc-diode-solutions/1N4148WSTR/6022449","1N4148WSTR")</f>
        <v>1N4148WSTR</v>
      </c>
      <c r="E27" s="3"/>
      <c r="F27" s="2" t="s">
        <v>42</v>
      </c>
      <c r="G27" s="11">
        <v>2</v>
      </c>
      <c r="H27" s="10">
        <f t="shared" si="2"/>
        <v>2</v>
      </c>
      <c r="I27" s="11">
        <v>0</v>
      </c>
      <c r="J27" s="10">
        <f t="shared" si="1"/>
        <v>0</v>
      </c>
      <c r="K27" s="8">
        <v>0.121</v>
      </c>
    </row>
    <row r="28" spans="1:11" x14ac:dyDescent="0.25">
      <c r="A28" s="6">
        <v>27</v>
      </c>
      <c r="B28" s="7">
        <v>1</v>
      </c>
      <c r="C28" s="2" t="s">
        <v>43</v>
      </c>
      <c r="D28" s="3" t="str">
        <f>HYPERLINK("https://www.mouser.vn/ProductDetail/Panjit/SK26_R1_00001?qs=sPbYRqrBIVnCfhq3ypDoOA%3D%3D","SK26_R1_00001")</f>
        <v>SK26_R1_00001</v>
      </c>
      <c r="E28" s="3"/>
      <c r="F28" s="2" t="s">
        <v>58</v>
      </c>
      <c r="G28" s="11">
        <v>2</v>
      </c>
      <c r="H28" s="10">
        <f t="shared" si="2"/>
        <v>2</v>
      </c>
      <c r="I28" s="11">
        <v>0</v>
      </c>
      <c r="J28" s="10">
        <f t="shared" si="1"/>
        <v>0</v>
      </c>
      <c r="K28" s="8">
        <v>0.36</v>
      </c>
    </row>
    <row r="29" spans="1:11" x14ac:dyDescent="0.25">
      <c r="A29" s="6">
        <v>28</v>
      </c>
      <c r="B29" s="7">
        <v>2</v>
      </c>
      <c r="C29" s="2" t="s">
        <v>62</v>
      </c>
      <c r="D29" s="3" t="str">
        <f>HYPERLINK("https://www.digikey.com/en/products/detail/c-k/PTS810-SJG-250-SMTR-LFS/4176612","PTS810 SJG 250 SMTR LFS")</f>
        <v>PTS810 SJG 250 SMTR LFS</v>
      </c>
      <c r="E29" s="3"/>
      <c r="F29" s="2" t="s">
        <v>44</v>
      </c>
      <c r="G29" s="11">
        <v>4</v>
      </c>
      <c r="H29" s="10">
        <f t="shared" si="2"/>
        <v>8</v>
      </c>
      <c r="I29" s="11">
        <v>0</v>
      </c>
      <c r="J29" s="10">
        <f t="shared" si="1"/>
        <v>0</v>
      </c>
      <c r="K29" s="8">
        <v>0.35399999999999998</v>
      </c>
    </row>
    <row r="30" spans="1:11" x14ac:dyDescent="0.25">
      <c r="A30" s="6">
        <v>29</v>
      </c>
      <c r="B30" s="7">
        <v>1</v>
      </c>
      <c r="C30" s="2" t="s">
        <v>45</v>
      </c>
      <c r="D30" s="3" t="str">
        <f>HYPERLINK("https://www.digikey.com/en/products/detail/bel-fuse-inc/0ZCG0050AF2C/4156100","0ZCG0050AF2C")</f>
        <v>0ZCG0050AF2C</v>
      </c>
      <c r="E30" s="3"/>
      <c r="F30" s="2" t="s">
        <v>46</v>
      </c>
      <c r="G30" s="11">
        <v>2</v>
      </c>
      <c r="H30" s="10">
        <f t="shared" si="2"/>
        <v>2</v>
      </c>
      <c r="I30" s="11">
        <v>0</v>
      </c>
      <c r="J30" s="10">
        <f t="shared" si="1"/>
        <v>0</v>
      </c>
      <c r="K30" s="8">
        <v>0.107</v>
      </c>
    </row>
    <row r="31" spans="1:11" x14ac:dyDescent="0.25">
      <c r="A31" s="6">
        <v>30</v>
      </c>
      <c r="B31" s="7">
        <v>1</v>
      </c>
      <c r="C31" s="2" t="s">
        <v>47</v>
      </c>
      <c r="D31" s="3" t="str">
        <f>HYPERLINK("https://www.digikey.com/en/products/detail/amphenol-icc-fci/10118192-0002LF/6817756","10118192-0002LF")</f>
        <v>10118192-0002LF</v>
      </c>
      <c r="E31" s="3"/>
      <c r="F31" s="2" t="s">
        <v>48</v>
      </c>
      <c r="G31" s="11">
        <v>9</v>
      </c>
      <c r="H31" s="10">
        <f t="shared" si="2"/>
        <v>9</v>
      </c>
      <c r="I31" s="11">
        <v>0</v>
      </c>
      <c r="J31" s="10">
        <f t="shared" si="1"/>
        <v>0</v>
      </c>
      <c r="K31" s="8">
        <v>0.44</v>
      </c>
    </row>
    <row r="32" spans="1:11" x14ac:dyDescent="0.25">
      <c r="A32" s="6">
        <v>31</v>
      </c>
      <c r="B32" s="7">
        <v>2</v>
      </c>
      <c r="C32" s="2" t="s">
        <v>63</v>
      </c>
      <c r="D32" s="3" t="str">
        <f>HYPERLINK("https://www.digikey.com/en/products/detail/adam-tech/RS1-10-G/9832059","RS1-10-G")</f>
        <v>RS1-10-G</v>
      </c>
      <c r="E32" s="3"/>
      <c r="F32" s="2" t="s">
        <v>49</v>
      </c>
      <c r="G32" s="11">
        <v>0</v>
      </c>
      <c r="H32" s="10">
        <f t="shared" si="2"/>
        <v>0</v>
      </c>
      <c r="I32" s="11">
        <v>10</v>
      </c>
      <c r="J32" s="10">
        <f t="shared" si="1"/>
        <v>20</v>
      </c>
      <c r="K32" s="8">
        <v>0.58299999999999996</v>
      </c>
    </row>
    <row r="33" spans="1:11" x14ac:dyDescent="0.25">
      <c r="A33" s="6">
        <v>32</v>
      </c>
      <c r="B33" s="7">
        <v>1</v>
      </c>
      <c r="C33" s="2" t="s">
        <v>50</v>
      </c>
      <c r="D33" s="3" t="str">
        <f>HYPERLINK("https://www.digikey.com/en/products/detail/adam-tech/RS1-07-G/9832045","RS1-07-G")</f>
        <v>RS1-07-G</v>
      </c>
      <c r="E33" s="3"/>
      <c r="F33" s="2" t="s">
        <v>51</v>
      </c>
      <c r="G33" s="11">
        <v>0</v>
      </c>
      <c r="H33" s="10">
        <f t="shared" si="2"/>
        <v>0</v>
      </c>
      <c r="I33" s="11">
        <v>7</v>
      </c>
      <c r="J33" s="10">
        <f t="shared" si="1"/>
        <v>7</v>
      </c>
      <c r="K33" s="8">
        <v>0.44500000000000001</v>
      </c>
    </row>
    <row r="34" spans="1:11" x14ac:dyDescent="0.25">
      <c r="A34" s="6">
        <v>33</v>
      </c>
      <c r="B34" s="7">
        <v>1</v>
      </c>
      <c r="C34" s="2" t="s">
        <v>52</v>
      </c>
      <c r="D34" s="3" t="str">
        <f>HYPERLINK("https://www.digikey.com/en/products/detail/adam-tech/RS1-08-G/9832056","RS1-08-G")</f>
        <v>RS1-08-G</v>
      </c>
      <c r="E34" s="3"/>
      <c r="F34" s="2" t="s">
        <v>53</v>
      </c>
      <c r="G34" s="11">
        <v>0</v>
      </c>
      <c r="H34" s="10">
        <f t="shared" si="2"/>
        <v>0</v>
      </c>
      <c r="I34" s="11">
        <v>8</v>
      </c>
      <c r="J34" s="10">
        <f t="shared" si="1"/>
        <v>8</v>
      </c>
      <c r="K34" s="8">
        <v>0.46700000000000003</v>
      </c>
    </row>
    <row r="35" spans="1:11" x14ac:dyDescent="0.25">
      <c r="A35" s="6">
        <v>34</v>
      </c>
      <c r="B35" s="7">
        <v>1</v>
      </c>
      <c r="C35" s="2" t="s">
        <v>54</v>
      </c>
      <c r="D35" s="3" t="str">
        <f>HYPERLINK("https://www.digikey.com/en/products/detail/adam-tech/HRS-2B-10-GA/9832984","HRS-2B-10-GA")</f>
        <v>HRS-2B-10-GA</v>
      </c>
      <c r="E35" s="3"/>
      <c r="F35" s="2" t="s">
        <v>55</v>
      </c>
      <c r="G35" s="11">
        <v>0</v>
      </c>
      <c r="H35" s="10">
        <f t="shared" si="2"/>
        <v>0</v>
      </c>
      <c r="I35" s="11">
        <v>8</v>
      </c>
      <c r="J35" s="10">
        <f t="shared" si="1"/>
        <v>8</v>
      </c>
      <c r="K35" s="8">
        <v>0.38900000000000001</v>
      </c>
    </row>
    <row r="36" spans="1:11" x14ac:dyDescent="0.25">
      <c r="A36" s="6">
        <v>35</v>
      </c>
      <c r="B36" s="7">
        <v>1</v>
      </c>
      <c r="C36" s="2" t="s">
        <v>56</v>
      </c>
      <c r="D36" s="3" t="str">
        <f>HYPERLINK("https://www.digikey.com/en/products/detail/bourns-inc/SDE0604A-6R8M/5030882","SDE0604A-6R8M")</f>
        <v>SDE0604A-6R8M</v>
      </c>
      <c r="E36" s="3"/>
      <c r="F36" s="2" t="s">
        <v>57</v>
      </c>
      <c r="G36" s="11">
        <v>2</v>
      </c>
      <c r="H36" s="10">
        <f t="shared" si="2"/>
        <v>2</v>
      </c>
      <c r="I36" s="11">
        <v>0</v>
      </c>
      <c r="J36" s="10">
        <f t="shared" si="1"/>
        <v>0</v>
      </c>
      <c r="K36" s="8">
        <v>0.59299999999999997</v>
      </c>
    </row>
    <row r="37" spans="1:11" x14ac:dyDescent="0.25">
      <c r="A37" s="6">
        <v>36</v>
      </c>
      <c r="B37" s="7">
        <v>1</v>
      </c>
      <c r="C37" s="2" t="s">
        <v>59</v>
      </c>
      <c r="D37" s="3" t="s">
        <v>60</v>
      </c>
      <c r="E37" s="3"/>
      <c r="F37" s="2" t="s">
        <v>61</v>
      </c>
      <c r="G37" s="11">
        <v>0</v>
      </c>
      <c r="H37" s="10">
        <f t="shared" si="2"/>
        <v>0</v>
      </c>
      <c r="I37" s="11">
        <v>0</v>
      </c>
      <c r="J37" s="10">
        <f t="shared" si="1"/>
        <v>0</v>
      </c>
      <c r="K37" s="8">
        <v>1</v>
      </c>
    </row>
    <row r="38" spans="1:11" s="9" customFormat="1" x14ac:dyDescent="0.25">
      <c r="A38" s="12" t="s">
        <v>75</v>
      </c>
      <c r="B38" s="13">
        <f>SUM(B2:B37)</f>
        <v>73</v>
      </c>
      <c r="C38" s="14"/>
      <c r="D38" s="14"/>
      <c r="E38" s="14"/>
      <c r="F38" s="14"/>
      <c r="G38" s="15"/>
      <c r="H38" s="15">
        <f>SUM(H2:H37)</f>
        <v>246</v>
      </c>
      <c r="I38" s="15"/>
      <c r="J38" s="15">
        <f>SUM(J2:J37)</f>
        <v>43</v>
      </c>
      <c r="K38" s="16">
        <f>SUM(K2:K37)</f>
        <v>16.728999999999999</v>
      </c>
    </row>
  </sheetData>
  <mergeCells count="2">
    <mergeCell ref="I1:J1"/>
    <mergeCell ref="G1:H1"/>
  </mergeCells>
  <phoneticPr fontId="4" type="noConversion"/>
  <pageMargins left="0.25" right="0.25" top="0.75" bottom="0.75" header="0.3" footer="0.3"/>
  <pageSetup paperSize="9" scale="7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LIEM</dc:creator>
  <cp:lastModifiedBy>DŨNG LIÊM PHAN</cp:lastModifiedBy>
  <cp:lastPrinted>2021-05-10T15:46:47Z</cp:lastPrinted>
  <dcterms:created xsi:type="dcterms:W3CDTF">2021-05-04T10:35:46Z</dcterms:created>
  <dcterms:modified xsi:type="dcterms:W3CDTF">2021-05-10T15:46:51Z</dcterms:modified>
</cp:coreProperties>
</file>