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SAMPIDevKit\PIC16DevKit\PIC16F1887x\HW\Product\BoM\"/>
    </mc:Choice>
  </mc:AlternateContent>
  <xr:revisionPtr revIDLastSave="0" documentId="13_ncr:1_{C45943BD-987C-461D-9C37-81A2A4E28ECD}" xr6:coauthVersionLast="46" xr6:coauthVersionMax="46" xr10:uidLastSave="{00000000-0000-0000-0000-000000000000}"/>
  <bookViews>
    <workbookView xWindow="-120" yWindow="-120" windowWidth="20730" windowHeight="11760" xr2:uid="{B27DB8C2-8D4B-45E4-AB09-F38A4E487824}"/>
  </bookViews>
  <sheets>
    <sheet name="Digikey" sheetId="1" r:id="rId1"/>
    <sheet name="VietNam" sheetId="2" r:id="rId2"/>
  </sheets>
  <definedNames>
    <definedName name="_xlnm._FilterDatabase" localSheetId="0" hidden="1">Digikey!$A$1:$F$1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L36" i="2"/>
  <c r="J36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2" i="2"/>
  <c r="G37" i="2"/>
  <c r="G26" i="2"/>
  <c r="D26" i="2"/>
  <c r="G27" i="2"/>
  <c r="G35" i="2"/>
  <c r="G34" i="2"/>
  <c r="D34" i="2"/>
  <c r="G33" i="2"/>
  <c r="G32" i="2"/>
  <c r="D32" i="2"/>
  <c r="G31" i="2"/>
  <c r="G30" i="2"/>
  <c r="D30" i="2"/>
  <c r="G29" i="2"/>
  <c r="G28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42" i="1"/>
  <c r="G41" i="1"/>
  <c r="G3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" i="1"/>
  <c r="G40" i="1" s="1"/>
  <c r="D22" i="1"/>
  <c r="D30" i="1"/>
  <c r="D21" i="1"/>
  <c r="D20" i="1"/>
  <c r="D19" i="1"/>
  <c r="D18" i="1"/>
  <c r="D17" i="1"/>
  <c r="D16" i="1"/>
  <c r="D15" i="1"/>
  <c r="D14" i="1"/>
  <c r="D13" i="1"/>
  <c r="D12" i="1"/>
  <c r="D2" i="1"/>
  <c r="D11" i="1"/>
  <c r="D10" i="1"/>
  <c r="D9" i="1"/>
  <c r="D8" i="1"/>
  <c r="D7" i="1"/>
  <c r="D38" i="1"/>
  <c r="D37" i="1"/>
  <c r="D36" i="1"/>
  <c r="D35" i="1"/>
  <c r="D34" i="1"/>
  <c r="D33" i="1"/>
  <c r="D32" i="1"/>
  <c r="D31" i="1"/>
  <c r="D25" i="1"/>
  <c r="D29" i="1"/>
  <c r="D28" i="1"/>
  <c r="D27" i="1"/>
  <c r="D26" i="1"/>
  <c r="D24" i="1"/>
  <c r="D23" i="1"/>
  <c r="D6" i="1"/>
  <c r="D5" i="1"/>
  <c r="D4" i="1"/>
  <c r="D3" i="1"/>
  <c r="G36" i="2" l="1"/>
  <c r="G38" i="2" s="1"/>
</calcChain>
</file>

<file path=xl/sharedStrings.xml><?xml version="1.0" encoding="utf-8"?>
<sst xmlns="http://schemas.openxmlformats.org/spreadsheetml/2006/main" count="202" uniqueCount="152">
  <si>
    <t>References</t>
  </si>
  <si>
    <t>Stock Code</t>
  </si>
  <si>
    <t>Description</t>
  </si>
  <si>
    <t>Unit Cost</t>
  </si>
  <si>
    <t>CAP CER 22UF 10V Y5V 0805</t>
  </si>
  <si>
    <t>CAP CER 1UF 16V X7R 0603</t>
  </si>
  <si>
    <t>CAP CER 0.1UF 16V X7R 0603</t>
  </si>
  <si>
    <t>C8</t>
  </si>
  <si>
    <t>CAP TANT 220UF 20% 6.3V 1411</t>
  </si>
  <si>
    <t>RES SMD 1K OHM 5% 1/10W 0603</t>
  </si>
  <si>
    <t>RES SMD 10K OHM 5% 1/10W 0603</t>
  </si>
  <si>
    <t>RES SMD 4.7K OHM 5% 1/10W 0603</t>
  </si>
  <si>
    <t>RES SMD 75K OHM 1% 1/10W 0603</t>
  </si>
  <si>
    <t>R8</t>
  </si>
  <si>
    <t>RES SMD 40.2K OHM 1% 1/10W 0603</t>
  </si>
  <si>
    <t>R9</t>
  </si>
  <si>
    <t>RES SMD 7.68K OHM 1% 1/10W 0603</t>
  </si>
  <si>
    <t>R24</t>
  </si>
  <si>
    <t>RES SMD 2.2K OHM 5% 1/10W 0603</t>
  </si>
  <si>
    <t>U1</t>
  </si>
  <si>
    <t>IC REG LINEAR 3.3V 300MA SOT23-3</t>
  </si>
  <si>
    <t>U2</t>
  </si>
  <si>
    <t>SENSOR ANALOG -10C-125C SOT23-3</t>
  </si>
  <si>
    <t>U3</t>
  </si>
  <si>
    <t>IC FLASH 64MBIT SPI/QUAD 8SOP</t>
  </si>
  <si>
    <t>U4</t>
  </si>
  <si>
    <t>IC RTC CLK/CALENDAR I2C 8-SMT</t>
  </si>
  <si>
    <t>U5</t>
  </si>
  <si>
    <t>IC REG BUCK ADJ 2A TSOT23-6</t>
  </si>
  <si>
    <t>U6</t>
  </si>
  <si>
    <t>IC MCU 32BIT 64KB FLASH 28UQFN</t>
  </si>
  <si>
    <t>IC TRNSLTR BIDIRECTIONAL SOT23-6</t>
  </si>
  <si>
    <t>U8</t>
  </si>
  <si>
    <t>IC MCU 8BIT 56KB FLASH 44TQFP</t>
  </si>
  <si>
    <t>MOSFET P-CH 20V 6A SOT23F</t>
  </si>
  <si>
    <t>D1</t>
  </si>
  <si>
    <t>LED BLUE CLEAR 0603 SMD</t>
  </si>
  <si>
    <t>LED RED CLEAR 0603 SMD</t>
  </si>
  <si>
    <t>D3</t>
  </si>
  <si>
    <t>LED GREEN CLEAR 0603 SMD</t>
  </si>
  <si>
    <t>D4</t>
  </si>
  <si>
    <t>LED YELLOW CLEAR 0603 SMD</t>
  </si>
  <si>
    <t>D6</t>
  </si>
  <si>
    <t>DIODE GEN PURP 75V 300MA SOD323</t>
  </si>
  <si>
    <t>SWITCH TACTILE SPST-NO 0.05A 16V</t>
  </si>
  <si>
    <t>F1</t>
  </si>
  <si>
    <t>PTC RESET FUSE 30V 500MA 1812</t>
  </si>
  <si>
    <t>J1</t>
  </si>
  <si>
    <t>CONN RCPT USB2.0 MICRO B SMD R/A</t>
  </si>
  <si>
    <t>RECEPTACLE STRIP 10P 2.54MM PITC</t>
  </si>
  <si>
    <t>J3</t>
  </si>
  <si>
    <t>CONN HEADER VERT 8POS 2.54MM</t>
  </si>
  <si>
    <t>J4</t>
  </si>
  <si>
    <t>RECEPTACLE STRIP 7P 2.54MM PITCH</t>
  </si>
  <si>
    <t>CONN HEADER VERT 10POS 2.54MM</t>
  </si>
  <si>
    <t>J7</t>
  </si>
  <si>
    <t>RECEPTACLE STRIP 8P 2.54MM PITCH</t>
  </si>
  <si>
    <t>J8</t>
  </si>
  <si>
    <t>J9</t>
  </si>
  <si>
    <t>CONN HEADER VERT 7POS 2.54MM</t>
  </si>
  <si>
    <t>L1</t>
  </si>
  <si>
    <t>FIXED IND 6.8UH 3A 80 MOHM SMD</t>
  </si>
  <si>
    <t>TP1</t>
  </si>
  <si>
    <t>PC TEST POINT NATURAL</t>
  </si>
  <si>
    <t>Total</t>
  </si>
  <si>
    <t>No</t>
  </si>
  <si>
    <t>Q.Ty</t>
  </si>
  <si>
    <t>38</t>
  </si>
  <si>
    <t>C1, C3, C12, C21</t>
  </si>
  <si>
    <t>C2, C18, C22</t>
  </si>
  <si>
    <t>C4, C5, C6, C7, C9, C10, C11, C13, C14, C15, C16, C17, C19, C20, C23, C24, C25</t>
  </si>
  <si>
    <t>R1, R10, R14, R23, R26</t>
  </si>
  <si>
    <t>R2, R3, R6, R22</t>
  </si>
  <si>
    <t>R4, R5, R11</t>
  </si>
  <si>
    <t>R7, R13</t>
  </si>
  <si>
    <t>U7, U9</t>
  </si>
  <si>
    <t>Q1, Q2</t>
  </si>
  <si>
    <t>RECEPTACLE STRIP,  1.27MM, VERTICA</t>
  </si>
  <si>
    <t>D2, D5</t>
  </si>
  <si>
    <t>BT1, BT2</t>
  </si>
  <si>
    <t>J2, J6</t>
  </si>
  <si>
    <t>J5, J10</t>
  </si>
  <si>
    <t>Sub-Cost</t>
  </si>
  <si>
    <t>Cost</t>
  </si>
  <si>
    <t>PCB</t>
  </si>
  <si>
    <t>PCB.PIC16DEVKIT_V2.0</t>
  </si>
  <si>
    <t>FR4, 1.6MM, GREEN/WHITE, HASL, 69x54MM</t>
  </si>
  <si>
    <t>VAT</t>
  </si>
  <si>
    <t>https://www.thegioiic.com/products/nut-nhan-4-2x3-3mm-cao-2-5mm-4-chan-smd-v2</t>
  </si>
  <si>
    <t>Nút Nhấn 4.2x3.3mm Cao 2.5mm 4 Chân SMD V2</t>
  </si>
  <si>
    <t>https://www.thegioiic.com/products/tu-gom-0805-22uf-16v</t>
  </si>
  <si>
    <t>Tụ Gốm 0805 22uF 16V</t>
  </si>
  <si>
    <t>https://www.thegioiic.com/products/tu-gom-0603-1uf-16v</t>
  </si>
  <si>
    <t>Tụ Gốm 0603 1uF 16V</t>
  </si>
  <si>
    <t>https://www.thegioiic.com/products/tu-gom-0603-100nf-0-1uf-50v</t>
  </si>
  <si>
    <t>Tụ Gốm 0603 100nF (0.1uF) 50V</t>
  </si>
  <si>
    <t>https://www.thegioiic.com/products/tu-tantalum-220uf-6-3v-1210-f930j227mba</t>
  </si>
  <si>
    <t>Tụ Tantalum 220uF 6.3V 1210 F930J227MBA</t>
  </si>
  <si>
    <t>https://www.thegioiic.com/products/led-xanh-duong-0603-dan-smd-trong-suot</t>
  </si>
  <si>
    <t>LED Xanh Dương 0603 Dán SMD Trong Suốt</t>
  </si>
  <si>
    <t>https://www.thegioiic.com/products/led-do-0603-dan-smd-trong-suot</t>
  </si>
  <si>
    <t>LED Đỏ 0603 Dán SMD Trong Suốt</t>
  </si>
  <si>
    <t>https://www.thegioiic.com/products/led-xanh-la-0603-dan-smd-trong-suot</t>
  </si>
  <si>
    <t>LED Xanh Lá 0603 Dán SMD Trong Suốt</t>
  </si>
  <si>
    <t>https://www.thegioiic.com/products/led-vang-0603-dan-smd-trong-suot</t>
  </si>
  <si>
    <t>LED Vàng 0603 Dán SMD Trong Suốt</t>
  </si>
  <si>
    <t>https://www.thegioiic.com/products/1n4148ws-diode-chinh-luu-0-15a-75v</t>
  </si>
  <si>
    <t>1N4148WS Diode Chỉnh Lưu 0.15A 75V</t>
  </si>
  <si>
    <t>https://www.thegioiic.com/products/mf-msmf050-2-cau-chi-tu-phuc-hoi-1812-15v-0-5a</t>
  </si>
  <si>
    <t>MF-MSMF050-2 Cầu Chì Tự Phục Hồi 1812 15V 0.5A</t>
  </si>
  <si>
    <t>https://www.thegioiic.com/products/cong-usb-micro-b-2-0-dau-cai-5-chan-smd-v3</t>
  </si>
  <si>
    <t>Cổng USB Micro-B 2.0 Đầu Cái 5 Chân SMD V3</t>
  </si>
  <si>
    <t>https://www.thegioiic.com/products/hang-rao-duc-don-2-54mm-40-chan-1-hang-cao-11-2mm-xuyen-lo</t>
  </si>
  <si>
    <t>Hàng Rào Đực Đơn 2.54mm 40 Chân 1 Hàng Cao 11.2mm Xuyên Lỗ</t>
  </si>
  <si>
    <t>J3, J5, J9, J10</t>
  </si>
  <si>
    <t>J2, J4, J6, J7</t>
  </si>
  <si>
    <t>https://www.thegioiic.com/products/hang-rao-cai-don-2-54mm-40-chan-1-hang-cao-11-8mm-xuyen-lo</t>
  </si>
  <si>
    <t>Hàng Rào Cái Đơn 2.54mm 40 Chân 1 Hàng Cao 11.8mm Xuyên Lỗ</t>
  </si>
  <si>
    <t>https://www.thegioiic.com/products/hang-rao-cai-doi-1-27mm-80-chan-2-hang-cao-4-3mm-xuyen-lo</t>
  </si>
  <si>
    <t>Hàng Rào Cái Đôi 1.27mm 80 Chân 2 Hàng Cao 4.3mm Xuyên Lỗ</t>
  </si>
  <si>
    <t>https://www.thegioiic.com/products/cuon-cam-dan-smd-cd53-5852-6r8-6-8uh-2-2a</t>
  </si>
  <si>
    <t>Cuộn Cảm Dán SMD CD53 5852-6R8 6.8uH 2.2A</t>
  </si>
  <si>
    <t>https://www.thegioiic.com/products/irlml6401trpbf</t>
  </si>
  <si>
    <t>MOSFET P-CH 12V 4.3A SOT-23</t>
  </si>
  <si>
    <t>https://www.thegioiic.com/products/dien-tro-1-kohm-0603-5</t>
  </si>
  <si>
    <t>Điện Trở 1 KOhm 0603 5%</t>
  </si>
  <si>
    <t>https://www.thegioiic.com/products/dien-tro-10-kohm-0603-5</t>
  </si>
  <si>
    <t>Điện Trở 10 KOhm 0603 5%</t>
  </si>
  <si>
    <t>https://www.thegioiic.com/products/dien-tro-2-2-kohm-0603-5</t>
  </si>
  <si>
    <t>Điện Trở 2.2 KOhm 0603 5%</t>
  </si>
  <si>
    <t>https://www.thegioiic.com/products/dien-tro-4-7-kohm-0603-5</t>
  </si>
  <si>
    <t>Điện Trở 4.7 KOhm 0603 5%</t>
  </si>
  <si>
    <t>https://www.thegioiic.com/products/dien-tro-75-kohm-0603-1</t>
  </si>
  <si>
    <t>Điện Trở 75 KOhm 0603 1%</t>
  </si>
  <si>
    <t>https://www.thegioiic.com/products/dien-tro-40-2-kohm-0603-1</t>
  </si>
  <si>
    <t>Điện Trở 40.2 KOhm 0603 1%</t>
  </si>
  <si>
    <t>https://www.dientutuonglai.com/dien-tro-dan-768k-ohm-0603-1.html</t>
  </si>
  <si>
    <t>Điện Trở Dán 7.68K Ohm 0603 1%</t>
  </si>
  <si>
    <t>http://www.dientuachau.com/ap2210n-3-3-1</t>
  </si>
  <si>
    <t>https://www.thegioiic.com/products/mcp9700at-e-tt-cam-bien-nhiet-do</t>
  </si>
  <si>
    <t>MCP9700AT-E/TT Cảm Biến Nhiệt Độ</t>
  </si>
  <si>
    <t>https://www.thegioiic.com/products/gd25q64csigr</t>
  </si>
  <si>
    <t>FLASH - NOR Memory IC 64Mb (8M x 8) SPI - Quad I/O 120MHz 8-SOP</t>
  </si>
  <si>
    <t>https://banlinhkien.com/mp1470-sot23-ic-buck-2a-16v-adjgadje-p6648672.html</t>
  </si>
  <si>
    <t>MP1470 SOT23 IC BUCK 2A 16V (ADJG,ADJE)</t>
  </si>
  <si>
    <t>https://www.thegioiic.com/products/sn74lvc1t45dbvr</t>
  </si>
  <si>
    <t>IC BUS TRANSCVR TRI-ST SOT23-6</t>
  </si>
  <si>
    <t>MCP1702T-3302E/CB</t>
  </si>
  <si>
    <t>Number Of Pads</t>
  </si>
  <si>
    <t>Pad/Unit</t>
  </si>
  <si>
    <t>TH/Unit</t>
  </si>
  <si>
    <t>Number Of 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</si>
</sst>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000_);[Red]\(&quot;$&quot;#,##0.00000\)"/>
    <numFmt numFmtId="165" formatCode="&quot;$&quot;#,##0.00000"/>
    <numFmt numFmtId="166" formatCode="[$VND]\ 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2" fillId="0" borderId="1" xfId="1" applyNumberFormat="1" applyBorder="1" applyAlignment="1">
      <alignment horizontal="left" vertical="center"/>
    </xf>
    <xf numFmtId="164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0" fontId="0" fillId="0" borderId="1" xfId="0" applyNumberForma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165" fontId="0" fillId="0" borderId="1" xfId="0" applyNumberFormat="1" applyFont="1" applyBorder="1" applyAlignment="1">
      <alignment vertical="center"/>
    </xf>
    <xf numFmtId="166" fontId="0" fillId="0" borderId="1" xfId="0" applyNumberFormat="1" applyBorder="1" applyAlignment="1">
      <alignment horizontal="right" vertical="center"/>
    </xf>
    <xf numFmtId="166" fontId="0" fillId="0" borderId="1" xfId="0" applyNumberFormat="1" applyBorder="1" applyAlignment="1">
      <alignment vertical="center"/>
    </xf>
    <xf numFmtId="166" fontId="0" fillId="0" borderId="1" xfId="0" applyNumberFormat="1" applyFont="1" applyBorder="1" applyAlignment="1">
      <alignment vertical="center"/>
    </xf>
    <xf numFmtId="166" fontId="1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4" fillId="0" borderId="1" xfId="1" applyNumberFormat="1" applyFont="1" applyBorder="1" applyAlignment="1">
      <alignment horizontal="left" vertical="center"/>
    </xf>
    <xf numFmtId="166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0" fillId="2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left" vertical="center"/>
    </xf>
    <xf numFmtId="0" fontId="2" fillId="2" borderId="1" xfId="1" applyNumberFormat="1" applyFill="1" applyBorder="1" applyAlignment="1">
      <alignment horizontal="left" vertical="center"/>
    </xf>
    <xf numFmtId="166" fontId="0" fillId="2" borderId="1" xfId="0" applyNumberFormat="1" applyFill="1" applyBorder="1" applyAlignment="1">
      <alignment horizontal="right" vertical="center"/>
    </xf>
    <xf numFmtId="166" fontId="0" fillId="2" borderId="1" xfId="0" applyNumberFormat="1" applyFill="1" applyBorder="1" applyAlignment="1">
      <alignment vertical="center"/>
    </xf>
    <xf numFmtId="0" fontId="0" fillId="2" borderId="1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left" vertical="center"/>
    </xf>
    <xf numFmtId="166" fontId="0" fillId="2" borderId="1" xfId="0" applyNumberFormat="1" applyFont="1" applyFill="1" applyBorder="1" applyAlignment="1">
      <alignment horizontal="right" vertical="center"/>
    </xf>
    <xf numFmtId="166" fontId="0" fillId="2" borderId="1" xfId="0" applyNumberFormat="1" applyFont="1" applyFill="1" applyBorder="1" applyAlignment="1">
      <alignment vertical="center"/>
    </xf>
    <xf numFmtId="0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0" fontId="6" fillId="0" borderId="1" xfId="1" applyNumberFormat="1" applyFont="1" applyBorder="1" applyAlignment="1">
      <alignment horizontal="left" vertical="center"/>
    </xf>
    <xf numFmtId="166" fontId="5" fillId="0" borderId="1" xfId="0" applyNumberFormat="1" applyFont="1" applyBorder="1" applyAlignment="1">
      <alignment horizontal="right" vertical="center"/>
    </xf>
    <xf numFmtId="166" fontId="5" fillId="0" borderId="1" xfId="0" applyNumberFormat="1" applyFont="1" applyBorder="1" applyAlignment="1">
      <alignment vertical="center"/>
    </xf>
    <xf numFmtId="0" fontId="5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0" fontId="6" fillId="2" borderId="1" xfId="1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right" vertical="center"/>
    </xf>
    <xf numFmtId="166" fontId="5" fillId="2" borderId="1" xfId="0" applyNumberFormat="1" applyFont="1" applyFill="1" applyBorder="1" applyAlignment="1">
      <alignment vertical="center"/>
    </xf>
    <xf numFmtId="0" fontId="0" fillId="2" borderId="0" xfId="0" applyFill="1" applyAlignment="1">
      <alignment vertical="center"/>
    </xf>
    <xf numFmtId="1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dientutuonglai.com/dien-tro-dan-768k-ohm-0603-1.html" TargetMode="External"/><Relationship Id="rId1" Type="http://schemas.openxmlformats.org/officeDocument/2006/relationships/hyperlink" Target="https://www.thegioiic.com/products/tu-gom-0805-22uf-16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4A555-F70F-4E5F-B41F-99C917195BA0}">
  <dimension ref="A1:G42"/>
  <sheetViews>
    <sheetView tabSelected="1" workbookViewId="0">
      <pane ySplit="1" topLeftCell="A20" activePane="bottomLeft" state="frozen"/>
      <selection pane="bottomLeft" activeCell="C32" sqref="C32"/>
    </sheetView>
  </sheetViews>
  <sheetFormatPr defaultColWidth="17.42578125" defaultRowHeight="15" x14ac:dyDescent="0.25"/>
  <cols>
    <col min="1" max="1" width="3.5703125" style="2" bestFit="1" customWidth="1"/>
    <col min="2" max="2" width="5" style="2" bestFit="1" customWidth="1"/>
    <col min="3" max="3" width="67.42578125" style="1" bestFit="1" customWidth="1"/>
    <col min="4" max="4" width="32.85546875" style="1" bestFit="1" customWidth="1"/>
    <col min="5" max="5" width="40.42578125" style="1" bestFit="1" customWidth="1"/>
    <col min="6" max="6" width="9.28515625" style="1" bestFit="1" customWidth="1"/>
    <col min="7" max="7" width="9.5703125" style="1" bestFit="1" customWidth="1"/>
    <col min="8" max="16384" width="17.42578125" style="1"/>
  </cols>
  <sheetData>
    <row r="1" spans="1:7" x14ac:dyDescent="0.25">
      <c r="A1" s="3" t="s">
        <v>65</v>
      </c>
      <c r="B1" s="3" t="s">
        <v>66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82</v>
      </c>
    </row>
    <row r="2" spans="1:7" x14ac:dyDescent="0.25">
      <c r="A2" s="5">
        <v>1</v>
      </c>
      <c r="B2" s="9">
        <v>2</v>
      </c>
      <c r="C2" s="6" t="s">
        <v>79</v>
      </c>
      <c r="D2" s="7" t="str">
        <f>HYPERLINK("https://www.digikey.com/en/products/detail/c-k/PTS810-SJG-250-SMTR-LFS/4176612", "PTS810 SJG 250 SMTR LFS")</f>
        <v>PTS810 SJG 250 SMTR LFS</v>
      </c>
      <c r="E2" s="6" t="s">
        <v>44</v>
      </c>
      <c r="F2" s="8">
        <v>0.21956000000000001</v>
      </c>
      <c r="G2" s="10">
        <f>PRODUCT(B2,F2)</f>
        <v>0.43912000000000001</v>
      </c>
    </row>
    <row r="3" spans="1:7" x14ac:dyDescent="0.25">
      <c r="A3" s="5">
        <v>2</v>
      </c>
      <c r="B3" s="9">
        <v>4</v>
      </c>
      <c r="C3" s="6" t="s">
        <v>68</v>
      </c>
      <c r="D3" s="7" t="str">
        <f>HYPERLINK("https://www.digikey.com/en/products/detail/yageo/CC0805ZKY5V6BB226/5884300", "CC0805ZKY5V6BB226")</f>
        <v>CC0805ZKY5V6BB226</v>
      </c>
      <c r="E3" s="6" t="s">
        <v>4</v>
      </c>
      <c r="F3" s="8">
        <v>8.7900000000000006E-2</v>
      </c>
      <c r="G3" s="10">
        <f t="shared" ref="G3:G39" si="0">PRODUCT(B3,F3)</f>
        <v>0.35160000000000002</v>
      </c>
    </row>
    <row r="4" spans="1:7" x14ac:dyDescent="0.25">
      <c r="A4" s="5">
        <v>3</v>
      </c>
      <c r="B4" s="9">
        <v>3</v>
      </c>
      <c r="C4" s="6" t="s">
        <v>69</v>
      </c>
      <c r="D4" s="7" t="str">
        <f>HYPERLINK("https://www.digikey.com/en/products/detail/yageo/CC0603JRX7R7BB105/7164369", "CC0603JRX7R7BB105")</f>
        <v>CC0603JRX7R7BB105</v>
      </c>
      <c r="E4" s="6" t="s">
        <v>5</v>
      </c>
      <c r="F4" s="8">
        <v>5.7110000000000001E-2</v>
      </c>
      <c r="G4" s="10">
        <f t="shared" si="0"/>
        <v>0.17133000000000001</v>
      </c>
    </row>
    <row r="5" spans="1:7" x14ac:dyDescent="0.25">
      <c r="A5" s="5">
        <v>4</v>
      </c>
      <c r="B5" s="9">
        <v>17</v>
      </c>
      <c r="C5" s="6" t="s">
        <v>70</v>
      </c>
      <c r="D5" s="7" t="str">
        <f>HYPERLINK("https://www.digikey.com/en/products/detail/yageo/CC0603JRX7R7BB104/5195185", "CC0603JRX7R7BB104")</f>
        <v>CC0603JRX7R7BB104</v>
      </c>
      <c r="E5" s="6" t="s">
        <v>6</v>
      </c>
      <c r="F5" s="8">
        <v>1.9230000000000001E-2</v>
      </c>
      <c r="G5" s="10">
        <f t="shared" si="0"/>
        <v>0.32691000000000003</v>
      </c>
    </row>
    <row r="6" spans="1:7" x14ac:dyDescent="0.25">
      <c r="A6" s="5">
        <v>5</v>
      </c>
      <c r="B6" s="9">
        <v>1</v>
      </c>
      <c r="C6" s="6" t="s">
        <v>7</v>
      </c>
      <c r="D6" s="7" t="str">
        <f>HYPERLINK("https://www.digikey.com/en/products/detail/vishay-sprague/TMCMB0J227MTRF/10107352", "TMCMB0J227MTRF")</f>
        <v>TMCMB0J227MTRF</v>
      </c>
      <c r="E6" s="6" t="s">
        <v>8</v>
      </c>
      <c r="F6" s="8">
        <v>0.27983999999999998</v>
      </c>
      <c r="G6" s="10">
        <f t="shared" si="0"/>
        <v>0.27983999999999998</v>
      </c>
    </row>
    <row r="7" spans="1:7" x14ac:dyDescent="0.25">
      <c r="A7" s="5">
        <v>6</v>
      </c>
      <c r="B7" s="9">
        <v>1</v>
      </c>
      <c r="C7" s="6" t="s">
        <v>35</v>
      </c>
      <c r="D7" s="7" t="str">
        <f>HYPERLINK("https://www.digikey.com/en/products/detail/würth-elektronik/150060BS75000/4489895", "150060BS75000")</f>
        <v>150060BS75000</v>
      </c>
      <c r="E7" s="6" t="s">
        <v>36</v>
      </c>
      <c r="F7" s="8">
        <v>0.1245</v>
      </c>
      <c r="G7" s="10">
        <f t="shared" si="0"/>
        <v>0.1245</v>
      </c>
    </row>
    <row r="8" spans="1:7" x14ac:dyDescent="0.25">
      <c r="A8" s="5">
        <v>7</v>
      </c>
      <c r="B8" s="9">
        <v>2</v>
      </c>
      <c r="C8" s="6" t="s">
        <v>78</v>
      </c>
      <c r="D8" s="7" t="str">
        <f>HYPERLINK("https://www.digikey.com/en/products/detail/würth-elektronik/150060SS75000/4489903", "150060SS75000")</f>
        <v>150060SS75000</v>
      </c>
      <c r="E8" s="6" t="s">
        <v>37</v>
      </c>
      <c r="F8" s="8">
        <v>0.11550000000000001</v>
      </c>
      <c r="G8" s="10">
        <f t="shared" si="0"/>
        <v>0.23100000000000001</v>
      </c>
    </row>
    <row r="9" spans="1:7" x14ac:dyDescent="0.25">
      <c r="A9" s="5">
        <v>8</v>
      </c>
      <c r="B9" s="9">
        <v>1</v>
      </c>
      <c r="C9" s="6" t="s">
        <v>38</v>
      </c>
      <c r="D9" s="7" t="str">
        <f>HYPERLINK("https://www.digikey.com/en/products/detail/würth-elektronik/150060VS75000/4489906", "150060VS75000")</f>
        <v>150060VS75000</v>
      </c>
      <c r="E9" s="6" t="s">
        <v>39</v>
      </c>
      <c r="F9" s="8">
        <v>0.11550000000000001</v>
      </c>
      <c r="G9" s="10">
        <f t="shared" si="0"/>
        <v>0.11550000000000001</v>
      </c>
    </row>
    <row r="10" spans="1:7" x14ac:dyDescent="0.25">
      <c r="A10" s="5">
        <v>9</v>
      </c>
      <c r="B10" s="9">
        <v>1</v>
      </c>
      <c r="C10" s="6" t="s">
        <v>40</v>
      </c>
      <c r="D10" s="7" t="str">
        <f>HYPERLINK("https://www.digikey.com/en/products/detail/würth-elektronik/150060YS75000/4489909", "150060YS75000")</f>
        <v>150060YS75000</v>
      </c>
      <c r="E10" s="6" t="s">
        <v>41</v>
      </c>
      <c r="F10" s="8">
        <v>0.11550000000000001</v>
      </c>
      <c r="G10" s="10">
        <f t="shared" si="0"/>
        <v>0.11550000000000001</v>
      </c>
    </row>
    <row r="11" spans="1:7" x14ac:dyDescent="0.25">
      <c r="A11" s="5">
        <v>10</v>
      </c>
      <c r="B11" s="9">
        <v>1</v>
      </c>
      <c r="C11" s="6" t="s">
        <v>42</v>
      </c>
      <c r="D11" s="7" t="str">
        <f>HYPERLINK("https://www.digikey.com/en/products/detail/smc-diode-solutions/1N4148WSTR/6022449", "1N4148WSTR")</f>
        <v>1N4148WSTR</v>
      </c>
      <c r="E11" s="6" t="s">
        <v>43</v>
      </c>
      <c r="F11" s="8">
        <v>2.7720000000000002E-2</v>
      </c>
      <c r="G11" s="10">
        <f t="shared" si="0"/>
        <v>2.7720000000000002E-2</v>
      </c>
    </row>
    <row r="12" spans="1:7" x14ac:dyDescent="0.25">
      <c r="A12" s="5">
        <v>11</v>
      </c>
      <c r="B12" s="9">
        <v>1</v>
      </c>
      <c r="C12" s="6" t="s">
        <v>45</v>
      </c>
      <c r="D12" s="7" t="str">
        <f>HYPERLINK("https://www.digikey.com/en/products/detail/bel-fuse-inc/0ZCG0050AF2C/4156100", "0ZCG0050AF2C")</f>
        <v>0ZCG0050AF2C</v>
      </c>
      <c r="E12" s="6" t="s">
        <v>46</v>
      </c>
      <c r="F12" s="8">
        <v>6.2700000000000006E-2</v>
      </c>
      <c r="G12" s="10">
        <f t="shared" si="0"/>
        <v>6.2700000000000006E-2</v>
      </c>
    </row>
    <row r="13" spans="1:7" x14ac:dyDescent="0.25">
      <c r="A13" s="5">
        <v>12</v>
      </c>
      <c r="B13" s="9">
        <v>1</v>
      </c>
      <c r="C13" s="6" t="s">
        <v>47</v>
      </c>
      <c r="D13" s="7" t="str">
        <f>HYPERLINK("https://www.digikey.com/en/products/detail/amphenol-icc-fci/10118192-0002LF/6817756", "10118192-0002LF")</f>
        <v>10118192-0002LF</v>
      </c>
      <c r="E13" s="6" t="s">
        <v>48</v>
      </c>
      <c r="F13" s="8">
        <v>0.25156000000000001</v>
      </c>
      <c r="G13" s="10">
        <f t="shared" si="0"/>
        <v>0.25156000000000001</v>
      </c>
    </row>
    <row r="14" spans="1:7" x14ac:dyDescent="0.25">
      <c r="A14" s="5">
        <v>13</v>
      </c>
      <c r="B14" s="9">
        <v>2</v>
      </c>
      <c r="C14" s="6" t="s">
        <v>80</v>
      </c>
      <c r="D14" s="7" t="str">
        <f>HYPERLINK("https://www.digikey.com/en/products/detail/adam-tech/RS1-10-G/9832059", "RS1-10-G")</f>
        <v>RS1-10-G</v>
      </c>
      <c r="E14" s="6" t="s">
        <v>49</v>
      </c>
      <c r="F14" s="8">
        <v>0.32079999999999997</v>
      </c>
      <c r="G14" s="10">
        <f t="shared" si="0"/>
        <v>0.64159999999999995</v>
      </c>
    </row>
    <row r="15" spans="1:7" x14ac:dyDescent="0.25">
      <c r="A15" s="5">
        <v>14</v>
      </c>
      <c r="B15" s="9">
        <v>1</v>
      </c>
      <c r="C15" s="6" t="s">
        <v>50</v>
      </c>
      <c r="D15" s="7" t="str">
        <f>HYPERLINK("https://www.digikey.com/en/products/detail/adam-tech/PH1-08-UA/9830442", "PH1-08-UA")</f>
        <v>PH1-08-UA</v>
      </c>
      <c r="E15" s="6" t="s">
        <v>51</v>
      </c>
      <c r="F15" s="8">
        <v>5.3560000000000003E-2</v>
      </c>
      <c r="G15" s="10">
        <f t="shared" si="0"/>
        <v>5.3560000000000003E-2</v>
      </c>
    </row>
    <row r="16" spans="1:7" x14ac:dyDescent="0.25">
      <c r="A16" s="5">
        <v>15</v>
      </c>
      <c r="B16" s="9">
        <v>1</v>
      </c>
      <c r="C16" s="6" t="s">
        <v>52</v>
      </c>
      <c r="D16" s="7" t="str">
        <f>HYPERLINK("https://www.digikey.com/en/products/detail/adam-tech/RS1-07-G/9832045", "RS1-07-G")</f>
        <v>RS1-07-G</v>
      </c>
      <c r="E16" s="6" t="s">
        <v>53</v>
      </c>
      <c r="F16" s="8">
        <v>0.24498</v>
      </c>
      <c r="G16" s="10">
        <f t="shared" si="0"/>
        <v>0.24498</v>
      </c>
    </row>
    <row r="17" spans="1:7" x14ac:dyDescent="0.25">
      <c r="A17" s="5">
        <v>16</v>
      </c>
      <c r="B17" s="9">
        <v>2</v>
      </c>
      <c r="C17" s="6" t="s">
        <v>81</v>
      </c>
      <c r="D17" s="7" t="str">
        <f>HYPERLINK("https://www.digikey.com/en/products/detail/adam-tech/PH1-10-UA/9830653", "PH1-10-UA")</f>
        <v>PH1-10-UA</v>
      </c>
      <c r="E17" s="6" t="s">
        <v>54</v>
      </c>
      <c r="F17" s="8">
        <v>8.0810000000000007E-2</v>
      </c>
      <c r="G17" s="10">
        <f t="shared" si="0"/>
        <v>0.16162000000000001</v>
      </c>
    </row>
    <row r="18" spans="1:7" x14ac:dyDescent="0.25">
      <c r="A18" s="5">
        <v>17</v>
      </c>
      <c r="B18" s="9">
        <v>1</v>
      </c>
      <c r="C18" s="6" t="s">
        <v>55</v>
      </c>
      <c r="D18" s="7" t="str">
        <f>HYPERLINK("https://www.digikey.com/en/products/detail/adam-tech/RS1-08-G/9832056", "RS1-08-G")</f>
        <v>RS1-08-G</v>
      </c>
      <c r="E18" s="6" t="s">
        <v>56</v>
      </c>
      <c r="F18" s="8">
        <v>0.25663999999999998</v>
      </c>
      <c r="G18" s="10">
        <f t="shared" si="0"/>
        <v>0.25663999999999998</v>
      </c>
    </row>
    <row r="19" spans="1:7" x14ac:dyDescent="0.25">
      <c r="A19" s="5">
        <v>18</v>
      </c>
      <c r="B19" s="9">
        <v>1</v>
      </c>
      <c r="C19" s="6" t="s">
        <v>57</v>
      </c>
      <c r="D19" s="7" t="str">
        <f>HYPERLINK("https://www.digikey.com/en/products/detail/adam-tech/HRS-2B-10-GA/9832984", "HRS-2B-10-GA")</f>
        <v>HRS-2B-10-GA</v>
      </c>
      <c r="E19" s="6" t="s">
        <v>77</v>
      </c>
      <c r="F19" s="8">
        <v>0.19442999999999999</v>
      </c>
      <c r="G19" s="10">
        <f t="shared" si="0"/>
        <v>0.19442999999999999</v>
      </c>
    </row>
    <row r="20" spans="1:7" x14ac:dyDescent="0.25">
      <c r="A20" s="5">
        <v>19</v>
      </c>
      <c r="B20" s="9">
        <v>1</v>
      </c>
      <c r="C20" s="6" t="s">
        <v>58</v>
      </c>
      <c r="D20" s="7" t="str">
        <f>HYPERLINK("https://www.digikey.com/en/products/detail/adam-tech/PH1-07-UA/9830505", "PH1-07-UA")</f>
        <v>PH1-07-UA</v>
      </c>
      <c r="E20" s="6" t="s">
        <v>59</v>
      </c>
      <c r="F20" s="8">
        <v>5.663E-2</v>
      </c>
      <c r="G20" s="10">
        <f t="shared" si="0"/>
        <v>5.663E-2</v>
      </c>
    </row>
    <row r="21" spans="1:7" x14ac:dyDescent="0.25">
      <c r="A21" s="5">
        <v>20</v>
      </c>
      <c r="B21" s="9">
        <v>1</v>
      </c>
      <c r="C21" s="6" t="s">
        <v>60</v>
      </c>
      <c r="D21" s="7" t="str">
        <f>HYPERLINK("https://www.digikey.com/en/products/detail/bourns-inc/SDE0604A-6R8M/5030882", "SDE0604A-6R8M")</f>
        <v>SDE0604A-6R8M</v>
      </c>
      <c r="E21" s="6" t="s">
        <v>61</v>
      </c>
      <c r="F21" s="8">
        <v>0.35574</v>
      </c>
      <c r="G21" s="10">
        <f t="shared" si="0"/>
        <v>0.35574</v>
      </c>
    </row>
    <row r="22" spans="1:7" x14ac:dyDescent="0.25">
      <c r="A22" s="5">
        <v>21</v>
      </c>
      <c r="B22" s="9">
        <v>2</v>
      </c>
      <c r="C22" s="6" t="s">
        <v>76</v>
      </c>
      <c r="D22" s="7" t="str">
        <f>HYPERLINK("https://www.digikey.com/en/products/detail/toshiba-semiconductor-and-storage/SSM3J378R-LF/9866021", "SSM3J378R,LF")</f>
        <v>SSM3J378R,LF</v>
      </c>
      <c r="E22" s="6" t="s">
        <v>34</v>
      </c>
      <c r="F22" s="8">
        <v>9.9000000000000005E-2</v>
      </c>
      <c r="G22" s="10">
        <f t="shared" si="0"/>
        <v>0.19800000000000001</v>
      </c>
    </row>
    <row r="23" spans="1:7" x14ac:dyDescent="0.25">
      <c r="A23" s="5">
        <v>22</v>
      </c>
      <c r="B23" s="9">
        <v>5</v>
      </c>
      <c r="C23" s="6" t="s">
        <v>71</v>
      </c>
      <c r="D23" s="7" t="str">
        <f>HYPERLINK("https://www.digikey.com/en/products/detail/yageo/AC0603JR-071KL/5896388", "AC0603JR-071KL")</f>
        <v>AC0603JR-071KL</v>
      </c>
      <c r="E23" s="6" t="s">
        <v>9</v>
      </c>
      <c r="F23" s="8">
        <v>4.3600000000000002E-3</v>
      </c>
      <c r="G23" s="10">
        <f t="shared" si="0"/>
        <v>2.18E-2</v>
      </c>
    </row>
    <row r="24" spans="1:7" x14ac:dyDescent="0.25">
      <c r="A24" s="5">
        <v>23</v>
      </c>
      <c r="B24" s="9">
        <v>4</v>
      </c>
      <c r="C24" s="6" t="s">
        <v>72</v>
      </c>
      <c r="D24" s="7" t="str">
        <f>HYPERLINK("https://www.digikey.com/en/products/detail/yageo/AC0603JR-0710KL/2827830", "AC0603JR-0710KL")</f>
        <v>AC0603JR-0710KL</v>
      </c>
      <c r="E24" s="6" t="s">
        <v>10</v>
      </c>
      <c r="F24" s="8">
        <v>4.3600000000000002E-3</v>
      </c>
      <c r="G24" s="10">
        <f t="shared" si="0"/>
        <v>1.7440000000000001E-2</v>
      </c>
    </row>
    <row r="25" spans="1:7" x14ac:dyDescent="0.25">
      <c r="A25" s="5">
        <v>24</v>
      </c>
      <c r="B25" s="9">
        <v>1</v>
      </c>
      <c r="C25" s="6" t="s">
        <v>17</v>
      </c>
      <c r="D25" s="7" t="str">
        <f>HYPERLINK("https://www.digikey.com/en/products/detail/yageo/AC0603JR-072K2L/5896418", "AC0603JR-072K2L")</f>
        <v>AC0603JR-072K2L</v>
      </c>
      <c r="E25" s="6" t="s">
        <v>18</v>
      </c>
      <c r="F25" s="8">
        <v>4.3600000000000002E-3</v>
      </c>
      <c r="G25" s="10">
        <f t="shared" si="0"/>
        <v>4.3600000000000002E-3</v>
      </c>
    </row>
    <row r="26" spans="1:7" x14ac:dyDescent="0.25">
      <c r="A26" s="5">
        <v>25</v>
      </c>
      <c r="B26" s="9">
        <v>3</v>
      </c>
      <c r="C26" s="6" t="s">
        <v>73</v>
      </c>
      <c r="D26" s="7" t="str">
        <f>HYPERLINK("https://www.digikey.com/en/products/detail/yageo/AC0603JR-074K7L/5896467", "AC0603JR-074K7L")</f>
        <v>AC0603JR-074K7L</v>
      </c>
      <c r="E26" s="6" t="s">
        <v>11</v>
      </c>
      <c r="F26" s="8">
        <v>4.3600000000000002E-3</v>
      </c>
      <c r="G26" s="10">
        <f t="shared" si="0"/>
        <v>1.3080000000000001E-2</v>
      </c>
    </row>
    <row r="27" spans="1:7" x14ac:dyDescent="0.25">
      <c r="A27" s="5">
        <v>26</v>
      </c>
      <c r="B27" s="9">
        <v>2</v>
      </c>
      <c r="C27" s="6" t="s">
        <v>74</v>
      </c>
      <c r="D27" s="7" t="str">
        <f>HYPERLINK("https://www.digikey.com/en/products/detail/yageo/RC0603FR-0775KL/727378", "RC0603FR-0775KL")</f>
        <v>RC0603FR-0775KL</v>
      </c>
      <c r="E27" s="6" t="s">
        <v>12</v>
      </c>
      <c r="F27" s="8">
        <v>4.3600000000000002E-3</v>
      </c>
      <c r="G27" s="10">
        <f t="shared" si="0"/>
        <v>8.7200000000000003E-3</v>
      </c>
    </row>
    <row r="28" spans="1:7" x14ac:dyDescent="0.25">
      <c r="A28" s="5">
        <v>27</v>
      </c>
      <c r="B28" s="9">
        <v>1</v>
      </c>
      <c r="C28" s="6" t="s">
        <v>13</v>
      </c>
      <c r="D28" s="7" t="str">
        <f>HYPERLINK("https://www.digikey.com/en/products/detail/yageo/RC0603FR-0740K2L/727221", "RC0603FR-0740K2L")</f>
        <v>RC0603FR-0740K2L</v>
      </c>
      <c r="E28" s="6" t="s">
        <v>14</v>
      </c>
      <c r="F28" s="8">
        <v>4.3600000000000002E-3</v>
      </c>
      <c r="G28" s="10">
        <f t="shared" si="0"/>
        <v>4.3600000000000002E-3</v>
      </c>
    </row>
    <row r="29" spans="1:7" x14ac:dyDescent="0.25">
      <c r="A29" s="5">
        <v>28</v>
      </c>
      <c r="B29" s="9">
        <v>1</v>
      </c>
      <c r="C29" s="6" t="s">
        <v>15</v>
      </c>
      <c r="D29" s="7" t="str">
        <f>HYPERLINK("https://www.digikey.com/en/products/detail/yageo/RC0603FR-077K68L/727367", "RC0603FR-077K68L")</f>
        <v>RC0603FR-077K68L</v>
      </c>
      <c r="E29" s="6" t="s">
        <v>16</v>
      </c>
      <c r="F29" s="8">
        <v>4.3600000000000002E-3</v>
      </c>
      <c r="G29" s="10">
        <f t="shared" si="0"/>
        <v>4.3600000000000002E-3</v>
      </c>
    </row>
    <row r="30" spans="1:7" x14ac:dyDescent="0.25">
      <c r="A30" s="5">
        <v>29</v>
      </c>
      <c r="B30" s="9">
        <v>1</v>
      </c>
      <c r="C30" s="6" t="s">
        <v>62</v>
      </c>
      <c r="D30" s="7" t="str">
        <f>HYPERLINK("https://www.digikey.com/en/products/detail/te-connectivity-amp-connectors/RCT-0C/2366050", "RCT-0C")</f>
        <v>RCT-0C</v>
      </c>
      <c r="E30" s="6" t="s">
        <v>63</v>
      </c>
      <c r="F30" s="8">
        <v>0.11069</v>
      </c>
      <c r="G30" s="10">
        <f t="shared" si="0"/>
        <v>0.11069</v>
      </c>
    </row>
    <row r="31" spans="1:7" x14ac:dyDescent="0.25">
      <c r="A31" s="5">
        <v>30</v>
      </c>
      <c r="B31" s="9">
        <v>1</v>
      </c>
      <c r="C31" s="6" t="s">
        <v>19</v>
      </c>
      <c r="D31" s="7" t="str">
        <f>HYPERLINK("https://www.digikey.com/en/products/detail/diodes-incorporated/AP2210N-3-3TRG1/4470822", "AP2210N-3.3TRG1")</f>
        <v>AP2210N-3.3TRG1</v>
      </c>
      <c r="E31" s="6" t="s">
        <v>20</v>
      </c>
      <c r="F31" s="8">
        <v>0.10685</v>
      </c>
      <c r="G31" s="10">
        <f t="shared" si="0"/>
        <v>0.10685</v>
      </c>
    </row>
    <row r="32" spans="1:7" x14ac:dyDescent="0.25">
      <c r="A32" s="5">
        <v>31</v>
      </c>
      <c r="B32" s="9">
        <v>1</v>
      </c>
      <c r="C32" s="6" t="s">
        <v>21</v>
      </c>
      <c r="D32" s="7" t="str">
        <f>HYPERLINK("https://www.digikey.com/en/products/detail/microchip-technology/MCP9701T-E-TT/1987445", "MCP9700T-H/LT")</f>
        <v>MCP9700T-H/LT</v>
      </c>
      <c r="E32" s="6" t="s">
        <v>22</v>
      </c>
      <c r="F32" s="8">
        <v>0.19</v>
      </c>
      <c r="G32" s="10">
        <f t="shared" si="0"/>
        <v>0.19</v>
      </c>
    </row>
    <row r="33" spans="1:7" x14ac:dyDescent="0.25">
      <c r="A33" s="5">
        <v>32</v>
      </c>
      <c r="B33" s="9">
        <v>1</v>
      </c>
      <c r="C33" s="6" t="s">
        <v>23</v>
      </c>
      <c r="D33" s="7" t="str">
        <f>HYPERLINK("https://www.digikey.com/en/products/detail/gigadevice-semiconductor-hk-limited/GD25Q64CSIGR/9484691", "GD25Q64CSIGR")</f>
        <v>GD25Q64CSIGR</v>
      </c>
      <c r="E33" s="6" t="s">
        <v>24</v>
      </c>
      <c r="F33" s="8">
        <v>0.83248999999999995</v>
      </c>
      <c r="G33" s="10">
        <f t="shared" si="0"/>
        <v>0.83248999999999995</v>
      </c>
    </row>
    <row r="34" spans="1:7" x14ac:dyDescent="0.25">
      <c r="A34" s="5">
        <v>33</v>
      </c>
      <c r="B34" s="9">
        <v>1</v>
      </c>
      <c r="C34" s="6" t="s">
        <v>25</v>
      </c>
      <c r="D34" s="7" t="str">
        <f>HYPERLINK("https://www.digikey.com/en/products/detail/micro-crystal-ag/RV-3028-C7-32-768KHZ-1PPM-TA-QC/10431070", "RV-3028-C7 32.768KHZ 1PPM-TA-QC")</f>
        <v>RV-3028-C7 32.768KHZ 1PPM-TA-QC</v>
      </c>
      <c r="E34" s="6" t="s">
        <v>26</v>
      </c>
      <c r="F34" s="8">
        <v>1.48935</v>
      </c>
      <c r="G34" s="10">
        <f t="shared" si="0"/>
        <v>1.48935</v>
      </c>
    </row>
    <row r="35" spans="1:7" x14ac:dyDescent="0.25">
      <c r="A35" s="5">
        <v>34</v>
      </c>
      <c r="B35" s="9">
        <v>1</v>
      </c>
      <c r="C35" s="6" t="s">
        <v>27</v>
      </c>
      <c r="D35" s="7" t="str">
        <f>HYPERLINK("https://www.digikey.com/en/products/detail/monolithic-power-systems-inc/MP1470GJ-Z/9555284", "MP1470GJ-Z")</f>
        <v>MP1470GJ-Z</v>
      </c>
      <c r="E35" s="6" t="s">
        <v>28</v>
      </c>
      <c r="F35" s="8">
        <v>0.77910000000000001</v>
      </c>
      <c r="G35" s="10">
        <f t="shared" si="0"/>
        <v>0.77910000000000001</v>
      </c>
    </row>
    <row r="36" spans="1:7" x14ac:dyDescent="0.25">
      <c r="A36" s="5">
        <v>35</v>
      </c>
      <c r="B36" s="9">
        <v>1</v>
      </c>
      <c r="C36" s="6" t="s">
        <v>29</v>
      </c>
      <c r="D36" s="7" t="str">
        <f>HYPERLINK("https://www.digikey.com/en/products/detail/microchip-technology/PIC32MM0064GPM028-I-M6/8037777", "PIC32MM0064GPM028-I/M6")</f>
        <v>PIC32MM0064GPM028-I/M6</v>
      </c>
      <c r="E36" s="6" t="s">
        <v>30</v>
      </c>
      <c r="F36" s="8">
        <v>1.6830000000000001</v>
      </c>
      <c r="G36" s="10">
        <f t="shared" si="0"/>
        <v>1.6830000000000001</v>
      </c>
    </row>
    <row r="37" spans="1:7" x14ac:dyDescent="0.25">
      <c r="A37" s="5">
        <v>36</v>
      </c>
      <c r="B37" s="9">
        <v>2</v>
      </c>
      <c r="C37" s="6" t="s">
        <v>75</v>
      </c>
      <c r="D37" s="7" t="str">
        <f>HYPERLINK("https://www.digikey.com/en/products/detail/texas-instruments/SN74LVC1T45DBVT/1592150", "SN74LVC1T45DBVT")</f>
        <v>SN74LVC1T45DBVT</v>
      </c>
      <c r="E37" s="6" t="s">
        <v>31</v>
      </c>
      <c r="F37" s="8">
        <v>0.43980000000000002</v>
      </c>
      <c r="G37" s="10">
        <f t="shared" si="0"/>
        <v>0.87960000000000005</v>
      </c>
    </row>
    <row r="38" spans="1:7" x14ac:dyDescent="0.25">
      <c r="A38" s="5">
        <v>37</v>
      </c>
      <c r="B38" s="9">
        <v>1</v>
      </c>
      <c r="C38" s="6" t="s">
        <v>32</v>
      </c>
      <c r="D38" s="7" t="str">
        <f>HYPERLINK("https://www.digikey.com/en/products/detail/microchip-technology/PIC16LF18877-I-PT/6098439", "PIC16LF18877-I/PT")</f>
        <v>PIC16LF18877-I/PT</v>
      </c>
      <c r="E38" s="6" t="s">
        <v>33</v>
      </c>
      <c r="F38" s="8">
        <v>1.5509999999999999</v>
      </c>
      <c r="G38" s="10">
        <f t="shared" si="0"/>
        <v>1.5509999999999999</v>
      </c>
    </row>
    <row r="39" spans="1:7" x14ac:dyDescent="0.25">
      <c r="A39" s="11" t="s">
        <v>67</v>
      </c>
      <c r="B39" s="9">
        <v>1</v>
      </c>
      <c r="C39" s="12" t="s">
        <v>84</v>
      </c>
      <c r="D39" s="13" t="s">
        <v>85</v>
      </c>
      <c r="E39" s="12" t="s">
        <v>86</v>
      </c>
      <c r="F39" s="8">
        <v>1</v>
      </c>
      <c r="G39" s="10">
        <f t="shared" si="0"/>
        <v>1</v>
      </c>
    </row>
    <row r="40" spans="1:7" x14ac:dyDescent="0.25">
      <c r="B40" s="52">
        <f>SUM(B2:B39)</f>
        <v>75</v>
      </c>
      <c r="F40" s="15" t="s">
        <v>83</v>
      </c>
      <c r="G40" s="16">
        <f>SUM(G2:G39)</f>
        <v>13.356680000000001</v>
      </c>
    </row>
    <row r="41" spans="1:7" x14ac:dyDescent="0.25">
      <c r="F41" s="15" t="s">
        <v>87</v>
      </c>
      <c r="G41" s="16">
        <f>G40*0.1</f>
        <v>1.3356680000000001</v>
      </c>
    </row>
    <row r="42" spans="1:7" x14ac:dyDescent="0.25">
      <c r="F42" s="4" t="s">
        <v>64</v>
      </c>
      <c r="G42" s="14">
        <f>G40+G41</f>
        <v>14.692348000000001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D57EF-1891-4870-B3A7-D95990B0FA3B}">
  <dimension ref="A1:L38"/>
  <sheetViews>
    <sheetView topLeftCell="A11" workbookViewId="0">
      <selection activeCell="B36" sqref="B36"/>
    </sheetView>
  </sheetViews>
  <sheetFormatPr defaultColWidth="17.42578125" defaultRowHeight="15" x14ac:dyDescent="0.25"/>
  <cols>
    <col min="1" max="1" width="3.5703125" style="2" bestFit="1" customWidth="1"/>
    <col min="2" max="2" width="5" style="2" bestFit="1" customWidth="1"/>
    <col min="3" max="3" width="67.42578125" style="1" bestFit="1" customWidth="1"/>
    <col min="4" max="4" width="95.5703125" style="1" bestFit="1" customWidth="1"/>
    <col min="5" max="5" width="62.85546875" style="1" bestFit="1" customWidth="1"/>
    <col min="6" max="6" width="11" style="1" bestFit="1" customWidth="1"/>
    <col min="7" max="7" width="12" style="1" bestFit="1" customWidth="1"/>
    <col min="8" max="8" width="19.140625" style="1" bestFit="1" customWidth="1"/>
    <col min="9" max="9" width="8.85546875" style="1" bestFit="1" customWidth="1"/>
    <col min="10" max="10" width="15.5703125" style="1" bestFit="1" customWidth="1"/>
    <col min="11" max="11" width="7.85546875" style="1" bestFit="1" customWidth="1"/>
    <col min="12" max="12" width="14.5703125" style="1" bestFit="1" customWidth="1"/>
    <col min="13" max="16384" width="17.42578125" style="1"/>
  </cols>
  <sheetData>
    <row r="1" spans="1:12" x14ac:dyDescent="0.25">
      <c r="A1" s="3" t="s">
        <v>65</v>
      </c>
      <c r="B1" s="3" t="s">
        <v>66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82</v>
      </c>
      <c r="I1" s="1" t="s">
        <v>149</v>
      </c>
      <c r="J1" s="1" t="s">
        <v>148</v>
      </c>
      <c r="K1" s="1" t="s">
        <v>150</v>
      </c>
      <c r="L1" s="1" t="s">
        <v>151</v>
      </c>
    </row>
    <row r="2" spans="1:12" x14ac:dyDescent="0.25">
      <c r="A2" s="5">
        <v>1</v>
      </c>
      <c r="B2" s="9">
        <v>2</v>
      </c>
      <c r="C2" s="6" t="s">
        <v>79</v>
      </c>
      <c r="D2" s="7" t="s">
        <v>88</v>
      </c>
      <c r="E2" s="6" t="s">
        <v>89</v>
      </c>
      <c r="F2" s="17">
        <v>700</v>
      </c>
      <c r="G2" s="18">
        <f>PRODUCT(B2,F2)</f>
        <v>1400</v>
      </c>
      <c r="I2" s="1">
        <v>4</v>
      </c>
      <c r="J2" s="1">
        <f>I2*B2</f>
        <v>8</v>
      </c>
      <c r="K2" s="1">
        <v>0</v>
      </c>
      <c r="L2" s="1">
        <f>K2*B2</f>
        <v>0</v>
      </c>
    </row>
    <row r="3" spans="1:12" x14ac:dyDescent="0.25">
      <c r="A3" s="5">
        <v>2</v>
      </c>
      <c r="B3" s="9">
        <v>4</v>
      </c>
      <c r="C3" s="6" t="s">
        <v>68</v>
      </c>
      <c r="D3" s="7" t="s">
        <v>90</v>
      </c>
      <c r="E3" s="6" t="s">
        <v>91</v>
      </c>
      <c r="F3" s="17">
        <v>980</v>
      </c>
      <c r="G3" s="18">
        <f t="shared" ref="G3:G35" si="0">PRODUCT(B3,F3)</f>
        <v>3920</v>
      </c>
      <c r="I3" s="1">
        <v>2</v>
      </c>
      <c r="J3" s="1">
        <f t="shared" ref="J3:J35" si="1">I3*B3</f>
        <v>8</v>
      </c>
      <c r="K3" s="1">
        <v>0</v>
      </c>
      <c r="L3" s="1">
        <f t="shared" ref="L3:L35" si="2">K3*B3</f>
        <v>0</v>
      </c>
    </row>
    <row r="4" spans="1:12" x14ac:dyDescent="0.25">
      <c r="A4" s="5">
        <v>3</v>
      </c>
      <c r="B4" s="9">
        <v>3</v>
      </c>
      <c r="C4" s="6" t="s">
        <v>69</v>
      </c>
      <c r="D4" s="7" t="s">
        <v>92</v>
      </c>
      <c r="E4" s="6" t="s">
        <v>93</v>
      </c>
      <c r="F4" s="17">
        <v>480</v>
      </c>
      <c r="G4" s="18">
        <f t="shared" si="0"/>
        <v>1440</v>
      </c>
      <c r="I4" s="1">
        <v>2</v>
      </c>
      <c r="J4" s="1">
        <f t="shared" si="1"/>
        <v>6</v>
      </c>
      <c r="K4" s="1">
        <v>0</v>
      </c>
      <c r="L4" s="1">
        <f t="shared" si="2"/>
        <v>0</v>
      </c>
    </row>
    <row r="5" spans="1:12" x14ac:dyDescent="0.25">
      <c r="A5" s="5">
        <v>4</v>
      </c>
      <c r="B5" s="9">
        <v>17</v>
      </c>
      <c r="C5" s="6" t="s">
        <v>70</v>
      </c>
      <c r="D5" s="7" t="s">
        <v>94</v>
      </c>
      <c r="E5" s="6" t="s">
        <v>95</v>
      </c>
      <c r="F5" s="17">
        <v>180</v>
      </c>
      <c r="G5" s="18">
        <f t="shared" si="0"/>
        <v>3060</v>
      </c>
      <c r="I5" s="1">
        <v>2</v>
      </c>
      <c r="J5" s="1">
        <f t="shared" si="1"/>
        <v>34</v>
      </c>
      <c r="K5" s="1">
        <v>0</v>
      </c>
      <c r="L5" s="1">
        <f t="shared" si="2"/>
        <v>0</v>
      </c>
    </row>
    <row r="6" spans="1:12" x14ac:dyDescent="0.25">
      <c r="A6" s="5">
        <v>5</v>
      </c>
      <c r="B6" s="9">
        <v>1</v>
      </c>
      <c r="C6" s="6" t="s">
        <v>7</v>
      </c>
      <c r="D6" s="7" t="s">
        <v>96</v>
      </c>
      <c r="E6" s="6" t="s">
        <v>97</v>
      </c>
      <c r="F6" s="17">
        <v>2940</v>
      </c>
      <c r="G6" s="18">
        <f t="shared" si="0"/>
        <v>2940</v>
      </c>
      <c r="I6" s="1">
        <v>2</v>
      </c>
      <c r="J6" s="1">
        <f t="shared" si="1"/>
        <v>2</v>
      </c>
      <c r="K6" s="1">
        <v>0</v>
      </c>
      <c r="L6" s="1">
        <f t="shared" si="2"/>
        <v>0</v>
      </c>
    </row>
    <row r="7" spans="1:12" x14ac:dyDescent="0.25">
      <c r="A7" s="5">
        <v>6</v>
      </c>
      <c r="B7" s="9">
        <v>1</v>
      </c>
      <c r="C7" s="6" t="s">
        <v>35</v>
      </c>
      <c r="D7" s="7" t="s">
        <v>98</v>
      </c>
      <c r="E7" s="6" t="s">
        <v>99</v>
      </c>
      <c r="F7" s="17">
        <v>260</v>
      </c>
      <c r="G7" s="18">
        <f t="shared" si="0"/>
        <v>260</v>
      </c>
      <c r="I7" s="1">
        <v>2</v>
      </c>
      <c r="J7" s="1">
        <f t="shared" si="1"/>
        <v>2</v>
      </c>
      <c r="K7" s="1">
        <v>0</v>
      </c>
      <c r="L7" s="1">
        <f t="shared" si="2"/>
        <v>0</v>
      </c>
    </row>
    <row r="8" spans="1:12" x14ac:dyDescent="0.25">
      <c r="A8" s="5">
        <v>7</v>
      </c>
      <c r="B8" s="9">
        <v>2</v>
      </c>
      <c r="C8" s="6" t="s">
        <v>78</v>
      </c>
      <c r="D8" s="7" t="s">
        <v>100</v>
      </c>
      <c r="E8" s="6" t="s">
        <v>101</v>
      </c>
      <c r="F8" s="17">
        <v>180</v>
      </c>
      <c r="G8" s="18">
        <f t="shared" si="0"/>
        <v>360</v>
      </c>
      <c r="I8" s="1">
        <v>2</v>
      </c>
      <c r="J8" s="1">
        <f t="shared" si="1"/>
        <v>4</v>
      </c>
      <c r="K8" s="1">
        <v>0</v>
      </c>
      <c r="L8" s="1">
        <f t="shared" si="2"/>
        <v>0</v>
      </c>
    </row>
    <row r="9" spans="1:12" x14ac:dyDescent="0.25">
      <c r="A9" s="5">
        <v>8</v>
      </c>
      <c r="B9" s="9">
        <v>1</v>
      </c>
      <c r="C9" s="6" t="s">
        <v>38</v>
      </c>
      <c r="D9" s="7" t="s">
        <v>102</v>
      </c>
      <c r="E9" s="6" t="s">
        <v>103</v>
      </c>
      <c r="F9" s="17">
        <v>260</v>
      </c>
      <c r="G9" s="18">
        <f t="shared" si="0"/>
        <v>260</v>
      </c>
      <c r="I9" s="1">
        <v>2</v>
      </c>
      <c r="J9" s="1">
        <f t="shared" si="1"/>
        <v>2</v>
      </c>
      <c r="K9" s="1">
        <v>0</v>
      </c>
      <c r="L9" s="1">
        <f t="shared" si="2"/>
        <v>0</v>
      </c>
    </row>
    <row r="10" spans="1:12" x14ac:dyDescent="0.25">
      <c r="A10" s="5">
        <v>9</v>
      </c>
      <c r="B10" s="9">
        <v>1</v>
      </c>
      <c r="C10" s="6" t="s">
        <v>40</v>
      </c>
      <c r="D10" s="7" t="s">
        <v>104</v>
      </c>
      <c r="E10" s="6" t="s">
        <v>105</v>
      </c>
      <c r="F10" s="17">
        <v>180</v>
      </c>
      <c r="G10" s="18">
        <f t="shared" si="0"/>
        <v>180</v>
      </c>
      <c r="I10" s="1">
        <v>2</v>
      </c>
      <c r="J10" s="1">
        <f t="shared" si="1"/>
        <v>2</v>
      </c>
      <c r="K10" s="1">
        <v>0</v>
      </c>
      <c r="L10" s="1">
        <f t="shared" si="2"/>
        <v>0</v>
      </c>
    </row>
    <row r="11" spans="1:12" s="26" customFormat="1" x14ac:dyDescent="0.25">
      <c r="A11" s="21">
        <v>10</v>
      </c>
      <c r="B11" s="22">
        <v>1</v>
      </c>
      <c r="C11" s="23" t="s">
        <v>42</v>
      </c>
      <c r="D11" s="24" t="s">
        <v>106</v>
      </c>
      <c r="E11" s="23" t="s">
        <v>107</v>
      </c>
      <c r="F11" s="25">
        <v>450</v>
      </c>
      <c r="G11" s="20">
        <f t="shared" si="0"/>
        <v>450</v>
      </c>
      <c r="I11" s="26">
        <v>2</v>
      </c>
      <c r="J11" s="1">
        <f t="shared" si="1"/>
        <v>2</v>
      </c>
      <c r="K11" s="26">
        <v>0</v>
      </c>
      <c r="L11" s="1">
        <f t="shared" si="2"/>
        <v>0</v>
      </c>
    </row>
    <row r="12" spans="1:12" s="26" customFormat="1" x14ac:dyDescent="0.25">
      <c r="A12" s="21">
        <v>11</v>
      </c>
      <c r="B12" s="22">
        <v>1</v>
      </c>
      <c r="C12" s="23" t="s">
        <v>45</v>
      </c>
      <c r="D12" s="24" t="s">
        <v>108</v>
      </c>
      <c r="E12" s="23" t="s">
        <v>109</v>
      </c>
      <c r="F12" s="25">
        <v>1800</v>
      </c>
      <c r="G12" s="20">
        <f t="shared" si="0"/>
        <v>1800</v>
      </c>
      <c r="I12" s="26">
        <v>2</v>
      </c>
      <c r="J12" s="1">
        <f t="shared" si="1"/>
        <v>2</v>
      </c>
      <c r="K12" s="26">
        <v>0</v>
      </c>
      <c r="L12" s="1">
        <f t="shared" si="2"/>
        <v>0</v>
      </c>
    </row>
    <row r="13" spans="1:12" x14ac:dyDescent="0.25">
      <c r="A13" s="5">
        <v>12</v>
      </c>
      <c r="B13" s="9">
        <v>1</v>
      </c>
      <c r="C13" s="6" t="s">
        <v>47</v>
      </c>
      <c r="D13" s="7" t="s">
        <v>110</v>
      </c>
      <c r="E13" s="6" t="s">
        <v>111</v>
      </c>
      <c r="F13" s="17">
        <v>680</v>
      </c>
      <c r="G13" s="18">
        <f t="shared" si="0"/>
        <v>680</v>
      </c>
      <c r="I13" s="1">
        <v>9</v>
      </c>
      <c r="J13" s="1">
        <f t="shared" si="1"/>
        <v>9</v>
      </c>
      <c r="K13" s="1">
        <v>0</v>
      </c>
      <c r="L13" s="1">
        <f t="shared" si="2"/>
        <v>0</v>
      </c>
    </row>
    <row r="14" spans="1:12" x14ac:dyDescent="0.25">
      <c r="A14" s="5">
        <v>13</v>
      </c>
      <c r="B14" s="9">
        <v>1</v>
      </c>
      <c r="C14" s="6" t="s">
        <v>115</v>
      </c>
      <c r="D14" s="7" t="s">
        <v>116</v>
      </c>
      <c r="E14" s="6" t="s">
        <v>117</v>
      </c>
      <c r="F14" s="17">
        <v>2000</v>
      </c>
      <c r="G14" s="18">
        <f t="shared" si="0"/>
        <v>2000</v>
      </c>
      <c r="I14" s="1">
        <v>0</v>
      </c>
      <c r="J14" s="1">
        <f t="shared" si="1"/>
        <v>0</v>
      </c>
      <c r="K14" s="1">
        <v>35</v>
      </c>
      <c r="L14" s="1">
        <f t="shared" si="2"/>
        <v>35</v>
      </c>
    </row>
    <row r="15" spans="1:12" x14ac:dyDescent="0.25">
      <c r="A15" s="5">
        <v>16</v>
      </c>
      <c r="B15" s="9">
        <v>1</v>
      </c>
      <c r="C15" s="6" t="s">
        <v>114</v>
      </c>
      <c r="D15" s="7" t="s">
        <v>112</v>
      </c>
      <c r="E15" s="6" t="s">
        <v>113</v>
      </c>
      <c r="F15" s="17">
        <v>900</v>
      </c>
      <c r="G15" s="18">
        <f t="shared" si="0"/>
        <v>900</v>
      </c>
      <c r="I15" s="1">
        <v>0</v>
      </c>
      <c r="J15" s="1">
        <f t="shared" si="1"/>
        <v>0</v>
      </c>
      <c r="K15" s="1">
        <v>0</v>
      </c>
      <c r="L15" s="1">
        <f t="shared" si="2"/>
        <v>0</v>
      </c>
    </row>
    <row r="16" spans="1:12" s="26" customFormat="1" x14ac:dyDescent="0.25">
      <c r="A16" s="21">
        <v>18</v>
      </c>
      <c r="B16" s="22">
        <v>1</v>
      </c>
      <c r="C16" s="23" t="s">
        <v>57</v>
      </c>
      <c r="D16" s="24" t="s">
        <v>118</v>
      </c>
      <c r="E16" s="23" t="s">
        <v>119</v>
      </c>
      <c r="F16" s="25">
        <v>10800</v>
      </c>
      <c r="G16" s="20">
        <f t="shared" si="0"/>
        <v>10800</v>
      </c>
      <c r="I16" s="26">
        <v>0</v>
      </c>
      <c r="J16" s="1">
        <f t="shared" si="1"/>
        <v>0</v>
      </c>
      <c r="K16" s="26">
        <v>6</v>
      </c>
      <c r="L16" s="1">
        <f t="shared" si="2"/>
        <v>6</v>
      </c>
    </row>
    <row r="17" spans="1:12" s="26" customFormat="1" x14ac:dyDescent="0.25">
      <c r="A17" s="21">
        <v>20</v>
      </c>
      <c r="B17" s="22">
        <v>1</v>
      </c>
      <c r="C17" s="23" t="s">
        <v>60</v>
      </c>
      <c r="D17" s="24" t="s">
        <v>120</v>
      </c>
      <c r="E17" s="23" t="s">
        <v>121</v>
      </c>
      <c r="F17" s="25">
        <v>2100</v>
      </c>
      <c r="G17" s="20">
        <f t="shared" si="0"/>
        <v>2100</v>
      </c>
      <c r="I17" s="26">
        <v>2</v>
      </c>
      <c r="J17" s="1">
        <f t="shared" si="1"/>
        <v>2</v>
      </c>
      <c r="K17" s="26">
        <v>0</v>
      </c>
      <c r="L17" s="1">
        <f t="shared" si="2"/>
        <v>0</v>
      </c>
    </row>
    <row r="18" spans="1:12" s="26" customFormat="1" x14ac:dyDescent="0.25">
      <c r="A18" s="21">
        <v>21</v>
      </c>
      <c r="B18" s="22">
        <v>2</v>
      </c>
      <c r="C18" s="23" t="s">
        <v>76</v>
      </c>
      <c r="D18" s="24" t="s">
        <v>122</v>
      </c>
      <c r="E18" s="23" t="s">
        <v>123</v>
      </c>
      <c r="F18" s="25">
        <v>2500</v>
      </c>
      <c r="G18" s="20">
        <f t="shared" si="0"/>
        <v>5000</v>
      </c>
      <c r="I18" s="26">
        <v>3</v>
      </c>
      <c r="J18" s="1">
        <f t="shared" si="1"/>
        <v>6</v>
      </c>
      <c r="K18" s="26">
        <v>0</v>
      </c>
      <c r="L18" s="1">
        <f t="shared" si="2"/>
        <v>0</v>
      </c>
    </row>
    <row r="19" spans="1:12" x14ac:dyDescent="0.25">
      <c r="A19" s="5">
        <v>22</v>
      </c>
      <c r="B19" s="9">
        <v>5</v>
      </c>
      <c r="C19" s="6" t="s">
        <v>71</v>
      </c>
      <c r="D19" s="7" t="s">
        <v>124</v>
      </c>
      <c r="E19" s="6" t="s">
        <v>125</v>
      </c>
      <c r="F19" s="17">
        <v>28</v>
      </c>
      <c r="G19" s="18">
        <f t="shared" si="0"/>
        <v>140</v>
      </c>
      <c r="I19" s="1">
        <v>2</v>
      </c>
      <c r="J19" s="1">
        <f t="shared" si="1"/>
        <v>10</v>
      </c>
      <c r="K19" s="1">
        <v>0</v>
      </c>
      <c r="L19" s="1">
        <f t="shared" si="2"/>
        <v>0</v>
      </c>
    </row>
    <row r="20" spans="1:12" x14ac:dyDescent="0.25">
      <c r="A20" s="5">
        <v>23</v>
      </c>
      <c r="B20" s="9">
        <v>4</v>
      </c>
      <c r="C20" s="6" t="s">
        <v>72</v>
      </c>
      <c r="D20" s="7" t="s">
        <v>126</v>
      </c>
      <c r="E20" s="6" t="s">
        <v>127</v>
      </c>
      <c r="F20" s="17">
        <v>28</v>
      </c>
      <c r="G20" s="18">
        <f t="shared" si="0"/>
        <v>112</v>
      </c>
      <c r="I20" s="1">
        <v>2</v>
      </c>
      <c r="J20" s="1">
        <f t="shared" si="1"/>
        <v>8</v>
      </c>
      <c r="K20" s="1">
        <v>0</v>
      </c>
      <c r="L20" s="1">
        <f t="shared" si="2"/>
        <v>0</v>
      </c>
    </row>
    <row r="21" spans="1:12" x14ac:dyDescent="0.25">
      <c r="A21" s="5">
        <v>24</v>
      </c>
      <c r="B21" s="9">
        <v>1</v>
      </c>
      <c r="C21" s="6" t="s">
        <v>17</v>
      </c>
      <c r="D21" s="7" t="s">
        <v>128</v>
      </c>
      <c r="E21" s="6" t="s">
        <v>129</v>
      </c>
      <c r="F21" s="17">
        <v>28</v>
      </c>
      <c r="G21" s="18">
        <f t="shared" si="0"/>
        <v>28</v>
      </c>
      <c r="I21" s="1">
        <v>2</v>
      </c>
      <c r="J21" s="1">
        <f t="shared" si="1"/>
        <v>2</v>
      </c>
      <c r="K21" s="1">
        <v>0</v>
      </c>
      <c r="L21" s="1">
        <f t="shared" si="2"/>
        <v>0</v>
      </c>
    </row>
    <row r="22" spans="1:12" x14ac:dyDescent="0.25">
      <c r="A22" s="5">
        <v>25</v>
      </c>
      <c r="B22" s="9">
        <v>3</v>
      </c>
      <c r="C22" s="6" t="s">
        <v>73</v>
      </c>
      <c r="D22" s="7" t="s">
        <v>130</v>
      </c>
      <c r="E22" s="6" t="s">
        <v>131</v>
      </c>
      <c r="F22" s="17">
        <v>28</v>
      </c>
      <c r="G22" s="18">
        <f t="shared" si="0"/>
        <v>84</v>
      </c>
      <c r="I22" s="1">
        <v>2</v>
      </c>
      <c r="J22" s="1">
        <f t="shared" si="1"/>
        <v>6</v>
      </c>
      <c r="K22" s="1">
        <v>0</v>
      </c>
      <c r="L22" s="1">
        <f t="shared" si="2"/>
        <v>0</v>
      </c>
    </row>
    <row r="23" spans="1:12" s="26" customFormat="1" x14ac:dyDescent="0.25">
      <c r="A23" s="21">
        <v>26</v>
      </c>
      <c r="B23" s="22">
        <v>2</v>
      </c>
      <c r="C23" s="23" t="s">
        <v>74</v>
      </c>
      <c r="D23" s="24" t="s">
        <v>132</v>
      </c>
      <c r="E23" s="23" t="s">
        <v>133</v>
      </c>
      <c r="F23" s="25">
        <v>40</v>
      </c>
      <c r="G23" s="20">
        <f t="shared" si="0"/>
        <v>80</v>
      </c>
      <c r="I23" s="26">
        <v>2</v>
      </c>
      <c r="J23" s="1">
        <f t="shared" si="1"/>
        <v>4</v>
      </c>
      <c r="K23" s="26">
        <v>0</v>
      </c>
      <c r="L23" s="1">
        <f t="shared" si="2"/>
        <v>0</v>
      </c>
    </row>
    <row r="24" spans="1:12" s="26" customFormat="1" x14ac:dyDescent="0.25">
      <c r="A24" s="21">
        <v>27</v>
      </c>
      <c r="B24" s="22">
        <v>1</v>
      </c>
      <c r="C24" s="23" t="s">
        <v>13</v>
      </c>
      <c r="D24" s="24" t="s">
        <v>134</v>
      </c>
      <c r="E24" s="23" t="s">
        <v>135</v>
      </c>
      <c r="F24" s="25">
        <v>40</v>
      </c>
      <c r="G24" s="20">
        <f t="shared" si="0"/>
        <v>40</v>
      </c>
      <c r="I24" s="26">
        <v>2</v>
      </c>
      <c r="J24" s="1">
        <f t="shared" si="1"/>
        <v>2</v>
      </c>
      <c r="K24" s="26">
        <v>0</v>
      </c>
      <c r="L24" s="1">
        <f t="shared" si="2"/>
        <v>0</v>
      </c>
    </row>
    <row r="25" spans="1:12" x14ac:dyDescent="0.25">
      <c r="A25" s="39">
        <v>28</v>
      </c>
      <c r="B25" s="40">
        <v>1</v>
      </c>
      <c r="C25" s="41" t="s">
        <v>15</v>
      </c>
      <c r="D25" s="7" t="s">
        <v>136</v>
      </c>
      <c r="E25" s="41" t="s">
        <v>137</v>
      </c>
      <c r="F25" s="43">
        <v>70</v>
      </c>
      <c r="G25" s="44">
        <f t="shared" si="0"/>
        <v>70</v>
      </c>
      <c r="I25" s="1">
        <v>2</v>
      </c>
      <c r="J25" s="1">
        <f t="shared" si="1"/>
        <v>2</v>
      </c>
      <c r="K25" s="1">
        <v>0</v>
      </c>
      <c r="L25" s="1">
        <f t="shared" si="2"/>
        <v>0</v>
      </c>
    </row>
    <row r="26" spans="1:12" x14ac:dyDescent="0.25">
      <c r="A26" s="27">
        <v>29</v>
      </c>
      <c r="B26" s="28">
        <v>1</v>
      </c>
      <c r="C26" s="29" t="s">
        <v>62</v>
      </c>
      <c r="D26" s="30" t="str">
        <f>HYPERLINK("https://www.digikey.com/en/products/detail/te-connectivity-amp-connectors/RCT-0C/2366050", "RCT-0C")</f>
        <v>RCT-0C</v>
      </c>
      <c r="E26" s="29" t="s">
        <v>63</v>
      </c>
      <c r="F26" s="31">
        <v>6500</v>
      </c>
      <c r="G26" s="32">
        <f t="shared" si="0"/>
        <v>6500</v>
      </c>
      <c r="I26" s="1">
        <v>0</v>
      </c>
      <c r="J26" s="1">
        <f t="shared" si="1"/>
        <v>0</v>
      </c>
      <c r="K26" s="1">
        <v>0</v>
      </c>
      <c r="L26" s="1">
        <f t="shared" si="2"/>
        <v>0</v>
      </c>
    </row>
    <row r="27" spans="1:12" x14ac:dyDescent="0.25">
      <c r="A27" s="45">
        <v>30</v>
      </c>
      <c r="B27" s="46">
        <v>1</v>
      </c>
      <c r="C27" s="47" t="s">
        <v>19</v>
      </c>
      <c r="D27" s="48" t="s">
        <v>138</v>
      </c>
      <c r="E27" s="47" t="s">
        <v>20</v>
      </c>
      <c r="F27" s="49">
        <v>3200</v>
      </c>
      <c r="G27" s="50">
        <f t="shared" si="0"/>
        <v>3200</v>
      </c>
      <c r="H27" s="51" t="s">
        <v>147</v>
      </c>
      <c r="I27" s="1">
        <v>3</v>
      </c>
      <c r="J27" s="1">
        <f t="shared" si="1"/>
        <v>3</v>
      </c>
      <c r="K27" s="1">
        <v>0</v>
      </c>
      <c r="L27" s="1">
        <f t="shared" si="2"/>
        <v>0</v>
      </c>
    </row>
    <row r="28" spans="1:12" x14ac:dyDescent="0.25">
      <c r="A28" s="27">
        <v>31</v>
      </c>
      <c r="B28" s="28">
        <v>1</v>
      </c>
      <c r="C28" s="29" t="s">
        <v>21</v>
      </c>
      <c r="D28" s="30" t="s">
        <v>139</v>
      </c>
      <c r="E28" s="29" t="s">
        <v>140</v>
      </c>
      <c r="F28" s="31">
        <v>6000</v>
      </c>
      <c r="G28" s="32">
        <f t="shared" si="0"/>
        <v>6000</v>
      </c>
      <c r="I28" s="1">
        <v>3</v>
      </c>
      <c r="J28" s="1">
        <f t="shared" si="1"/>
        <v>3</v>
      </c>
      <c r="K28" s="1">
        <v>0</v>
      </c>
      <c r="L28" s="1">
        <f t="shared" si="2"/>
        <v>0</v>
      </c>
    </row>
    <row r="29" spans="1:12" s="26" customFormat="1" x14ac:dyDescent="0.25">
      <c r="A29" s="21">
        <v>32</v>
      </c>
      <c r="B29" s="22">
        <v>1</v>
      </c>
      <c r="C29" s="23" t="s">
        <v>23</v>
      </c>
      <c r="D29" s="24" t="s">
        <v>141</v>
      </c>
      <c r="E29" s="23" t="s">
        <v>142</v>
      </c>
      <c r="F29" s="25">
        <v>14000</v>
      </c>
      <c r="G29" s="20">
        <f t="shared" si="0"/>
        <v>14000</v>
      </c>
      <c r="I29" s="26">
        <v>8</v>
      </c>
      <c r="J29" s="1">
        <f t="shared" si="1"/>
        <v>8</v>
      </c>
      <c r="K29" s="26">
        <v>0</v>
      </c>
      <c r="L29" s="1">
        <f t="shared" si="2"/>
        <v>0</v>
      </c>
    </row>
    <row r="30" spans="1:12" x14ac:dyDescent="0.25">
      <c r="A30" s="5">
        <v>33</v>
      </c>
      <c r="B30" s="9">
        <v>1</v>
      </c>
      <c r="C30" s="6" t="s">
        <v>25</v>
      </c>
      <c r="D30" s="7" t="str">
        <f>HYPERLINK("https://www.digikey.com/en/products/detail/micro-crystal-ag/RV-3028-C7-32-768KHZ-1PPM-TA-QC/10431070", "RV-3028-C7 32.768KHZ 1PPM-TA-QC")</f>
        <v>RV-3028-C7 32.768KHZ 1PPM-TA-QC</v>
      </c>
      <c r="E30" s="6" t="s">
        <v>26</v>
      </c>
      <c r="F30" s="17">
        <v>70000</v>
      </c>
      <c r="G30" s="18">
        <f t="shared" si="0"/>
        <v>70000</v>
      </c>
      <c r="I30" s="1">
        <v>8</v>
      </c>
      <c r="J30" s="1">
        <f t="shared" si="1"/>
        <v>8</v>
      </c>
      <c r="K30" s="1">
        <v>0</v>
      </c>
      <c r="L30" s="1">
        <f t="shared" si="2"/>
        <v>0</v>
      </c>
    </row>
    <row r="31" spans="1:12" s="26" customFormat="1" x14ac:dyDescent="0.25">
      <c r="A31" s="39">
        <v>34</v>
      </c>
      <c r="B31" s="40">
        <v>1</v>
      </c>
      <c r="C31" s="41" t="s">
        <v>27</v>
      </c>
      <c r="D31" s="42" t="s">
        <v>143</v>
      </c>
      <c r="E31" s="41" t="s">
        <v>144</v>
      </c>
      <c r="F31" s="43">
        <v>4000</v>
      </c>
      <c r="G31" s="44">
        <f t="shared" si="0"/>
        <v>4000</v>
      </c>
      <c r="I31" s="26">
        <v>6</v>
      </c>
      <c r="J31" s="1">
        <f t="shared" si="1"/>
        <v>6</v>
      </c>
      <c r="K31" s="26">
        <v>0</v>
      </c>
      <c r="L31" s="1">
        <f t="shared" si="2"/>
        <v>0</v>
      </c>
    </row>
    <row r="32" spans="1:12" x14ac:dyDescent="0.25">
      <c r="A32" s="27">
        <v>35</v>
      </c>
      <c r="B32" s="28">
        <v>1</v>
      </c>
      <c r="C32" s="29" t="s">
        <v>29</v>
      </c>
      <c r="D32" s="30" t="str">
        <f>HYPERLINK("https://www.digikey.com/en/products/detail/microchip-technology/PIC32MM0064GPM028-I-M6/8037777", "PIC32MM0064GPM028-I/M6")</f>
        <v>PIC32MM0064GPM028-I/M6</v>
      </c>
      <c r="E32" s="29" t="s">
        <v>30</v>
      </c>
      <c r="F32" s="31">
        <v>52000</v>
      </c>
      <c r="G32" s="32">
        <f t="shared" si="0"/>
        <v>52000</v>
      </c>
      <c r="I32" s="1">
        <v>32</v>
      </c>
      <c r="J32" s="1">
        <f t="shared" si="1"/>
        <v>32</v>
      </c>
      <c r="K32" s="1">
        <v>0</v>
      </c>
      <c r="L32" s="1">
        <f t="shared" si="2"/>
        <v>0</v>
      </c>
    </row>
    <row r="33" spans="1:12" s="26" customFormat="1" x14ac:dyDescent="0.25">
      <c r="A33" s="33">
        <v>36</v>
      </c>
      <c r="B33" s="34">
        <v>2</v>
      </c>
      <c r="C33" s="35" t="s">
        <v>75</v>
      </c>
      <c r="D33" s="36" t="s">
        <v>145</v>
      </c>
      <c r="E33" s="35" t="s">
        <v>146</v>
      </c>
      <c r="F33" s="37">
        <v>11000</v>
      </c>
      <c r="G33" s="38">
        <f t="shared" si="0"/>
        <v>22000</v>
      </c>
      <c r="I33" s="26">
        <v>6</v>
      </c>
      <c r="J33" s="1">
        <f t="shared" si="1"/>
        <v>12</v>
      </c>
      <c r="K33" s="26">
        <v>0</v>
      </c>
      <c r="L33" s="1">
        <f t="shared" si="2"/>
        <v>0</v>
      </c>
    </row>
    <row r="34" spans="1:12" x14ac:dyDescent="0.25">
      <c r="A34" s="27">
        <v>37</v>
      </c>
      <c r="B34" s="28">
        <v>1</v>
      </c>
      <c r="C34" s="29" t="s">
        <v>32</v>
      </c>
      <c r="D34" s="30" t="str">
        <f>HYPERLINK("https://www.digikey.com/en/products/detail/microchip-technology/PIC16LF18877-I-PT/6098439", "PIC16LF18877-I/PT")</f>
        <v>PIC16LF18877-I/PT</v>
      </c>
      <c r="E34" s="29" t="s">
        <v>33</v>
      </c>
      <c r="F34" s="31">
        <v>48000</v>
      </c>
      <c r="G34" s="32">
        <f t="shared" si="0"/>
        <v>48000</v>
      </c>
      <c r="I34" s="1">
        <v>44</v>
      </c>
      <c r="J34" s="1">
        <f t="shared" si="1"/>
        <v>44</v>
      </c>
      <c r="K34" s="1">
        <v>0</v>
      </c>
      <c r="L34" s="1">
        <f t="shared" si="2"/>
        <v>0</v>
      </c>
    </row>
    <row r="35" spans="1:12" x14ac:dyDescent="0.25">
      <c r="A35" s="11" t="s">
        <v>67</v>
      </c>
      <c r="B35" s="9">
        <v>1</v>
      </c>
      <c r="C35" s="12" t="s">
        <v>84</v>
      </c>
      <c r="D35" s="13" t="s">
        <v>85</v>
      </c>
      <c r="E35" s="12" t="s">
        <v>86</v>
      </c>
      <c r="F35" s="17">
        <v>23000</v>
      </c>
      <c r="G35" s="18">
        <f t="shared" si="0"/>
        <v>23000</v>
      </c>
      <c r="I35" s="1">
        <v>0</v>
      </c>
      <c r="J35" s="1">
        <f t="shared" si="1"/>
        <v>0</v>
      </c>
      <c r="K35" s="1">
        <v>0</v>
      </c>
      <c r="L35" s="1">
        <f t="shared" si="2"/>
        <v>0</v>
      </c>
    </row>
    <row r="36" spans="1:12" x14ac:dyDescent="0.25">
      <c r="B36" s="52"/>
      <c r="F36" s="15" t="s">
        <v>83</v>
      </c>
      <c r="G36" s="19">
        <f>SUM(G2:G35)</f>
        <v>286804</v>
      </c>
      <c r="J36" s="1">
        <f>SUM(J2:J35)</f>
        <v>239</v>
      </c>
      <c r="L36" s="1">
        <f>SUM(L2:L35)</f>
        <v>41</v>
      </c>
    </row>
    <row r="37" spans="1:12" x14ac:dyDescent="0.25">
      <c r="F37" s="15" t="s">
        <v>87</v>
      </c>
      <c r="G37" s="19">
        <f>G36*0</f>
        <v>0</v>
      </c>
    </row>
    <row r="38" spans="1:12" x14ac:dyDescent="0.25">
      <c r="F38" s="4" t="s">
        <v>64</v>
      </c>
      <c r="G38" s="20">
        <f>G36+G37</f>
        <v>286804</v>
      </c>
    </row>
  </sheetData>
  <hyperlinks>
    <hyperlink ref="D3" r:id="rId1" xr:uid="{50FDE467-7DA5-4DA4-81D8-D4242CDF9C14}"/>
    <hyperlink ref="D25" r:id="rId2" xr:uid="{D5D8369F-30E1-4C52-AEB4-F864DDA83876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Digikey</vt:lpstr>
      <vt:lpstr>VietNam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DŨNG LIÊM PHAN</dc:creator>
  <cp:lastModifiedBy>DŨNG LIÊM PHAN</cp:lastModifiedBy>
  <dcterms:created xsi:type="dcterms:W3CDTF">2021-04-03T15:30:23Z</dcterms:created>
  <dcterms:modified xsi:type="dcterms:W3CDTF">2021-05-03T05:07:39Z</dcterms:modified>
</cp:coreProperties>
</file>