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\"/>
    </mc:Choice>
  </mc:AlternateContent>
  <xr:revisionPtr revIDLastSave="0" documentId="13_ncr:1_{BF331B11-AF05-4724-804C-5504EAC9CB0E}" xr6:coauthVersionLast="47" xr6:coauthVersionMax="47" xr10:uidLastSave="{00000000-0000-0000-0000-000000000000}"/>
  <bookViews>
    <workbookView xWindow="-108" yWindow="-108" windowWidth="23256" windowHeight="12456" activeTab="1" xr2:uid="{D2122D69-1D3A-4E04-A60E-322624BB5B36}"/>
  </bookViews>
  <sheets>
    <sheet name="Incomee Statement" sheetId="1" r:id="rId1"/>
    <sheet name="Balance Sheet" sheetId="2" r:id="rId2"/>
    <sheet name="Cash flow" sheetId="4" r:id="rId3"/>
    <sheet name="Rati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2" i="2"/>
  <c r="Y24" i="2"/>
  <c r="Y25" i="2"/>
  <c r="Y26" i="2"/>
  <c r="Y27" i="2"/>
  <c r="Y28" i="2"/>
  <c r="Y29" i="2"/>
  <c r="Y30" i="2"/>
  <c r="Y31" i="2"/>
  <c r="Y32" i="2"/>
  <c r="Y33" i="2"/>
  <c r="Y34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3" i="2"/>
  <c r="Y54" i="2"/>
  <c r="Y55" i="2"/>
  <c r="Y58" i="2"/>
  <c r="Y59" i="2"/>
  <c r="Y60" i="2"/>
  <c r="Y61" i="2"/>
  <c r="Y62" i="2"/>
  <c r="Y63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2" i="2"/>
  <c r="X24" i="2"/>
  <c r="X25" i="2"/>
  <c r="X26" i="2"/>
  <c r="X27" i="2"/>
  <c r="X28" i="2"/>
  <c r="X29" i="2"/>
  <c r="X30" i="2"/>
  <c r="X31" i="2"/>
  <c r="X32" i="2"/>
  <c r="X33" i="2"/>
  <c r="X34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3" i="2"/>
  <c r="X54" i="2"/>
  <c r="X55" i="2"/>
  <c r="X58" i="2"/>
  <c r="X59" i="2"/>
  <c r="X60" i="2"/>
  <c r="X61" i="2"/>
  <c r="X62" i="2"/>
  <c r="X63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2" i="2"/>
  <c r="W24" i="2"/>
  <c r="W25" i="2"/>
  <c r="W26" i="2"/>
  <c r="W27" i="2"/>
  <c r="W28" i="2"/>
  <c r="W29" i="2"/>
  <c r="W30" i="2"/>
  <c r="W31" i="2"/>
  <c r="W32" i="2"/>
  <c r="W33" i="2"/>
  <c r="W34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3" i="2"/>
  <c r="W54" i="2"/>
  <c r="W55" i="2"/>
  <c r="W58" i="2"/>
  <c r="W59" i="2"/>
  <c r="W60" i="2"/>
  <c r="W61" i="2"/>
  <c r="W62" i="2"/>
  <c r="W6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2" i="2"/>
  <c r="V24" i="2"/>
  <c r="V25" i="2"/>
  <c r="V26" i="2"/>
  <c r="V27" i="2"/>
  <c r="V28" i="2"/>
  <c r="V29" i="2"/>
  <c r="V30" i="2"/>
  <c r="V31" i="2"/>
  <c r="V32" i="2"/>
  <c r="V33" i="2"/>
  <c r="V34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3" i="2"/>
  <c r="V54" i="2"/>
  <c r="V55" i="2"/>
  <c r="V58" i="2"/>
  <c r="V59" i="2"/>
  <c r="V60" i="2"/>
  <c r="V61" i="2"/>
  <c r="V62" i="2"/>
  <c r="V6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2" i="2"/>
  <c r="U24" i="2"/>
  <c r="U25" i="2"/>
  <c r="U26" i="2"/>
  <c r="U27" i="2"/>
  <c r="U28" i="2"/>
  <c r="U29" i="2"/>
  <c r="U30" i="2"/>
  <c r="U31" i="2"/>
  <c r="U32" i="2"/>
  <c r="U33" i="2"/>
  <c r="U34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3" i="2"/>
  <c r="U54" i="2"/>
  <c r="U55" i="2"/>
  <c r="U58" i="2"/>
  <c r="U59" i="2"/>
  <c r="U60" i="2"/>
  <c r="U61" i="2"/>
  <c r="U62" i="2"/>
  <c r="U6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2" i="2"/>
  <c r="T24" i="2"/>
  <c r="T25" i="2"/>
  <c r="T26" i="2"/>
  <c r="T27" i="2"/>
  <c r="T28" i="2"/>
  <c r="T29" i="2"/>
  <c r="T30" i="2"/>
  <c r="T31" i="2"/>
  <c r="T32" i="2"/>
  <c r="T33" i="2"/>
  <c r="T34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3" i="2"/>
  <c r="T54" i="2"/>
  <c r="T55" i="2"/>
  <c r="T58" i="2"/>
  <c r="T59" i="2"/>
  <c r="T60" i="2"/>
  <c r="T61" i="2"/>
  <c r="T62" i="2"/>
  <c r="T6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2" i="2"/>
  <c r="S24" i="2"/>
  <c r="S25" i="2"/>
  <c r="S26" i="2"/>
  <c r="S27" i="2"/>
  <c r="S28" i="2"/>
  <c r="S29" i="2"/>
  <c r="S30" i="2"/>
  <c r="S31" i="2"/>
  <c r="S32" i="2"/>
  <c r="S33" i="2"/>
  <c r="S34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3" i="2"/>
  <c r="S54" i="2"/>
  <c r="S55" i="2"/>
  <c r="S58" i="2"/>
  <c r="S59" i="2"/>
  <c r="S60" i="2"/>
  <c r="S61" i="2"/>
  <c r="S62" i="2"/>
  <c r="S6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4" i="2"/>
  <c r="R25" i="2"/>
  <c r="R26" i="2"/>
  <c r="R27" i="2"/>
  <c r="R28" i="2"/>
  <c r="R29" i="2"/>
  <c r="R30" i="2"/>
  <c r="R31" i="2"/>
  <c r="R32" i="2"/>
  <c r="R33" i="2"/>
  <c r="R34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3" i="2"/>
  <c r="R54" i="2"/>
  <c r="R55" i="2"/>
  <c r="R58" i="2"/>
  <c r="R59" i="2"/>
  <c r="R60" i="2"/>
  <c r="R61" i="2"/>
  <c r="R62" i="2"/>
  <c r="R6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2" i="2"/>
  <c r="Q24" i="2"/>
  <c r="Q25" i="2"/>
  <c r="Q26" i="2"/>
  <c r="Q27" i="2"/>
  <c r="Q28" i="2"/>
  <c r="Q29" i="2"/>
  <c r="Q30" i="2"/>
  <c r="Q31" i="2"/>
  <c r="Q32" i="2"/>
  <c r="Q33" i="2"/>
  <c r="Q34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3" i="2"/>
  <c r="Q54" i="2"/>
  <c r="Q55" i="2"/>
  <c r="Q58" i="2"/>
  <c r="Q59" i="2"/>
  <c r="Q60" i="2"/>
  <c r="Q61" i="2"/>
  <c r="Q62" i="2"/>
  <c r="Q6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2" i="2"/>
  <c r="P24" i="2"/>
  <c r="P25" i="2"/>
  <c r="P26" i="2"/>
  <c r="P27" i="2"/>
  <c r="P28" i="2"/>
  <c r="P29" i="2"/>
  <c r="P30" i="2"/>
  <c r="P31" i="2"/>
  <c r="P32" i="2"/>
  <c r="P33" i="2"/>
  <c r="P34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3" i="2"/>
  <c r="P54" i="2"/>
  <c r="P55" i="2"/>
  <c r="P58" i="2"/>
  <c r="P59" i="2"/>
  <c r="P60" i="2"/>
  <c r="P61" i="2"/>
  <c r="P62" i="2"/>
  <c r="P6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2" i="2"/>
  <c r="O24" i="2"/>
  <c r="O25" i="2"/>
  <c r="O26" i="2"/>
  <c r="O27" i="2"/>
  <c r="O28" i="2"/>
  <c r="O29" i="2"/>
  <c r="O30" i="2"/>
  <c r="O31" i="2"/>
  <c r="O32" i="2"/>
  <c r="O33" i="2"/>
  <c r="O34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3" i="2"/>
  <c r="O54" i="2"/>
  <c r="O55" i="2"/>
  <c r="O58" i="2"/>
  <c r="O59" i="2"/>
  <c r="O60" i="2"/>
  <c r="O61" i="2"/>
  <c r="O62" i="2"/>
  <c r="O63" i="2"/>
  <c r="P4" i="2"/>
  <c r="R4" i="2"/>
  <c r="S4" i="2"/>
  <c r="T4" i="2"/>
  <c r="U4" i="2"/>
  <c r="V4" i="2"/>
  <c r="W4" i="2"/>
  <c r="X4" i="2"/>
  <c r="O4" i="2"/>
  <c r="S8" i="1"/>
  <c r="Y8" i="1"/>
  <c r="Y9" i="1"/>
  <c r="Y10" i="1"/>
  <c r="Y11" i="1"/>
  <c r="Y12" i="1"/>
  <c r="Y13" i="1"/>
  <c r="Y14" i="1"/>
  <c r="Y15" i="1"/>
  <c r="Y16" i="1"/>
  <c r="X8" i="1"/>
  <c r="X9" i="1"/>
  <c r="X10" i="1"/>
  <c r="X11" i="1"/>
  <c r="X12" i="1"/>
  <c r="X13" i="1"/>
  <c r="X14" i="1"/>
  <c r="X15" i="1"/>
  <c r="X16" i="1"/>
  <c r="W8" i="1"/>
  <c r="W9" i="1"/>
  <c r="W10" i="1"/>
  <c r="W11" i="1"/>
  <c r="W12" i="1"/>
  <c r="W13" i="1"/>
  <c r="W14" i="1"/>
  <c r="W15" i="1"/>
  <c r="W16" i="1"/>
  <c r="V8" i="1"/>
  <c r="V9" i="1"/>
  <c r="V10" i="1"/>
  <c r="V11" i="1"/>
  <c r="V12" i="1"/>
  <c r="V13" i="1"/>
  <c r="V14" i="1"/>
  <c r="V15" i="1"/>
  <c r="V16" i="1"/>
  <c r="U15" i="1"/>
  <c r="U16" i="1"/>
  <c r="U8" i="1"/>
  <c r="U9" i="1"/>
  <c r="U10" i="1"/>
  <c r="U11" i="1"/>
  <c r="U12" i="1"/>
  <c r="U13" i="1"/>
  <c r="U14" i="1"/>
  <c r="T8" i="1"/>
  <c r="T9" i="1"/>
  <c r="T10" i="1"/>
  <c r="T11" i="1"/>
  <c r="T12" i="1"/>
  <c r="T13" i="1"/>
  <c r="T14" i="1"/>
  <c r="T15" i="1"/>
  <c r="T16" i="1"/>
  <c r="S9" i="1"/>
  <c r="S10" i="1"/>
  <c r="S11" i="1"/>
  <c r="S12" i="1"/>
  <c r="S13" i="1"/>
  <c r="S14" i="1"/>
  <c r="S15" i="1"/>
  <c r="S16" i="1"/>
  <c r="R16" i="1"/>
  <c r="R8" i="1"/>
  <c r="R9" i="1"/>
  <c r="R10" i="1"/>
  <c r="R11" i="1"/>
  <c r="R12" i="1"/>
  <c r="R13" i="1"/>
  <c r="R14" i="1"/>
  <c r="R15" i="1"/>
  <c r="Q8" i="1"/>
  <c r="Q9" i="1"/>
  <c r="Q10" i="1"/>
  <c r="Q11" i="1"/>
  <c r="Q12" i="1"/>
  <c r="Q13" i="1"/>
  <c r="Q14" i="1"/>
  <c r="Q15" i="1"/>
  <c r="Q16" i="1"/>
  <c r="P16" i="1"/>
  <c r="P8" i="1"/>
  <c r="P9" i="1"/>
  <c r="P10" i="1"/>
  <c r="P11" i="1"/>
  <c r="P12" i="1"/>
  <c r="P13" i="1"/>
  <c r="P14" i="1"/>
  <c r="P15" i="1"/>
  <c r="O8" i="1"/>
  <c r="O9" i="1"/>
  <c r="O10" i="1"/>
  <c r="O11" i="1"/>
  <c r="O12" i="1"/>
  <c r="O13" i="1"/>
  <c r="O14" i="1"/>
  <c r="O15" i="1"/>
  <c r="O16" i="1"/>
  <c r="P7" i="1"/>
  <c r="Q7" i="1"/>
  <c r="R7" i="1"/>
  <c r="S7" i="1"/>
  <c r="T7" i="1"/>
  <c r="U7" i="1"/>
  <c r="V7" i="1"/>
  <c r="W7" i="1"/>
  <c r="X7" i="1"/>
  <c r="Y7" i="1"/>
  <c r="O7" i="1"/>
  <c r="P4" i="1"/>
  <c r="Q4" i="1"/>
  <c r="R4" i="1"/>
  <c r="S4" i="1"/>
  <c r="T4" i="1"/>
  <c r="U4" i="1"/>
  <c r="V4" i="1"/>
  <c r="W4" i="1"/>
  <c r="X4" i="1"/>
  <c r="Y4" i="1"/>
  <c r="O4" i="1"/>
  <c r="P3" i="2"/>
  <c r="Q3" i="2"/>
  <c r="R3" i="2"/>
  <c r="S3" i="2"/>
  <c r="T3" i="2"/>
  <c r="U3" i="2"/>
  <c r="V3" i="2"/>
  <c r="W3" i="2"/>
  <c r="X3" i="2"/>
  <c r="Y3" i="2"/>
  <c r="O3" i="2"/>
  <c r="B11" i="3" l="1"/>
  <c r="B67" i="2"/>
  <c r="B46" i="4" l="1"/>
  <c r="C46" i="4"/>
  <c r="D46" i="4"/>
  <c r="E46" i="4"/>
  <c r="F46" i="4"/>
  <c r="G46" i="4"/>
  <c r="H46" i="4"/>
  <c r="I46" i="4"/>
  <c r="J46" i="4"/>
  <c r="K46" i="4"/>
  <c r="L46" i="4"/>
  <c r="C5" i="4"/>
  <c r="D5" i="4"/>
  <c r="E5" i="4"/>
  <c r="F5" i="4"/>
  <c r="G5" i="4"/>
  <c r="H5" i="4"/>
  <c r="I5" i="4"/>
  <c r="J5" i="4"/>
  <c r="K5" i="4"/>
  <c r="L5" i="4"/>
  <c r="B5" i="4"/>
  <c r="B42" i="3" l="1"/>
  <c r="B35" i="3"/>
  <c r="B32" i="3"/>
  <c r="B30" i="3"/>
  <c r="B24" i="3"/>
  <c r="B22" i="3"/>
  <c r="B19" i="3"/>
  <c r="C47" i="3" l="1"/>
  <c r="D47" i="3"/>
  <c r="E47" i="3"/>
  <c r="F47" i="3"/>
  <c r="G47" i="3"/>
  <c r="H47" i="3"/>
  <c r="I47" i="3"/>
  <c r="J47" i="3"/>
  <c r="K47" i="3"/>
  <c r="L47" i="3"/>
  <c r="B47" i="3"/>
  <c r="C46" i="3"/>
  <c r="D46" i="3"/>
  <c r="E46" i="3"/>
  <c r="F46" i="3"/>
  <c r="G46" i="3"/>
  <c r="H46" i="3"/>
  <c r="I46" i="3"/>
  <c r="J46" i="3"/>
  <c r="K46" i="3"/>
  <c r="L46" i="3"/>
  <c r="B46" i="3"/>
  <c r="C42" i="3"/>
  <c r="D42" i="3"/>
  <c r="E42" i="3"/>
  <c r="F42" i="3"/>
  <c r="G42" i="3"/>
  <c r="H42" i="3"/>
  <c r="I42" i="3"/>
  <c r="J42" i="3"/>
  <c r="K42" i="3"/>
  <c r="L42" i="3"/>
  <c r="C41" i="3"/>
  <c r="D41" i="3"/>
  <c r="E41" i="3"/>
  <c r="F41" i="3"/>
  <c r="G41" i="3"/>
  <c r="H41" i="3"/>
  <c r="I41" i="3"/>
  <c r="J41" i="3"/>
  <c r="K41" i="3"/>
  <c r="L41" i="3"/>
  <c r="B41" i="3"/>
  <c r="C40" i="3"/>
  <c r="D40" i="3"/>
  <c r="E40" i="3"/>
  <c r="F40" i="3"/>
  <c r="G40" i="3"/>
  <c r="H40" i="3"/>
  <c r="I40" i="3"/>
  <c r="J40" i="3"/>
  <c r="K40" i="3"/>
  <c r="L40" i="3"/>
  <c r="B40" i="3"/>
  <c r="C39" i="3"/>
  <c r="D39" i="3"/>
  <c r="E39" i="3"/>
  <c r="F39" i="3"/>
  <c r="B39" i="3"/>
  <c r="C36" i="3"/>
  <c r="D36" i="3"/>
  <c r="E36" i="3"/>
  <c r="F36" i="3"/>
  <c r="G36" i="3"/>
  <c r="H36" i="3"/>
  <c r="I36" i="3"/>
  <c r="J36" i="3"/>
  <c r="K36" i="3"/>
  <c r="L36" i="3"/>
  <c r="B36" i="3"/>
  <c r="C35" i="3"/>
  <c r="D35" i="3"/>
  <c r="E35" i="3"/>
  <c r="F35" i="3"/>
  <c r="G35" i="3"/>
  <c r="H35" i="3"/>
  <c r="I35" i="3"/>
  <c r="J35" i="3"/>
  <c r="K35" i="3"/>
  <c r="L35" i="3"/>
  <c r="C32" i="3"/>
  <c r="D32" i="3"/>
  <c r="E32" i="3"/>
  <c r="F32" i="3"/>
  <c r="G32" i="3"/>
  <c r="H32" i="3"/>
  <c r="I32" i="3"/>
  <c r="J32" i="3"/>
  <c r="K32" i="3"/>
  <c r="L32" i="3"/>
  <c r="L30" i="3"/>
  <c r="C30" i="3"/>
  <c r="D30" i="3"/>
  <c r="E30" i="3"/>
  <c r="F30" i="3"/>
  <c r="G30" i="3"/>
  <c r="H30" i="3"/>
  <c r="I30" i="3"/>
  <c r="J30" i="3"/>
  <c r="K30" i="3"/>
  <c r="C26" i="3"/>
  <c r="D26" i="3"/>
  <c r="E26" i="3"/>
  <c r="F26" i="3"/>
  <c r="B26" i="3"/>
  <c r="C25" i="3"/>
  <c r="C27" i="3" s="1"/>
  <c r="C28" i="3" s="1"/>
  <c r="D25" i="3"/>
  <c r="D27" i="3" s="1"/>
  <c r="D28" i="3" s="1"/>
  <c r="E25" i="3"/>
  <c r="E27" i="3" s="1"/>
  <c r="E28" i="3" s="1"/>
  <c r="F25" i="3"/>
  <c r="F27" i="3" s="1"/>
  <c r="F28" i="3" s="1"/>
  <c r="G25" i="3"/>
  <c r="H25" i="3"/>
  <c r="I25" i="3"/>
  <c r="J25" i="3"/>
  <c r="K25" i="3"/>
  <c r="L25" i="3"/>
  <c r="B25" i="3"/>
  <c r="B27" i="3" s="1"/>
  <c r="B28" i="3" s="1"/>
  <c r="C24" i="3"/>
  <c r="D24" i="3"/>
  <c r="E24" i="3"/>
  <c r="F24" i="3"/>
  <c r="G24" i="3"/>
  <c r="H24" i="3"/>
  <c r="I24" i="3"/>
  <c r="J24" i="3"/>
  <c r="K24" i="3"/>
  <c r="L24" i="3"/>
  <c r="C22" i="3"/>
  <c r="D22" i="3"/>
  <c r="E22" i="3"/>
  <c r="F22" i="3"/>
  <c r="G22" i="3"/>
  <c r="H22" i="3"/>
  <c r="I22" i="3"/>
  <c r="J22" i="3"/>
  <c r="K22" i="3"/>
  <c r="L22" i="3"/>
  <c r="C19" i="3"/>
  <c r="D19" i="3"/>
  <c r="E19" i="3"/>
  <c r="F19" i="3"/>
  <c r="G19" i="3"/>
  <c r="H19" i="3"/>
  <c r="I19" i="3"/>
  <c r="J19" i="3"/>
  <c r="K19" i="3"/>
  <c r="L19" i="3"/>
  <c r="C16" i="3" l="1"/>
  <c r="D16" i="3"/>
  <c r="E16" i="3"/>
  <c r="F16" i="3"/>
  <c r="G16" i="3"/>
  <c r="H16" i="3"/>
  <c r="I16" i="3"/>
  <c r="J16" i="3"/>
  <c r="K16" i="3"/>
  <c r="L16" i="3"/>
  <c r="B16" i="3"/>
  <c r="B14" i="3"/>
  <c r="C14" i="3"/>
  <c r="D14" i="3"/>
  <c r="E14" i="3"/>
  <c r="F14" i="3"/>
  <c r="G14" i="3"/>
  <c r="H14" i="3"/>
  <c r="I14" i="3"/>
  <c r="J14" i="3"/>
  <c r="K14" i="3"/>
  <c r="L14" i="3"/>
  <c r="C12" i="3"/>
  <c r="D12" i="3"/>
  <c r="E12" i="3"/>
  <c r="F12" i="3"/>
  <c r="G12" i="3"/>
  <c r="H12" i="3"/>
  <c r="I12" i="3"/>
  <c r="J12" i="3"/>
  <c r="K12" i="3"/>
  <c r="L12" i="3"/>
  <c r="B12" i="3"/>
  <c r="C10" i="3"/>
  <c r="D10" i="3"/>
  <c r="E10" i="3"/>
  <c r="F10" i="3"/>
  <c r="G10" i="3"/>
  <c r="G11" i="3" s="1"/>
  <c r="G13" i="3" s="1"/>
  <c r="G15" i="3" s="1"/>
  <c r="G17" i="3" s="1"/>
  <c r="H10" i="3"/>
  <c r="I10" i="3"/>
  <c r="J10" i="3"/>
  <c r="K10" i="3"/>
  <c r="L10" i="3"/>
  <c r="B10" i="3"/>
  <c r="C9" i="3"/>
  <c r="D9" i="3"/>
  <c r="E9" i="3"/>
  <c r="F9" i="3"/>
  <c r="G9" i="3"/>
  <c r="H9" i="3"/>
  <c r="I9" i="3"/>
  <c r="J9" i="3"/>
  <c r="K9" i="3"/>
  <c r="L9" i="3"/>
  <c r="B9" i="3"/>
  <c r="G8" i="3"/>
  <c r="H8" i="3"/>
  <c r="H11" i="3" s="1"/>
  <c r="H13" i="3" s="1"/>
  <c r="H15" i="3" s="1"/>
  <c r="H17" i="3" s="1"/>
  <c r="I8" i="3"/>
  <c r="I11" i="3" s="1"/>
  <c r="I13" i="3" s="1"/>
  <c r="I15" i="3" s="1"/>
  <c r="I17" i="3" s="1"/>
  <c r="C7" i="3"/>
  <c r="D7" i="3"/>
  <c r="E7" i="3"/>
  <c r="E8" i="3" s="1"/>
  <c r="E11" i="3" s="1"/>
  <c r="E13" i="3" s="1"/>
  <c r="E15" i="3" s="1"/>
  <c r="E17" i="3" s="1"/>
  <c r="F7" i="3"/>
  <c r="F8" i="3" s="1"/>
  <c r="F11" i="3" s="1"/>
  <c r="F13" i="3" s="1"/>
  <c r="F15" i="3" s="1"/>
  <c r="F17" i="3" s="1"/>
  <c r="G7" i="3"/>
  <c r="H7" i="3"/>
  <c r="I7" i="3"/>
  <c r="J7" i="3"/>
  <c r="K7" i="3"/>
  <c r="L7" i="3"/>
  <c r="B7" i="3"/>
  <c r="B8" i="3" s="1"/>
  <c r="B13" i="3" s="1"/>
  <c r="C6" i="3"/>
  <c r="C8" i="3" s="1"/>
  <c r="C11" i="3" s="1"/>
  <c r="C13" i="3" s="1"/>
  <c r="C15" i="3" s="1"/>
  <c r="C17" i="3" s="1"/>
  <c r="D6" i="3"/>
  <c r="D8" i="3" s="1"/>
  <c r="D11" i="3" s="1"/>
  <c r="D13" i="3" s="1"/>
  <c r="D15" i="3" s="1"/>
  <c r="D17" i="3" s="1"/>
  <c r="E6" i="3"/>
  <c r="F6" i="3"/>
  <c r="G6" i="3"/>
  <c r="H6" i="3"/>
  <c r="I6" i="3"/>
  <c r="J6" i="3"/>
  <c r="J8" i="3" s="1"/>
  <c r="J11" i="3" s="1"/>
  <c r="J13" i="3" s="1"/>
  <c r="J15" i="3" s="1"/>
  <c r="J17" i="3" s="1"/>
  <c r="K6" i="3"/>
  <c r="K8" i="3" s="1"/>
  <c r="K11" i="3" s="1"/>
  <c r="K13" i="3" s="1"/>
  <c r="K15" i="3" s="1"/>
  <c r="K17" i="3" s="1"/>
  <c r="L6" i="3"/>
  <c r="L8" i="3" s="1"/>
  <c r="L11" i="3" s="1"/>
  <c r="L13" i="3" s="1"/>
  <c r="L15" i="3" s="1"/>
  <c r="L17" i="3" s="1"/>
  <c r="B6" i="3"/>
  <c r="B15" i="3" l="1"/>
  <c r="B17" i="3" s="1"/>
  <c r="C63" i="2"/>
  <c r="D63" i="2"/>
  <c r="E63" i="2"/>
  <c r="F63" i="2"/>
  <c r="G63" i="2"/>
  <c r="H63" i="2"/>
  <c r="I63" i="2"/>
  <c r="J63" i="2"/>
  <c r="K63" i="2"/>
  <c r="L63" i="2"/>
  <c r="B63" i="2"/>
  <c r="I26" i="3" l="1"/>
  <c r="I27" i="3" s="1"/>
  <c r="I28" i="3" s="1"/>
  <c r="I39" i="3"/>
  <c r="H26" i="3"/>
  <c r="H27" i="3" s="1"/>
  <c r="H28" i="3" s="1"/>
  <c r="H39" i="3"/>
  <c r="L26" i="3"/>
  <c r="L27" i="3" s="1"/>
  <c r="L28" i="3" s="1"/>
  <c r="L39" i="3"/>
  <c r="K26" i="3"/>
  <c r="K27" i="3" s="1"/>
  <c r="K28" i="3" s="1"/>
  <c r="K39" i="3"/>
  <c r="J26" i="3"/>
  <c r="J27" i="3" s="1"/>
  <c r="J28" i="3" s="1"/>
  <c r="J39" i="3"/>
  <c r="G39" i="3"/>
  <c r="G26" i="3"/>
  <c r="G27" i="3" s="1"/>
  <c r="G28" i="3" s="1"/>
  <c r="C50" i="2"/>
  <c r="D50" i="2"/>
  <c r="E50" i="2"/>
  <c r="F50" i="2"/>
  <c r="F64" i="2" s="1"/>
  <c r="G50" i="2"/>
  <c r="H50" i="2"/>
  <c r="I50" i="2"/>
  <c r="J50" i="2"/>
  <c r="K50" i="2"/>
  <c r="L50" i="2"/>
  <c r="B50" i="2"/>
  <c r="B64" i="2" s="1"/>
  <c r="C40" i="2"/>
  <c r="D40" i="2"/>
  <c r="E40" i="2"/>
  <c r="F40" i="2"/>
  <c r="G40" i="2"/>
  <c r="H40" i="2"/>
  <c r="I40" i="2"/>
  <c r="J40" i="2"/>
  <c r="K40" i="2"/>
  <c r="L40" i="2"/>
  <c r="B40" i="2"/>
  <c r="C33" i="2"/>
  <c r="D33" i="2"/>
  <c r="E33" i="2"/>
  <c r="F33" i="2"/>
  <c r="G33" i="2"/>
  <c r="H33" i="2"/>
  <c r="I33" i="2"/>
  <c r="J33" i="2"/>
  <c r="K33" i="2"/>
  <c r="L33" i="2"/>
  <c r="B33" i="2"/>
  <c r="C20" i="2"/>
  <c r="D20" i="2"/>
  <c r="E20" i="2"/>
  <c r="F20" i="2"/>
  <c r="G20" i="2"/>
  <c r="H20" i="2"/>
  <c r="I20" i="2"/>
  <c r="J20" i="2"/>
  <c r="K20" i="2"/>
  <c r="L20" i="2"/>
  <c r="B20" i="2"/>
  <c r="C34" i="2" l="1"/>
  <c r="B34" i="2"/>
  <c r="E34" i="2"/>
  <c r="F65" i="2"/>
  <c r="D34" i="2"/>
  <c r="E64" i="2"/>
  <c r="E65" i="2" s="1"/>
  <c r="H34" i="2"/>
  <c r="G64" i="2"/>
  <c r="G65" i="2" s="1"/>
  <c r="D64" i="2"/>
  <c r="D65" i="2" s="1"/>
  <c r="F34" i="2"/>
  <c r="J34" i="2"/>
  <c r="I34" i="2"/>
  <c r="G34" i="2"/>
  <c r="B65" i="2"/>
  <c r="C64" i="2"/>
  <c r="C65" i="2" s="1"/>
  <c r="C67" i="2" s="1"/>
  <c r="K64" i="2"/>
  <c r="K65" i="2" s="1"/>
  <c r="K34" i="2"/>
  <c r="L64" i="2"/>
  <c r="L65" i="2" s="1"/>
  <c r="J64" i="2"/>
  <c r="J65" i="2" s="1"/>
  <c r="I64" i="2"/>
  <c r="I65" i="2" s="1"/>
  <c r="H64" i="2"/>
  <c r="H65" i="2" s="1"/>
  <c r="L34" i="2"/>
  <c r="C29" i="1"/>
  <c r="D29" i="1"/>
  <c r="E29" i="1"/>
  <c r="F29" i="1"/>
  <c r="G29" i="1"/>
  <c r="H29" i="1"/>
  <c r="I29" i="1"/>
  <c r="J29" i="1"/>
  <c r="K29" i="1"/>
  <c r="L29" i="1"/>
  <c r="B29" i="1"/>
  <c r="B18" i="1"/>
  <c r="C34" i="1"/>
  <c r="D34" i="1"/>
  <c r="E34" i="1"/>
  <c r="F34" i="1"/>
  <c r="G34" i="1"/>
  <c r="H34" i="1"/>
  <c r="I34" i="1"/>
  <c r="J34" i="1"/>
  <c r="K34" i="1"/>
  <c r="L34" i="1"/>
  <c r="B34" i="1"/>
  <c r="C18" i="1"/>
  <c r="D18" i="1"/>
  <c r="E18" i="1"/>
  <c r="F18" i="1"/>
  <c r="G18" i="1"/>
  <c r="H18" i="1"/>
  <c r="I18" i="1"/>
  <c r="J18" i="1"/>
  <c r="K18" i="1"/>
  <c r="L18" i="1"/>
  <c r="C6" i="1"/>
  <c r="D6" i="1"/>
  <c r="E6" i="1"/>
  <c r="F6" i="1"/>
  <c r="G6" i="1"/>
  <c r="H6" i="1"/>
  <c r="I6" i="1"/>
  <c r="J6" i="1"/>
  <c r="K6" i="1"/>
  <c r="L6" i="1"/>
  <c r="B6" i="1"/>
  <c r="E67" i="2" l="1"/>
  <c r="D67" i="2"/>
  <c r="F67" i="2"/>
  <c r="G67" i="2"/>
  <c r="H67" i="2"/>
  <c r="I67" i="2"/>
  <c r="J67" i="2"/>
  <c r="K67" i="2"/>
  <c r="L67" i="2"/>
  <c r="E19" i="1"/>
  <c r="E21" i="1" s="1"/>
  <c r="E23" i="1" s="1"/>
  <c r="E30" i="1" s="1"/>
  <c r="E35" i="1" s="1"/>
  <c r="G19" i="1"/>
  <c r="B19" i="1"/>
  <c r="H19" i="1"/>
  <c r="I19" i="1"/>
  <c r="K19" i="1"/>
  <c r="C19" i="1"/>
  <c r="F19" i="1"/>
  <c r="J19" i="1"/>
  <c r="L19" i="1"/>
  <c r="L21" i="1" s="1"/>
  <c r="D19" i="1"/>
  <c r="C21" i="1" l="1"/>
  <c r="C23" i="1" s="1"/>
  <c r="C30" i="1" s="1"/>
  <c r="C35" i="1" s="1"/>
  <c r="K21" i="1"/>
  <c r="K23" i="1" s="1"/>
  <c r="K30" i="1" s="1"/>
  <c r="K35" i="1" s="1"/>
  <c r="H21" i="1"/>
  <c r="H23" i="1" s="1"/>
  <c r="H30" i="1" s="1"/>
  <c r="H35" i="1" s="1"/>
  <c r="D21" i="1"/>
  <c r="D23" i="1" s="1"/>
  <c r="D30" i="1" s="1"/>
  <c r="D35" i="1" s="1"/>
  <c r="B21" i="1"/>
  <c r="B23" i="1" s="1"/>
  <c r="B30" i="1" s="1"/>
  <c r="B35" i="1" s="1"/>
  <c r="G21" i="1"/>
  <c r="G23" i="1" s="1"/>
  <c r="G30" i="1" s="1"/>
  <c r="G35" i="1" s="1"/>
  <c r="I21" i="1"/>
  <c r="I23" i="1" s="1"/>
  <c r="I30" i="1" s="1"/>
  <c r="I35" i="1" s="1"/>
  <c r="J21" i="1"/>
  <c r="J23" i="1" s="1"/>
  <c r="J30" i="1" s="1"/>
  <c r="J35" i="1" s="1"/>
  <c r="F21" i="1"/>
  <c r="F23" i="1" s="1"/>
  <c r="F30" i="1" s="1"/>
  <c r="F35" i="1" s="1"/>
  <c r="L23" i="1"/>
  <c r="L30" i="1" s="1"/>
  <c r="L35" i="1" s="1"/>
</calcChain>
</file>

<file path=xl/sharedStrings.xml><?xml version="1.0" encoding="utf-8"?>
<sst xmlns="http://schemas.openxmlformats.org/spreadsheetml/2006/main" count="304" uniqueCount="221">
  <si>
    <t>Income Statement</t>
  </si>
  <si>
    <t>Particulars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</si>
  <si>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</si>
  <si>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</si>
  <si>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</si>
  <si>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</si>
  <si>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</si>
  <si>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</si>
  <si>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</si>
  <si>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</si>
  <si>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2020-2021</t>
  </si>
  <si>
    <t>2021-22</t>
  </si>
  <si>
    <t>2022-2023</t>
  </si>
  <si>
    <t>Income</t>
  </si>
  <si>
    <t>Revenue from operations</t>
  </si>
  <si>
    <t>Other income</t>
  </si>
  <si>
    <t>Total Income</t>
  </si>
  <si>
    <t>Cost of materials consumed</t>
  </si>
  <si>
    <t>Purchases of stock-in-trade</t>
  </si>
  <si>
    <t>Changes in inventories of finished goods, work-in-progress and stock-in-trade</t>
  </si>
  <si>
    <t>Employee benefits expense</t>
  </si>
  <si>
    <t>Power and fuel</t>
  </si>
  <si>
    <t>Freight and forwarding charges</t>
  </si>
  <si>
    <t>Finance costs</t>
  </si>
  <si>
    <t>Depreciation and amortisation expense</t>
  </si>
  <si>
    <t>Other expenses</t>
  </si>
  <si>
    <t>Total expenses</t>
  </si>
  <si>
    <t>Profit before exceptional items, share of profit of joint ventures and associate and tax</t>
  </si>
  <si>
    <t>Profit before share of profit of joint ventures and associate and tax</t>
  </si>
  <si>
    <t>Share of (loss)/profit of joint ventures and associate (net of tax)</t>
  </si>
  <si>
    <t>Profit before tax</t>
  </si>
  <si>
    <t>Tax expense</t>
  </si>
  <si>
    <t>Current tax</t>
  </si>
  <si>
    <t>Deferred tax</t>
  </si>
  <si>
    <t>Total tax expense</t>
  </si>
  <si>
    <t>Exceptional gain from discontinued operations (net)</t>
  </si>
  <si>
    <t>Share of loss of joint ventures (net of tax)</t>
  </si>
  <si>
    <t>Tax expense of discontinued operations</t>
  </si>
  <si>
    <t>(Loss)/profit for the year from discontinued operations</t>
  </si>
  <si>
    <t xml:space="preserve">Profit for the year </t>
  </si>
  <si>
    <t xml:space="preserve">Profit for the year from continuing operations </t>
  </si>
  <si>
    <t>Expenses</t>
  </si>
  <si>
    <t>Excise duty on sale of goods</t>
  </si>
  <si>
    <t>Exceptional gain</t>
  </si>
  <si>
    <t>Earnings per equity share:</t>
  </si>
  <si>
    <t>Basic and diluted (amount in RS)</t>
  </si>
  <si>
    <t>Excess provision for tax relating to earlier years</t>
  </si>
  <si>
    <t>MAT credit</t>
  </si>
  <si>
    <t>ASSETS</t>
  </si>
  <si>
    <t>Non-current assets</t>
  </si>
  <si>
    <t>(a) Property, Plant and Equipment</t>
  </si>
  <si>
    <t>(b) Capital work-in-progress</t>
  </si>
  <si>
    <t>(c) Investment property</t>
  </si>
  <si>
    <t>(d) Right-of-use assets</t>
  </si>
  <si>
    <t>(e) Goodwill on consolidation</t>
  </si>
  <si>
    <t>(f ) Goodwill</t>
  </si>
  <si>
    <t>(g) Other intangible assets</t>
  </si>
  <si>
    <t>(h) Intangible assets under development</t>
  </si>
  <si>
    <t>(i) Investments in joint ventures and associate</t>
  </si>
  <si>
    <t>(j) Financial assets</t>
  </si>
  <si>
    <t>(i) Other investments</t>
  </si>
  <si>
    <t>(k) Deferred tax assets (net)</t>
  </si>
  <si>
    <t>(l) Advance tax assets (net)</t>
  </si>
  <si>
    <t>(m) Other non-current assets</t>
  </si>
  <si>
    <t>Total non-current assets</t>
  </si>
  <si>
    <t>Current assets</t>
  </si>
  <si>
    <t>(a) Inventories</t>
  </si>
  <si>
    <t>(b) Financial assets</t>
  </si>
  <si>
    <t>(i) Investments</t>
  </si>
  <si>
    <t>(ii) Trade receivables</t>
  </si>
  <si>
    <t>(iii) Cash and cash equivalents</t>
  </si>
  <si>
    <t>(iv) Bank balances other than (iii) above</t>
  </si>
  <si>
    <t>(v) Loans</t>
  </si>
  <si>
    <t>(vi) Other financial assets</t>
  </si>
  <si>
    <t>(c) Current tax assets (net)</t>
  </si>
  <si>
    <t>(d) Other current assets</t>
  </si>
  <si>
    <t>Assets classified as held for sale</t>
  </si>
  <si>
    <t>Total current assets</t>
  </si>
  <si>
    <t>Total assets</t>
  </si>
  <si>
    <t>EQUITY AND LIABILITIES</t>
  </si>
  <si>
    <t>Equity</t>
  </si>
  <si>
    <t>(a) Equity share capital</t>
  </si>
  <si>
    <t>(b) Other equity</t>
  </si>
  <si>
    <t>Non-controlling interests</t>
  </si>
  <si>
    <t>Total equity</t>
  </si>
  <si>
    <t>Liabilities</t>
  </si>
  <si>
    <t>Non-current liabilities</t>
  </si>
  <si>
    <t>(a) Financial liabilities</t>
  </si>
  <si>
    <t>(i) Borrowings</t>
  </si>
  <si>
    <t>(ii) Lease liabilities</t>
  </si>
  <si>
    <t>iii) Other financial liabilities</t>
  </si>
  <si>
    <t>(b) Provisions</t>
  </si>
  <si>
    <t>(c) Deferred tax liabilities (net)</t>
  </si>
  <si>
    <t>(d) Other non-current liabilities</t>
  </si>
  <si>
    <t>Total non-current liabilities</t>
  </si>
  <si>
    <t>Current liabilities</t>
  </si>
  <si>
    <t>CONSOLIDATED BALANCE SHEET
as at 31 March 2023
(All amounts in Cr )</t>
  </si>
  <si>
    <t>(iii) Trade payables</t>
  </si>
  <si>
    <t>Outstanding dues of micro enterprises and small enterprises</t>
  </si>
  <si>
    <t>Outstanding dues of creditors other than above</t>
  </si>
  <si>
    <t>(iv) Other financial liabilities</t>
  </si>
  <si>
    <t>(b) Other current liabilities</t>
  </si>
  <si>
    <t>(c) Provisions</t>
  </si>
  <si>
    <t>(d) Current tax liabilities (net)</t>
  </si>
  <si>
    <t>Total current liabilities</t>
  </si>
  <si>
    <t>Total liabilities</t>
  </si>
  <si>
    <t>Total equity and liabilities</t>
  </si>
  <si>
    <t>Matching</t>
  </si>
  <si>
    <t>(ii)Loans</t>
  </si>
  <si>
    <t>(iii) Other financial assets</t>
  </si>
  <si>
    <t>Liabilities directly associated with discontinued operations</t>
  </si>
  <si>
    <t>PERFORMACE RATIOS</t>
  </si>
  <si>
    <t>Total income</t>
  </si>
  <si>
    <t>Less Employee benefits expense</t>
  </si>
  <si>
    <t>Less Other expense</t>
  </si>
  <si>
    <t>EBITDA</t>
  </si>
  <si>
    <t>Less Depriciation and Ammortisation Expense</t>
  </si>
  <si>
    <t>EBIT</t>
  </si>
  <si>
    <t>Less Interest ( Finance Cost)</t>
  </si>
  <si>
    <t>PBT</t>
  </si>
  <si>
    <t>Less Tax</t>
  </si>
  <si>
    <t>PAT</t>
  </si>
  <si>
    <t>Gross Profit=revenue from op.-employee cost</t>
  </si>
  <si>
    <t>Gross Profit</t>
  </si>
  <si>
    <t>1. PROFITABILITY RATIOS</t>
  </si>
  <si>
    <t>Gross Profit Ratio</t>
  </si>
  <si>
    <t>Net Profit Ratio</t>
  </si>
  <si>
    <t>Total Assets</t>
  </si>
  <si>
    <t>Current Liabilities</t>
  </si>
  <si>
    <t>Capital employeed = Total assets-current liabilities</t>
  </si>
  <si>
    <t>Return on Capital Employeed (ROCE)/(ROI)</t>
  </si>
  <si>
    <t>Return on Asset (ROA)</t>
  </si>
  <si>
    <t>Return on Equiy (ROE)</t>
  </si>
  <si>
    <t>2. EFFCIENCY RATIOS</t>
  </si>
  <si>
    <t>Recievable Turnover Ratio</t>
  </si>
  <si>
    <t>Asset Turnover Ratio</t>
  </si>
  <si>
    <t>SOLVENCY RATIOS</t>
  </si>
  <si>
    <t>Current Ratio</t>
  </si>
  <si>
    <t>Debt to Asset Ratio</t>
  </si>
  <si>
    <t>Debt to Equity Ratio</t>
  </si>
  <si>
    <t>Interest Coverage Ratio</t>
  </si>
  <si>
    <t>INVESTORS RATIOS</t>
  </si>
  <si>
    <t>Earnings Per Share (EPS)</t>
  </si>
  <si>
    <t>Price to Earning Ratio (PE)</t>
  </si>
  <si>
    <t>Dividend Payout Ratio</t>
  </si>
  <si>
    <t>Market Price</t>
  </si>
  <si>
    <t>2020-21</t>
  </si>
  <si>
    <t>2022-23</t>
  </si>
  <si>
    <t>CONSOLIDATED STATEMENT OF CASH FLOWS</t>
  </si>
  <si>
    <t>for the year ended 31 March 2022</t>
  </si>
  <si>
    <t>Adjustments to reconcile profit before tax to net cash flows:</t>
  </si>
  <si>
    <t>Depreciation and amortization</t>
  </si>
  <si>
    <t xml:space="preserve">Dividend income on mutual fund investments </t>
  </si>
  <si>
    <t>Interest income</t>
  </si>
  <si>
    <t>Intangible asset written off</t>
  </si>
  <si>
    <t>Loss or gain on disposal of property, plant and equipment (net)</t>
  </si>
  <si>
    <t>Fair value adjustments (net)</t>
  </si>
  <si>
    <t>Liabilities/provisions no longer required written back</t>
  </si>
  <si>
    <t>GST and Service tax written off</t>
  </si>
  <si>
    <t>Bad debts written off (net)</t>
  </si>
  <si>
    <t>Provision for expected credit loss/(reversal)</t>
  </si>
  <si>
    <t>Provision for service tax input credit</t>
  </si>
  <si>
    <t>Profit on sale of subsidiary</t>
  </si>
  <si>
    <t>Provision for doubtful advances</t>
  </si>
  <si>
    <t>Share-based payment expenses (net)</t>
  </si>
  <si>
    <t>Share of loss from associate and joint venture</t>
  </si>
  <si>
    <t>Sundry balances written off</t>
  </si>
  <si>
    <t>Gain on sale of current investments (net)</t>
  </si>
  <si>
    <t>Fair value gains on current investments (net)</t>
  </si>
  <si>
    <t>Fair value gain on assets held for sale (net)</t>
  </si>
  <si>
    <t>Exceptional items (net)</t>
  </si>
  <si>
    <t>Working capital adjustments</t>
  </si>
  <si>
    <t>(Increase) / decrease in trade receivables</t>
  </si>
  <si>
    <t>(Increase)/decrease in Inventories</t>
  </si>
  <si>
    <t>(Increase) / decrease in other assets</t>
  </si>
  <si>
    <t>(Increase) / decrease in unbilled revenue and other financial assets</t>
  </si>
  <si>
    <t xml:space="preserve">Increase / decrease in Loans </t>
  </si>
  <si>
    <t>Increase / (decrease) in trade payables and other financial liabilities</t>
  </si>
  <si>
    <t>Increase/(decrease) in other liabilities (including for PF Trust)</t>
  </si>
  <si>
    <t>Increase / (decrease) in net employee defined benefit liabilities</t>
  </si>
  <si>
    <t>Income tax (payments)/refunds</t>
  </si>
  <si>
    <t>Net cash flows (used in)/ from operating activities</t>
  </si>
  <si>
    <t>Investing activities</t>
  </si>
  <si>
    <t>Purchase of property, plant and equipment</t>
  </si>
  <si>
    <t>Purchase of intangible assets (including intangibles under development)</t>
  </si>
  <si>
    <t>Proceeds from sale of property, plant and equipment</t>
  </si>
  <si>
    <t>Acquisition of business (net of cash and cash equivalents acquired)</t>
  </si>
  <si>
    <t>Sale / (purchase) of current investments</t>
  </si>
  <si>
    <t>Dividend income on mutual fund investments</t>
  </si>
  <si>
    <t>Loans and advances repaid by/(given to) related parties</t>
  </si>
  <si>
    <t>Non-current investments</t>
  </si>
  <si>
    <t>Proceeds from sale of Non -current investments</t>
  </si>
  <si>
    <t>(Investments in)/Maturity of fixed deposits (net)</t>
  </si>
  <si>
    <t>Interest received</t>
  </si>
  <si>
    <t>Interest received on Fixed Deposits</t>
  </si>
  <si>
    <t>Sale of investments in Subsidiary</t>
  </si>
  <si>
    <t>Net cash flows (used in)/from investing activities</t>
  </si>
  <si>
    <t>Financing activities</t>
  </si>
  <si>
    <t>Proceeds from issue on exercise of stock options</t>
  </si>
  <si>
    <t>Proceeds from issue of shares by subsidiary</t>
  </si>
  <si>
    <t>Proceeds from / (repayment of) borrowings (net)</t>
  </si>
  <si>
    <t>Repayment of principal portion of lease liabilities Finance costs</t>
  </si>
  <si>
    <t>Share issue expense</t>
  </si>
  <si>
    <t>Net cash flows (used in)/from financial activities</t>
  </si>
  <si>
    <t>Net (decrease)/increase in cash and cash equivalents</t>
  </si>
  <si>
    <t>Cash and cash equivalents at the beginning of the year</t>
  </si>
  <si>
    <t xml:space="preserve">Summary of significant accounting policies </t>
  </si>
  <si>
    <t xml:space="preserve">Cash and cash equivalents at the end of the year </t>
  </si>
  <si>
    <t>Benchmarking</t>
  </si>
  <si>
    <t>50 - 70 %</t>
  </si>
  <si>
    <t>8 - 10 %</t>
  </si>
  <si>
    <t>(ROCE)/(ROI)</t>
  </si>
  <si>
    <t>4 - 8 %</t>
  </si>
  <si>
    <t xml:space="preserve">5 - 7 % </t>
  </si>
  <si>
    <t>7 - 9 %</t>
  </si>
  <si>
    <t>above 1</t>
  </si>
  <si>
    <t>1.2 - 2 %</t>
  </si>
  <si>
    <t>below 1</t>
  </si>
  <si>
    <t>2 or higher</t>
  </si>
  <si>
    <t xml:space="preserve">60 - 70 </t>
  </si>
  <si>
    <t>Common Size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</si>
</sst>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4"/>
      <color rgb="FF005BA8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2"/>
      <color theme="1"/>
      <name val="Calibri"/>
      <family val="2"/>
    </font>
    <font>
      <sz val="10"/>
      <color rgb="FF232A31"/>
      <name val="Arial"/>
      <family val="2"/>
    </font>
    <font>
      <sz val="8"/>
      <name val="Calibri"/>
      <family val="2"/>
      <scheme val="minor"/>
    </font>
    <font>
      <b/>
      <sz val="11"/>
      <color rgb="FF005BA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39" fontId="1" fillId="0" borderId="1" xfId="2" applyNumberFormat="1" applyFont="1" applyBorder="1"/>
    <xf numFmtId="43" fontId="1" fillId="0" borderId="1" xfId="1" applyFont="1" applyBorder="1"/>
    <xf numFmtId="2" fontId="5" fillId="2" borderId="1" xfId="0" applyNumberFormat="1" applyFont="1" applyFill="1" applyBorder="1"/>
    <xf numFmtId="39" fontId="5" fillId="2" borderId="1" xfId="0" applyNumberFormat="1" applyFont="1" applyFill="1" applyBorder="1"/>
    <xf numFmtId="0" fontId="0" fillId="0" borderId="1" xfId="0" applyBorder="1"/>
    <xf numFmtId="2" fontId="5" fillId="0" borderId="1" xfId="0" applyNumberFormat="1" applyFont="1" applyBorder="1"/>
    <xf numFmtId="3" fontId="1" fillId="0" borderId="1" xfId="0" applyNumberFormat="1" applyFont="1" applyBorder="1"/>
    <xf numFmtId="3" fontId="0" fillId="0" borderId="1" xfId="0" applyNumberFormat="1" applyBorder="1"/>
    <xf numFmtId="2" fontId="0" fillId="0" borderId="1" xfId="0" applyNumberFormat="1" applyBorder="1"/>
    <xf numFmtId="4" fontId="0" fillId="0" borderId="1" xfId="0" applyNumberFormat="1" applyBorder="1"/>
    <xf numFmtId="39" fontId="2" fillId="0" borderId="1" xfId="2" applyNumberFormat="1" applyFont="1" applyBorder="1"/>
    <xf numFmtId="39" fontId="2" fillId="2" borderId="1" xfId="2" applyNumberFormat="1" applyFont="1" applyFill="1" applyBorder="1"/>
    <xf numFmtId="4" fontId="0" fillId="0" borderId="0" xfId="0" applyNumberFormat="1"/>
    <xf numFmtId="4" fontId="5" fillId="0" borderId="1" xfId="0" applyNumberFormat="1" applyFont="1" applyBorder="1"/>
    <xf numFmtId="4" fontId="2" fillId="0" borderId="1" xfId="0" applyNumberFormat="1" applyFont="1" applyBorder="1"/>
    <xf numFmtId="4" fontId="0" fillId="0" borderId="2" xfId="0" applyNumberFormat="1" applyBorder="1"/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1" xfId="0" applyFill="1" applyBorder="1"/>
    <xf numFmtId="2" fontId="0" fillId="3" borderId="1" xfId="0" applyNumberFormat="1" applyFill="1" applyBorder="1"/>
    <xf numFmtId="43" fontId="6" fillId="0" borderId="1" xfId="1" applyFont="1" applyBorder="1" applyAlignment="1">
      <alignment vertical="center"/>
    </xf>
    <xf numFmtId="0" fontId="7" fillId="0" borderId="1" xfId="0" applyFont="1" applyBorder="1"/>
    <xf numFmtId="0" fontId="9" fillId="0" borderId="1" xfId="0" applyFont="1" applyBorder="1" applyAlignment="1">
      <alignment horizontal="left" vertical="top"/>
    </xf>
    <xf numFmtId="0" fontId="9" fillId="0" borderId="1" xfId="0" applyFont="1" applyBorder="1"/>
    <xf numFmtId="164" fontId="0" fillId="0" borderId="1" xfId="0" applyNumberFormat="1" applyBorder="1"/>
    <xf numFmtId="39" fontId="0" fillId="0" borderId="1" xfId="0" applyNumberFormat="1" applyBorder="1"/>
    <xf numFmtId="4" fontId="9" fillId="0" borderId="1" xfId="0" applyNumberFormat="1" applyFont="1" applyBorder="1"/>
    <xf numFmtId="0" fontId="10" fillId="3" borderId="1" xfId="0" applyFont="1" applyFill="1" applyBorder="1"/>
    <xf numFmtId="9" fontId="0" fillId="0" borderId="1" xfId="3" applyFont="1" applyBorder="1"/>
    <xf numFmtId="0" fontId="8" fillId="0" borderId="1" xfId="0" applyFont="1" applyBorder="1"/>
    <xf numFmtId="43" fontId="0" fillId="0" borderId="1" xfId="1" applyFont="1" applyBorder="1"/>
    <xf numFmtId="9" fontId="0" fillId="0" borderId="1" xfId="0" applyNumberFormat="1" applyBorder="1"/>
    <xf numFmtId="4" fontId="11" fillId="0" borderId="1" xfId="0" applyNumberFormat="1" applyFont="1" applyBorder="1"/>
    <xf numFmtId="39" fontId="9" fillId="0" borderId="1" xfId="0" applyNumberFormat="1" applyFont="1" applyBorder="1"/>
    <xf numFmtId="2" fontId="9" fillId="0" borderId="1" xfId="0" applyNumberFormat="1" applyFont="1" applyBorder="1"/>
    <xf numFmtId="0" fontId="1" fillId="0" borderId="0" xfId="4" applyFont="1"/>
    <xf numFmtId="0" fontId="2" fillId="0" borderId="1" xfId="4" applyFont="1" applyBorder="1"/>
    <xf numFmtId="0" fontId="1" fillId="0" borderId="1" xfId="4" applyFont="1" applyBorder="1"/>
    <xf numFmtId="164" fontId="1" fillId="0" borderId="1" xfId="5" applyFont="1" applyBorder="1"/>
    <xf numFmtId="0" fontId="4" fillId="0" borderId="3" xfId="4" applyBorder="1"/>
    <xf numFmtId="164" fontId="0" fillId="0" borderId="1" xfId="5" applyFont="1" applyBorder="1"/>
    <xf numFmtId="39" fontId="1" fillId="0" borderId="0" xfId="2" applyNumberFormat="1" applyFont="1"/>
    <xf numFmtId="0" fontId="4" fillId="0" borderId="3" xfId="4" applyBorder="1" applyAlignment="1">
      <alignment horizontal="right"/>
    </xf>
    <xf numFmtId="4" fontId="4" fillId="0" borderId="3" xfId="4" applyNumberFormat="1" applyBorder="1"/>
    <xf numFmtId="0" fontId="14" fillId="0" borderId="3" xfId="4" applyFont="1" applyBorder="1"/>
    <xf numFmtId="39" fontId="3" fillId="0" borderId="1" xfId="4" applyNumberFormat="1" applyFont="1" applyBorder="1"/>
    <xf numFmtId="164" fontId="1" fillId="0" borderId="1" xfId="5" applyFont="1" applyFill="1" applyBorder="1"/>
    <xf numFmtId="164" fontId="1" fillId="0" borderId="0" xfId="5" applyFont="1" applyFill="1" applyBorder="1"/>
    <xf numFmtId="4" fontId="4" fillId="0" borderId="3" xfId="4" applyNumberFormat="1" applyBorder="1" applyAlignment="1">
      <alignment horizontal="right"/>
    </xf>
    <xf numFmtId="39" fontId="3" fillId="0" borderId="0" xfId="4" applyNumberFormat="1" applyFont="1"/>
    <xf numFmtId="39" fontId="2" fillId="0" borderId="1" xfId="4" applyNumberFormat="1" applyFont="1" applyBorder="1"/>
    <xf numFmtId="39" fontId="1" fillId="0" borderId="1" xfId="4" applyNumberFormat="1" applyFont="1" applyBorder="1"/>
    <xf numFmtId="4" fontId="4" fillId="0" borderId="1" xfId="4" applyNumberFormat="1" applyBorder="1"/>
    <xf numFmtId="3" fontId="4" fillId="0" borderId="3" xfId="4" applyNumberFormat="1" applyBorder="1" applyAlignment="1">
      <alignment horizontal="right"/>
    </xf>
    <xf numFmtId="39" fontId="5" fillId="0" borderId="1" xfId="4" applyNumberFormat="1" applyFont="1" applyBorder="1"/>
    <xf numFmtId="0" fontId="5" fillId="0" borderId="1" xfId="4" applyFont="1" applyBorder="1"/>
    <xf numFmtId="0" fontId="15" fillId="0" borderId="0" xfId="4" applyFont="1" applyAlignment="1">
      <alignment horizontal="center"/>
    </xf>
    <xf numFmtId="0" fontId="4" fillId="0" borderId="0" xfId="4"/>
    <xf numFmtId="0" fontId="8" fillId="2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2" fillId="6" borderId="1" xfId="4" applyFont="1" applyFill="1" applyBorder="1"/>
    <xf numFmtId="0" fontId="2" fillId="0" borderId="1" xfId="0" applyFont="1" applyFill="1" applyBorder="1"/>
    <xf numFmtId="10" fontId="0" fillId="0" borderId="1" xfId="0" applyNumberFormat="1" applyBorder="1"/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 indent="2"/>
    </xf>
    <xf numFmtId="0" fontId="0" fillId="5" borderId="1" xfId="0" applyFill="1" applyBorder="1" applyAlignment="1">
      <alignment horizontal="left" wrapText="1" indent="2"/>
    </xf>
    <xf numFmtId="0" fontId="13" fillId="5" borderId="0" xfId="4" applyFont="1" applyFill="1" applyAlignment="1">
      <alignment horizontal="left" vertical="center" indent="7"/>
    </xf>
    <xf numFmtId="0" fontId="1" fillId="5" borderId="0" xfId="4" applyFont="1" applyFill="1" applyAlignment="1">
      <alignment horizontal="left" vertical="center" indent="7"/>
    </xf>
    <xf numFmtId="0" fontId="2" fillId="5" borderId="1" xfId="4" applyFont="1" applyFill="1" applyBorder="1" applyAlignment="1">
      <alignment vertical="center" wrapText="1"/>
    </xf>
    <xf numFmtId="0" fontId="1" fillId="5" borderId="1" xfId="4" applyFont="1" applyFill="1" applyBorder="1" applyAlignment="1">
      <alignment vertical="center" wrapText="1"/>
    </xf>
    <xf numFmtId="39" fontId="1" fillId="5" borderId="1" xfId="2" applyNumberFormat="1" applyFont="1" applyFill="1" applyBorder="1" applyAlignment="1">
      <alignment vertical="center" wrapText="1"/>
    </xf>
    <xf numFmtId="0" fontId="1" fillId="5" borderId="1" xfId="4" applyFont="1" applyFill="1" applyBorder="1" applyAlignment="1">
      <alignment vertical="top" wrapText="1"/>
    </xf>
    <xf numFmtId="0" fontId="13" fillId="5" borderId="1" xfId="4" applyFont="1" applyFill="1" applyBorder="1" applyAlignment="1">
      <alignment vertical="center" wrapText="1"/>
    </xf>
    <xf numFmtId="0" fontId="1" fillId="5" borderId="1" xfId="4" applyFont="1" applyFill="1" applyBorder="1"/>
  </cellXfs>
  <cellStyles count="6">
    <cellStyle name="Comma" xfId="1" builtinId="3"/>
    <cellStyle name="Comma 2" xfId="2" xr:uid="{AAF4F569-40F3-4957-A4BD-C5D867D27EBD}"/>
    <cellStyle name="Comma 3" xfId="5" xr:uid="{B0239435-CCDB-4A49-B4F6-F75AF8E88ED1}"/>
    <cellStyle name="Normal" xfId="0" builtinId="0"/>
    <cellStyle name="Normal 2" xfId="4" xr:uid="{B684F1D4-24C0-4228-AD7B-6B9916B9BD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80BC-585E-48CA-BBC1-6E3F8BE4AB9E}">
  <dimension ref="A1:Y37"/>
  <sheetViews>
    <sheetView zoomScale="90" zoomScaleNormal="90" workbookViewId="0">
      <pane xSplit="1" topLeftCell="L1" activePane="topRight" state="frozen"/>
      <selection pane="topRight" activeCell="R20" sqref="R20"/>
    </sheetView>
  </sheetViews>
  <sheetFormatPr defaultRowHeight="14.4" x14ac:dyDescent="0.3"/>
  <cols>
    <col min="1" max="1" width="77.44140625" bestFit="1" customWidth="1"/>
    <col min="2" max="2" width="9.88671875" bestFit="1" customWidth="1"/>
    <col min="3" max="7" width="10" bestFit="1" customWidth="1"/>
    <col min="8" max="11" width="10.88671875" bestFit="1" customWidth="1"/>
    <col min="12" max="12" width="10.5546875" bestFit="1" customWidth="1"/>
    <col min="14" max="14" width="23" bestFit="1" customWidth="1"/>
    <col min="15" max="22" width="9.88671875" bestFit="1" customWidth="1"/>
    <col min="23" max="23" width="10.5546875" bestFit="1" customWidth="1"/>
    <col min="24" max="24" width="9.88671875" bestFit="1" customWidth="1"/>
    <col min="25" max="25" width="10.5546875" bestFit="1" customWidth="1"/>
  </cols>
  <sheetData>
    <row r="1" spans="1:25" x14ac:dyDescent="0.3">
      <c r="A1" s="6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5" x14ac:dyDescent="0.3">
      <c r="A2" s="65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N2" s="69" t="s">
        <v>220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</row>
    <row r="3" spans="1:25" x14ac:dyDescent="0.3">
      <c r="A3" s="66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3">
      <c r="A4" s="64" t="s">
        <v>14</v>
      </c>
      <c r="B4" s="3">
        <v>15182.14</v>
      </c>
      <c r="C4" s="3">
        <v>16227.41</v>
      </c>
      <c r="D4" s="3">
        <v>17569.22</v>
      </c>
      <c r="E4" s="3">
        <v>15220.23</v>
      </c>
      <c r="F4" s="3">
        <v>13288.92</v>
      </c>
      <c r="G4" s="3">
        <v>10345.36</v>
      </c>
      <c r="H4" s="4">
        <v>11296.33</v>
      </c>
      <c r="I4" s="4">
        <v>10356.75</v>
      </c>
      <c r="J4" s="4">
        <v>10199.799999999999</v>
      </c>
      <c r="K4" s="4">
        <v>12622</v>
      </c>
      <c r="L4" s="9">
        <v>16789</v>
      </c>
      <c r="N4" s="7"/>
      <c r="O4" s="30">
        <f>B4</f>
        <v>15182.14</v>
      </c>
      <c r="P4" s="30">
        <f t="shared" ref="P4:Y4" si="0">C4</f>
        <v>16227.41</v>
      </c>
      <c r="Q4" s="30">
        <f t="shared" si="0"/>
        <v>17569.22</v>
      </c>
      <c r="R4" s="30">
        <f t="shared" si="0"/>
        <v>15220.23</v>
      </c>
      <c r="S4" s="30">
        <f t="shared" si="0"/>
        <v>13288.92</v>
      </c>
      <c r="T4" s="30">
        <f t="shared" si="0"/>
        <v>10345.36</v>
      </c>
      <c r="U4" s="30">
        <f t="shared" si="0"/>
        <v>11296.33</v>
      </c>
      <c r="V4" s="30">
        <f t="shared" si="0"/>
        <v>10356.75</v>
      </c>
      <c r="W4" s="30">
        <f t="shared" si="0"/>
        <v>10199.799999999999</v>
      </c>
      <c r="X4" s="30">
        <f t="shared" si="0"/>
        <v>12622</v>
      </c>
      <c r="Y4" s="30">
        <f t="shared" si="0"/>
        <v>16789</v>
      </c>
    </row>
    <row r="5" spans="1:25" x14ac:dyDescent="0.3">
      <c r="A5" s="65" t="s">
        <v>15</v>
      </c>
      <c r="B5" s="3">
        <v>417.78</v>
      </c>
      <c r="C5" s="3">
        <v>142.41999999999999</v>
      </c>
      <c r="D5" s="3">
        <v>117.97</v>
      </c>
      <c r="E5" s="3">
        <v>125.26</v>
      </c>
      <c r="F5" s="3">
        <v>166.12</v>
      </c>
      <c r="G5" s="3">
        <v>159.46</v>
      </c>
      <c r="H5" s="4">
        <v>411.64</v>
      </c>
      <c r="I5" s="4">
        <v>311.12</v>
      </c>
      <c r="J5" s="4">
        <v>234.42</v>
      </c>
      <c r="K5" s="4">
        <v>256</v>
      </c>
      <c r="L5" s="2">
        <v>218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3">
      <c r="A6" s="67" t="s">
        <v>16</v>
      </c>
      <c r="B6" s="5">
        <f>SUM(B4:B5)</f>
        <v>15599.92</v>
      </c>
      <c r="C6" s="6">
        <f t="shared" ref="C6:L6" si="1">SUM(C4:C5)</f>
        <v>16369.83</v>
      </c>
      <c r="D6" s="6">
        <f t="shared" si="1"/>
        <v>17687.190000000002</v>
      </c>
      <c r="E6" s="6">
        <f t="shared" si="1"/>
        <v>15345.49</v>
      </c>
      <c r="F6" s="6">
        <f t="shared" si="1"/>
        <v>13455.04</v>
      </c>
      <c r="G6" s="6">
        <f t="shared" si="1"/>
        <v>10504.82</v>
      </c>
      <c r="H6" s="6">
        <f t="shared" si="1"/>
        <v>11707.97</v>
      </c>
      <c r="I6" s="6">
        <f t="shared" si="1"/>
        <v>10667.87</v>
      </c>
      <c r="J6" s="6">
        <f t="shared" si="1"/>
        <v>10434.219999999999</v>
      </c>
      <c r="K6" s="6">
        <f t="shared" si="1"/>
        <v>12878</v>
      </c>
      <c r="L6" s="6">
        <f t="shared" si="1"/>
        <v>17007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3">
      <c r="A7" s="67" t="s">
        <v>41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N7" s="7"/>
      <c r="O7" s="71">
        <f>B8/O$4</f>
        <v>0.26612585577527281</v>
      </c>
      <c r="P7" s="71">
        <f t="shared" ref="P7:Y16" si="2">C8/P$4</f>
        <v>0.26753314299694159</v>
      </c>
      <c r="Q7" s="71">
        <f t="shared" si="2"/>
        <v>0.27547039652301014</v>
      </c>
      <c r="R7" s="71">
        <f t="shared" si="2"/>
        <v>0.18841305289079074</v>
      </c>
      <c r="S7" s="71">
        <f t="shared" si="2"/>
        <v>0.17080545296382249</v>
      </c>
      <c r="T7" s="71">
        <f t="shared" si="2"/>
        <v>0.13441388216553121</v>
      </c>
      <c r="U7" s="71">
        <f t="shared" si="2"/>
        <v>0.15965893347662471</v>
      </c>
      <c r="V7" s="71">
        <f t="shared" si="2"/>
        <v>0.17807034059912619</v>
      </c>
      <c r="W7" s="71">
        <f t="shared" si="2"/>
        <v>0.20403929488813508</v>
      </c>
      <c r="X7" s="71">
        <f t="shared" si="2"/>
        <v>0.19204563460624308</v>
      </c>
      <c r="Y7" s="71">
        <f t="shared" si="2"/>
        <v>0.175531598070165</v>
      </c>
    </row>
    <row r="8" spans="1:25" x14ac:dyDescent="0.3">
      <c r="A8" s="65" t="s">
        <v>17</v>
      </c>
      <c r="B8" s="12">
        <v>4040.36</v>
      </c>
      <c r="C8" s="12">
        <v>4341.37</v>
      </c>
      <c r="D8" s="12">
        <v>4839.8</v>
      </c>
      <c r="E8" s="12">
        <v>2867.69</v>
      </c>
      <c r="F8" s="12">
        <v>2269.8200000000002</v>
      </c>
      <c r="G8" s="12">
        <v>1390.56</v>
      </c>
      <c r="H8" s="12">
        <v>1803.56</v>
      </c>
      <c r="I8" s="12">
        <v>1844.23</v>
      </c>
      <c r="J8" s="12">
        <v>2081.16</v>
      </c>
      <c r="K8" s="10">
        <v>2424</v>
      </c>
      <c r="L8" s="10">
        <v>2947</v>
      </c>
      <c r="N8" s="7"/>
      <c r="O8" s="71">
        <f t="shared" ref="O8:O16" si="3">B9/O$4</f>
        <v>0.10215358309171171</v>
      </c>
      <c r="P8" s="71">
        <f t="shared" si="2"/>
        <v>0.11169681421742594</v>
      </c>
      <c r="Q8" s="71">
        <f t="shared" si="2"/>
        <v>0.173772085499527</v>
      </c>
      <c r="R8" s="71">
        <f t="shared" si="2"/>
        <v>0.16812755129193185</v>
      </c>
      <c r="S8" s="71">
        <f>F9/S$4</f>
        <v>0.11965231185077493</v>
      </c>
      <c r="T8" s="71">
        <f t="shared" si="2"/>
        <v>4.5343999628819104E-2</v>
      </c>
      <c r="U8" s="71">
        <f t="shared" si="2"/>
        <v>3.885686767295219E-2</v>
      </c>
      <c r="V8" s="71">
        <f t="shared" si="2"/>
        <v>2.4374441789171312E-2</v>
      </c>
      <c r="W8" s="71">
        <f t="shared" si="2"/>
        <v>3.1652581423165162E-2</v>
      </c>
      <c r="X8" s="71">
        <f t="shared" si="2"/>
        <v>2.6620186975122802E-2</v>
      </c>
      <c r="Y8" s="71">
        <f t="shared" si="2"/>
        <v>2.1680862469474059E-2</v>
      </c>
    </row>
    <row r="9" spans="1:25" x14ac:dyDescent="0.3">
      <c r="A9" s="65" t="s">
        <v>18</v>
      </c>
      <c r="B9" s="12">
        <v>1550.91</v>
      </c>
      <c r="C9" s="12">
        <v>1812.55</v>
      </c>
      <c r="D9" s="12">
        <v>3053.04</v>
      </c>
      <c r="E9" s="12">
        <v>2558.94</v>
      </c>
      <c r="F9" s="12">
        <v>1590.05</v>
      </c>
      <c r="G9" s="7">
        <v>469.1</v>
      </c>
      <c r="H9" s="7">
        <v>438.94</v>
      </c>
      <c r="I9" s="7">
        <v>252.44</v>
      </c>
      <c r="J9" s="7">
        <v>322.85000000000002</v>
      </c>
      <c r="K9" s="7">
        <v>336</v>
      </c>
      <c r="L9" s="7">
        <v>364</v>
      </c>
      <c r="N9" s="7"/>
      <c r="O9" s="71">
        <f t="shared" si="3"/>
        <v>1.3654860250267749E-2</v>
      </c>
      <c r="P9" s="71">
        <f t="shared" si="2"/>
        <v>6.7133325650858642E-3</v>
      </c>
      <c r="Q9" s="71">
        <f t="shared" si="2"/>
        <v>-5.220379732281797E-2</v>
      </c>
      <c r="R9" s="71">
        <f t="shared" si="2"/>
        <v>3.4082927787556429E-2</v>
      </c>
      <c r="S9" s="71">
        <f t="shared" si="2"/>
        <v>2.1417090327882176E-2</v>
      </c>
      <c r="T9" s="71">
        <f t="shared" si="2"/>
        <v>-1.0067315202177594E-2</v>
      </c>
      <c r="U9" s="71">
        <f t="shared" si="2"/>
        <v>-9.2791198557407584E-3</v>
      </c>
      <c r="V9" s="71">
        <f t="shared" si="2"/>
        <v>-1.2385159437082098E-2</v>
      </c>
      <c r="W9" s="71">
        <f t="shared" si="2"/>
        <v>-6.9511166885625217E-4</v>
      </c>
      <c r="X9" s="71">
        <f t="shared" si="2"/>
        <v>-9.744889874821739E-3</v>
      </c>
      <c r="Y9" s="71">
        <f t="shared" si="2"/>
        <v>-1.6677586514980047E-3</v>
      </c>
    </row>
    <row r="10" spans="1:25" x14ac:dyDescent="0.3">
      <c r="A10" s="65" t="s">
        <v>19</v>
      </c>
      <c r="B10" s="7">
        <v>207.31</v>
      </c>
      <c r="C10" s="7">
        <v>108.94</v>
      </c>
      <c r="D10" s="7">
        <v>-917.18</v>
      </c>
      <c r="E10" s="7">
        <v>518.75</v>
      </c>
      <c r="F10" s="7">
        <v>284.61</v>
      </c>
      <c r="G10" s="7">
        <v>-104.15</v>
      </c>
      <c r="H10" s="7">
        <v>-104.82</v>
      </c>
      <c r="I10" s="7">
        <v>-128.27000000000001</v>
      </c>
      <c r="J10" s="7">
        <v>-7.09</v>
      </c>
      <c r="K10" s="7">
        <v>-123</v>
      </c>
      <c r="L10" s="7">
        <v>-28</v>
      </c>
      <c r="N10" s="7"/>
      <c r="O10" s="71">
        <f t="shared" si="3"/>
        <v>2.1295416851642785E-2</v>
      </c>
      <c r="P10" s="71">
        <f t="shared" si="2"/>
        <v>2.1079149414478342E-2</v>
      </c>
      <c r="Q10" s="71">
        <f t="shared" si="2"/>
        <v>2.084782363701974E-2</v>
      </c>
      <c r="R10" s="71">
        <f t="shared" si="2"/>
        <v>2.2819628875516335E-2</v>
      </c>
      <c r="S10" s="71">
        <f t="shared" si="2"/>
        <v>2.6123266601048089E-2</v>
      </c>
      <c r="T10" s="71">
        <f t="shared" si="2"/>
        <v>7.3143902193833757E-3</v>
      </c>
      <c r="U10" s="71">
        <f t="shared" si="2"/>
        <v>0</v>
      </c>
      <c r="V10" s="71">
        <f t="shared" si="2"/>
        <v>0</v>
      </c>
      <c r="W10" s="71">
        <f t="shared" si="2"/>
        <v>0</v>
      </c>
      <c r="X10" s="71">
        <f t="shared" si="2"/>
        <v>0</v>
      </c>
      <c r="Y10" s="71">
        <f t="shared" si="2"/>
        <v>0</v>
      </c>
    </row>
    <row r="11" spans="1:25" x14ac:dyDescent="0.3">
      <c r="A11" s="65" t="s">
        <v>42</v>
      </c>
      <c r="B11" s="7">
        <v>323.31</v>
      </c>
      <c r="C11" s="12">
        <v>342.06</v>
      </c>
      <c r="D11" s="7">
        <v>366.28</v>
      </c>
      <c r="E11" s="7">
        <v>347.32</v>
      </c>
      <c r="F11" s="7">
        <v>347.15</v>
      </c>
      <c r="G11" s="7">
        <v>75.67</v>
      </c>
      <c r="H11" s="7"/>
      <c r="I11" s="7"/>
      <c r="J11" s="7"/>
      <c r="K11" s="7"/>
      <c r="L11" s="7"/>
      <c r="N11" s="7"/>
      <c r="O11" s="71">
        <f t="shared" si="3"/>
        <v>7.413513509953143E-2</v>
      </c>
      <c r="P11" s="71">
        <f t="shared" si="2"/>
        <v>7.4844352857295154E-2</v>
      </c>
      <c r="Q11" s="71">
        <f t="shared" si="2"/>
        <v>7.1475569205690398E-2</v>
      </c>
      <c r="R11" s="71">
        <f t="shared" si="2"/>
        <v>8.3520419862249132E-2</v>
      </c>
      <c r="S11" s="71">
        <f t="shared" si="2"/>
        <v>9.7617413604717318E-2</v>
      </c>
      <c r="T11" s="71">
        <f t="shared" si="2"/>
        <v>0.12278258078984201</v>
      </c>
      <c r="U11" s="71">
        <f t="shared" si="2"/>
        <v>0.11966718394381183</v>
      </c>
      <c r="V11" s="71">
        <f t="shared" si="2"/>
        <v>0.13279938204552585</v>
      </c>
      <c r="W11" s="71">
        <f t="shared" si="2"/>
        <v>0.13723210259024687</v>
      </c>
      <c r="X11" s="71">
        <f t="shared" si="2"/>
        <v>0.12200919030264618</v>
      </c>
      <c r="Y11" s="71">
        <f t="shared" si="2"/>
        <v>0.10072070998868307</v>
      </c>
    </row>
    <row r="12" spans="1:25" x14ac:dyDescent="0.3">
      <c r="A12" s="64" t="s">
        <v>20</v>
      </c>
      <c r="B12" s="12">
        <v>1125.53</v>
      </c>
      <c r="C12" s="7">
        <v>1214.53</v>
      </c>
      <c r="D12" s="12">
        <v>1255.77</v>
      </c>
      <c r="E12" s="12">
        <v>1271.2</v>
      </c>
      <c r="F12" s="12">
        <v>1297.23</v>
      </c>
      <c r="G12" s="12">
        <v>1270.23</v>
      </c>
      <c r="H12" s="12">
        <v>1351.8</v>
      </c>
      <c r="I12" s="12">
        <v>1375.37</v>
      </c>
      <c r="J12" s="12">
        <v>1399.74</v>
      </c>
      <c r="K12" s="10">
        <v>1540</v>
      </c>
      <c r="L12" s="10">
        <v>1691</v>
      </c>
      <c r="N12" s="7"/>
      <c r="O12" s="71">
        <f t="shared" si="3"/>
        <v>0</v>
      </c>
      <c r="P12" s="71">
        <f t="shared" si="2"/>
        <v>0</v>
      </c>
      <c r="Q12" s="71">
        <f t="shared" si="2"/>
        <v>0</v>
      </c>
      <c r="R12" s="71">
        <f t="shared" si="2"/>
        <v>0</v>
      </c>
      <c r="S12" s="71">
        <f t="shared" si="2"/>
        <v>0</v>
      </c>
      <c r="T12" s="71">
        <f t="shared" si="2"/>
        <v>0</v>
      </c>
      <c r="U12" s="71">
        <f t="shared" si="2"/>
        <v>0</v>
      </c>
      <c r="V12" s="71">
        <f t="shared" si="2"/>
        <v>0</v>
      </c>
      <c r="W12" s="71">
        <f t="shared" si="2"/>
        <v>0</v>
      </c>
      <c r="X12" s="71">
        <f t="shared" si="2"/>
        <v>0.16732688955791475</v>
      </c>
      <c r="Y12" s="71">
        <f t="shared" si="2"/>
        <v>0.17797367323842991</v>
      </c>
    </row>
    <row r="13" spans="1:25" x14ac:dyDescent="0.3">
      <c r="A13" s="65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10">
        <v>2112</v>
      </c>
      <c r="L13" s="10">
        <v>2988</v>
      </c>
      <c r="N13" s="7"/>
      <c r="O13" s="71">
        <f t="shared" si="3"/>
        <v>0</v>
      </c>
      <c r="P13" s="71">
        <f t="shared" si="2"/>
        <v>0</v>
      </c>
      <c r="Q13" s="71">
        <f t="shared" si="2"/>
        <v>0</v>
      </c>
      <c r="R13" s="71">
        <f t="shared" si="2"/>
        <v>0</v>
      </c>
      <c r="S13" s="71">
        <f t="shared" si="2"/>
        <v>0</v>
      </c>
      <c r="T13" s="71">
        <f t="shared" si="2"/>
        <v>0</v>
      </c>
      <c r="U13" s="71">
        <f t="shared" si="2"/>
        <v>0</v>
      </c>
      <c r="V13" s="71">
        <f t="shared" si="2"/>
        <v>0</v>
      </c>
      <c r="W13" s="71">
        <f t="shared" si="2"/>
        <v>0</v>
      </c>
      <c r="X13" s="71">
        <f t="shared" si="2"/>
        <v>0.14308350499128505</v>
      </c>
      <c r="Y13" s="71">
        <f t="shared" si="2"/>
        <v>0.13008517481684437</v>
      </c>
    </row>
    <row r="14" spans="1:25" x14ac:dyDescent="0.3">
      <c r="A14" s="65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10">
        <v>1806</v>
      </c>
      <c r="L14" s="10">
        <v>2184</v>
      </c>
      <c r="N14" s="7"/>
      <c r="O14" s="71">
        <f t="shared" si="3"/>
        <v>3.0556298387447358E-2</v>
      </c>
      <c r="P14" s="71">
        <f t="shared" si="2"/>
        <v>3.5708717534098176E-2</v>
      </c>
      <c r="Q14" s="71">
        <f t="shared" si="2"/>
        <v>2.5842353843824595E-2</v>
      </c>
      <c r="R14" s="71">
        <f t="shared" si="2"/>
        <v>3.4524445425594755E-2</v>
      </c>
      <c r="S14" s="71">
        <f t="shared" si="2"/>
        <v>3.094006134433799E-2</v>
      </c>
      <c r="T14" s="71">
        <f t="shared" si="2"/>
        <v>3.1471113620019017E-2</v>
      </c>
      <c r="U14" s="71">
        <f t="shared" si="2"/>
        <v>3.214318278591366E-2</v>
      </c>
      <c r="V14" s="71">
        <f t="shared" si="2"/>
        <v>3.3013252226808606E-2</v>
      </c>
      <c r="W14" s="71">
        <f t="shared" si="2"/>
        <v>3.6017372889664508E-2</v>
      </c>
      <c r="X14" s="71">
        <f t="shared" si="2"/>
        <v>2.4005704325780385E-2</v>
      </c>
      <c r="Y14" s="71">
        <f t="shared" si="2"/>
        <v>2.4182500446721069E-2</v>
      </c>
    </row>
    <row r="15" spans="1:25" x14ac:dyDescent="0.3">
      <c r="A15" s="65" t="s">
        <v>23</v>
      </c>
      <c r="B15" s="7">
        <v>463.91</v>
      </c>
      <c r="C15" s="7">
        <v>579.46</v>
      </c>
      <c r="D15" s="7">
        <v>454.03</v>
      </c>
      <c r="E15" s="7">
        <v>525.47</v>
      </c>
      <c r="F15" s="7">
        <v>411.16</v>
      </c>
      <c r="G15" s="7">
        <v>325.58</v>
      </c>
      <c r="H15" s="7">
        <v>363.1</v>
      </c>
      <c r="I15" s="7">
        <v>341.91</v>
      </c>
      <c r="J15" s="7">
        <v>367.37</v>
      </c>
      <c r="K15" s="7">
        <v>303</v>
      </c>
      <c r="L15" s="7">
        <v>406</v>
      </c>
      <c r="N15" s="7"/>
      <c r="O15" s="71">
        <f t="shared" si="3"/>
        <v>3.5165003089156079E-2</v>
      </c>
      <c r="P15" s="71">
        <f t="shared" si="2"/>
        <v>2.9039754341573919E-2</v>
      </c>
      <c r="Q15" s="71">
        <f t="shared" si="2"/>
        <v>2.636087430176183E-2</v>
      </c>
      <c r="R15" s="71">
        <f t="shared" si="2"/>
        <v>3.4564523663571448E-2</v>
      </c>
      <c r="S15" s="71">
        <f t="shared" si="2"/>
        <v>4.0238785394147908E-2</v>
      </c>
      <c r="T15" s="71">
        <f t="shared" si="2"/>
        <v>5.0071722975324202E-2</v>
      </c>
      <c r="U15" s="71">
        <f t="shared" si="2"/>
        <v>5.0581914657238235E-2</v>
      </c>
      <c r="V15" s="71">
        <f t="shared" si="2"/>
        <v>6.4351268496391251E-2</v>
      </c>
      <c r="W15" s="71">
        <f t="shared" si="2"/>
        <v>7.4444596952881442E-2</v>
      </c>
      <c r="X15" s="71">
        <f t="shared" si="2"/>
        <v>6.3856758041514819E-2</v>
      </c>
      <c r="Y15" s="71">
        <f t="shared" si="2"/>
        <v>5.3130025612007865E-2</v>
      </c>
    </row>
    <row r="16" spans="1:25" x14ac:dyDescent="0.3">
      <c r="A16" s="65" t="s">
        <v>24</v>
      </c>
      <c r="B16" s="7">
        <v>533.88</v>
      </c>
      <c r="C16" s="7">
        <v>471.24</v>
      </c>
      <c r="D16" s="7">
        <v>463.14</v>
      </c>
      <c r="E16" s="7">
        <v>526.08000000000004</v>
      </c>
      <c r="F16" s="7">
        <v>534.73</v>
      </c>
      <c r="G16" s="7">
        <v>518.01</v>
      </c>
      <c r="H16" s="7">
        <v>571.39</v>
      </c>
      <c r="I16" s="7">
        <v>666.47</v>
      </c>
      <c r="J16" s="7">
        <v>759.32</v>
      </c>
      <c r="K16" s="7">
        <v>806</v>
      </c>
      <c r="L16" s="7">
        <v>892</v>
      </c>
      <c r="N16" s="7"/>
      <c r="O16" s="71">
        <f t="shared" si="3"/>
        <v>0.38017104308088323</v>
      </c>
      <c r="P16" s="71">
        <f t="shared" si="2"/>
        <v>0.40661818491059259</v>
      </c>
      <c r="Q16" s="71">
        <f t="shared" si="2"/>
        <v>0.38784248816965122</v>
      </c>
      <c r="R16" s="71">
        <f t="shared" si="2"/>
        <v>0.36560551318869694</v>
      </c>
      <c r="S16" s="71">
        <f t="shared" si="2"/>
        <v>0.39705559217754338</v>
      </c>
      <c r="T16" s="71">
        <f t="shared" si="2"/>
        <v>0.48845666076385935</v>
      </c>
      <c r="U16" s="71">
        <f t="shared" si="2"/>
        <v>0.50563236024443337</v>
      </c>
      <c r="V16" s="71">
        <f t="shared" si="2"/>
        <v>0.48893813213604659</v>
      </c>
      <c r="W16" s="71">
        <f t="shared" si="2"/>
        <v>0.48064667934665389</v>
      </c>
      <c r="X16" s="71">
        <f t="shared" si="2"/>
        <v>0.17604183172238949</v>
      </c>
      <c r="Y16" s="71">
        <f t="shared" si="2"/>
        <v>0.16802668413842398</v>
      </c>
    </row>
    <row r="17" spans="1:12" x14ac:dyDescent="0.3">
      <c r="A17" s="65" t="s">
        <v>25</v>
      </c>
      <c r="B17" s="12">
        <v>5771.81</v>
      </c>
      <c r="C17" s="12">
        <v>6598.36</v>
      </c>
      <c r="D17" s="12">
        <v>6814.09</v>
      </c>
      <c r="E17" s="12">
        <v>5564.6</v>
      </c>
      <c r="F17" s="12">
        <v>5276.44</v>
      </c>
      <c r="G17" s="12">
        <v>5053.26</v>
      </c>
      <c r="H17" s="12">
        <v>5711.79</v>
      </c>
      <c r="I17" s="12">
        <v>5063.8100000000004</v>
      </c>
      <c r="J17" s="12">
        <v>4902.5</v>
      </c>
      <c r="K17" s="10">
        <v>2222</v>
      </c>
      <c r="L17" s="10">
        <v>2821</v>
      </c>
    </row>
    <row r="18" spans="1:12" x14ac:dyDescent="0.3">
      <c r="A18" s="67" t="s">
        <v>26</v>
      </c>
      <c r="B18" s="8">
        <f t="shared" ref="B18:L18" si="4">SUM(B8:B17)</f>
        <v>14017.02</v>
      </c>
      <c r="C18" s="8">
        <f t="shared" si="4"/>
        <v>15468.509999999998</v>
      </c>
      <c r="D18" s="8">
        <f t="shared" si="4"/>
        <v>16328.97</v>
      </c>
      <c r="E18" s="8">
        <f t="shared" si="4"/>
        <v>14180.050000000001</v>
      </c>
      <c r="F18" s="8">
        <f t="shared" si="4"/>
        <v>12011.189999999999</v>
      </c>
      <c r="G18" s="8">
        <f t="shared" si="4"/>
        <v>8998.26</v>
      </c>
      <c r="H18" s="8">
        <f t="shared" si="4"/>
        <v>10135.759999999998</v>
      </c>
      <c r="I18" s="8">
        <f t="shared" si="4"/>
        <v>9415.9599999999991</v>
      </c>
      <c r="J18" s="8">
        <f t="shared" si="4"/>
        <v>9825.8499999999985</v>
      </c>
      <c r="K18" s="8">
        <f t="shared" si="4"/>
        <v>11426</v>
      </c>
      <c r="L18" s="8">
        <f t="shared" si="4"/>
        <v>14265</v>
      </c>
    </row>
    <row r="19" spans="1:12" ht="28.8" x14ac:dyDescent="0.3">
      <c r="A19" s="68" t="s">
        <v>27</v>
      </c>
      <c r="B19" s="8">
        <f t="shared" ref="B19:L19" si="5">B6-B18</f>
        <v>1582.8999999999996</v>
      </c>
      <c r="C19" s="8">
        <f t="shared" si="5"/>
        <v>901.32000000000153</v>
      </c>
      <c r="D19" s="8">
        <f t="shared" si="5"/>
        <v>1358.220000000003</v>
      </c>
      <c r="E19" s="8">
        <f t="shared" si="5"/>
        <v>1165.4399999999987</v>
      </c>
      <c r="F19" s="8">
        <f t="shared" si="5"/>
        <v>1443.8500000000022</v>
      </c>
      <c r="G19" s="8">
        <f t="shared" si="5"/>
        <v>1506.5599999999995</v>
      </c>
      <c r="H19" s="8">
        <f t="shared" si="5"/>
        <v>1572.2100000000009</v>
      </c>
      <c r="I19" s="8">
        <f t="shared" si="5"/>
        <v>1251.9100000000017</v>
      </c>
      <c r="J19" s="8">
        <f t="shared" si="5"/>
        <v>608.3700000000008</v>
      </c>
      <c r="K19" s="8">
        <f t="shared" si="5"/>
        <v>1452</v>
      </c>
      <c r="L19" s="8">
        <f t="shared" si="5"/>
        <v>2742</v>
      </c>
    </row>
    <row r="20" spans="1:12" x14ac:dyDescent="0.3">
      <c r="A20" s="65" t="s">
        <v>43</v>
      </c>
      <c r="B20" s="7">
        <v>-669.87</v>
      </c>
      <c r="C20" s="12">
        <v>-1420.21</v>
      </c>
      <c r="D20" s="7">
        <v>-199.71</v>
      </c>
      <c r="E20" s="7"/>
      <c r="F20" s="7"/>
      <c r="G20" s="7">
        <v>64.34</v>
      </c>
      <c r="H20" s="7">
        <v>70.33</v>
      </c>
      <c r="I20" s="7"/>
      <c r="J20" s="7"/>
      <c r="K20" s="7">
        <v>-11</v>
      </c>
      <c r="L20" s="7"/>
    </row>
    <row r="21" spans="1:12" x14ac:dyDescent="0.3">
      <c r="A21" s="67" t="s">
        <v>28</v>
      </c>
      <c r="B21" s="8">
        <f>B19+B20</f>
        <v>913.02999999999963</v>
      </c>
      <c r="C21" s="8">
        <f t="shared" ref="C21:L21" si="6">C19+C20</f>
        <v>-518.88999999999851</v>
      </c>
      <c r="D21" s="8">
        <f t="shared" si="6"/>
        <v>1158.5100000000029</v>
      </c>
      <c r="E21" s="8">
        <f t="shared" si="6"/>
        <v>1165.4399999999987</v>
      </c>
      <c r="F21" s="8">
        <f t="shared" si="6"/>
        <v>1443.8500000000022</v>
      </c>
      <c r="G21" s="8">
        <f>G19+G20</f>
        <v>1570.8999999999994</v>
      </c>
      <c r="H21" s="8">
        <f t="shared" si="6"/>
        <v>1642.5400000000009</v>
      </c>
      <c r="I21" s="8">
        <f t="shared" si="6"/>
        <v>1251.9100000000017</v>
      </c>
      <c r="J21" s="8">
        <f t="shared" si="6"/>
        <v>608.3700000000008</v>
      </c>
      <c r="K21" s="8">
        <f t="shared" si="6"/>
        <v>1441</v>
      </c>
      <c r="L21" s="8">
        <f t="shared" si="6"/>
        <v>2742</v>
      </c>
    </row>
    <row r="22" spans="1:12" x14ac:dyDescent="0.3">
      <c r="A22" s="65" t="s">
        <v>29</v>
      </c>
      <c r="B22" s="7"/>
      <c r="C22" s="7"/>
      <c r="D22" s="7"/>
      <c r="E22" s="7">
        <v>14.89</v>
      </c>
      <c r="F22" s="7">
        <v>12.75</v>
      </c>
      <c r="G22" s="7">
        <v>49.23</v>
      </c>
      <c r="H22" s="7">
        <v>99.21</v>
      </c>
      <c r="I22" s="7">
        <v>-3.85</v>
      </c>
      <c r="J22" s="7">
        <v>25.62</v>
      </c>
      <c r="K22" s="7">
        <v>226</v>
      </c>
      <c r="L22" s="7">
        <v>-2</v>
      </c>
    </row>
    <row r="23" spans="1:12" x14ac:dyDescent="0.3">
      <c r="A23" s="67" t="s">
        <v>30</v>
      </c>
      <c r="B23" s="8">
        <f>B21+B22</f>
        <v>913.02999999999963</v>
      </c>
      <c r="C23" s="8">
        <f t="shared" ref="C23:K23" si="7">C21+C22</f>
        <v>-518.88999999999851</v>
      </c>
      <c r="D23" s="8">
        <f t="shared" si="7"/>
        <v>1158.5100000000029</v>
      </c>
      <c r="E23" s="8">
        <f t="shared" si="7"/>
        <v>1180.3299999999988</v>
      </c>
      <c r="F23" s="8">
        <f t="shared" si="7"/>
        <v>1456.6000000000022</v>
      </c>
      <c r="G23" s="8">
        <f>G21+G22</f>
        <v>1620.1299999999994</v>
      </c>
      <c r="H23" s="8">
        <f t="shared" si="7"/>
        <v>1741.7500000000009</v>
      </c>
      <c r="I23" s="8">
        <f t="shared" si="7"/>
        <v>1248.0600000000018</v>
      </c>
      <c r="J23" s="8">
        <f t="shared" si="7"/>
        <v>633.9900000000008</v>
      </c>
      <c r="K23" s="8">
        <f t="shared" si="7"/>
        <v>1667</v>
      </c>
      <c r="L23" s="8">
        <f>L21+L22</f>
        <v>2740</v>
      </c>
    </row>
    <row r="24" spans="1:12" x14ac:dyDescent="0.3">
      <c r="A24" s="67" t="s">
        <v>31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">
      <c r="A25" s="65" t="s">
        <v>32</v>
      </c>
      <c r="B25" s="7">
        <v>252.24</v>
      </c>
      <c r="C25" s="7">
        <v>246.9</v>
      </c>
      <c r="D25" s="7">
        <v>350.91</v>
      </c>
      <c r="E25" s="7">
        <v>315.35000000000002</v>
      </c>
      <c r="F25" s="7">
        <v>375.52</v>
      </c>
      <c r="G25" s="7">
        <v>334.99</v>
      </c>
      <c r="H25" s="7">
        <v>381.02</v>
      </c>
      <c r="I25" s="7">
        <v>266.33</v>
      </c>
      <c r="J25" s="7">
        <v>225.79</v>
      </c>
      <c r="K25" s="7">
        <v>274</v>
      </c>
      <c r="L25" s="7">
        <v>374</v>
      </c>
    </row>
    <row r="26" spans="1:12" x14ac:dyDescent="0.3">
      <c r="A26" s="65" t="s">
        <v>46</v>
      </c>
      <c r="B26" s="7"/>
      <c r="C26" s="7">
        <v>-83.78</v>
      </c>
      <c r="D26" s="7">
        <v>-1.7</v>
      </c>
      <c r="E26" s="7"/>
      <c r="F26" s="7"/>
      <c r="G26" s="7"/>
      <c r="H26" s="7"/>
      <c r="I26" s="7"/>
      <c r="J26" s="7"/>
      <c r="K26" s="7"/>
      <c r="L26" s="7"/>
    </row>
    <row r="27" spans="1:12" x14ac:dyDescent="0.3">
      <c r="A27" s="65" t="s">
        <v>47</v>
      </c>
      <c r="B27" s="7"/>
      <c r="C27" s="7">
        <v>-1.33</v>
      </c>
      <c r="D27" s="7">
        <v>-2.85</v>
      </c>
      <c r="E27" s="7"/>
      <c r="F27" s="7"/>
      <c r="G27" s="7"/>
      <c r="H27" s="7"/>
      <c r="I27" s="7"/>
      <c r="J27" s="7"/>
      <c r="K27" s="7"/>
      <c r="L27" s="7"/>
    </row>
    <row r="28" spans="1:12" x14ac:dyDescent="0.3">
      <c r="A28" s="65" t="s">
        <v>33</v>
      </c>
      <c r="B28" s="7">
        <v>50.28</v>
      </c>
      <c r="C28" s="7">
        <v>126.99</v>
      </c>
      <c r="D28" s="7">
        <v>4.76</v>
      </c>
      <c r="E28" s="7">
        <v>-66.97</v>
      </c>
      <c r="F28" s="7">
        <v>-18.190000000000001</v>
      </c>
      <c r="G28" s="7">
        <v>-274.86</v>
      </c>
      <c r="H28" s="7">
        <v>-34.1</v>
      </c>
      <c r="I28" s="7">
        <v>-46.68</v>
      </c>
      <c r="J28" s="7">
        <v>-28.02</v>
      </c>
      <c r="K28" s="7">
        <v>-7</v>
      </c>
      <c r="L28" s="7">
        <v>-86</v>
      </c>
    </row>
    <row r="29" spans="1:12" x14ac:dyDescent="0.3">
      <c r="A29" s="67" t="s">
        <v>34</v>
      </c>
      <c r="B29" s="8">
        <f>SUM(B25:B28)</f>
        <v>302.52</v>
      </c>
      <c r="C29" s="8">
        <f t="shared" ref="C29:L29" si="8">SUM(C25:C28)</f>
        <v>288.77999999999997</v>
      </c>
      <c r="D29" s="8">
        <f t="shared" si="8"/>
        <v>351.12</v>
      </c>
      <c r="E29" s="8">
        <f t="shared" si="8"/>
        <v>248.38000000000002</v>
      </c>
      <c r="F29" s="8">
        <f t="shared" si="8"/>
        <v>357.33</v>
      </c>
      <c r="G29" s="8">
        <f t="shared" si="8"/>
        <v>60.129999999999995</v>
      </c>
      <c r="H29" s="8">
        <f t="shared" si="8"/>
        <v>346.91999999999996</v>
      </c>
      <c r="I29" s="8">
        <f t="shared" si="8"/>
        <v>219.64999999999998</v>
      </c>
      <c r="J29" s="8">
        <f t="shared" si="8"/>
        <v>197.76999999999998</v>
      </c>
      <c r="K29" s="8">
        <f t="shared" si="8"/>
        <v>267</v>
      </c>
      <c r="L29" s="8">
        <f t="shared" si="8"/>
        <v>288</v>
      </c>
    </row>
    <row r="30" spans="1:12" x14ac:dyDescent="0.3">
      <c r="A30" s="67" t="s">
        <v>40</v>
      </c>
      <c r="B30" s="11">
        <f>B23-B29</f>
        <v>610.50999999999965</v>
      </c>
      <c r="C30" s="11">
        <f t="shared" ref="C30:L30" si="9">C23-C29</f>
        <v>-807.66999999999848</v>
      </c>
      <c r="D30" s="11">
        <f t="shared" si="9"/>
        <v>807.39000000000294</v>
      </c>
      <c r="E30" s="11">
        <f t="shared" si="9"/>
        <v>931.94999999999879</v>
      </c>
      <c r="F30" s="11">
        <f t="shared" si="9"/>
        <v>1099.2700000000023</v>
      </c>
      <c r="G30" s="11">
        <f t="shared" si="9"/>
        <v>1559.9999999999995</v>
      </c>
      <c r="H30" s="11">
        <f t="shared" si="9"/>
        <v>1394.8300000000008</v>
      </c>
      <c r="I30" s="11">
        <f t="shared" si="9"/>
        <v>1028.4100000000017</v>
      </c>
      <c r="J30" s="11">
        <f t="shared" si="9"/>
        <v>436.22000000000082</v>
      </c>
      <c r="K30" s="11">
        <f t="shared" si="9"/>
        <v>1400</v>
      </c>
      <c r="L30" s="11">
        <f t="shared" si="9"/>
        <v>2452</v>
      </c>
    </row>
    <row r="31" spans="1:12" x14ac:dyDescent="0.3">
      <c r="A31" s="65" t="s">
        <v>35</v>
      </c>
      <c r="B31" s="7"/>
      <c r="C31" s="7"/>
      <c r="D31" s="7"/>
      <c r="E31" s="7">
        <v>113.15</v>
      </c>
      <c r="F31" s="7">
        <v>195.57</v>
      </c>
      <c r="G31" s="7">
        <v>437.72</v>
      </c>
      <c r="H31" s="7">
        <v>-11.31</v>
      </c>
      <c r="I31" s="12">
        <v>6128.08</v>
      </c>
      <c r="J31" s="7"/>
      <c r="K31" s="7">
        <v>28</v>
      </c>
      <c r="L31" s="7"/>
    </row>
    <row r="32" spans="1:12" x14ac:dyDescent="0.3">
      <c r="A32" s="65" t="s">
        <v>36</v>
      </c>
      <c r="B32" s="7">
        <v>-3.08</v>
      </c>
      <c r="C32" s="7">
        <v>-3.33</v>
      </c>
      <c r="D32" s="7">
        <v>-5.4</v>
      </c>
      <c r="E32" s="7"/>
      <c r="F32" s="7"/>
      <c r="G32" s="12">
        <v>1213.99</v>
      </c>
      <c r="H32" s="7"/>
      <c r="I32" s="7">
        <v>31.34</v>
      </c>
      <c r="J32" s="7"/>
      <c r="K32" s="7">
        <v>-10</v>
      </c>
      <c r="L32" s="7">
        <v>-18</v>
      </c>
    </row>
    <row r="33" spans="1:12" x14ac:dyDescent="0.3">
      <c r="A33" s="65" t="s">
        <v>37</v>
      </c>
      <c r="B33" s="11">
        <v>207.03</v>
      </c>
      <c r="C33" s="11">
        <v>221</v>
      </c>
      <c r="D33" s="11">
        <v>205.53</v>
      </c>
      <c r="E33" s="11">
        <v>38.94</v>
      </c>
      <c r="F33" s="11">
        <v>60.74</v>
      </c>
      <c r="G33" s="11">
        <v>509.22</v>
      </c>
      <c r="H33" s="11">
        <v>-3.33</v>
      </c>
      <c r="I33" s="11">
        <v>-40.32</v>
      </c>
      <c r="J33" s="11"/>
      <c r="K33" s="11">
        <v>13</v>
      </c>
      <c r="L33" s="11"/>
    </row>
    <row r="34" spans="1:12" x14ac:dyDescent="0.3">
      <c r="A34" s="67" t="s">
        <v>38</v>
      </c>
      <c r="B34" s="11">
        <f>B31+B32-B33</f>
        <v>-210.11</v>
      </c>
      <c r="C34" s="11">
        <f t="shared" ref="C34:L34" si="10">C31+C32-C33</f>
        <v>-224.33</v>
      </c>
      <c r="D34" s="11">
        <f t="shared" si="10"/>
        <v>-210.93</v>
      </c>
      <c r="E34" s="11">
        <f t="shared" si="10"/>
        <v>74.210000000000008</v>
      </c>
      <c r="F34" s="11">
        <f t="shared" si="10"/>
        <v>134.82999999999998</v>
      </c>
      <c r="G34" s="11">
        <f t="shared" si="10"/>
        <v>1142.49</v>
      </c>
      <c r="H34" s="11">
        <f t="shared" si="10"/>
        <v>-7.98</v>
      </c>
      <c r="I34" s="11">
        <f t="shared" si="10"/>
        <v>6199.74</v>
      </c>
      <c r="J34" s="11">
        <f t="shared" si="10"/>
        <v>0</v>
      </c>
      <c r="K34" s="11">
        <f t="shared" si="10"/>
        <v>5</v>
      </c>
      <c r="L34" s="11">
        <f t="shared" si="10"/>
        <v>-18</v>
      </c>
    </row>
    <row r="35" spans="1:12" x14ac:dyDescent="0.3">
      <c r="A35" s="67" t="s">
        <v>39</v>
      </c>
      <c r="B35" s="8">
        <f>B30+B34</f>
        <v>400.39999999999964</v>
      </c>
      <c r="C35" s="8">
        <f t="shared" ref="C35:L35" si="11">C30+C34</f>
        <v>-1031.9999999999984</v>
      </c>
      <c r="D35" s="8">
        <f t="shared" si="11"/>
        <v>596.46000000000299</v>
      </c>
      <c r="E35" s="8">
        <f t="shared" si="11"/>
        <v>1006.1599999999988</v>
      </c>
      <c r="F35" s="8">
        <f t="shared" si="11"/>
        <v>1234.1000000000022</v>
      </c>
      <c r="G35" s="8">
        <f t="shared" si="11"/>
        <v>2702.49</v>
      </c>
      <c r="H35" s="8">
        <f t="shared" si="11"/>
        <v>1386.8500000000008</v>
      </c>
      <c r="I35" s="8">
        <f t="shared" si="11"/>
        <v>7228.1500000000015</v>
      </c>
      <c r="J35" s="8">
        <f t="shared" si="11"/>
        <v>436.22000000000082</v>
      </c>
      <c r="K35" s="8">
        <f t="shared" si="11"/>
        <v>1405</v>
      </c>
      <c r="L35" s="8">
        <f t="shared" si="11"/>
        <v>2434</v>
      </c>
    </row>
    <row r="36" spans="1:12" x14ac:dyDescent="0.3">
      <c r="A36" s="66" t="s">
        <v>44</v>
      </c>
      <c r="B36" s="2"/>
      <c r="C36" s="2"/>
      <c r="D36" s="2"/>
      <c r="E36" s="2"/>
      <c r="F36" s="4"/>
      <c r="G36" s="4"/>
      <c r="H36" s="4"/>
      <c r="I36" s="4"/>
      <c r="J36" s="4"/>
      <c r="K36" s="4"/>
      <c r="L36" s="2"/>
    </row>
    <row r="37" spans="1:12" x14ac:dyDescent="0.3">
      <c r="A37" s="64" t="s">
        <v>45</v>
      </c>
      <c r="B37" s="13">
        <v>15.72</v>
      </c>
      <c r="C37" s="13">
        <v>-40.51</v>
      </c>
      <c r="D37" s="13">
        <v>23.41</v>
      </c>
      <c r="E37" s="13">
        <v>38.979999999999997</v>
      </c>
      <c r="F37" s="13">
        <v>38.979999999999997</v>
      </c>
      <c r="G37" s="13">
        <v>95.51</v>
      </c>
      <c r="H37" s="13">
        <v>45.38</v>
      </c>
      <c r="I37" s="13">
        <v>275.02</v>
      </c>
      <c r="J37" s="13">
        <v>10.06</v>
      </c>
      <c r="K37" s="14">
        <v>49.37</v>
      </c>
      <c r="L37" s="1">
        <v>90.95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92A8-326F-4AB6-95B6-B759DA61D188}">
  <dimension ref="A1:Y67"/>
  <sheetViews>
    <sheetView tabSelected="1" zoomScaleNormal="100" workbookViewId="0">
      <pane xSplit="1" topLeftCell="L1" activePane="topRight" state="frozen"/>
      <selection pane="topRight" activeCell="W8" sqref="W8"/>
    </sheetView>
  </sheetViews>
  <sheetFormatPr defaultRowHeight="14.4" x14ac:dyDescent="0.3"/>
  <cols>
    <col min="1" max="1" width="41.33203125" bestFit="1" customWidth="1"/>
    <col min="2" max="2" width="10.44140625" bestFit="1" customWidth="1"/>
    <col min="12" max="12" width="9.6640625" bestFit="1" customWidth="1"/>
    <col min="14" max="14" width="23.21875" bestFit="1" customWidth="1"/>
    <col min="15" max="15" width="12" bestFit="1" customWidth="1"/>
    <col min="25" max="25" width="9.6640625" bestFit="1" customWidth="1"/>
  </cols>
  <sheetData>
    <row r="1" spans="1:25" ht="43.2" x14ac:dyDescent="0.3">
      <c r="A1" s="72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25" x14ac:dyDescent="0.3">
      <c r="A2" s="73" t="s">
        <v>48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N2" s="69" t="s">
        <v>220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70" t="s">
        <v>12</v>
      </c>
    </row>
    <row r="3" spans="1:25" x14ac:dyDescent="0.3">
      <c r="A3" s="65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N3" s="1" t="s">
        <v>78</v>
      </c>
      <c r="O3" s="12">
        <f>B20+B33</f>
        <v>20239.010000000002</v>
      </c>
      <c r="P3" s="12">
        <f t="shared" ref="P3:Y3" si="0">C20+C33</f>
        <v>20210.399999999998</v>
      </c>
      <c r="Q3" s="12">
        <f t="shared" si="0"/>
        <v>24449.23</v>
      </c>
      <c r="R3" s="12">
        <f t="shared" si="0"/>
        <v>24355.23</v>
      </c>
      <c r="S3" s="12">
        <f t="shared" si="0"/>
        <v>23605.079999999994</v>
      </c>
      <c r="T3" s="12">
        <f t="shared" si="0"/>
        <v>25878.639999999999</v>
      </c>
      <c r="U3" s="12">
        <f t="shared" si="0"/>
        <v>26904.920000000002</v>
      </c>
      <c r="V3" s="12">
        <f t="shared" si="0"/>
        <v>27688.75</v>
      </c>
      <c r="W3" s="12">
        <f t="shared" si="0"/>
        <v>28337.200000000004</v>
      </c>
      <c r="X3" s="12">
        <f t="shared" si="0"/>
        <v>33843</v>
      </c>
      <c r="Y3" s="12">
        <f t="shared" si="0"/>
        <v>35084</v>
      </c>
    </row>
    <row r="4" spans="1:25" x14ac:dyDescent="0.3">
      <c r="A4" s="74" t="s">
        <v>50</v>
      </c>
      <c r="B4" s="12">
        <v>4048.17</v>
      </c>
      <c r="C4" s="12">
        <v>4231.6899999999996</v>
      </c>
      <c r="D4" s="12">
        <v>4243.33</v>
      </c>
      <c r="E4" s="12">
        <v>4403.63</v>
      </c>
      <c r="F4" s="12">
        <v>3917.13</v>
      </c>
      <c r="G4" s="12">
        <v>3987.19</v>
      </c>
      <c r="H4" s="12">
        <v>4293.41</v>
      </c>
      <c r="I4" s="12">
        <v>5121.45</v>
      </c>
      <c r="J4" s="12">
        <v>5372.9</v>
      </c>
      <c r="K4" s="12">
        <v>5985</v>
      </c>
      <c r="L4" s="10">
        <v>6367</v>
      </c>
      <c r="N4" s="7"/>
      <c r="O4" s="71">
        <f>B4/O$3</f>
        <v>0.20001818270755337</v>
      </c>
      <c r="P4" s="71">
        <f t="shared" ref="P4:Y19" si="1">C4/P$3</f>
        <v>0.20938180342793811</v>
      </c>
      <c r="Q4" s="71">
        <f>D4/Q$3</f>
        <v>0.17355679504017099</v>
      </c>
      <c r="R4" s="71">
        <f t="shared" si="1"/>
        <v>0.18080839310488958</v>
      </c>
      <c r="S4" s="71">
        <f t="shared" si="1"/>
        <v>0.16594436451814615</v>
      </c>
      <c r="T4" s="71">
        <f t="shared" si="1"/>
        <v>0.15407262514567999</v>
      </c>
      <c r="U4" s="71">
        <f t="shared" si="1"/>
        <v>0.15957713310427979</v>
      </c>
      <c r="V4" s="71">
        <f t="shared" si="1"/>
        <v>0.18496501286623629</v>
      </c>
      <c r="W4" s="71">
        <f t="shared" si="1"/>
        <v>0.18960588907866688</v>
      </c>
      <c r="X4" s="71">
        <f t="shared" si="1"/>
        <v>0.17684602428862689</v>
      </c>
      <c r="Y4" s="71">
        <f>L4/Y$3</f>
        <v>0.18147873674609508</v>
      </c>
    </row>
    <row r="5" spans="1:25" x14ac:dyDescent="0.3">
      <c r="A5" s="74" t="s">
        <v>51</v>
      </c>
      <c r="B5" s="7">
        <v>572.79999999999995</v>
      </c>
      <c r="C5" s="7">
        <v>452.69</v>
      </c>
      <c r="D5" s="12">
        <v>216.2</v>
      </c>
      <c r="E5" s="12">
        <v>323.64999999999998</v>
      </c>
      <c r="F5" s="7">
        <v>304.76</v>
      </c>
      <c r="G5" s="7">
        <v>373.85</v>
      </c>
      <c r="H5" s="12">
        <v>735.84</v>
      </c>
      <c r="I5" s="12">
        <v>787.8</v>
      </c>
      <c r="J5" s="12">
        <v>1034.71</v>
      </c>
      <c r="K5" s="12">
        <v>1590</v>
      </c>
      <c r="L5" s="10">
        <v>2351</v>
      </c>
      <c r="N5" s="7"/>
      <c r="O5" s="71">
        <f t="shared" ref="O5:T63" si="2">B5/O$3</f>
        <v>2.8301779583092251E-2</v>
      </c>
      <c r="P5" s="71">
        <f t="shared" si="1"/>
        <v>2.2398863951233031E-2</v>
      </c>
      <c r="Q5" s="71">
        <f t="shared" si="1"/>
        <v>8.8428142726785265E-3</v>
      </c>
      <c r="R5" s="71">
        <f t="shared" si="1"/>
        <v>1.3288726897672491E-2</v>
      </c>
      <c r="S5" s="71">
        <f t="shared" si="1"/>
        <v>1.2910780221884445E-2</v>
      </c>
      <c r="T5" s="71">
        <f t="shared" si="1"/>
        <v>1.4446276929544985E-2</v>
      </c>
      <c r="U5" s="71">
        <f t="shared" si="1"/>
        <v>2.7349644600318454E-2</v>
      </c>
      <c r="V5" s="71">
        <f t="shared" si="1"/>
        <v>2.8451988623538441E-2</v>
      </c>
      <c r="W5" s="71">
        <f t="shared" si="1"/>
        <v>3.6514193357141844E-2</v>
      </c>
      <c r="X5" s="71">
        <f t="shared" si="1"/>
        <v>4.6981650562893364E-2</v>
      </c>
      <c r="Y5" s="71">
        <f t="shared" ref="Y5:Y63" si="3">L5/Y$3</f>
        <v>6.7010603123931131E-2</v>
      </c>
    </row>
    <row r="6" spans="1:25" x14ac:dyDescent="0.3">
      <c r="A6" s="74" t="s">
        <v>52</v>
      </c>
      <c r="B6" s="12"/>
      <c r="C6" s="12"/>
      <c r="D6" s="7"/>
      <c r="E6" s="12"/>
      <c r="F6" s="12"/>
      <c r="G6" s="12">
        <v>27.94</v>
      </c>
      <c r="H6" s="12">
        <v>27.21</v>
      </c>
      <c r="I6" s="12">
        <v>21.24</v>
      </c>
      <c r="J6" s="12">
        <v>54.86</v>
      </c>
      <c r="K6" s="12">
        <v>54</v>
      </c>
      <c r="L6" s="7">
        <v>52</v>
      </c>
      <c r="N6" s="7"/>
      <c r="O6" s="71">
        <f t="shared" si="2"/>
        <v>0</v>
      </c>
      <c r="P6" s="71">
        <f t="shared" si="1"/>
        <v>0</v>
      </c>
      <c r="Q6" s="71">
        <f t="shared" si="1"/>
        <v>0</v>
      </c>
      <c r="R6" s="71">
        <f t="shared" si="1"/>
        <v>0</v>
      </c>
      <c r="S6" s="71">
        <f t="shared" si="1"/>
        <v>0</v>
      </c>
      <c r="T6" s="71">
        <f t="shared" si="1"/>
        <v>1.0796548814002592E-3</v>
      </c>
      <c r="U6" s="71">
        <f t="shared" si="1"/>
        <v>1.0113391900068835E-3</v>
      </c>
      <c r="V6" s="71">
        <f t="shared" si="1"/>
        <v>7.6709855085549178E-4</v>
      </c>
      <c r="W6" s="71">
        <f t="shared" si="1"/>
        <v>1.935971091004051E-3</v>
      </c>
      <c r="X6" s="71">
        <f t="shared" si="1"/>
        <v>1.5956032266643029E-3</v>
      </c>
      <c r="Y6" s="71">
        <f t="shared" si="3"/>
        <v>1.4821571086535172E-3</v>
      </c>
    </row>
    <row r="7" spans="1:25" x14ac:dyDescent="0.3">
      <c r="A7" s="74" t="s">
        <v>53</v>
      </c>
      <c r="B7" s="12"/>
      <c r="C7" s="12"/>
      <c r="D7" s="7"/>
      <c r="E7" s="7"/>
      <c r="F7" s="7"/>
      <c r="G7" s="7"/>
      <c r="I7" s="7">
        <v>260.68</v>
      </c>
      <c r="J7" s="7">
        <v>271.60000000000002</v>
      </c>
      <c r="K7" s="7">
        <v>215</v>
      </c>
      <c r="L7" s="7">
        <v>202</v>
      </c>
      <c r="N7" s="7"/>
      <c r="O7" s="71">
        <f t="shared" si="2"/>
        <v>0</v>
      </c>
      <c r="P7" s="71">
        <f t="shared" si="1"/>
        <v>0</v>
      </c>
      <c r="Q7" s="71">
        <f t="shared" si="1"/>
        <v>0</v>
      </c>
      <c r="R7" s="71">
        <f t="shared" si="1"/>
        <v>0</v>
      </c>
      <c r="S7" s="71">
        <f t="shared" si="1"/>
        <v>0</v>
      </c>
      <c r="T7" s="71">
        <f t="shared" si="1"/>
        <v>0</v>
      </c>
      <c r="U7" s="71">
        <f t="shared" si="1"/>
        <v>0</v>
      </c>
      <c r="V7" s="71">
        <f t="shared" si="1"/>
        <v>9.4146539659609053E-3</v>
      </c>
      <c r="W7" s="71">
        <f t="shared" si="1"/>
        <v>9.5845743404429501E-3</v>
      </c>
      <c r="X7" s="71">
        <f t="shared" si="1"/>
        <v>6.3528646987560207E-3</v>
      </c>
      <c r="Y7" s="71">
        <f t="shared" si="3"/>
        <v>5.7576103066925097E-3</v>
      </c>
    </row>
    <row r="8" spans="1:25" x14ac:dyDescent="0.3">
      <c r="A8" s="74" t="s">
        <v>54</v>
      </c>
      <c r="B8" s="12">
        <v>6627.02</v>
      </c>
      <c r="C8" s="12">
        <v>6722.61</v>
      </c>
      <c r="D8" s="12">
        <v>1676.32</v>
      </c>
      <c r="E8" s="7">
        <v>1761.93</v>
      </c>
      <c r="F8" s="12">
        <v>1698.41</v>
      </c>
      <c r="G8" s="12">
        <v>1731.85</v>
      </c>
      <c r="H8" s="12">
        <v>1811.03</v>
      </c>
      <c r="I8" s="12">
        <v>1954.23</v>
      </c>
      <c r="J8" s="12">
        <v>1917.74</v>
      </c>
      <c r="K8" s="10">
        <v>1971</v>
      </c>
      <c r="L8" s="10">
        <v>2109</v>
      </c>
      <c r="N8" s="7"/>
      <c r="O8" s="71">
        <f t="shared" si="2"/>
        <v>0.32743795274571236</v>
      </c>
      <c r="P8" s="71">
        <f t="shared" si="1"/>
        <v>0.33263121957012232</v>
      </c>
      <c r="Q8" s="71">
        <f t="shared" si="1"/>
        <v>6.8563304447624734E-2</v>
      </c>
      <c r="R8" s="71">
        <f t="shared" si="1"/>
        <v>7.2342983416703519E-2</v>
      </c>
      <c r="S8" s="71">
        <f t="shared" si="1"/>
        <v>7.1951037657995667E-2</v>
      </c>
      <c r="T8" s="71">
        <f t="shared" si="1"/>
        <v>6.692198662680883E-2</v>
      </c>
      <c r="U8" s="71">
        <f t="shared" si="1"/>
        <v>6.7312223935250493E-2</v>
      </c>
      <c r="V8" s="71">
        <f t="shared" si="1"/>
        <v>7.0578484041352529E-2</v>
      </c>
      <c r="W8" s="71">
        <f t="shared" si="1"/>
        <v>6.7675705433140873E-2</v>
      </c>
      <c r="X8" s="71">
        <f t="shared" si="1"/>
        <v>5.8239517773247054E-2</v>
      </c>
      <c r="Y8" s="71">
        <f t="shared" si="3"/>
        <v>6.011287196442823E-2</v>
      </c>
    </row>
    <row r="9" spans="1:25" x14ac:dyDescent="0.3">
      <c r="A9" s="74" t="s">
        <v>55</v>
      </c>
      <c r="B9" s="7"/>
      <c r="C9" s="7"/>
      <c r="D9" s="7"/>
      <c r="E9" s="7"/>
      <c r="F9" s="7"/>
      <c r="G9" s="7"/>
      <c r="H9" s="18">
        <v>48</v>
      </c>
      <c r="I9" s="7">
        <v>45.53</v>
      </c>
      <c r="J9" s="7">
        <v>45.53</v>
      </c>
      <c r="K9" s="7">
        <v>46</v>
      </c>
      <c r="L9" s="7">
        <v>46</v>
      </c>
      <c r="N9" s="7"/>
      <c r="O9" s="71">
        <f t="shared" si="2"/>
        <v>0</v>
      </c>
      <c r="P9" s="71">
        <f t="shared" si="1"/>
        <v>0</v>
      </c>
      <c r="Q9" s="71">
        <f t="shared" si="1"/>
        <v>0</v>
      </c>
      <c r="R9" s="71">
        <f t="shared" si="1"/>
        <v>0</v>
      </c>
      <c r="S9" s="71">
        <f t="shared" si="1"/>
        <v>0</v>
      </c>
      <c r="T9" s="71">
        <f t="shared" si="1"/>
        <v>0</v>
      </c>
      <c r="U9" s="71">
        <f t="shared" si="1"/>
        <v>1.7840603131323192E-3</v>
      </c>
      <c r="V9" s="71">
        <f t="shared" si="1"/>
        <v>1.6443501422057694E-3</v>
      </c>
      <c r="W9" s="71">
        <f t="shared" si="1"/>
        <v>1.6067219061869202E-3</v>
      </c>
      <c r="X9" s="71">
        <f t="shared" si="1"/>
        <v>1.3592175634547766E-3</v>
      </c>
      <c r="Y9" s="71">
        <f t="shared" si="3"/>
        <v>1.3111389807319576E-3</v>
      </c>
    </row>
    <row r="10" spans="1:25" x14ac:dyDescent="0.3">
      <c r="A10" s="74" t="s">
        <v>56</v>
      </c>
      <c r="B10" s="7">
        <v>30.56</v>
      </c>
      <c r="C10" s="7">
        <v>52.68</v>
      </c>
      <c r="D10" s="12">
        <v>6936.99</v>
      </c>
      <c r="E10" s="12">
        <v>7265.81</v>
      </c>
      <c r="F10" s="12">
        <v>7013.33</v>
      </c>
      <c r="G10" s="12">
        <v>7039.72</v>
      </c>
      <c r="H10" s="12">
        <v>7371.34</v>
      </c>
      <c r="I10" s="12">
        <v>7952.48</v>
      </c>
      <c r="J10" s="12">
        <v>7598.4</v>
      </c>
      <c r="K10" s="10">
        <v>7773</v>
      </c>
      <c r="L10" s="10">
        <v>8316</v>
      </c>
      <c r="N10" s="7"/>
      <c r="O10" s="71">
        <f t="shared" si="2"/>
        <v>1.5099552794331341E-3</v>
      </c>
      <c r="P10" s="71">
        <f t="shared" si="1"/>
        <v>2.6065787911174446E-3</v>
      </c>
      <c r="Q10" s="71">
        <f t="shared" si="1"/>
        <v>0.28373040786969567</v>
      </c>
      <c r="R10" s="71">
        <f t="shared" si="1"/>
        <v>0.2983264785428017</v>
      </c>
      <c r="S10" s="71">
        <f t="shared" si="1"/>
        <v>0.29711104558849205</v>
      </c>
      <c r="T10" s="71">
        <f t="shared" si="1"/>
        <v>0.27202820550075274</v>
      </c>
      <c r="U10" s="71">
        <f t="shared" si="1"/>
        <v>0.27397739892926648</v>
      </c>
      <c r="V10" s="71">
        <f t="shared" si="1"/>
        <v>0.2872097873685161</v>
      </c>
      <c r="W10" s="71">
        <f t="shared" si="1"/>
        <v>0.26814223000155268</v>
      </c>
      <c r="X10" s="71">
        <f t="shared" si="1"/>
        <v>0.22967822001595603</v>
      </c>
      <c r="Y10" s="71">
        <f t="shared" si="3"/>
        <v>0.23703112529928172</v>
      </c>
    </row>
    <row r="11" spans="1:25" x14ac:dyDescent="0.3">
      <c r="A11" s="74" t="s">
        <v>57</v>
      </c>
      <c r="B11" s="7">
        <v>18.8</v>
      </c>
      <c r="C11" s="7">
        <v>14.9</v>
      </c>
      <c r="D11" s="7">
        <v>19.62</v>
      </c>
      <c r="E11" s="7">
        <v>26.46</v>
      </c>
      <c r="F11" s="7">
        <v>30.22</v>
      </c>
      <c r="G11" s="7">
        <v>35.03</v>
      </c>
      <c r="H11" s="7">
        <v>37.99</v>
      </c>
      <c r="I11" s="7">
        <v>47.22</v>
      </c>
      <c r="J11" s="7">
        <v>58.8</v>
      </c>
      <c r="K11" s="7">
        <v>78</v>
      </c>
      <c r="L11" s="7">
        <v>59</v>
      </c>
      <c r="N11" s="7"/>
      <c r="O11" s="71">
        <f t="shared" si="2"/>
        <v>9.2889919022718986E-4</v>
      </c>
      <c r="P11" s="71">
        <f t="shared" si="1"/>
        <v>7.3724419110952791E-4</v>
      </c>
      <c r="Q11" s="71">
        <f t="shared" si="1"/>
        <v>8.0247926008303739E-4</v>
      </c>
      <c r="R11" s="71">
        <f t="shared" si="1"/>
        <v>1.0864196314302925E-3</v>
      </c>
      <c r="S11" s="71">
        <f t="shared" si="1"/>
        <v>1.2802328990200416E-3</v>
      </c>
      <c r="T11" s="71">
        <f t="shared" si="1"/>
        <v>1.3536260019846485E-3</v>
      </c>
      <c r="U11" s="71">
        <f t="shared" si="1"/>
        <v>1.4120094019978502E-3</v>
      </c>
      <c r="V11" s="71">
        <f t="shared" si="1"/>
        <v>1.7053857613651754E-3</v>
      </c>
      <c r="W11" s="71">
        <f t="shared" si="1"/>
        <v>2.075010939683525E-3</v>
      </c>
      <c r="X11" s="71">
        <f t="shared" si="1"/>
        <v>2.3047602162928819E-3</v>
      </c>
      <c r="Y11" s="71">
        <f t="shared" si="3"/>
        <v>1.6816782578953368E-3</v>
      </c>
    </row>
    <row r="12" spans="1:25" x14ac:dyDescent="0.3">
      <c r="A12" s="75" t="s">
        <v>58</v>
      </c>
      <c r="B12" s="7"/>
      <c r="C12" s="7"/>
      <c r="D12" s="7">
        <v>310.98</v>
      </c>
      <c r="E12" s="7">
        <v>337.42</v>
      </c>
      <c r="F12" s="7">
        <v>295.45999999999998</v>
      </c>
      <c r="G12" s="7">
        <v>352.72</v>
      </c>
      <c r="H12" s="7">
        <v>870.56</v>
      </c>
      <c r="I12" s="7">
        <v>770.31</v>
      </c>
      <c r="J12" s="7">
        <v>951.89</v>
      </c>
      <c r="K12" s="10">
        <v>1234</v>
      </c>
      <c r="L12" s="10">
        <v>1136</v>
      </c>
      <c r="N12" s="7"/>
      <c r="O12" s="71">
        <f t="shared" si="2"/>
        <v>0</v>
      </c>
      <c r="P12" s="71">
        <f t="shared" si="1"/>
        <v>0</v>
      </c>
      <c r="Q12" s="71">
        <f t="shared" si="1"/>
        <v>1.271941897556692E-2</v>
      </c>
      <c r="R12" s="71">
        <f t="shared" si="1"/>
        <v>1.3854108542600501E-2</v>
      </c>
      <c r="S12" s="71">
        <f t="shared" si="1"/>
        <v>1.2516797231782313E-2</v>
      </c>
      <c r="T12" s="71">
        <f t="shared" si="1"/>
        <v>1.3629773434770917E-2</v>
      </c>
      <c r="U12" s="71">
        <f t="shared" si="1"/>
        <v>3.2356907212509826E-2</v>
      </c>
      <c r="V12" s="71">
        <f t="shared" si="1"/>
        <v>2.7820324138865062E-2</v>
      </c>
      <c r="W12" s="71">
        <f t="shared" si="1"/>
        <v>3.3591533390737262E-2</v>
      </c>
      <c r="X12" s="71">
        <f t="shared" si="1"/>
        <v>3.6462488550069436E-2</v>
      </c>
      <c r="Y12" s="71">
        <f t="shared" si="3"/>
        <v>3.2379432219815298E-2</v>
      </c>
    </row>
    <row r="13" spans="1:25" x14ac:dyDescent="0.3">
      <c r="A13" s="74" t="s">
        <v>59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N13" s="7"/>
      <c r="O13" s="71">
        <f t="shared" si="2"/>
        <v>0</v>
      </c>
      <c r="P13" s="71">
        <f t="shared" si="1"/>
        <v>0</v>
      </c>
      <c r="Q13" s="71">
        <f t="shared" si="1"/>
        <v>0</v>
      </c>
      <c r="R13" s="71">
        <f t="shared" si="1"/>
        <v>0</v>
      </c>
      <c r="S13" s="71">
        <f t="shared" si="1"/>
        <v>0</v>
      </c>
      <c r="T13" s="71">
        <f t="shared" si="1"/>
        <v>0</v>
      </c>
      <c r="U13" s="71">
        <f t="shared" si="1"/>
        <v>0</v>
      </c>
      <c r="V13" s="71">
        <f t="shared" si="1"/>
        <v>0</v>
      </c>
      <c r="W13" s="71">
        <f t="shared" si="1"/>
        <v>0</v>
      </c>
      <c r="X13" s="71">
        <f t="shared" si="1"/>
        <v>0</v>
      </c>
      <c r="Y13" s="71">
        <f t="shared" si="3"/>
        <v>0</v>
      </c>
    </row>
    <row r="14" spans="1:25" x14ac:dyDescent="0.3">
      <c r="A14" s="75" t="s">
        <v>60</v>
      </c>
      <c r="B14" s="7">
        <v>598.37</v>
      </c>
      <c r="C14" s="7">
        <v>434.21</v>
      </c>
      <c r="D14" s="12">
        <v>2076.86</v>
      </c>
      <c r="E14" s="12">
        <v>1841.09</v>
      </c>
      <c r="F14" s="12">
        <v>2274.6999999999998</v>
      </c>
      <c r="G14" s="12">
        <v>2395.85</v>
      </c>
      <c r="H14" s="12">
        <v>2492.37</v>
      </c>
      <c r="I14" s="12">
        <v>1913.47</v>
      </c>
      <c r="J14" s="12">
        <v>3300.44</v>
      </c>
      <c r="K14" s="10">
        <v>5124</v>
      </c>
      <c r="L14" s="10">
        <v>5042</v>
      </c>
      <c r="N14" s="7"/>
      <c r="O14" s="71">
        <f t="shared" si="2"/>
        <v>2.9565181300864021E-2</v>
      </c>
      <c r="P14" s="71">
        <f t="shared" si="1"/>
        <v>2.148448323635356E-2</v>
      </c>
      <c r="Q14" s="71">
        <f t="shared" si="1"/>
        <v>8.4945824469727677E-2</v>
      </c>
      <c r="R14" s="71">
        <f t="shared" si="1"/>
        <v>7.5593209343537304E-2</v>
      </c>
      <c r="S14" s="71">
        <f t="shared" si="1"/>
        <v>9.6364850277991021E-2</v>
      </c>
      <c r="T14" s="71">
        <f t="shared" si="1"/>
        <v>9.2580212870537248E-2</v>
      </c>
      <c r="U14" s="71">
        <f t="shared" si="1"/>
        <v>9.2636216721699957E-2</v>
      </c>
      <c r="V14" s="71">
        <f t="shared" si="1"/>
        <v>6.910640603133042E-2</v>
      </c>
      <c r="W14" s="71">
        <f t="shared" si="1"/>
        <v>0.1164702228872295</v>
      </c>
      <c r="X14" s="71">
        <f t="shared" si="1"/>
        <v>0.15140501728570163</v>
      </c>
      <c r="Y14" s="71">
        <f t="shared" si="3"/>
        <v>0.14371223349675066</v>
      </c>
    </row>
    <row r="15" spans="1:25" x14ac:dyDescent="0.3">
      <c r="A15" s="75" t="s">
        <v>108</v>
      </c>
      <c r="B15" s="7"/>
      <c r="C15" s="7"/>
      <c r="D15" s="7">
        <v>8.33</v>
      </c>
      <c r="E15" s="7">
        <v>2.35</v>
      </c>
      <c r="F15" s="7">
        <v>1.1000000000000001</v>
      </c>
      <c r="G15" s="7">
        <v>9.68</v>
      </c>
      <c r="H15" s="7">
        <v>7.87</v>
      </c>
      <c r="I15" s="7">
        <v>9.99</v>
      </c>
      <c r="J15" s="12">
        <v>10.7</v>
      </c>
      <c r="K15" s="10"/>
      <c r="L15" s="10"/>
      <c r="N15" s="7"/>
      <c r="O15" s="71">
        <f t="shared" si="2"/>
        <v>0</v>
      </c>
      <c r="P15" s="71">
        <f t="shared" si="1"/>
        <v>0</v>
      </c>
      <c r="Q15" s="71">
        <f t="shared" si="1"/>
        <v>3.4070602632475545E-4</v>
      </c>
      <c r="R15" s="71">
        <f t="shared" si="1"/>
        <v>9.6488516018941324E-5</v>
      </c>
      <c r="S15" s="71">
        <f t="shared" si="1"/>
        <v>4.6600138614230514E-5</v>
      </c>
      <c r="T15" s="71">
        <f t="shared" si="1"/>
        <v>3.7405365969772755E-4</v>
      </c>
      <c r="U15" s="71">
        <f t="shared" si="1"/>
        <v>2.9251155550731985E-4</v>
      </c>
      <c r="V15" s="71">
        <f t="shared" si="1"/>
        <v>3.6079635230915085E-4</v>
      </c>
      <c r="W15" s="71">
        <f t="shared" si="1"/>
        <v>3.7759552813968909E-4</v>
      </c>
      <c r="X15" s="71">
        <f t="shared" si="1"/>
        <v>0</v>
      </c>
      <c r="Y15" s="71">
        <f t="shared" si="3"/>
        <v>0</v>
      </c>
    </row>
    <row r="16" spans="1:25" x14ac:dyDescent="0.3">
      <c r="A16" s="75" t="s">
        <v>109</v>
      </c>
      <c r="B16" s="7"/>
      <c r="C16" s="7"/>
      <c r="D16" s="7">
        <v>95.29</v>
      </c>
      <c r="E16" s="7">
        <v>42.01</v>
      </c>
      <c r="F16" s="7">
        <v>15.9</v>
      </c>
      <c r="G16" s="7">
        <v>23.01</v>
      </c>
      <c r="H16" s="7">
        <v>7.35</v>
      </c>
      <c r="I16" s="7">
        <v>4.93</v>
      </c>
      <c r="J16" s="7">
        <v>24.66</v>
      </c>
      <c r="K16" s="7">
        <v>54</v>
      </c>
      <c r="L16" s="7">
        <v>40</v>
      </c>
      <c r="N16" s="7"/>
      <c r="O16" s="71">
        <f t="shared" si="2"/>
        <v>0</v>
      </c>
      <c r="P16" s="71">
        <f t="shared" si="1"/>
        <v>0</v>
      </c>
      <c r="Q16" s="71">
        <f t="shared" si="1"/>
        <v>3.8974642555205216E-3</v>
      </c>
      <c r="R16" s="71">
        <f t="shared" si="1"/>
        <v>1.7248861948747764E-3</v>
      </c>
      <c r="S16" s="71">
        <f t="shared" si="1"/>
        <v>6.7358382178751375E-4</v>
      </c>
      <c r="T16" s="71">
        <f t="shared" si="1"/>
        <v>8.8915027992197439E-4</v>
      </c>
      <c r="U16" s="71">
        <f t="shared" si="1"/>
        <v>2.7318423544838637E-4</v>
      </c>
      <c r="V16" s="71">
        <f t="shared" si="1"/>
        <v>1.780506523407521E-4</v>
      </c>
      <c r="W16" s="71">
        <f t="shared" si="1"/>
        <v>8.7023417980604983E-4</v>
      </c>
      <c r="X16" s="71">
        <f t="shared" si="1"/>
        <v>1.5956032266643029E-3</v>
      </c>
      <c r="Y16" s="71">
        <f t="shared" si="3"/>
        <v>1.1401208528103979E-3</v>
      </c>
    </row>
    <row r="17" spans="1:25" x14ac:dyDescent="0.3">
      <c r="A17" s="74" t="s">
        <v>61</v>
      </c>
      <c r="B17" s="7">
        <v>159.02000000000001</v>
      </c>
      <c r="C17" s="7">
        <v>85.92</v>
      </c>
      <c r="D17" s="7">
        <v>4.76</v>
      </c>
      <c r="E17" s="7">
        <v>8.9600000000000009</v>
      </c>
      <c r="F17" s="7">
        <v>23.67</v>
      </c>
      <c r="G17" s="7">
        <v>20.81</v>
      </c>
      <c r="H17" s="7">
        <v>36.24</v>
      </c>
      <c r="I17" s="7">
        <v>15.31</v>
      </c>
      <c r="J17" s="7"/>
      <c r="K17" s="7"/>
      <c r="L17" s="7">
        <v>144</v>
      </c>
      <c r="N17" s="7"/>
      <c r="O17" s="71">
        <f t="shared" si="2"/>
        <v>7.8571036824429657E-3</v>
      </c>
      <c r="P17" s="71">
        <f t="shared" si="1"/>
        <v>4.2512765704785663E-3</v>
      </c>
      <c r="Q17" s="71">
        <f t="shared" si="1"/>
        <v>1.9468915789986024E-4</v>
      </c>
      <c r="R17" s="71">
        <f t="shared" si="1"/>
        <v>3.6788812916158055E-4</v>
      </c>
      <c r="S17" s="71">
        <f t="shared" si="1"/>
        <v>1.0027502554534875E-3</v>
      </c>
      <c r="T17" s="71">
        <f t="shared" si="1"/>
        <v>8.0413808453612705E-4</v>
      </c>
      <c r="U17" s="71">
        <f t="shared" si="1"/>
        <v>1.3469655364149011E-3</v>
      </c>
      <c r="V17" s="71">
        <f t="shared" si="1"/>
        <v>5.5293214753284283E-4</v>
      </c>
      <c r="W17" s="71">
        <f t="shared" si="1"/>
        <v>0</v>
      </c>
      <c r="X17" s="71">
        <f t="shared" si="1"/>
        <v>0</v>
      </c>
      <c r="Y17" s="71">
        <f t="shared" si="3"/>
        <v>4.1044350701174327E-3</v>
      </c>
    </row>
    <row r="18" spans="1:25" x14ac:dyDescent="0.3">
      <c r="A18" s="74" t="s">
        <v>62</v>
      </c>
      <c r="B18" s="7">
        <v>448.67</v>
      </c>
      <c r="C18" s="7">
        <v>490.75</v>
      </c>
      <c r="D18" s="7">
        <v>450.23</v>
      </c>
      <c r="E18" s="7">
        <v>451.57</v>
      </c>
      <c r="F18" s="7">
        <v>502.88</v>
      </c>
      <c r="G18" s="7">
        <v>671.55</v>
      </c>
      <c r="H18" s="7">
        <v>815</v>
      </c>
      <c r="I18" s="7">
        <v>699.92</v>
      </c>
      <c r="J18" s="7">
        <v>663.86</v>
      </c>
      <c r="K18" s="7">
        <v>707</v>
      </c>
      <c r="L18" s="7">
        <v>767</v>
      </c>
      <c r="N18" s="7"/>
      <c r="O18" s="71">
        <f t="shared" si="2"/>
        <v>2.2168574451023049E-2</v>
      </c>
      <c r="P18" s="71">
        <f t="shared" si="1"/>
        <v>2.4282052804496697E-2</v>
      </c>
      <c r="Q18" s="71">
        <f t="shared" si="1"/>
        <v>1.8414894865809682E-2</v>
      </c>
      <c r="R18" s="71">
        <f t="shared" si="1"/>
        <v>1.8540986884541841E-2</v>
      </c>
      <c r="S18" s="71">
        <f t="shared" si="1"/>
        <v>2.1303888823931125E-2</v>
      </c>
      <c r="T18" s="71">
        <f t="shared" si="1"/>
        <v>2.5949972641529848E-2</v>
      </c>
      <c r="U18" s="71">
        <f t="shared" si="1"/>
        <v>3.0291857400059168E-2</v>
      </c>
      <c r="V18" s="71">
        <f t="shared" si="1"/>
        <v>2.5278136427249333E-2</v>
      </c>
      <c r="W18" s="71">
        <f t="shared" si="1"/>
        <v>2.3427155823440564E-2</v>
      </c>
      <c r="X18" s="71">
        <f t="shared" si="1"/>
        <v>2.0890582986141892E-2</v>
      </c>
      <c r="Y18" s="71">
        <f t="shared" si="3"/>
        <v>2.1861817352639378E-2</v>
      </c>
    </row>
    <row r="19" spans="1:25" x14ac:dyDescent="0.3">
      <c r="A19" s="74" t="s">
        <v>63</v>
      </c>
      <c r="B19" s="7">
        <v>230.26</v>
      </c>
      <c r="C19" s="7">
        <v>262.14999999999998</v>
      </c>
      <c r="D19" s="7">
        <v>309.14</v>
      </c>
      <c r="E19" s="7">
        <v>311.64</v>
      </c>
      <c r="F19" s="7">
        <v>163.31</v>
      </c>
      <c r="G19" s="7">
        <v>169.89</v>
      </c>
      <c r="H19" s="7">
        <v>252.4</v>
      </c>
      <c r="I19" s="7">
        <v>285.32</v>
      </c>
      <c r="J19" s="7">
        <v>385.4</v>
      </c>
      <c r="K19" s="7">
        <v>267</v>
      </c>
      <c r="L19" s="7">
        <v>289</v>
      </c>
      <c r="N19" s="7"/>
      <c r="O19" s="71">
        <f t="shared" si="2"/>
        <v>1.1377038699027273E-2</v>
      </c>
      <c r="P19" s="71">
        <f t="shared" si="1"/>
        <v>1.2971044610695483E-2</v>
      </c>
      <c r="Q19" s="71">
        <f t="shared" si="1"/>
        <v>1.2644160981756889E-2</v>
      </c>
      <c r="R19" s="71">
        <f t="shared" si="1"/>
        <v>1.2795608992401222E-2</v>
      </c>
      <c r="S19" s="71">
        <f t="shared" si="1"/>
        <v>6.9184260337181672E-3</v>
      </c>
      <c r="T19" s="71">
        <f t="shared" si="1"/>
        <v>6.5648735791370792E-3</v>
      </c>
      <c r="U19" s="71">
        <f t="shared" si="1"/>
        <v>9.3811838132207784E-3</v>
      </c>
      <c r="V19" s="71">
        <f t="shared" si="1"/>
        <v>1.0304546070154847E-2</v>
      </c>
      <c r="W19" s="71">
        <f t="shared" si="1"/>
        <v>1.3600496873367868E-2</v>
      </c>
      <c r="X19" s="71">
        <f t="shared" si="1"/>
        <v>7.8893715096179425E-3</v>
      </c>
      <c r="Y19" s="71">
        <f t="shared" si="3"/>
        <v>8.2373731615551244E-3</v>
      </c>
    </row>
    <row r="20" spans="1:25" x14ac:dyDescent="0.3">
      <c r="A20" s="67" t="s">
        <v>64</v>
      </c>
      <c r="B20" s="16">
        <f>SUM(B4:B19)</f>
        <v>12733.670000000002</v>
      </c>
      <c r="C20" s="16">
        <f t="shared" ref="C20:L20" si="4">SUM(C4:C19)</f>
        <v>12747.599999999997</v>
      </c>
      <c r="D20" s="16">
        <f t="shared" si="4"/>
        <v>16348.050000000001</v>
      </c>
      <c r="E20" s="16">
        <f t="shared" si="4"/>
        <v>16776.52</v>
      </c>
      <c r="F20" s="16">
        <f t="shared" si="4"/>
        <v>16240.869999999997</v>
      </c>
      <c r="G20" s="16">
        <f t="shared" si="4"/>
        <v>16839.09</v>
      </c>
      <c r="H20" s="16">
        <f t="shared" si="4"/>
        <v>18806.61</v>
      </c>
      <c r="I20" s="16">
        <f t="shared" si="4"/>
        <v>19889.88</v>
      </c>
      <c r="J20" s="16">
        <f t="shared" si="4"/>
        <v>21691.49</v>
      </c>
      <c r="K20" s="16">
        <f t="shared" si="4"/>
        <v>25098</v>
      </c>
      <c r="L20" s="16">
        <f t="shared" si="4"/>
        <v>26920</v>
      </c>
      <c r="N20" s="1" t="s">
        <v>64</v>
      </c>
      <c r="O20" s="71">
        <f t="shared" si="2"/>
        <v>0.62916466763937562</v>
      </c>
      <c r="P20" s="71">
        <f t="shared" si="2"/>
        <v>0.63074456715354466</v>
      </c>
      <c r="Q20" s="71">
        <f t="shared" si="2"/>
        <v>0.66865295962285931</v>
      </c>
      <c r="R20" s="71">
        <f t="shared" si="2"/>
        <v>0.68882617819663372</v>
      </c>
      <c r="S20" s="71">
        <f t="shared" si="2"/>
        <v>0.68802435746881607</v>
      </c>
      <c r="T20" s="71">
        <f t="shared" si="2"/>
        <v>0.65069454963630236</v>
      </c>
      <c r="U20" s="71">
        <f t="shared" ref="U20:X63" si="5">H20/U$3</f>
        <v>0.69900263594911261</v>
      </c>
      <c r="V20" s="71">
        <f t="shared" si="5"/>
        <v>0.71833795313981319</v>
      </c>
      <c r="W20" s="71">
        <f t="shared" si="5"/>
        <v>0.76547753483054071</v>
      </c>
      <c r="X20" s="71">
        <f t="shared" si="5"/>
        <v>0.74160092190408655</v>
      </c>
      <c r="Y20" s="71">
        <f t="shared" si="3"/>
        <v>0.76730133394139777</v>
      </c>
    </row>
    <row r="21" spans="1:25" x14ac:dyDescent="0.3">
      <c r="A21" s="65" t="s">
        <v>65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7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spans="1:25" x14ac:dyDescent="0.3">
      <c r="A22" s="74" t="s">
        <v>66</v>
      </c>
      <c r="B22" s="12">
        <v>1601.82</v>
      </c>
      <c r="C22" s="12">
        <v>1649.04</v>
      </c>
      <c r="D22" s="12">
        <v>2578.92</v>
      </c>
      <c r="E22" s="12">
        <v>1931.91</v>
      </c>
      <c r="F22" s="12">
        <v>1380.86</v>
      </c>
      <c r="G22" s="12">
        <v>1462.27</v>
      </c>
      <c r="H22" s="12">
        <v>1725.58</v>
      </c>
      <c r="I22" s="12">
        <v>1869.16</v>
      </c>
      <c r="J22" s="12">
        <v>1686.56</v>
      </c>
      <c r="K22" s="10">
        <v>2294</v>
      </c>
      <c r="L22" s="10">
        <v>2532</v>
      </c>
      <c r="N22" s="7"/>
      <c r="O22" s="71">
        <f t="shared" si="2"/>
        <v>7.9145175579240279E-2</v>
      </c>
      <c r="P22" s="71">
        <f t="shared" si="2"/>
        <v>8.1593634960218514E-2</v>
      </c>
      <c r="Q22" s="71">
        <f t="shared" si="2"/>
        <v>0.10548062249813185</v>
      </c>
      <c r="R22" s="71">
        <f t="shared" si="2"/>
        <v>7.9322182545596989E-2</v>
      </c>
      <c r="S22" s="71">
        <f t="shared" si="2"/>
        <v>5.8498424915314845E-2</v>
      </c>
      <c r="T22" s="71">
        <f t="shared" si="2"/>
        <v>5.6504901339483063E-2</v>
      </c>
      <c r="U22" s="71">
        <f t="shared" si="5"/>
        <v>6.4136224898643068E-2</v>
      </c>
      <c r="V22" s="71">
        <f t="shared" si="5"/>
        <v>6.7506117105322561E-2</v>
      </c>
      <c r="W22" s="71">
        <f t="shared" si="5"/>
        <v>5.9517524667221877E-2</v>
      </c>
      <c r="X22" s="71">
        <f t="shared" si="5"/>
        <v>6.7783588925331678E-2</v>
      </c>
      <c r="Y22" s="71">
        <f t="shared" si="3"/>
        <v>7.2169649982898182E-2</v>
      </c>
    </row>
    <row r="23" spans="1:25" x14ac:dyDescent="0.3">
      <c r="A23" s="74" t="s">
        <v>67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N23" s="7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spans="1:25" x14ac:dyDescent="0.3">
      <c r="A24" s="75" t="s">
        <v>68</v>
      </c>
      <c r="B24" s="7">
        <v>1.29</v>
      </c>
      <c r="C24" s="7">
        <v>6.67</v>
      </c>
      <c r="D24" s="7">
        <v>5.5</v>
      </c>
      <c r="E24" s="7">
        <v>9.4</v>
      </c>
      <c r="F24" s="7">
        <v>220.52</v>
      </c>
      <c r="G24" s="7">
        <v>91.81</v>
      </c>
      <c r="H24" s="12">
        <v>2252.34</v>
      </c>
      <c r="I24" s="12">
        <v>1601.02</v>
      </c>
      <c r="J24" s="12">
        <v>1563.49</v>
      </c>
      <c r="K24" s="10">
        <v>1325</v>
      </c>
      <c r="L24" s="10">
        <v>1270</v>
      </c>
      <c r="N24" s="7"/>
      <c r="O24" s="71">
        <f t="shared" si="2"/>
        <v>6.3738295499631646E-5</v>
      </c>
      <c r="P24" s="71">
        <f t="shared" si="2"/>
        <v>3.3002810434231886E-4</v>
      </c>
      <c r="Q24" s="71">
        <f t="shared" si="2"/>
        <v>2.2495595975824189E-4</v>
      </c>
      <c r="R24" s="71">
        <f t="shared" si="2"/>
        <v>3.8595406407576529E-4</v>
      </c>
      <c r="S24" s="71">
        <f t="shared" si="2"/>
        <v>9.3420568792819195E-3</v>
      </c>
      <c r="T24" s="71">
        <f t="shared" si="2"/>
        <v>3.5477134810793769E-3</v>
      </c>
      <c r="U24" s="71">
        <f t="shared" si="5"/>
        <v>8.3714800118342661E-2</v>
      </c>
      <c r="V24" s="71">
        <f t="shared" si="5"/>
        <v>5.78220396370367E-2</v>
      </c>
      <c r="W24" s="71">
        <f t="shared" si="5"/>
        <v>5.5174470307581547E-2</v>
      </c>
      <c r="X24" s="71">
        <f t="shared" si="5"/>
        <v>3.91513754690778E-2</v>
      </c>
      <c r="Y24" s="71">
        <f t="shared" si="3"/>
        <v>3.6198837076730134E-2</v>
      </c>
    </row>
    <row r="25" spans="1:25" x14ac:dyDescent="0.3">
      <c r="A25" s="75" t="s">
        <v>69</v>
      </c>
      <c r="B25" s="12">
        <v>3440.09</v>
      </c>
      <c r="C25" s="12">
        <v>3265.88</v>
      </c>
      <c r="D25" s="12">
        <v>3545.4</v>
      </c>
      <c r="E25" s="12">
        <v>3565.57</v>
      </c>
      <c r="F25" s="12">
        <v>2088.35</v>
      </c>
      <c r="G25" s="12">
        <v>1307.8599999999999</v>
      </c>
      <c r="H25" s="12">
        <v>1452.5</v>
      </c>
      <c r="I25" s="12">
        <v>1579.92</v>
      </c>
      <c r="J25" s="12">
        <v>1396.99</v>
      </c>
      <c r="K25" s="10">
        <v>1933</v>
      </c>
      <c r="L25" s="10">
        <v>2627</v>
      </c>
      <c r="N25" s="7"/>
      <c r="O25" s="71">
        <f t="shared" si="2"/>
        <v>0.16997323485684329</v>
      </c>
      <c r="P25" s="71">
        <f t="shared" si="2"/>
        <v>0.16159403079602583</v>
      </c>
      <c r="Q25" s="71">
        <f t="shared" si="2"/>
        <v>0.14501070176852196</v>
      </c>
      <c r="R25" s="71">
        <f t="shared" si="2"/>
        <v>0.14639853534538577</v>
      </c>
      <c r="S25" s="71">
        <f t="shared" si="2"/>
        <v>8.8470363159116619E-2</v>
      </c>
      <c r="T25" s="71">
        <f t="shared" si="2"/>
        <v>5.0538204480606398E-2</v>
      </c>
      <c r="U25" s="71">
        <f t="shared" si="5"/>
        <v>5.3986408433847784E-2</v>
      </c>
      <c r="V25" s="71">
        <f t="shared" si="5"/>
        <v>5.7059997291318679E-2</v>
      </c>
      <c r="W25" s="71">
        <f t="shared" si="5"/>
        <v>4.9298801575314417E-2</v>
      </c>
      <c r="X25" s="71">
        <f t="shared" si="5"/>
        <v>5.7116685873001803E-2</v>
      </c>
      <c r="Y25" s="71">
        <f t="shared" si="3"/>
        <v>7.4877437008322889E-2</v>
      </c>
    </row>
    <row r="26" spans="1:25" x14ac:dyDescent="0.3">
      <c r="A26" s="75" t="s">
        <v>70</v>
      </c>
      <c r="B26" s="12">
        <v>1841.35</v>
      </c>
      <c r="C26" s="12">
        <v>1753</v>
      </c>
      <c r="D26" s="12">
        <v>1179.0899999999999</v>
      </c>
      <c r="E26" s="12">
        <v>1246.69</v>
      </c>
      <c r="F26" s="12">
        <v>1451.45</v>
      </c>
      <c r="G26" s="12">
        <v>3945.93</v>
      </c>
      <c r="H26" s="12">
        <v>1888.38</v>
      </c>
      <c r="I26" s="12">
        <v>1254.26</v>
      </c>
      <c r="J26" s="7">
        <v>689.34</v>
      </c>
      <c r="K26" s="7">
        <v>762</v>
      </c>
      <c r="L26" s="7">
        <v>508</v>
      </c>
      <c r="N26" s="7"/>
      <c r="O26" s="71">
        <f t="shared" si="2"/>
        <v>9.0980240634299783E-2</v>
      </c>
      <c r="P26" s="71">
        <f t="shared" si="2"/>
        <v>8.6737521276174651E-2</v>
      </c>
      <c r="Q26" s="71">
        <f t="shared" si="2"/>
        <v>4.8226058652971894E-2</v>
      </c>
      <c r="R26" s="71">
        <f t="shared" si="2"/>
        <v>5.1187773632193172E-2</v>
      </c>
      <c r="S26" s="71">
        <f t="shared" si="2"/>
        <v>6.1488882901477158E-2</v>
      </c>
      <c r="T26" s="71">
        <f t="shared" si="2"/>
        <v>0.15247826006312543</v>
      </c>
      <c r="U26" s="71">
        <f t="shared" si="5"/>
        <v>7.018716279401685E-2</v>
      </c>
      <c r="V26" s="71">
        <f t="shared" si="5"/>
        <v>4.5298541826554108E-2</v>
      </c>
      <c r="W26" s="71">
        <f t="shared" si="5"/>
        <v>2.4326327230636758E-2</v>
      </c>
      <c r="X26" s="71">
        <f t="shared" si="5"/>
        <v>2.2515734420707385E-2</v>
      </c>
      <c r="Y26" s="71">
        <f t="shared" si="3"/>
        <v>1.4479534830692054E-2</v>
      </c>
    </row>
    <row r="27" spans="1:25" x14ac:dyDescent="0.3">
      <c r="A27" s="76" t="s">
        <v>71</v>
      </c>
      <c r="B27" s="7"/>
      <c r="C27" s="7"/>
      <c r="D27" s="7">
        <v>205.73</v>
      </c>
      <c r="E27" s="7">
        <v>18.670000000000002</v>
      </c>
      <c r="F27" s="7">
        <v>213.92</v>
      </c>
      <c r="G27" s="7">
        <v>537.11</v>
      </c>
      <c r="H27" s="7">
        <v>63.81</v>
      </c>
      <c r="I27" s="7">
        <v>825.26</v>
      </c>
      <c r="J27" s="7">
        <v>721.67</v>
      </c>
      <c r="K27" s="7">
        <v>549</v>
      </c>
      <c r="L27" s="7">
        <v>157</v>
      </c>
      <c r="N27" s="7"/>
      <c r="O27" s="71">
        <f t="shared" si="2"/>
        <v>0</v>
      </c>
      <c r="P27" s="71">
        <f t="shared" si="2"/>
        <v>0</v>
      </c>
      <c r="Q27" s="71">
        <f t="shared" si="2"/>
        <v>8.4145799274660173E-3</v>
      </c>
      <c r="R27" s="71">
        <f t="shared" si="2"/>
        <v>7.6657046556324871E-4</v>
      </c>
      <c r="S27" s="71">
        <f t="shared" si="2"/>
        <v>9.0624560475965361E-3</v>
      </c>
      <c r="T27" s="71">
        <f t="shared" si="2"/>
        <v>2.0754954665314716E-2</v>
      </c>
      <c r="U27" s="71">
        <f t="shared" si="5"/>
        <v>2.3716851787702769E-3</v>
      </c>
      <c r="V27" s="71">
        <f t="shared" si="5"/>
        <v>2.9804884655320302E-2</v>
      </c>
      <c r="W27" s="71">
        <f t="shared" si="5"/>
        <v>2.5467230354445741E-2</v>
      </c>
      <c r="X27" s="71">
        <f t="shared" si="5"/>
        <v>1.6221966137753747E-2</v>
      </c>
      <c r="Y27" s="71">
        <f t="shared" si="3"/>
        <v>4.4749743472808114E-3</v>
      </c>
    </row>
    <row r="28" spans="1:25" x14ac:dyDescent="0.3">
      <c r="A28" s="75" t="s">
        <v>72</v>
      </c>
      <c r="B28" s="7"/>
      <c r="C28" s="7"/>
      <c r="D28" s="7">
        <v>1.84</v>
      </c>
      <c r="E28" s="7">
        <v>0.81</v>
      </c>
      <c r="F28" s="7">
        <v>0.67</v>
      </c>
      <c r="G28" s="7">
        <v>1.63</v>
      </c>
      <c r="H28" s="7">
        <v>1.33</v>
      </c>
      <c r="I28" s="7">
        <v>0.23</v>
      </c>
      <c r="J28" s="7">
        <v>0.17</v>
      </c>
      <c r="K28" s="7"/>
      <c r="L28" s="7">
        <v>325</v>
      </c>
      <c r="N28" s="7"/>
      <c r="O28" s="71">
        <f t="shared" si="2"/>
        <v>0</v>
      </c>
      <c r="P28" s="71">
        <f t="shared" si="2"/>
        <v>0</v>
      </c>
      <c r="Q28" s="71">
        <f t="shared" si="2"/>
        <v>7.5257993810030012E-5</v>
      </c>
      <c r="R28" s="71">
        <f t="shared" si="2"/>
        <v>3.3257743819294667E-5</v>
      </c>
      <c r="S28" s="71">
        <f t="shared" si="2"/>
        <v>2.8383720792304036E-5</v>
      </c>
      <c r="T28" s="71">
        <f t="shared" si="2"/>
        <v>6.2986308399514039E-5</v>
      </c>
      <c r="U28" s="71">
        <f t="shared" si="5"/>
        <v>4.943333784304135E-5</v>
      </c>
      <c r="V28" s="71">
        <f t="shared" si="5"/>
        <v>8.3066227258363065E-6</v>
      </c>
      <c r="W28" s="71">
        <f t="shared" si="5"/>
        <v>5.9991812882006689E-6</v>
      </c>
      <c r="X28" s="71">
        <f t="shared" si="5"/>
        <v>0</v>
      </c>
      <c r="Y28" s="71">
        <f t="shared" si="3"/>
        <v>9.2634819290844835E-3</v>
      </c>
    </row>
    <row r="29" spans="1:25" x14ac:dyDescent="0.3">
      <c r="A29" s="75" t="s">
        <v>73</v>
      </c>
      <c r="B29" s="7">
        <v>516.39</v>
      </c>
      <c r="C29" s="7">
        <v>670.84</v>
      </c>
      <c r="D29" s="7">
        <v>125.73</v>
      </c>
      <c r="E29" s="7">
        <v>171.14</v>
      </c>
      <c r="F29" s="7">
        <v>80.569999999999993</v>
      </c>
      <c r="G29" s="7">
        <v>147.12</v>
      </c>
      <c r="H29" s="7">
        <v>340.79</v>
      </c>
      <c r="I29" s="7">
        <v>139.01</v>
      </c>
      <c r="J29" s="7">
        <v>153.34</v>
      </c>
      <c r="K29" s="10">
        <v>1175</v>
      </c>
      <c r="L29" s="7">
        <v>61</v>
      </c>
      <c r="N29" s="7"/>
      <c r="O29" s="71">
        <f t="shared" si="2"/>
        <v>2.5514587917096734E-2</v>
      </c>
      <c r="P29" s="71">
        <f t="shared" si="2"/>
        <v>3.3192811621739308E-2</v>
      </c>
      <c r="Q29" s="71">
        <f t="shared" si="2"/>
        <v>5.1424932400734097E-3</v>
      </c>
      <c r="R29" s="71">
        <f t="shared" si="2"/>
        <v>7.026827502758134E-3</v>
      </c>
      <c r="S29" s="71">
        <f t="shared" si="2"/>
        <v>3.4132483346805014E-3</v>
      </c>
      <c r="T29" s="71">
        <f t="shared" si="2"/>
        <v>5.6849973568935622E-3</v>
      </c>
      <c r="U29" s="71">
        <f t="shared" si="5"/>
        <v>1.2666456544007564E-2</v>
      </c>
      <c r="V29" s="71">
        <f t="shared" si="5"/>
        <v>5.0204505439934988E-3</v>
      </c>
      <c r="W29" s="71">
        <f t="shared" si="5"/>
        <v>5.4112615219570025E-3</v>
      </c>
      <c r="X29" s="71">
        <f t="shared" si="5"/>
        <v>3.4719144283899182E-2</v>
      </c>
      <c r="Y29" s="71">
        <f t="shared" si="3"/>
        <v>1.7386843005358567E-3</v>
      </c>
    </row>
    <row r="30" spans="1:25" x14ac:dyDescent="0.3">
      <c r="A30" s="74" t="s">
        <v>74</v>
      </c>
      <c r="B30" s="7"/>
      <c r="C30" s="7"/>
      <c r="D30" s="7">
        <v>23.13</v>
      </c>
      <c r="E30" s="7">
        <v>3.58</v>
      </c>
      <c r="F30" s="7">
        <v>15.4</v>
      </c>
      <c r="G30" s="7">
        <v>34.520000000000003</v>
      </c>
      <c r="H30" s="7">
        <v>3.51</v>
      </c>
      <c r="I30" s="7">
        <v>137</v>
      </c>
      <c r="J30" s="7">
        <v>2.59</v>
      </c>
      <c r="K30" s="7">
        <v>1</v>
      </c>
      <c r="L30" s="7"/>
      <c r="N30" s="7"/>
      <c r="O30" s="71">
        <f t="shared" si="2"/>
        <v>0</v>
      </c>
      <c r="P30" s="71">
        <f t="shared" si="2"/>
        <v>0</v>
      </c>
      <c r="Q30" s="71">
        <f t="shared" si="2"/>
        <v>9.4604206349238812E-4</v>
      </c>
      <c r="R30" s="71">
        <f t="shared" si="2"/>
        <v>1.4699101589268508E-4</v>
      </c>
      <c r="S30" s="71">
        <f t="shared" si="2"/>
        <v>6.5240194059922713E-4</v>
      </c>
      <c r="T30" s="71">
        <f t="shared" si="2"/>
        <v>1.3339186294179294E-3</v>
      </c>
      <c r="U30" s="71">
        <f t="shared" si="5"/>
        <v>1.3045941039780082E-4</v>
      </c>
      <c r="V30" s="71">
        <f t="shared" si="5"/>
        <v>4.9478578845198861E-3</v>
      </c>
      <c r="W30" s="71">
        <f t="shared" si="5"/>
        <v>9.1399291390821937E-5</v>
      </c>
      <c r="X30" s="71">
        <f t="shared" si="5"/>
        <v>2.9548207901190793E-5</v>
      </c>
      <c r="Y30" s="71">
        <f t="shared" si="3"/>
        <v>0</v>
      </c>
    </row>
    <row r="31" spans="1:25" x14ac:dyDescent="0.3">
      <c r="A31" s="74" t="s">
        <v>75</v>
      </c>
      <c r="B31" s="7">
        <v>104.4</v>
      </c>
      <c r="C31" s="7">
        <v>117.37</v>
      </c>
      <c r="D31" s="7">
        <v>435.3</v>
      </c>
      <c r="E31" s="7">
        <v>628.20000000000005</v>
      </c>
      <c r="F31" s="7">
        <v>374.09</v>
      </c>
      <c r="G31" s="7">
        <v>412.96</v>
      </c>
      <c r="H31" s="7">
        <v>370.07</v>
      </c>
      <c r="I31" s="7">
        <v>388.74</v>
      </c>
      <c r="J31" s="7">
        <v>427.42</v>
      </c>
      <c r="K31" s="7">
        <v>702</v>
      </c>
      <c r="L31" s="7">
        <v>680</v>
      </c>
      <c r="N31" s="7"/>
      <c r="O31" s="71">
        <f t="shared" si="2"/>
        <v>5.1583550776446076E-3</v>
      </c>
      <c r="P31" s="71">
        <f t="shared" si="2"/>
        <v>5.8074060879547175E-3</v>
      </c>
      <c r="Q31" s="71">
        <f t="shared" si="2"/>
        <v>1.7804241687775037E-2</v>
      </c>
      <c r="R31" s="71">
        <f t="shared" si="2"/>
        <v>2.579322798429742E-2</v>
      </c>
      <c r="S31" s="71">
        <f t="shared" si="2"/>
        <v>1.5847859867452262E-2</v>
      </c>
      <c r="T31" s="71">
        <f t="shared" si="2"/>
        <v>1.5957561912063385E-2</v>
      </c>
      <c r="U31" s="71">
        <f t="shared" si="5"/>
        <v>1.3754733335018279E-2</v>
      </c>
      <c r="V31" s="71">
        <f t="shared" si="5"/>
        <v>1.4039637036702633E-2</v>
      </c>
      <c r="W31" s="71">
        <f t="shared" si="5"/>
        <v>1.5083353330604293E-2</v>
      </c>
      <c r="X31" s="71">
        <f t="shared" si="5"/>
        <v>2.0742841946635938E-2</v>
      </c>
      <c r="Y31" s="71">
        <f t="shared" si="3"/>
        <v>1.9382054497776764E-2</v>
      </c>
    </row>
    <row r="32" spans="1:25" x14ac:dyDescent="0.3">
      <c r="A32" s="74" t="s">
        <v>76</v>
      </c>
      <c r="B32" s="7"/>
      <c r="C32" s="7"/>
      <c r="D32" s="7">
        <v>0.54</v>
      </c>
      <c r="E32" s="7">
        <v>2.74</v>
      </c>
      <c r="F32" s="12">
        <v>1538.38</v>
      </c>
      <c r="G32" s="12">
        <v>1098.3399999999999</v>
      </c>
      <c r="H32" s="7"/>
      <c r="I32" s="7">
        <v>4.2699999999999996</v>
      </c>
      <c r="J32" s="7">
        <v>4.1399999999999997</v>
      </c>
      <c r="K32" s="7">
        <v>4</v>
      </c>
      <c r="L32" s="7">
        <v>4</v>
      </c>
      <c r="N32" s="7"/>
      <c r="O32" s="71">
        <f t="shared" si="2"/>
        <v>0</v>
      </c>
      <c r="P32" s="71">
        <f t="shared" si="2"/>
        <v>0</v>
      </c>
      <c r="Q32" s="71">
        <f t="shared" si="2"/>
        <v>2.2086585139900114E-5</v>
      </c>
      <c r="R32" s="71">
        <f t="shared" si="2"/>
        <v>1.125015037837869E-4</v>
      </c>
      <c r="S32" s="71">
        <f t="shared" si="2"/>
        <v>6.5171564764872666E-2</v>
      </c>
      <c r="T32" s="71">
        <f t="shared" si="2"/>
        <v>4.2441952127314261E-2</v>
      </c>
      <c r="U32" s="71">
        <f t="shared" si="5"/>
        <v>0</v>
      </c>
      <c r="V32" s="71">
        <f t="shared" si="5"/>
        <v>1.5421425669270009E-4</v>
      </c>
      <c r="W32" s="71">
        <f t="shared" si="5"/>
        <v>1.4609770901853391E-4</v>
      </c>
      <c r="X32" s="71">
        <f t="shared" si="5"/>
        <v>1.1819283160476317E-4</v>
      </c>
      <c r="Y32" s="71">
        <f t="shared" si="3"/>
        <v>1.1401208528103979E-4</v>
      </c>
    </row>
    <row r="33" spans="1:25" x14ac:dyDescent="0.3">
      <c r="A33" s="67" t="s">
        <v>77</v>
      </c>
      <c r="B33" s="8">
        <f>SUM(B22:B32)</f>
        <v>7505.3399999999992</v>
      </c>
      <c r="C33" s="8">
        <f t="shared" ref="C33:L33" si="6">SUM(C22:C32)</f>
        <v>7462.8</v>
      </c>
      <c r="D33" s="8">
        <f t="shared" si="6"/>
        <v>8101.1799999999994</v>
      </c>
      <c r="E33" s="8">
        <f t="shared" si="6"/>
        <v>7578.71</v>
      </c>
      <c r="F33" s="8">
        <f t="shared" si="6"/>
        <v>7364.2099999999991</v>
      </c>
      <c r="G33" s="8">
        <f t="shared" si="6"/>
        <v>9039.5499999999993</v>
      </c>
      <c r="H33" s="8">
        <f t="shared" si="6"/>
        <v>8098.31</v>
      </c>
      <c r="I33" s="8">
        <f t="shared" si="6"/>
        <v>7798.8700000000008</v>
      </c>
      <c r="J33" s="8">
        <f t="shared" si="6"/>
        <v>6645.7100000000009</v>
      </c>
      <c r="K33" s="8">
        <f t="shared" si="6"/>
        <v>8745</v>
      </c>
      <c r="L33" s="8">
        <f t="shared" si="6"/>
        <v>8164</v>
      </c>
      <c r="N33" s="1" t="s">
        <v>77</v>
      </c>
      <c r="O33" s="71">
        <f t="shared" si="2"/>
        <v>0.37083533236062427</v>
      </c>
      <c r="P33" s="71">
        <f t="shared" si="2"/>
        <v>0.36925543284645534</v>
      </c>
      <c r="Q33" s="71">
        <f t="shared" si="2"/>
        <v>0.33134704037714069</v>
      </c>
      <c r="R33" s="71">
        <f t="shared" si="2"/>
        <v>0.31117382180336628</v>
      </c>
      <c r="S33" s="71">
        <f t="shared" si="2"/>
        <v>0.31197564253118398</v>
      </c>
      <c r="T33" s="71">
        <f t="shared" si="2"/>
        <v>0.34930545036369759</v>
      </c>
      <c r="U33" s="71">
        <f t="shared" si="5"/>
        <v>0.30099736405088734</v>
      </c>
      <c r="V33" s="71">
        <f t="shared" si="5"/>
        <v>0.28166204686018692</v>
      </c>
      <c r="W33" s="71">
        <f t="shared" si="5"/>
        <v>0.23452246516945924</v>
      </c>
      <c r="X33" s="71">
        <f t="shared" si="5"/>
        <v>0.2583990780959135</v>
      </c>
      <c r="Y33" s="71">
        <f t="shared" si="3"/>
        <v>0.2326986660586022</v>
      </c>
    </row>
    <row r="34" spans="1:25" x14ac:dyDescent="0.3">
      <c r="A34" s="67" t="s">
        <v>78</v>
      </c>
      <c r="B34" s="16">
        <f>B20+B33</f>
        <v>20239.010000000002</v>
      </c>
      <c r="C34" s="16">
        <f t="shared" ref="C34:L34" si="7">C20+C33</f>
        <v>20210.399999999998</v>
      </c>
      <c r="D34" s="16">
        <f t="shared" si="7"/>
        <v>24449.23</v>
      </c>
      <c r="E34" s="16">
        <f t="shared" si="7"/>
        <v>24355.23</v>
      </c>
      <c r="F34" s="16">
        <f t="shared" si="7"/>
        <v>23605.079999999994</v>
      </c>
      <c r="G34" s="16">
        <f t="shared" si="7"/>
        <v>25878.639999999999</v>
      </c>
      <c r="H34" s="16">
        <f t="shared" si="7"/>
        <v>26904.920000000002</v>
      </c>
      <c r="I34" s="16">
        <f t="shared" si="7"/>
        <v>27688.75</v>
      </c>
      <c r="J34" s="16">
        <f t="shared" si="7"/>
        <v>28337.200000000004</v>
      </c>
      <c r="K34" s="16">
        <f t="shared" si="7"/>
        <v>33843</v>
      </c>
      <c r="L34" s="16">
        <f t="shared" si="7"/>
        <v>35084</v>
      </c>
      <c r="N34" s="7"/>
      <c r="O34" s="71">
        <f t="shared" si="2"/>
        <v>1</v>
      </c>
      <c r="P34" s="71">
        <f t="shared" si="2"/>
        <v>1</v>
      </c>
      <c r="Q34" s="71">
        <f t="shared" si="2"/>
        <v>1</v>
      </c>
      <c r="R34" s="71">
        <f t="shared" si="2"/>
        <v>1</v>
      </c>
      <c r="S34" s="71">
        <f t="shared" si="2"/>
        <v>1</v>
      </c>
      <c r="T34" s="71">
        <f t="shared" si="2"/>
        <v>1</v>
      </c>
      <c r="U34" s="71">
        <f t="shared" si="5"/>
        <v>1</v>
      </c>
      <c r="V34" s="71">
        <f t="shared" si="5"/>
        <v>1</v>
      </c>
      <c r="W34" s="71">
        <f t="shared" si="5"/>
        <v>1</v>
      </c>
      <c r="X34" s="71">
        <f t="shared" si="5"/>
        <v>1</v>
      </c>
      <c r="Y34" s="71">
        <f t="shared" si="3"/>
        <v>1</v>
      </c>
    </row>
    <row r="35" spans="1:25" x14ac:dyDescent="0.3">
      <c r="A35" s="67" t="s">
        <v>79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N35" s="7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spans="1:25" x14ac:dyDescent="0.3">
      <c r="A36" s="65" t="s">
        <v>80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7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spans="1:25" x14ac:dyDescent="0.3">
      <c r="A37" s="74" t="s">
        <v>81</v>
      </c>
      <c r="B37" s="7">
        <v>254.82</v>
      </c>
      <c r="C37" s="7">
        <v>254.82</v>
      </c>
      <c r="D37" s="7">
        <v>254.82</v>
      </c>
      <c r="E37" s="7">
        <v>254.82</v>
      </c>
      <c r="F37" s="7">
        <v>254.82</v>
      </c>
      <c r="G37" s="7">
        <v>254.82</v>
      </c>
      <c r="H37" s="7">
        <v>254.82</v>
      </c>
      <c r="I37" s="7">
        <v>254.82</v>
      </c>
      <c r="J37" s="7">
        <v>254.82</v>
      </c>
      <c r="K37" s="7">
        <v>255</v>
      </c>
      <c r="L37" s="7">
        <v>255</v>
      </c>
      <c r="N37" s="7"/>
      <c r="O37" s="71">
        <f t="shared" si="2"/>
        <v>1.2590536790090028E-2</v>
      </c>
      <c r="P37" s="71">
        <f t="shared" si="2"/>
        <v>1.2608360052250328E-2</v>
      </c>
      <c r="Q37" s="71">
        <f t="shared" si="2"/>
        <v>1.0422414121017309E-2</v>
      </c>
      <c r="R37" s="71">
        <f t="shared" si="2"/>
        <v>1.0462639851892181E-2</v>
      </c>
      <c r="S37" s="71">
        <f t="shared" si="2"/>
        <v>1.079513392879838E-2</v>
      </c>
      <c r="T37" s="71">
        <f t="shared" si="2"/>
        <v>9.8467307401007165E-3</v>
      </c>
      <c r="U37" s="71">
        <f t="shared" si="5"/>
        <v>9.4711301873411993E-3</v>
      </c>
      <c r="V37" s="71">
        <f t="shared" si="5"/>
        <v>9.2030156652069886E-3</v>
      </c>
      <c r="W37" s="71">
        <f t="shared" si="5"/>
        <v>8.9924198579958477E-3</v>
      </c>
      <c r="X37" s="71">
        <f t="shared" si="5"/>
        <v>7.5347930148036519E-3</v>
      </c>
      <c r="Y37" s="71">
        <f t="shared" si="3"/>
        <v>7.2682704366662867E-3</v>
      </c>
    </row>
    <row r="38" spans="1:25" x14ac:dyDescent="0.3">
      <c r="A38" s="74" t="s">
        <v>82</v>
      </c>
      <c r="B38" s="12">
        <v>6158.74</v>
      </c>
      <c r="C38" s="12">
        <v>5310.69</v>
      </c>
      <c r="D38" s="12">
        <v>6331.44</v>
      </c>
      <c r="E38" s="12">
        <v>6599.5</v>
      </c>
      <c r="F38" s="12">
        <v>7653.42</v>
      </c>
      <c r="G38" s="12">
        <v>10846.89</v>
      </c>
      <c r="H38" s="12">
        <v>12086.45</v>
      </c>
      <c r="I38" s="12">
        <v>12642.84</v>
      </c>
      <c r="J38" s="12">
        <v>14035.15</v>
      </c>
      <c r="K38" s="10">
        <v>17998</v>
      </c>
      <c r="L38" s="10">
        <v>19466</v>
      </c>
      <c r="N38" s="7"/>
      <c r="O38" s="71">
        <f t="shared" si="2"/>
        <v>0.30430045738403211</v>
      </c>
      <c r="P38" s="71">
        <f t="shared" si="2"/>
        <v>0.26277015793848713</v>
      </c>
      <c r="Q38" s="71">
        <f t="shared" si="2"/>
        <v>0.25896275670031327</v>
      </c>
      <c r="R38" s="71">
        <f t="shared" si="2"/>
        <v>0.27096849424127795</v>
      </c>
      <c r="S38" s="71">
        <f t="shared" si="2"/>
        <v>0.32422766624811278</v>
      </c>
      <c r="T38" s="71">
        <f t="shared" si="2"/>
        <v>0.41914451454945079</v>
      </c>
      <c r="U38" s="71">
        <f t="shared" si="5"/>
        <v>0.44922824524287752</v>
      </c>
      <c r="V38" s="71">
        <f t="shared" si="5"/>
        <v>0.45660566114396639</v>
      </c>
      <c r="W38" s="71">
        <f t="shared" si="5"/>
        <v>0.49529064268876238</v>
      </c>
      <c r="X38" s="71">
        <f t="shared" si="5"/>
        <v>0.53180864580563192</v>
      </c>
      <c r="Y38" s="71">
        <f t="shared" si="3"/>
        <v>0.55483981302018015</v>
      </c>
    </row>
    <row r="39" spans="1:25" x14ac:dyDescent="0.3">
      <c r="A39" s="74" t="s">
        <v>83</v>
      </c>
      <c r="B39" s="7">
        <v>536.14</v>
      </c>
      <c r="C39" s="7">
        <v>655.22</v>
      </c>
      <c r="D39" s="12">
        <v>2475.58</v>
      </c>
      <c r="E39" s="12">
        <v>2598.46</v>
      </c>
      <c r="F39" s="12">
        <v>2623.89</v>
      </c>
      <c r="G39" s="12">
        <v>2717.16</v>
      </c>
      <c r="H39" s="12">
        <v>2914.67</v>
      </c>
      <c r="I39" s="7">
        <v>763.77</v>
      </c>
      <c r="J39" s="7">
        <v>852.6</v>
      </c>
      <c r="K39" s="7">
        <v>904</v>
      </c>
      <c r="L39" s="7">
        <v>921</v>
      </c>
      <c r="N39" s="7"/>
      <c r="O39" s="71">
        <f t="shared" si="2"/>
        <v>2.6490426162149232E-2</v>
      </c>
      <c r="P39" s="71">
        <f t="shared" si="2"/>
        <v>3.241994220797214E-2</v>
      </c>
      <c r="Q39" s="71">
        <f t="shared" si="2"/>
        <v>0.10125390451969243</v>
      </c>
      <c r="R39" s="71">
        <f t="shared" si="2"/>
        <v>0.10669002099343755</v>
      </c>
      <c r="S39" s="71">
        <f t="shared" si="2"/>
        <v>0.11115785246226662</v>
      </c>
      <c r="T39" s="71">
        <f t="shared" si="2"/>
        <v>0.10499624400664022</v>
      </c>
      <c r="U39" s="71">
        <f t="shared" si="5"/>
        <v>0.10833223068494535</v>
      </c>
      <c r="V39" s="71">
        <f t="shared" si="5"/>
        <v>2.7584127127443455E-2</v>
      </c>
      <c r="W39" s="71">
        <f t="shared" si="5"/>
        <v>3.0087658625411115E-2</v>
      </c>
      <c r="X39" s="71">
        <f t="shared" si="5"/>
        <v>2.6711579942676478E-2</v>
      </c>
      <c r="Y39" s="71">
        <f t="shared" si="3"/>
        <v>2.6251282635959411E-2</v>
      </c>
    </row>
    <row r="40" spans="1:25" x14ac:dyDescent="0.3">
      <c r="A40" s="67" t="s">
        <v>84</v>
      </c>
      <c r="B40" s="8">
        <f>SUM(B37:B39)</f>
        <v>6949.7</v>
      </c>
      <c r="C40" s="8">
        <f t="shared" ref="C40:L40" si="8">SUM(C37:C39)</f>
        <v>6220.73</v>
      </c>
      <c r="D40" s="8">
        <f t="shared" si="8"/>
        <v>9061.84</v>
      </c>
      <c r="E40" s="8">
        <f t="shared" si="8"/>
        <v>9452.7799999999988</v>
      </c>
      <c r="F40" s="8">
        <f t="shared" si="8"/>
        <v>10532.13</v>
      </c>
      <c r="G40" s="8">
        <f t="shared" si="8"/>
        <v>13818.869999999999</v>
      </c>
      <c r="H40" s="8">
        <f t="shared" si="8"/>
        <v>15255.94</v>
      </c>
      <c r="I40" s="8">
        <f t="shared" si="8"/>
        <v>13661.43</v>
      </c>
      <c r="J40" s="8">
        <f t="shared" si="8"/>
        <v>15142.57</v>
      </c>
      <c r="K40" s="8">
        <f t="shared" si="8"/>
        <v>19157</v>
      </c>
      <c r="L40" s="8">
        <f t="shared" si="8"/>
        <v>20642</v>
      </c>
      <c r="N40" s="1" t="s">
        <v>84</v>
      </c>
      <c r="O40" s="71">
        <f t="shared" si="2"/>
        <v>0.34338142033627134</v>
      </c>
      <c r="P40" s="71">
        <f t="shared" si="2"/>
        <v>0.3077984601987096</v>
      </c>
      <c r="Q40" s="71">
        <f t="shared" si="2"/>
        <v>0.37063907534102303</v>
      </c>
      <c r="R40" s="71">
        <f t="shared" si="2"/>
        <v>0.38812115508660766</v>
      </c>
      <c r="S40" s="71">
        <f t="shared" si="2"/>
        <v>0.44618065263917772</v>
      </c>
      <c r="T40" s="71">
        <f t="shared" ref="T40:T63" si="9">G40/T$3</f>
        <v>0.53398748929619178</v>
      </c>
      <c r="U40" s="71">
        <f t="shared" si="5"/>
        <v>0.56703160611516401</v>
      </c>
      <c r="V40" s="71">
        <f t="shared" si="5"/>
        <v>0.49339280393661689</v>
      </c>
      <c r="W40" s="71">
        <f t="shared" si="5"/>
        <v>0.53437072117216933</v>
      </c>
      <c r="X40" s="71">
        <f t="shared" si="5"/>
        <v>0.56605501876311204</v>
      </c>
      <c r="Y40" s="71">
        <f t="shared" si="3"/>
        <v>0.58835936609280581</v>
      </c>
    </row>
    <row r="41" spans="1:25" x14ac:dyDescent="0.3">
      <c r="A41" s="65" t="s">
        <v>85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1"/>
      <c r="O41" s="71">
        <f t="shared" si="2"/>
        <v>0</v>
      </c>
      <c r="P41" s="71">
        <f t="shared" si="2"/>
        <v>0</v>
      </c>
      <c r="Q41" s="71">
        <f t="shared" si="2"/>
        <v>0</v>
      </c>
      <c r="R41" s="71">
        <f t="shared" si="2"/>
        <v>0</v>
      </c>
      <c r="S41" s="71">
        <f t="shared" si="2"/>
        <v>0</v>
      </c>
      <c r="T41" s="71">
        <f t="shared" si="9"/>
        <v>0</v>
      </c>
      <c r="U41" s="71">
        <f t="shared" si="5"/>
        <v>0</v>
      </c>
      <c r="V41" s="71">
        <f t="shared" si="5"/>
        <v>0</v>
      </c>
      <c r="W41" s="71">
        <f t="shared" si="5"/>
        <v>0</v>
      </c>
      <c r="X41" s="71">
        <f t="shared" si="5"/>
        <v>0</v>
      </c>
      <c r="Y41" s="71">
        <f t="shared" si="3"/>
        <v>0</v>
      </c>
    </row>
    <row r="42" spans="1:25" x14ac:dyDescent="0.3">
      <c r="A42" s="65" t="s">
        <v>86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1"/>
      <c r="O42" s="71">
        <f t="shared" si="2"/>
        <v>0</v>
      </c>
      <c r="P42" s="71">
        <f t="shared" si="2"/>
        <v>0</v>
      </c>
      <c r="Q42" s="71">
        <f t="shared" si="2"/>
        <v>0</v>
      </c>
      <c r="R42" s="71">
        <f t="shared" si="2"/>
        <v>0</v>
      </c>
      <c r="S42" s="71">
        <f t="shared" si="2"/>
        <v>0</v>
      </c>
      <c r="T42" s="71">
        <f t="shared" si="9"/>
        <v>0</v>
      </c>
      <c r="U42" s="71">
        <f t="shared" si="5"/>
        <v>0</v>
      </c>
      <c r="V42" s="71">
        <f t="shared" si="5"/>
        <v>0</v>
      </c>
      <c r="W42" s="71">
        <f t="shared" si="5"/>
        <v>0</v>
      </c>
      <c r="X42" s="71">
        <f t="shared" si="5"/>
        <v>0</v>
      </c>
      <c r="Y42" s="71">
        <f t="shared" si="3"/>
        <v>0</v>
      </c>
    </row>
    <row r="43" spans="1:25" x14ac:dyDescent="0.3">
      <c r="A43" s="74" t="s">
        <v>87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1"/>
      <c r="O43" s="71">
        <f t="shared" si="2"/>
        <v>0</v>
      </c>
      <c r="P43" s="71">
        <f t="shared" si="2"/>
        <v>0</v>
      </c>
      <c r="Q43" s="71">
        <f t="shared" si="2"/>
        <v>0</v>
      </c>
      <c r="R43" s="71">
        <f t="shared" si="2"/>
        <v>0</v>
      </c>
      <c r="S43" s="71">
        <f t="shared" si="2"/>
        <v>0</v>
      </c>
      <c r="T43" s="71">
        <f t="shared" si="9"/>
        <v>0</v>
      </c>
      <c r="U43" s="71">
        <f t="shared" si="5"/>
        <v>0</v>
      </c>
      <c r="V43" s="71">
        <f t="shared" si="5"/>
        <v>0</v>
      </c>
      <c r="W43" s="71">
        <f t="shared" si="5"/>
        <v>0</v>
      </c>
      <c r="X43" s="71">
        <f t="shared" si="5"/>
        <v>0</v>
      </c>
      <c r="Y43" s="71">
        <f t="shared" si="3"/>
        <v>0</v>
      </c>
    </row>
    <row r="44" spans="1:25" x14ac:dyDescent="0.3">
      <c r="A44" s="75" t="s">
        <v>88</v>
      </c>
      <c r="B44" s="12">
        <v>5460.98</v>
      </c>
      <c r="C44" s="12">
        <v>6909.76</v>
      </c>
      <c r="D44" s="12">
        <v>5759.46</v>
      </c>
      <c r="E44" s="12">
        <v>6779.7</v>
      </c>
      <c r="F44" s="12">
        <v>4357.5200000000004</v>
      </c>
      <c r="G44" s="12">
        <v>5394.02</v>
      </c>
      <c r="H44" s="12">
        <v>4782.91</v>
      </c>
      <c r="I44" s="12">
        <v>3473.36</v>
      </c>
      <c r="J44" s="12">
        <v>5199.4799999999996</v>
      </c>
      <c r="K44" s="10">
        <v>3725</v>
      </c>
      <c r="L44" s="10">
        <v>5540</v>
      </c>
      <c r="N44" s="1"/>
      <c r="O44" s="71">
        <f t="shared" si="2"/>
        <v>0.26982446275781269</v>
      </c>
      <c r="P44" s="71">
        <f t="shared" si="2"/>
        <v>0.3418913034873135</v>
      </c>
      <c r="Q44" s="71">
        <f t="shared" si="2"/>
        <v>0.23556815490712796</v>
      </c>
      <c r="R44" s="71">
        <f t="shared" si="2"/>
        <v>0.27836731576749635</v>
      </c>
      <c r="S44" s="71">
        <f t="shared" si="2"/>
        <v>0.18460094183116521</v>
      </c>
      <c r="T44" s="71">
        <f t="shared" si="9"/>
        <v>0.20843521916143973</v>
      </c>
      <c r="U44" s="71">
        <f t="shared" si="5"/>
        <v>0.17777083150591041</v>
      </c>
      <c r="V44" s="71">
        <f t="shared" si="5"/>
        <v>0.12544300483048171</v>
      </c>
      <c r="W44" s="71">
        <f t="shared" si="5"/>
        <v>0.18348601837866829</v>
      </c>
      <c r="X44" s="71">
        <f t="shared" si="5"/>
        <v>0.1100670744319357</v>
      </c>
      <c r="Y44" s="71">
        <f t="shared" si="3"/>
        <v>0.15790673811424011</v>
      </c>
    </row>
    <row r="45" spans="1:25" x14ac:dyDescent="0.3">
      <c r="A45" s="75" t="s">
        <v>89</v>
      </c>
      <c r="B45" s="7"/>
      <c r="C45" s="7"/>
      <c r="D45" s="7"/>
      <c r="E45" s="7"/>
      <c r="F45" s="7"/>
      <c r="G45" s="7"/>
      <c r="H45" s="7"/>
      <c r="I45" s="7">
        <v>188</v>
      </c>
      <c r="J45" s="7">
        <v>188.6</v>
      </c>
      <c r="K45" s="7">
        <v>135</v>
      </c>
      <c r="L45" s="7">
        <v>137</v>
      </c>
      <c r="N45" s="1"/>
      <c r="O45" s="71">
        <f t="shared" si="2"/>
        <v>0</v>
      </c>
      <c r="P45" s="71">
        <f t="shared" si="2"/>
        <v>0</v>
      </c>
      <c r="Q45" s="71">
        <f t="shared" si="2"/>
        <v>0</v>
      </c>
      <c r="R45" s="71">
        <f t="shared" si="2"/>
        <v>0</v>
      </c>
      <c r="S45" s="71">
        <f t="shared" si="2"/>
        <v>0</v>
      </c>
      <c r="T45" s="71">
        <f t="shared" si="9"/>
        <v>0</v>
      </c>
      <c r="U45" s="71">
        <f t="shared" si="5"/>
        <v>0</v>
      </c>
      <c r="V45" s="71">
        <f t="shared" si="5"/>
        <v>6.7897611845966323E-3</v>
      </c>
      <c r="W45" s="71">
        <f t="shared" si="5"/>
        <v>6.6555622997332116E-3</v>
      </c>
      <c r="X45" s="71">
        <f t="shared" si="5"/>
        <v>3.9890080666607573E-3</v>
      </c>
      <c r="Y45" s="71">
        <f t="shared" si="3"/>
        <v>3.9049139208756126E-3</v>
      </c>
    </row>
    <row r="46" spans="1:25" x14ac:dyDescent="0.3">
      <c r="A46" s="75" t="s">
        <v>90</v>
      </c>
      <c r="B46" s="7"/>
      <c r="C46" s="7"/>
      <c r="D46" s="7">
        <v>83.4</v>
      </c>
      <c r="E46" s="7">
        <v>52.96</v>
      </c>
      <c r="F46" s="7">
        <v>30.83</v>
      </c>
      <c r="G46" s="7">
        <v>29.08</v>
      </c>
      <c r="H46" s="7">
        <v>48.08</v>
      </c>
      <c r="I46" s="7">
        <v>151.53</v>
      </c>
      <c r="J46" s="7">
        <v>46.77</v>
      </c>
      <c r="K46" s="7">
        <v>16</v>
      </c>
      <c r="L46" s="7">
        <v>48</v>
      </c>
      <c r="N46" s="1"/>
      <c r="O46" s="71">
        <f t="shared" si="2"/>
        <v>0</v>
      </c>
      <c r="P46" s="71">
        <f t="shared" si="2"/>
        <v>0</v>
      </c>
      <c r="Q46" s="71">
        <f t="shared" si="2"/>
        <v>3.4111503716067952E-3</v>
      </c>
      <c r="R46" s="71">
        <f t="shared" si="2"/>
        <v>2.1744816205800563E-3</v>
      </c>
      <c r="S46" s="71">
        <f t="shared" si="2"/>
        <v>1.3060747940697513E-3</v>
      </c>
      <c r="T46" s="71">
        <f t="shared" si="9"/>
        <v>1.1237066553729253E-3</v>
      </c>
      <c r="U46" s="71">
        <f t="shared" si="5"/>
        <v>1.7870337469875397E-3</v>
      </c>
      <c r="V46" s="71">
        <f t="shared" si="5"/>
        <v>5.4726197462868498E-3</v>
      </c>
      <c r="W46" s="71">
        <f t="shared" si="5"/>
        <v>1.6504806402890897E-3</v>
      </c>
      <c r="X46" s="71">
        <f t="shared" si="5"/>
        <v>4.7277132641905268E-4</v>
      </c>
      <c r="Y46" s="71">
        <f t="shared" si="3"/>
        <v>1.3681450233724774E-3</v>
      </c>
    </row>
    <row r="47" spans="1:25" x14ac:dyDescent="0.3">
      <c r="A47" s="74" t="s">
        <v>91</v>
      </c>
      <c r="B47" s="12">
        <v>1194.52</v>
      </c>
      <c r="C47" s="12">
        <v>1343.09</v>
      </c>
      <c r="D47" s="12">
        <v>1709.35</v>
      </c>
      <c r="E47" s="12">
        <v>1732.8</v>
      </c>
      <c r="F47" s="12">
        <v>1782.85</v>
      </c>
      <c r="G47" s="12">
        <v>1675.07</v>
      </c>
      <c r="H47" s="12">
        <v>1503.92</v>
      </c>
      <c r="I47" s="12">
        <v>1653.52</v>
      </c>
      <c r="J47" s="12">
        <v>1598.09</v>
      </c>
      <c r="K47" s="10">
        <v>1280</v>
      </c>
      <c r="L47" s="10">
        <v>1454</v>
      </c>
      <c r="N47" s="1"/>
      <c r="O47" s="71">
        <f t="shared" si="2"/>
        <v>5.9020673442031005E-2</v>
      </c>
      <c r="P47" s="71">
        <f t="shared" si="2"/>
        <v>6.6455389304516485E-2</v>
      </c>
      <c r="Q47" s="71">
        <f t="shared" si="2"/>
        <v>6.9914267238681951E-2</v>
      </c>
      <c r="R47" s="71">
        <f t="shared" si="2"/>
        <v>7.1146936407498515E-2</v>
      </c>
      <c r="S47" s="71">
        <f t="shared" si="2"/>
        <v>7.5528233753073507E-2</v>
      </c>
      <c r="T47" s="71">
        <f t="shared" si="9"/>
        <v>6.4727899147714096E-2</v>
      </c>
      <c r="U47" s="71">
        <f t="shared" si="5"/>
        <v>5.589758304429078E-2</v>
      </c>
      <c r="V47" s="71">
        <f t="shared" si="5"/>
        <v>5.971811656358629E-2</v>
      </c>
      <c r="W47" s="71">
        <f t="shared" si="5"/>
        <v>5.6395480146238852E-2</v>
      </c>
      <c r="X47" s="71">
        <f t="shared" si="5"/>
        <v>3.7821706113524214E-2</v>
      </c>
      <c r="Y47" s="71">
        <f t="shared" si="3"/>
        <v>4.1443392999657963E-2</v>
      </c>
    </row>
    <row r="48" spans="1:25" x14ac:dyDescent="0.3">
      <c r="A48" s="74" t="s">
        <v>92</v>
      </c>
      <c r="B48" s="7">
        <v>153.44999999999999</v>
      </c>
      <c r="C48" s="7">
        <v>276.92</v>
      </c>
      <c r="D48" s="12">
        <v>1251.5899999999999</v>
      </c>
      <c r="E48" s="12">
        <v>1243.79</v>
      </c>
      <c r="F48" s="12">
        <v>1238.07</v>
      </c>
      <c r="G48" s="12">
        <v>1191.55</v>
      </c>
      <c r="H48" s="12">
        <v>1297.18</v>
      </c>
      <c r="I48" s="12">
        <v>1437.94</v>
      </c>
      <c r="J48" s="12">
        <v>1572.11</v>
      </c>
      <c r="K48" s="10">
        <v>2037</v>
      </c>
      <c r="L48" s="10">
        <v>1935</v>
      </c>
      <c r="N48" s="1"/>
      <c r="O48" s="71">
        <f t="shared" si="2"/>
        <v>7.5818925925724614E-3</v>
      </c>
      <c r="P48" s="71">
        <f t="shared" si="2"/>
        <v>1.3701856469936272E-2</v>
      </c>
      <c r="Q48" s="71">
        <f t="shared" si="2"/>
        <v>5.1191387213421445E-2</v>
      </c>
      <c r="R48" s="71">
        <f t="shared" si="2"/>
        <v>5.1068702697531491E-2</v>
      </c>
      <c r="S48" s="71">
        <f t="shared" si="2"/>
        <v>5.2449303285563964E-2</v>
      </c>
      <c r="T48" s="71">
        <f t="shared" si="9"/>
        <v>4.6043764278184636E-2</v>
      </c>
      <c r="U48" s="71">
        <f t="shared" si="5"/>
        <v>4.8213486603937122E-2</v>
      </c>
      <c r="V48" s="71">
        <f t="shared" si="5"/>
        <v>5.1932282966908945E-2</v>
      </c>
      <c r="W48" s="71">
        <f t="shared" si="5"/>
        <v>5.5478664088195011E-2</v>
      </c>
      <c r="X48" s="71">
        <f t="shared" si="5"/>
        <v>6.0189699494725642E-2</v>
      </c>
      <c r="Y48" s="71">
        <f t="shared" si="3"/>
        <v>5.5153346254703001E-2</v>
      </c>
    </row>
    <row r="49" spans="1:25" x14ac:dyDescent="0.3">
      <c r="A49" s="74" t="s">
        <v>93</v>
      </c>
      <c r="B49" s="7">
        <v>262.41000000000003</v>
      </c>
      <c r="C49" s="7">
        <v>294.97000000000003</v>
      </c>
      <c r="D49" s="7">
        <v>42.63</v>
      </c>
      <c r="E49" s="7">
        <v>68.239999999999995</v>
      </c>
      <c r="F49" s="7">
        <v>60.92</v>
      </c>
      <c r="G49" s="7">
        <v>66.72</v>
      </c>
      <c r="H49" s="7">
        <v>68.25</v>
      </c>
      <c r="I49" s="7">
        <v>98.07</v>
      </c>
      <c r="J49" s="7">
        <v>126.22</v>
      </c>
      <c r="K49" s="7">
        <v>397</v>
      </c>
      <c r="L49" s="7">
        <v>424</v>
      </c>
      <c r="N49" s="1"/>
      <c r="O49" s="71">
        <f t="shared" si="2"/>
        <v>1.296555513337856E-2</v>
      </c>
      <c r="P49" s="71">
        <f t="shared" si="2"/>
        <v>1.4594961010172984E-2</v>
      </c>
      <c r="Q49" s="71">
        <f t="shared" si="2"/>
        <v>1.7436131935443368E-3</v>
      </c>
      <c r="R49" s="71">
        <f t="shared" si="2"/>
        <v>2.8018622694181085E-3</v>
      </c>
      <c r="S49" s="71">
        <f t="shared" si="2"/>
        <v>2.5808004039808386E-3</v>
      </c>
      <c r="T49" s="71">
        <f t="shared" si="9"/>
        <v>2.5781880346107833E-3</v>
      </c>
      <c r="U49" s="71">
        <f t="shared" si="5"/>
        <v>2.5367107577350164E-3</v>
      </c>
      <c r="V49" s="71">
        <f t="shared" si="5"/>
        <v>3.5418716987946366E-3</v>
      </c>
      <c r="W49" s="71">
        <f t="shared" si="5"/>
        <v>4.45421565998052E-3</v>
      </c>
      <c r="X49" s="71">
        <f t="shared" si="5"/>
        <v>1.1730638536772744E-2</v>
      </c>
      <c r="Y49" s="71">
        <f t="shared" si="3"/>
        <v>1.2085281039790218E-2</v>
      </c>
    </row>
    <row r="50" spans="1:25" x14ac:dyDescent="0.3">
      <c r="A50" s="67" t="s">
        <v>94</v>
      </c>
      <c r="B50" s="8">
        <f>SUM(B43:B49)</f>
        <v>7071.36</v>
      </c>
      <c r="C50" s="8">
        <f t="shared" ref="C50:K50" si="10">SUM(C43:C49)</f>
        <v>8824.74</v>
      </c>
      <c r="D50" s="8">
        <f t="shared" si="10"/>
        <v>8846.4299999999985</v>
      </c>
      <c r="E50" s="8">
        <f t="shared" si="10"/>
        <v>9877.49</v>
      </c>
      <c r="F50" s="8">
        <f t="shared" si="10"/>
        <v>7470.1900000000005</v>
      </c>
      <c r="G50" s="8">
        <f t="shared" si="10"/>
        <v>8356.4399999999987</v>
      </c>
      <c r="H50" s="8">
        <f t="shared" si="10"/>
        <v>7700.34</v>
      </c>
      <c r="I50" s="8">
        <f t="shared" si="10"/>
        <v>7002.42</v>
      </c>
      <c r="J50" s="8">
        <f t="shared" si="10"/>
        <v>8731.27</v>
      </c>
      <c r="K50" s="8">
        <f t="shared" si="10"/>
        <v>7590</v>
      </c>
      <c r="L50" s="8">
        <f>SUM(L44:L49)</f>
        <v>9538</v>
      </c>
      <c r="N50" s="1" t="s">
        <v>94</v>
      </c>
      <c r="O50" s="71">
        <f t="shared" si="2"/>
        <v>0.34939258392579475</v>
      </c>
      <c r="P50" s="71">
        <f t="shared" si="2"/>
        <v>0.43664351027193926</v>
      </c>
      <c r="Q50" s="71">
        <f t="shared" si="2"/>
        <v>0.36182857292438242</v>
      </c>
      <c r="R50" s="71">
        <f t="shared" si="2"/>
        <v>0.4055592987625245</v>
      </c>
      <c r="S50" s="71">
        <f t="shared" si="2"/>
        <v>0.31646535406785331</v>
      </c>
      <c r="T50" s="71">
        <f t="shared" si="9"/>
        <v>0.32290877727732209</v>
      </c>
      <c r="U50" s="71">
        <f t="shared" si="5"/>
        <v>0.28620564565886092</v>
      </c>
      <c r="V50" s="71">
        <f t="shared" si="5"/>
        <v>0.25289765699065503</v>
      </c>
      <c r="W50" s="71">
        <f t="shared" si="5"/>
        <v>0.30812042121310501</v>
      </c>
      <c r="X50" s="71">
        <f t="shared" si="5"/>
        <v>0.22427089797003813</v>
      </c>
      <c r="Y50" s="71">
        <f t="shared" si="3"/>
        <v>0.27186181735263937</v>
      </c>
    </row>
    <row r="51" spans="1:25" x14ac:dyDescent="0.3">
      <c r="A51" s="65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spans="1:25" x14ac:dyDescent="0.3">
      <c r="A52" s="74" t="s">
        <v>87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spans="1:25" x14ac:dyDescent="0.3">
      <c r="A53" s="75" t="s">
        <v>88</v>
      </c>
      <c r="B53" s="12">
        <v>1489.67</v>
      </c>
      <c r="C53" s="12">
        <v>1459.85</v>
      </c>
      <c r="D53" s="12">
        <v>2050.04</v>
      </c>
      <c r="E53" s="12">
        <v>1787.92</v>
      </c>
      <c r="F53" s="7">
        <v>721.08</v>
      </c>
      <c r="G53" s="7">
        <v>140.21</v>
      </c>
      <c r="H53" s="7">
        <v>352.46</v>
      </c>
      <c r="I53" s="15">
        <v>1912.94</v>
      </c>
      <c r="J53" s="7">
        <v>277.58</v>
      </c>
      <c r="K53" s="10">
        <v>3077</v>
      </c>
      <c r="L53" s="7">
        <v>543</v>
      </c>
      <c r="N53" s="1"/>
      <c r="O53" s="71">
        <f t="shared" si="2"/>
        <v>7.3603896633283941E-2</v>
      </c>
      <c r="P53" s="71">
        <f t="shared" si="2"/>
        <v>7.223261291216404E-2</v>
      </c>
      <c r="Q53" s="71">
        <f t="shared" si="2"/>
        <v>8.3848857407779309E-2</v>
      </c>
      <c r="R53" s="71">
        <f t="shared" si="2"/>
        <v>7.3410105344930032E-2</v>
      </c>
      <c r="S53" s="71">
        <f t="shared" si="2"/>
        <v>3.0547661774499395E-2</v>
      </c>
      <c r="T53" s="71">
        <f t="shared" si="9"/>
        <v>5.4179817795680148E-3</v>
      </c>
      <c r="U53" s="71">
        <f t="shared" si="5"/>
        <v>1.3100206207637858E-2</v>
      </c>
      <c r="V53" s="71">
        <f t="shared" si="5"/>
        <v>6.9087264683310015E-2</v>
      </c>
      <c r="W53" s="71">
        <f t="shared" si="5"/>
        <v>9.795604364580832E-3</v>
      </c>
      <c r="X53" s="71">
        <f t="shared" si="5"/>
        <v>9.0919835711964075E-2</v>
      </c>
      <c r="Y53" s="71">
        <f t="shared" si="3"/>
        <v>1.5477140576901152E-2</v>
      </c>
    </row>
    <row r="54" spans="1:25" x14ac:dyDescent="0.3">
      <c r="A54" s="75" t="s">
        <v>89</v>
      </c>
      <c r="B54" s="7"/>
      <c r="C54" s="7"/>
      <c r="D54" s="7"/>
      <c r="E54" s="7"/>
      <c r="F54" s="7"/>
      <c r="G54" s="7"/>
      <c r="H54" s="7"/>
      <c r="I54" s="7"/>
      <c r="J54" s="7"/>
      <c r="K54" s="7">
        <v>87</v>
      </c>
      <c r="L54" s="7">
        <v>76</v>
      </c>
      <c r="N54" s="1"/>
      <c r="O54" s="71">
        <f t="shared" si="2"/>
        <v>0</v>
      </c>
      <c r="P54" s="71">
        <f t="shared" si="2"/>
        <v>0</v>
      </c>
      <c r="Q54" s="71">
        <f t="shared" si="2"/>
        <v>0</v>
      </c>
      <c r="R54" s="71">
        <f t="shared" si="2"/>
        <v>0</v>
      </c>
      <c r="S54" s="71">
        <f t="shared" si="2"/>
        <v>0</v>
      </c>
      <c r="T54" s="71">
        <f t="shared" si="9"/>
        <v>0</v>
      </c>
      <c r="U54" s="71">
        <f t="shared" si="5"/>
        <v>0</v>
      </c>
      <c r="V54" s="71">
        <f t="shared" si="5"/>
        <v>0</v>
      </c>
      <c r="W54" s="71">
        <f t="shared" si="5"/>
        <v>0</v>
      </c>
      <c r="X54" s="71">
        <f t="shared" si="5"/>
        <v>2.5706940874035988E-3</v>
      </c>
      <c r="Y54" s="71">
        <f t="shared" si="3"/>
        <v>2.1662296203397561E-3</v>
      </c>
    </row>
    <row r="55" spans="1:25" x14ac:dyDescent="0.3">
      <c r="A55" s="75" t="s">
        <v>97</v>
      </c>
      <c r="B55" s="12">
        <v>2123.59</v>
      </c>
      <c r="C55" s="12">
        <v>2425.5500000000002</v>
      </c>
      <c r="D55" s="12">
        <v>2102.4699999999998</v>
      </c>
      <c r="E55" s="12">
        <v>1617.76</v>
      </c>
      <c r="F55" s="12">
        <v>1337.94</v>
      </c>
      <c r="G55" s="7">
        <v>1478.5800000000002</v>
      </c>
      <c r="H55" s="7">
        <v>1475.3300000000002</v>
      </c>
      <c r="I55" s="7">
        <v>1630.92</v>
      </c>
      <c r="J55" s="7">
        <v>1682.8700000000001</v>
      </c>
      <c r="K55" s="7">
        <v>2445</v>
      </c>
      <c r="L55" s="7">
        <v>2597</v>
      </c>
      <c r="N55" s="1"/>
      <c r="O55" s="71">
        <f t="shared" si="2"/>
        <v>0.10492558677524245</v>
      </c>
      <c r="P55" s="71">
        <f t="shared" si="2"/>
        <v>0.12001494280172587</v>
      </c>
      <c r="Q55" s="71">
        <f t="shared" si="2"/>
        <v>8.5993301220529228E-2</v>
      </c>
      <c r="R55" s="71">
        <f t="shared" si="2"/>
        <v>6.642351560629893E-2</v>
      </c>
      <c r="S55" s="71">
        <f t="shared" si="2"/>
        <v>5.6680172234112335E-2</v>
      </c>
      <c r="T55" s="71">
        <f t="shared" si="9"/>
        <v>5.7135150842548145E-2</v>
      </c>
      <c r="U55" s="71">
        <f t="shared" si="5"/>
        <v>5.4834952120281347E-2</v>
      </c>
      <c r="V55" s="71">
        <f t="shared" si="5"/>
        <v>5.8901900591395426E-2</v>
      </c>
      <c r="W55" s="71">
        <f t="shared" si="5"/>
        <v>5.9387307143966228E-2</v>
      </c>
      <c r="X55" s="71">
        <f t="shared" si="5"/>
        <v>7.2245368318411482E-2</v>
      </c>
      <c r="Y55" s="71">
        <f t="shared" si="3"/>
        <v>7.4022346368715089E-2</v>
      </c>
    </row>
    <row r="56" spans="1:25" ht="28.8" x14ac:dyDescent="0.3">
      <c r="A56" s="76" t="s">
        <v>98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spans="1:25" ht="28.8" x14ac:dyDescent="0.3">
      <c r="A57" s="76" t="s">
        <v>99</v>
      </c>
      <c r="B57" s="7"/>
      <c r="C57" s="7"/>
      <c r="D57" s="7"/>
      <c r="E57" s="7"/>
      <c r="F57" s="7"/>
      <c r="G57" s="12"/>
      <c r="H57" s="12"/>
      <c r="I57" s="12"/>
      <c r="J57" s="12"/>
      <c r="K57" s="10"/>
      <c r="L57" s="10"/>
      <c r="N57" s="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spans="1:25" x14ac:dyDescent="0.3">
      <c r="A58" s="75" t="s">
        <v>100</v>
      </c>
      <c r="B58" s="7"/>
      <c r="C58" s="7"/>
      <c r="D58" s="12">
        <v>1812.14</v>
      </c>
      <c r="E58" s="12">
        <v>1008.07</v>
      </c>
      <c r="F58" s="12">
        <v>2388.16</v>
      </c>
      <c r="G58" s="7">
        <v>993.71</v>
      </c>
      <c r="H58" s="12">
        <v>1454.55</v>
      </c>
      <c r="I58" s="15">
        <v>2687.23</v>
      </c>
      <c r="J58" s="12">
        <v>1717.46</v>
      </c>
      <c r="K58" s="7">
        <v>458</v>
      </c>
      <c r="L58" s="7">
        <v>696</v>
      </c>
      <c r="N58" s="1"/>
      <c r="O58" s="71">
        <f t="shared" si="2"/>
        <v>0</v>
      </c>
      <c r="P58" s="71">
        <f t="shared" si="2"/>
        <v>0</v>
      </c>
      <c r="Q58" s="71">
        <f t="shared" si="2"/>
        <v>7.4118489621145534E-2</v>
      </c>
      <c r="R58" s="71">
        <f t="shared" si="2"/>
        <v>4.1390288656686883E-2</v>
      </c>
      <c r="S58" s="71">
        <f t="shared" si="2"/>
        <v>0.10117144275723702</v>
      </c>
      <c r="T58" s="71">
        <f t="shared" si="9"/>
        <v>3.8398849398577364E-2</v>
      </c>
      <c r="U58" s="71">
        <f t="shared" si="5"/>
        <v>5.4062602676387808E-2</v>
      </c>
      <c r="V58" s="71">
        <f t="shared" si="5"/>
        <v>9.7051329511083015E-2</v>
      </c>
      <c r="W58" s="71">
        <f t="shared" si="5"/>
        <v>6.0607964089606586E-2</v>
      </c>
      <c r="X58" s="71">
        <f t="shared" si="5"/>
        <v>1.3533079218745383E-2</v>
      </c>
      <c r="Y58" s="71">
        <f t="shared" si="3"/>
        <v>1.9838102838900924E-2</v>
      </c>
    </row>
    <row r="59" spans="1:25" x14ac:dyDescent="0.3">
      <c r="A59" s="74" t="s">
        <v>101</v>
      </c>
      <c r="B59" s="12">
        <v>2079.86</v>
      </c>
      <c r="C59" s="7">
        <v>659.02</v>
      </c>
      <c r="D59" s="7">
        <v>222.89</v>
      </c>
      <c r="E59" s="7">
        <v>282.94</v>
      </c>
      <c r="F59" s="7">
        <v>273.48</v>
      </c>
      <c r="G59" s="7">
        <v>204.09</v>
      </c>
      <c r="H59" s="7">
        <v>249.79</v>
      </c>
      <c r="I59" s="7">
        <v>320.97000000000003</v>
      </c>
      <c r="J59" s="7">
        <v>265.39</v>
      </c>
      <c r="K59" s="7">
        <v>536</v>
      </c>
      <c r="L59" s="7">
        <v>521</v>
      </c>
      <c r="N59" s="1"/>
      <c r="O59" s="71">
        <f t="shared" si="2"/>
        <v>0.10276490796733634</v>
      </c>
      <c r="P59" s="71">
        <f t="shared" si="2"/>
        <v>3.2607964216443019E-2</v>
      </c>
      <c r="Q59" s="71">
        <f t="shared" si="2"/>
        <v>9.1164425219117332E-3</v>
      </c>
      <c r="R59" s="71">
        <f t="shared" si="2"/>
        <v>1.1617217328680533E-2</v>
      </c>
      <c r="S59" s="71">
        <f t="shared" si="2"/>
        <v>1.1585641734745236E-2</v>
      </c>
      <c r="T59" s="71">
        <f t="shared" si="9"/>
        <v>7.8864267983170672E-3</v>
      </c>
      <c r="U59" s="71">
        <f t="shared" si="5"/>
        <v>9.2841755336942073E-3</v>
      </c>
      <c r="V59" s="71">
        <f t="shared" si="5"/>
        <v>1.1592072592659475E-2</v>
      </c>
      <c r="W59" s="71">
        <f t="shared" si="5"/>
        <v>9.3654277769151476E-3</v>
      </c>
      <c r="X59" s="71">
        <f t="shared" si="5"/>
        <v>1.5837839435038265E-2</v>
      </c>
      <c r="Y59" s="71">
        <f t="shared" si="3"/>
        <v>1.4850074107855432E-2</v>
      </c>
    </row>
    <row r="60" spans="1:25" x14ac:dyDescent="0.3">
      <c r="A60" s="74" t="s">
        <v>102</v>
      </c>
      <c r="B60" s="7">
        <v>524.83000000000004</v>
      </c>
      <c r="C60" s="7">
        <v>620.51</v>
      </c>
      <c r="D60" s="7">
        <v>108.05</v>
      </c>
      <c r="E60" s="7">
        <v>78.349999999999994</v>
      </c>
      <c r="F60" s="7">
        <v>117.79</v>
      </c>
      <c r="G60" s="7">
        <v>205.76</v>
      </c>
      <c r="H60" s="7">
        <v>280.33</v>
      </c>
      <c r="I60" s="7">
        <v>276.89999999999998</v>
      </c>
      <c r="J60" s="7">
        <v>365.13</v>
      </c>
      <c r="K60" s="7">
        <v>371</v>
      </c>
      <c r="L60" s="7">
        <v>352</v>
      </c>
      <c r="N60" s="1"/>
      <c r="O60" s="71">
        <f t="shared" si="2"/>
        <v>2.5931604362071068E-2</v>
      </c>
      <c r="P60" s="71">
        <f t="shared" si="2"/>
        <v>3.0702509599018331E-2</v>
      </c>
      <c r="Q60" s="71">
        <f t="shared" si="2"/>
        <v>4.4193620821596424E-3</v>
      </c>
      <c r="R60" s="71">
        <f t="shared" si="2"/>
        <v>3.21696818301449E-3</v>
      </c>
      <c r="S60" s="71">
        <f t="shared" si="2"/>
        <v>4.9900275703365559E-3</v>
      </c>
      <c r="T60" s="71">
        <f t="shared" si="9"/>
        <v>7.9509587829963251E-3</v>
      </c>
      <c r="U60" s="71">
        <f t="shared" si="5"/>
        <v>1.0419283907924647E-2</v>
      </c>
      <c r="V60" s="71">
        <f t="shared" si="5"/>
        <v>1.0000451446887272E-2</v>
      </c>
      <c r="W60" s="71">
        <f t="shared" si="5"/>
        <v>1.2885182728004176E-2</v>
      </c>
      <c r="X60" s="71">
        <f t="shared" si="5"/>
        <v>1.0962385131341785E-2</v>
      </c>
      <c r="Y60" s="71">
        <f t="shared" si="3"/>
        <v>1.0033063504731501E-2</v>
      </c>
    </row>
    <row r="61" spans="1:25" x14ac:dyDescent="0.3">
      <c r="A61" s="74" t="s">
        <v>103</v>
      </c>
      <c r="B61" s="7"/>
      <c r="C61" s="7"/>
      <c r="D61" s="7">
        <v>245.37</v>
      </c>
      <c r="E61" s="7">
        <v>249.92</v>
      </c>
      <c r="F61" s="7">
        <v>253.04</v>
      </c>
      <c r="G61" s="7">
        <v>131.03</v>
      </c>
      <c r="H61" s="7">
        <v>136.18</v>
      </c>
      <c r="I61" s="7">
        <v>195.94</v>
      </c>
      <c r="J61" s="7">
        <v>154.93</v>
      </c>
      <c r="K61" s="7">
        <v>122</v>
      </c>
      <c r="L61" s="7">
        <v>119</v>
      </c>
      <c r="N61" s="1"/>
      <c r="O61" s="71">
        <f t="shared" si="2"/>
        <v>0</v>
      </c>
      <c r="P61" s="71">
        <f t="shared" si="2"/>
        <v>0</v>
      </c>
      <c r="Q61" s="71">
        <f t="shared" si="2"/>
        <v>1.0035898881069056E-2</v>
      </c>
      <c r="R61" s="71">
        <f t="shared" si="2"/>
        <v>1.0261451031256941E-2</v>
      </c>
      <c r="S61" s="71">
        <f t="shared" si="2"/>
        <v>1.0719726431768078E-2</v>
      </c>
      <c r="T61" s="71">
        <f t="shared" si="9"/>
        <v>5.0632490733670708E-3</v>
      </c>
      <c r="U61" s="71">
        <f t="shared" si="5"/>
        <v>5.0615277800491508E-3</v>
      </c>
      <c r="V61" s="71">
        <f t="shared" si="5"/>
        <v>7.0765202473928946E-3</v>
      </c>
      <c r="W61" s="71">
        <f t="shared" si="5"/>
        <v>5.4673715116525272E-3</v>
      </c>
      <c r="X61" s="71">
        <f t="shared" si="5"/>
        <v>3.6048813639452766E-3</v>
      </c>
      <c r="Y61" s="71">
        <f t="shared" si="3"/>
        <v>3.391859537110934E-3</v>
      </c>
    </row>
    <row r="62" spans="1:25" ht="28.8" x14ac:dyDescent="0.3">
      <c r="A62" s="72" t="s">
        <v>110</v>
      </c>
      <c r="B62" s="7"/>
      <c r="C62" s="7"/>
      <c r="D62" s="7"/>
      <c r="E62" s="7"/>
      <c r="F62" s="7">
        <v>511.27</v>
      </c>
      <c r="G62" s="7">
        <v>549.95000000000005</v>
      </c>
      <c r="H62" s="7"/>
      <c r="I62" s="7"/>
      <c r="J62" s="7"/>
      <c r="K62" s="7"/>
      <c r="L62" s="7"/>
      <c r="N62" s="1"/>
      <c r="O62" s="71">
        <f t="shared" si="2"/>
        <v>0</v>
      </c>
      <c r="P62" s="71">
        <f t="shared" si="2"/>
        <v>0</v>
      </c>
      <c r="Q62" s="71">
        <f t="shared" si="2"/>
        <v>0</v>
      </c>
      <c r="R62" s="71">
        <f t="shared" si="2"/>
        <v>0</v>
      </c>
      <c r="S62" s="71">
        <f t="shared" si="2"/>
        <v>2.1659320790270574E-2</v>
      </c>
      <c r="T62" s="71">
        <f t="shared" si="9"/>
        <v>2.1251116751112117E-2</v>
      </c>
      <c r="U62" s="71">
        <f t="shared" si="5"/>
        <v>0</v>
      </c>
      <c r="V62" s="71">
        <f t="shared" si="5"/>
        <v>0</v>
      </c>
      <c r="W62" s="71">
        <f t="shared" si="5"/>
        <v>0</v>
      </c>
      <c r="X62" s="71">
        <f t="shared" si="5"/>
        <v>0</v>
      </c>
      <c r="Y62" s="71">
        <f t="shared" si="3"/>
        <v>0</v>
      </c>
    </row>
    <row r="63" spans="1:25" x14ac:dyDescent="0.3">
      <c r="A63" s="67" t="s">
        <v>104</v>
      </c>
      <c r="B63" s="8">
        <f>SUM(B53:B62)</f>
        <v>6217.9500000000007</v>
      </c>
      <c r="C63" s="8">
        <f t="shared" ref="C63:L63" si="11">SUM(C53:C62)</f>
        <v>5164.93</v>
      </c>
      <c r="D63" s="8">
        <f t="shared" si="11"/>
        <v>6540.9600000000009</v>
      </c>
      <c r="E63" s="8">
        <f t="shared" si="11"/>
        <v>5024.96</v>
      </c>
      <c r="F63" s="8">
        <f t="shared" si="11"/>
        <v>5602.76</v>
      </c>
      <c r="G63" s="8">
        <f t="shared" si="11"/>
        <v>3703.3300000000008</v>
      </c>
      <c r="H63" s="8">
        <f t="shared" si="11"/>
        <v>3948.64</v>
      </c>
      <c r="I63" s="8">
        <f t="shared" si="11"/>
        <v>7024.9</v>
      </c>
      <c r="J63" s="8">
        <f t="shared" si="11"/>
        <v>4463.3599999999997</v>
      </c>
      <c r="K63" s="8">
        <f t="shared" si="11"/>
        <v>7096</v>
      </c>
      <c r="L63" s="8">
        <f t="shared" si="11"/>
        <v>4904</v>
      </c>
      <c r="N63" s="1" t="s">
        <v>104</v>
      </c>
      <c r="O63" s="71">
        <f t="shared" si="2"/>
        <v>0.30722599573793385</v>
      </c>
      <c r="P63" s="71">
        <f t="shared" si="2"/>
        <v>0.25555802952935125</v>
      </c>
      <c r="Q63" s="71">
        <f t="shared" si="2"/>
        <v>0.26753235173459455</v>
      </c>
      <c r="R63" s="71">
        <f t="shared" si="2"/>
        <v>0.20631954615086781</v>
      </c>
      <c r="S63" s="71">
        <f t="shared" si="2"/>
        <v>0.23735399329296922</v>
      </c>
      <c r="T63" s="71">
        <f t="shared" si="9"/>
        <v>0.14310373342648613</v>
      </c>
      <c r="U63" s="71">
        <f t="shared" si="5"/>
        <v>0.14676274822597501</v>
      </c>
      <c r="V63" s="71">
        <f t="shared" si="5"/>
        <v>0.25370953907272809</v>
      </c>
      <c r="W63" s="71">
        <f t="shared" si="5"/>
        <v>0.15750885761472549</v>
      </c>
      <c r="X63" s="71">
        <f t="shared" si="5"/>
        <v>0.20967408326684986</v>
      </c>
      <c r="Y63" s="71">
        <f t="shared" si="3"/>
        <v>0.13977881655455479</v>
      </c>
    </row>
    <row r="64" spans="1:25" x14ac:dyDescent="0.3">
      <c r="A64" s="67" t="s">
        <v>105</v>
      </c>
      <c r="B64" s="8">
        <f>B50+B63</f>
        <v>13289.310000000001</v>
      </c>
      <c r="C64" s="8">
        <f t="shared" ref="C64:L64" si="12">C50+C63</f>
        <v>13989.67</v>
      </c>
      <c r="D64" s="8">
        <f t="shared" si="12"/>
        <v>15387.39</v>
      </c>
      <c r="E64" s="8">
        <f t="shared" si="12"/>
        <v>14902.45</v>
      </c>
      <c r="F64" s="8">
        <f t="shared" si="12"/>
        <v>13072.95</v>
      </c>
      <c r="G64" s="8">
        <f t="shared" si="12"/>
        <v>12059.77</v>
      </c>
      <c r="H64" s="8">
        <f t="shared" si="12"/>
        <v>11648.98</v>
      </c>
      <c r="I64" s="8">
        <f t="shared" si="12"/>
        <v>14027.32</v>
      </c>
      <c r="J64" s="8">
        <f t="shared" si="12"/>
        <v>13194.630000000001</v>
      </c>
      <c r="K64" s="8">
        <f t="shared" si="12"/>
        <v>14686</v>
      </c>
      <c r="L64" s="8">
        <f t="shared" si="12"/>
        <v>14442</v>
      </c>
    </row>
    <row r="65" spans="1:12" x14ac:dyDescent="0.3">
      <c r="A65" s="67" t="s">
        <v>106</v>
      </c>
      <c r="B65" s="8">
        <f>B40+B64</f>
        <v>20239.010000000002</v>
      </c>
      <c r="C65" s="8">
        <f t="shared" ref="C65:L65" si="13">C40+C64</f>
        <v>20210.400000000001</v>
      </c>
      <c r="D65" s="8">
        <f t="shared" si="13"/>
        <v>24449.23</v>
      </c>
      <c r="E65" s="8">
        <f t="shared" si="13"/>
        <v>24355.23</v>
      </c>
      <c r="F65" s="8">
        <f t="shared" si="13"/>
        <v>23605.08</v>
      </c>
      <c r="G65" s="8">
        <f t="shared" si="13"/>
        <v>25878.639999999999</v>
      </c>
      <c r="H65" s="8">
        <f t="shared" si="13"/>
        <v>26904.92</v>
      </c>
      <c r="I65" s="8">
        <f t="shared" si="13"/>
        <v>27688.75</v>
      </c>
      <c r="J65" s="8">
        <f t="shared" si="13"/>
        <v>28337.200000000001</v>
      </c>
      <c r="K65" s="8">
        <f t="shared" si="13"/>
        <v>33843</v>
      </c>
      <c r="L65" s="8">
        <f t="shared" si="13"/>
        <v>35084</v>
      </c>
    </row>
    <row r="66" spans="1:12" x14ac:dyDescent="0.3">
      <c r="A66" s="7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x14ac:dyDescent="0.3">
      <c r="A67" s="65" t="s">
        <v>107</v>
      </c>
      <c r="B67" s="17">
        <f>B34-B65</f>
        <v>0</v>
      </c>
      <c r="C67" s="17">
        <f t="shared" ref="C67:L67" si="14">C34-C65</f>
        <v>0</v>
      </c>
      <c r="D67" s="17">
        <f t="shared" si="14"/>
        <v>0</v>
      </c>
      <c r="E67" s="17">
        <f t="shared" si="14"/>
        <v>0</v>
      </c>
      <c r="F67" s="17">
        <f t="shared" si="14"/>
        <v>0</v>
      </c>
      <c r="G67" s="17">
        <f t="shared" si="14"/>
        <v>0</v>
      </c>
      <c r="H67" s="17">
        <f t="shared" si="14"/>
        <v>0</v>
      </c>
      <c r="I67" s="17">
        <f t="shared" si="14"/>
        <v>0</v>
      </c>
      <c r="J67" s="17">
        <f t="shared" si="14"/>
        <v>0</v>
      </c>
      <c r="K67" s="17">
        <f t="shared" si="14"/>
        <v>0</v>
      </c>
      <c r="L67" s="17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62CB-1393-40FC-A0AD-53F56596DE2B}">
  <dimension ref="A1:O68"/>
  <sheetViews>
    <sheetView workbookViewId="0">
      <pane xSplit="1" topLeftCell="B1" activePane="topRight" state="frozen"/>
      <selection pane="topRight" activeCell="D21" sqref="D21"/>
    </sheetView>
  </sheetViews>
  <sheetFormatPr defaultColWidth="8.77734375" defaultRowHeight="14.4" x14ac:dyDescent="0.3"/>
  <cols>
    <col min="1" max="1" width="53.109375" style="40" bestFit="1" customWidth="1"/>
    <col min="2" max="3" width="8.77734375" style="40"/>
    <col min="4" max="4" width="8.77734375" style="40" bestFit="1" customWidth="1"/>
    <col min="5" max="5" width="8.77734375" style="40"/>
    <col min="6" max="6" width="9.109375" style="40" bestFit="1" customWidth="1"/>
    <col min="7" max="7" width="9.21875" style="40" bestFit="1" customWidth="1"/>
    <col min="8" max="9" width="9.6640625" style="40" bestFit="1" customWidth="1"/>
    <col min="10" max="11" width="9.77734375" style="40" bestFit="1" customWidth="1"/>
    <col min="12" max="12" width="9.6640625" style="40" bestFit="1" customWidth="1"/>
    <col min="13" max="16384" width="8.77734375" style="40"/>
  </cols>
  <sheetData>
    <row r="1" spans="1:12" x14ac:dyDescent="0.3">
      <c r="A1" s="77" t="s">
        <v>148</v>
      </c>
    </row>
    <row r="2" spans="1:12" x14ac:dyDescent="0.3">
      <c r="A2" s="78" t="s">
        <v>149</v>
      </c>
    </row>
    <row r="3" spans="1:12" x14ac:dyDescent="0.3">
      <c r="A3" s="78" t="s">
        <v>1</v>
      </c>
    </row>
    <row r="4" spans="1:12" x14ac:dyDescent="0.3">
      <c r="A4" s="79"/>
      <c r="B4" s="41" t="s">
        <v>2</v>
      </c>
      <c r="C4" s="41" t="s">
        <v>3</v>
      </c>
      <c r="D4" s="41" t="s">
        <v>4</v>
      </c>
      <c r="E4" s="41" t="s">
        <v>5</v>
      </c>
      <c r="F4" s="41" t="s">
        <v>6</v>
      </c>
      <c r="G4" s="41" t="s">
        <v>7</v>
      </c>
      <c r="H4" s="41" t="s">
        <v>8</v>
      </c>
      <c r="I4" s="41" t="s">
        <v>9</v>
      </c>
      <c r="J4" s="41" t="s">
        <v>10</v>
      </c>
      <c r="K4" s="41" t="s">
        <v>11</v>
      </c>
      <c r="L4" s="41" t="s">
        <v>12</v>
      </c>
    </row>
    <row r="5" spans="1:12" x14ac:dyDescent="0.3">
      <c r="A5" s="79" t="s">
        <v>30</v>
      </c>
      <c r="B5" s="13">
        <f>'Incomee Statement'!B23</f>
        <v>913.02999999999963</v>
      </c>
      <c r="C5" s="13">
        <f>'Incomee Statement'!C23</f>
        <v>-518.88999999999851</v>
      </c>
      <c r="D5" s="13">
        <f>'Incomee Statement'!D23</f>
        <v>1158.5100000000029</v>
      </c>
      <c r="E5" s="13">
        <f>'Incomee Statement'!E23</f>
        <v>1180.3299999999988</v>
      </c>
      <c r="F5" s="13">
        <f>'Incomee Statement'!F23</f>
        <v>1456.6000000000022</v>
      </c>
      <c r="G5" s="13">
        <f>'Incomee Statement'!G23</f>
        <v>1620.1299999999994</v>
      </c>
      <c r="H5" s="13">
        <f>'Incomee Statement'!H23</f>
        <v>1741.7500000000009</v>
      </c>
      <c r="I5" s="13">
        <f>'Incomee Statement'!I23</f>
        <v>1248.0600000000018</v>
      </c>
      <c r="J5" s="13">
        <f>'Incomee Statement'!J23</f>
        <v>633.9900000000008</v>
      </c>
      <c r="K5" s="13">
        <f>'Incomee Statement'!K23</f>
        <v>1667</v>
      </c>
      <c r="L5" s="13">
        <f>'Incomee Statement'!L23</f>
        <v>2740</v>
      </c>
    </row>
    <row r="6" spans="1:12" x14ac:dyDescent="0.3">
      <c r="A6" s="79" t="s">
        <v>150</v>
      </c>
      <c r="B6" s="42"/>
      <c r="C6" s="42"/>
      <c r="D6" s="42"/>
      <c r="E6" s="42"/>
      <c r="F6" s="43"/>
      <c r="G6" s="43"/>
      <c r="H6" s="43"/>
      <c r="I6" s="43"/>
      <c r="J6" s="43"/>
      <c r="K6" s="43"/>
      <c r="L6" s="42"/>
    </row>
    <row r="7" spans="1:12" x14ac:dyDescent="0.3">
      <c r="A7" s="80" t="s">
        <v>151</v>
      </c>
      <c r="B7" s="3">
        <v>533.88</v>
      </c>
      <c r="C7" s="3">
        <v>471.24</v>
      </c>
      <c r="D7" s="3">
        <v>463.14</v>
      </c>
      <c r="E7" s="3">
        <v>571.37</v>
      </c>
      <c r="F7" s="3">
        <v>552.20000000000005</v>
      </c>
      <c r="G7" s="43">
        <v>530.59</v>
      </c>
      <c r="H7" s="43">
        <v>571.39</v>
      </c>
      <c r="I7" s="43">
        <v>666.47</v>
      </c>
      <c r="J7" s="43">
        <v>759.32</v>
      </c>
      <c r="K7" s="43">
        <v>806</v>
      </c>
      <c r="L7" s="44">
        <v>892</v>
      </c>
    </row>
    <row r="8" spans="1:12" x14ac:dyDescent="0.3">
      <c r="A8" s="80" t="s">
        <v>152</v>
      </c>
      <c r="B8" s="3"/>
      <c r="C8" s="3"/>
      <c r="D8" s="3"/>
      <c r="E8" s="3"/>
      <c r="F8" s="3"/>
      <c r="G8" s="43"/>
      <c r="H8" s="43"/>
      <c r="I8" s="43">
        <v>100.83</v>
      </c>
      <c r="J8" s="45">
        <v>46.66</v>
      </c>
      <c r="K8" s="45"/>
      <c r="L8" s="42"/>
    </row>
    <row r="9" spans="1:12" x14ac:dyDescent="0.3">
      <c r="A9" s="80" t="s">
        <v>23</v>
      </c>
      <c r="B9" s="3">
        <v>463.91</v>
      </c>
      <c r="C9" s="3">
        <v>579.46</v>
      </c>
      <c r="D9" s="3">
        <v>454.03</v>
      </c>
      <c r="E9" s="3">
        <v>605.21</v>
      </c>
      <c r="F9" s="3">
        <v>472.97</v>
      </c>
      <c r="G9" s="43">
        <v>388.99</v>
      </c>
      <c r="H9" s="43">
        <v>365.28</v>
      </c>
      <c r="I9" s="43">
        <v>341.91</v>
      </c>
      <c r="J9" s="43">
        <v>367.37</v>
      </c>
      <c r="K9" s="43">
        <v>303</v>
      </c>
      <c r="L9" s="44">
        <v>406</v>
      </c>
    </row>
    <row r="10" spans="1:12" x14ac:dyDescent="0.3">
      <c r="A10" s="80" t="s">
        <v>153</v>
      </c>
      <c r="B10" s="3">
        <v>-17.14</v>
      </c>
      <c r="C10" s="3">
        <v>-66.2</v>
      </c>
      <c r="D10" s="3">
        <v>-36.79</v>
      </c>
      <c r="E10" s="46">
        <v>-10.57</v>
      </c>
      <c r="F10" s="43">
        <v>-8.4700000000000006</v>
      </c>
      <c r="G10" s="43">
        <v>-22.98</v>
      </c>
      <c r="H10" s="43">
        <v>-85.31</v>
      </c>
      <c r="I10" s="43">
        <v>-59.81</v>
      </c>
      <c r="J10" s="43">
        <v>-56.25</v>
      </c>
      <c r="K10" s="43">
        <v>-115</v>
      </c>
      <c r="L10" s="47">
        <v>-75</v>
      </c>
    </row>
    <row r="11" spans="1:12" x14ac:dyDescent="0.3">
      <c r="A11" s="80" t="s">
        <v>154</v>
      </c>
      <c r="B11" s="3"/>
      <c r="C11" s="3"/>
      <c r="D11" s="3"/>
      <c r="E11" s="3"/>
      <c r="F11" s="3"/>
      <c r="G11" s="3"/>
      <c r="H11" s="43"/>
      <c r="I11" s="43"/>
      <c r="J11" s="43"/>
      <c r="K11" s="43"/>
      <c r="L11" s="42">
        <v>-2</v>
      </c>
    </row>
    <row r="12" spans="1:12" ht="20.25" customHeight="1" x14ac:dyDescent="0.3">
      <c r="A12" s="80" t="s">
        <v>155</v>
      </c>
      <c r="B12" s="3"/>
      <c r="C12" s="3"/>
      <c r="D12" s="3"/>
      <c r="E12" s="3"/>
      <c r="F12" s="43"/>
      <c r="G12" s="43"/>
      <c r="H12" s="43"/>
      <c r="I12" s="43">
        <v>-15.06</v>
      </c>
      <c r="J12" s="43">
        <v>5.79</v>
      </c>
      <c r="K12" s="43"/>
      <c r="L12" s="48"/>
    </row>
    <row r="13" spans="1:12" x14ac:dyDescent="0.3">
      <c r="A13" s="80" t="s">
        <v>156</v>
      </c>
      <c r="B13" s="3"/>
      <c r="C13" s="3"/>
      <c r="D13" s="3"/>
      <c r="E13" s="3"/>
      <c r="F13" s="43"/>
      <c r="G13" s="43"/>
      <c r="H13" s="43"/>
      <c r="I13" s="43"/>
      <c r="J13" s="43"/>
      <c r="K13" s="43"/>
      <c r="L13" s="47"/>
    </row>
    <row r="14" spans="1:12" x14ac:dyDescent="0.3">
      <c r="A14" s="80" t="s">
        <v>157</v>
      </c>
      <c r="B14" s="3"/>
      <c r="C14" s="3">
        <v>-16.68</v>
      </c>
      <c r="D14" s="3">
        <v>-39.19</v>
      </c>
      <c r="E14" s="3">
        <v>-7.14</v>
      </c>
      <c r="F14" s="43">
        <v>-15.19</v>
      </c>
      <c r="G14" s="43">
        <v>-24.88</v>
      </c>
      <c r="H14" s="43">
        <v>-125.54</v>
      </c>
      <c r="I14" s="43">
        <v>-18.18</v>
      </c>
      <c r="J14" s="43">
        <v>-10.69</v>
      </c>
      <c r="K14" s="43">
        <v>-4</v>
      </c>
      <c r="L14" s="47">
        <v>-1</v>
      </c>
    </row>
    <row r="15" spans="1:12" x14ac:dyDescent="0.3">
      <c r="A15" s="80" t="s">
        <v>158</v>
      </c>
      <c r="B15" s="3"/>
      <c r="C15" s="3"/>
      <c r="D15" s="3"/>
      <c r="E15" s="3"/>
      <c r="F15" s="43"/>
      <c r="G15" s="43"/>
      <c r="H15" s="43"/>
      <c r="I15" s="43"/>
      <c r="J15" s="43"/>
      <c r="K15" s="43"/>
      <c r="L15" s="42"/>
    </row>
    <row r="16" spans="1:12" x14ac:dyDescent="0.3">
      <c r="A16" s="80" t="s">
        <v>159</v>
      </c>
      <c r="B16" s="3"/>
      <c r="C16" s="3">
        <v>4.71</v>
      </c>
      <c r="D16" s="3">
        <v>13.55</v>
      </c>
      <c r="E16" s="3">
        <v>26.58</v>
      </c>
      <c r="F16" s="43">
        <v>3.91</v>
      </c>
      <c r="G16" s="43"/>
      <c r="H16" s="43"/>
      <c r="I16" s="43">
        <v>21.24</v>
      </c>
      <c r="J16" s="43">
        <v>8.2899999999999991</v>
      </c>
      <c r="K16" s="43">
        <v>14</v>
      </c>
      <c r="L16" s="48">
        <v>9</v>
      </c>
    </row>
    <row r="17" spans="1:12" x14ac:dyDescent="0.3">
      <c r="A17" s="80" t="s">
        <v>160</v>
      </c>
      <c r="B17" s="3"/>
      <c r="C17" s="3"/>
      <c r="D17" s="3"/>
      <c r="E17" s="3"/>
      <c r="F17" s="43"/>
      <c r="G17" s="43"/>
      <c r="H17" s="43"/>
      <c r="I17" s="43"/>
      <c r="J17" s="43"/>
      <c r="K17" s="43"/>
      <c r="L17" s="48"/>
    </row>
    <row r="18" spans="1:12" x14ac:dyDescent="0.3">
      <c r="A18" s="80" t="s">
        <v>161</v>
      </c>
      <c r="B18" s="42"/>
      <c r="C18" s="42"/>
      <c r="D18" s="42"/>
      <c r="E18" s="42"/>
      <c r="F18" s="43"/>
      <c r="G18" s="43"/>
      <c r="H18" s="43"/>
      <c r="I18" s="43"/>
      <c r="J18" s="43"/>
      <c r="K18" s="43"/>
      <c r="L18" s="42"/>
    </row>
    <row r="19" spans="1:12" x14ac:dyDescent="0.3">
      <c r="A19" s="80" t="s">
        <v>162</v>
      </c>
      <c r="B19" s="42"/>
      <c r="C19" s="42"/>
      <c r="D19" s="42"/>
      <c r="E19" s="42"/>
      <c r="F19" s="43"/>
      <c r="G19" s="43"/>
      <c r="H19" s="43"/>
      <c r="I19" s="43"/>
      <c r="J19" s="43"/>
      <c r="K19" s="43"/>
      <c r="L19" s="42"/>
    </row>
    <row r="20" spans="1:12" x14ac:dyDescent="0.3">
      <c r="A20" s="80" t="s">
        <v>163</v>
      </c>
      <c r="B20" s="3"/>
      <c r="C20" s="3"/>
      <c r="D20" s="3"/>
      <c r="E20" s="3"/>
      <c r="F20" s="43"/>
      <c r="G20" s="43"/>
      <c r="H20" s="43"/>
      <c r="I20" s="43"/>
      <c r="J20" s="43"/>
      <c r="K20" s="43"/>
      <c r="L20" s="47"/>
    </row>
    <row r="21" spans="1:12" x14ac:dyDescent="0.3">
      <c r="A21" s="80" t="s">
        <v>164</v>
      </c>
      <c r="B21" s="3"/>
      <c r="C21" s="3"/>
      <c r="D21" s="3"/>
      <c r="E21" s="3"/>
      <c r="F21" s="43"/>
      <c r="G21" s="43"/>
      <c r="H21" s="43"/>
      <c r="I21" s="43"/>
      <c r="J21" s="43"/>
      <c r="K21" s="43"/>
      <c r="L21" s="44"/>
    </row>
    <row r="22" spans="1:12" x14ac:dyDescent="0.3">
      <c r="A22" s="80" t="s">
        <v>165</v>
      </c>
      <c r="B22" s="3"/>
      <c r="C22" s="3"/>
      <c r="D22" s="3"/>
      <c r="E22" s="3">
        <v>-14.89</v>
      </c>
      <c r="F22" s="43">
        <v>-12.75</v>
      </c>
      <c r="G22" s="43">
        <v>-49.23</v>
      </c>
      <c r="H22" s="45">
        <v>-99.21</v>
      </c>
      <c r="I22" s="45">
        <v>-27.49</v>
      </c>
      <c r="J22" s="43">
        <v>-25.62</v>
      </c>
      <c r="K22" s="43">
        <v>-216</v>
      </c>
      <c r="L22" s="42">
        <v>20</v>
      </c>
    </row>
    <row r="23" spans="1:12" x14ac:dyDescent="0.3">
      <c r="A23" s="80" t="s">
        <v>166</v>
      </c>
      <c r="B23" s="3"/>
      <c r="C23" s="3"/>
      <c r="D23" s="3"/>
      <c r="E23" s="3"/>
      <c r="F23" s="43"/>
      <c r="G23" s="43"/>
      <c r="H23" s="43"/>
      <c r="I23" s="43"/>
      <c r="J23" s="43"/>
      <c r="K23" s="43"/>
      <c r="L23" s="44"/>
    </row>
    <row r="24" spans="1:12" x14ac:dyDescent="0.3">
      <c r="A24" s="80" t="s">
        <v>167</v>
      </c>
      <c r="B24" s="3"/>
      <c r="C24" s="3"/>
      <c r="D24" s="3"/>
      <c r="E24" s="3"/>
      <c r="F24" s="43"/>
      <c r="G24" s="43"/>
      <c r="H24" s="43"/>
      <c r="I24" s="43"/>
      <c r="J24" s="43"/>
      <c r="K24" s="43"/>
      <c r="L24" s="47"/>
    </row>
    <row r="25" spans="1:12" x14ac:dyDescent="0.3">
      <c r="A25" s="80" t="s">
        <v>168</v>
      </c>
      <c r="B25" s="3"/>
      <c r="C25" s="3"/>
      <c r="D25" s="3"/>
      <c r="E25" s="3"/>
      <c r="F25" s="43"/>
      <c r="G25" s="43"/>
      <c r="H25" s="43"/>
      <c r="I25" s="43"/>
      <c r="J25" s="43"/>
      <c r="K25" s="43"/>
      <c r="L25" s="47"/>
    </row>
    <row r="26" spans="1:12" x14ac:dyDescent="0.3">
      <c r="A26" s="80" t="s">
        <v>169</v>
      </c>
      <c r="B26" s="3"/>
      <c r="C26" s="3"/>
      <c r="D26" s="3"/>
      <c r="E26" s="3"/>
      <c r="F26" s="43"/>
      <c r="G26" s="43"/>
      <c r="H26" s="43"/>
      <c r="I26" s="43"/>
      <c r="J26" s="43"/>
      <c r="K26" s="43"/>
      <c r="L26" s="44"/>
    </row>
    <row r="27" spans="1:12" x14ac:dyDescent="0.3">
      <c r="A27" s="80" t="s">
        <v>170</v>
      </c>
      <c r="B27" s="3"/>
      <c r="C27" s="3"/>
      <c r="D27" s="3"/>
      <c r="E27" s="3"/>
      <c r="F27" s="43"/>
      <c r="G27" s="43"/>
      <c r="H27" s="43"/>
      <c r="I27" s="43"/>
      <c r="J27" s="43"/>
      <c r="K27" s="43"/>
      <c r="L27" s="44"/>
    </row>
    <row r="28" spans="1:12" x14ac:dyDescent="0.3">
      <c r="A28" s="80"/>
      <c r="B28" s="42"/>
      <c r="C28" s="42"/>
      <c r="D28" s="42"/>
      <c r="E28" s="42"/>
      <c r="F28" s="43"/>
      <c r="G28" s="43"/>
      <c r="H28" s="43"/>
      <c r="I28" s="43"/>
      <c r="J28" s="43"/>
      <c r="K28" s="43"/>
      <c r="L28" s="42"/>
    </row>
    <row r="29" spans="1:12" x14ac:dyDescent="0.3">
      <c r="A29" s="79" t="s">
        <v>171</v>
      </c>
      <c r="B29" s="42"/>
      <c r="C29" s="42"/>
      <c r="D29" s="42"/>
      <c r="E29" s="42"/>
      <c r="F29" s="43"/>
      <c r="G29" s="43"/>
      <c r="H29" s="43"/>
      <c r="I29" s="43"/>
      <c r="J29" s="43"/>
      <c r="K29" s="43"/>
      <c r="L29" s="42"/>
    </row>
    <row r="30" spans="1:12" x14ac:dyDescent="0.3">
      <c r="A30" s="80" t="s">
        <v>172</v>
      </c>
      <c r="B30" s="3">
        <v>-1091.4100000000001</v>
      </c>
      <c r="C30" s="3">
        <v>2.98</v>
      </c>
      <c r="D30" s="3">
        <v>32.64</v>
      </c>
      <c r="E30" s="3">
        <v>-158.71</v>
      </c>
      <c r="F30" s="43">
        <v>1115.8</v>
      </c>
      <c r="G30" s="43">
        <v>-251.33</v>
      </c>
      <c r="H30" s="43">
        <v>322.57</v>
      </c>
      <c r="I30" s="43">
        <v>-190.96</v>
      </c>
      <c r="J30" s="43">
        <v>116.25</v>
      </c>
      <c r="K30" s="43">
        <v>-880</v>
      </c>
      <c r="L30" s="47">
        <v>-509</v>
      </c>
    </row>
    <row r="31" spans="1:12" x14ac:dyDescent="0.3">
      <c r="A31" s="81" t="s">
        <v>173</v>
      </c>
      <c r="B31" s="3">
        <v>264.06</v>
      </c>
      <c r="C31" s="3">
        <v>-87.53</v>
      </c>
      <c r="D31" s="3">
        <v>-928.31</v>
      </c>
      <c r="E31" s="3">
        <v>647.01</v>
      </c>
      <c r="F31" s="43">
        <v>424.37</v>
      </c>
      <c r="G31" s="43">
        <v>-118.6</v>
      </c>
      <c r="H31" s="43">
        <v>-411.61</v>
      </c>
      <c r="I31" s="43">
        <v>-275.01</v>
      </c>
      <c r="J31" s="43">
        <v>182.6</v>
      </c>
      <c r="K31" s="43">
        <v>-607</v>
      </c>
      <c r="L31" s="42">
        <v>-237</v>
      </c>
    </row>
    <row r="32" spans="1:12" x14ac:dyDescent="0.3">
      <c r="A32" s="80" t="s">
        <v>174</v>
      </c>
      <c r="B32" s="3"/>
      <c r="C32" s="3"/>
      <c r="D32" s="3"/>
      <c r="E32" s="3"/>
      <c r="F32" s="43"/>
      <c r="G32" s="43"/>
      <c r="H32" s="43"/>
      <c r="I32" s="43"/>
      <c r="J32" s="43"/>
      <c r="K32" s="43"/>
      <c r="L32" s="44"/>
    </row>
    <row r="33" spans="1:14" ht="28.8" x14ac:dyDescent="0.3">
      <c r="A33" s="80" t="s">
        <v>175</v>
      </c>
      <c r="B33" s="3"/>
      <c r="C33" s="3"/>
      <c r="D33" s="3"/>
      <c r="E33" s="3"/>
      <c r="F33" s="43"/>
      <c r="G33" s="43"/>
      <c r="H33" s="43"/>
      <c r="I33" s="43"/>
      <c r="J33" s="43"/>
      <c r="K33" s="43"/>
      <c r="L33" s="47"/>
    </row>
    <row r="34" spans="1:14" x14ac:dyDescent="0.3">
      <c r="A34" s="80" t="s">
        <v>176</v>
      </c>
      <c r="B34" s="42"/>
      <c r="C34" s="42"/>
      <c r="D34" s="42"/>
      <c r="E34" s="42"/>
      <c r="F34" s="43"/>
      <c r="G34" s="43"/>
      <c r="H34" s="43"/>
      <c r="I34" s="43"/>
      <c r="J34" s="43"/>
      <c r="K34" s="43"/>
      <c r="L34" s="42"/>
    </row>
    <row r="35" spans="1:14" ht="28.8" x14ac:dyDescent="0.3">
      <c r="A35" s="80" t="s">
        <v>177</v>
      </c>
      <c r="B35" s="3">
        <v>-881.01</v>
      </c>
      <c r="C35" s="3">
        <v>464.06</v>
      </c>
      <c r="D35" s="3">
        <v>-222</v>
      </c>
      <c r="E35" s="3">
        <v>-553.49</v>
      </c>
      <c r="F35" s="43">
        <v>-329.89</v>
      </c>
      <c r="G35" s="43">
        <v>-199.18</v>
      </c>
      <c r="H35" s="43">
        <v>-125.33</v>
      </c>
      <c r="I35" s="43">
        <v>151.96</v>
      </c>
      <c r="J35" s="43">
        <v>24.46</v>
      </c>
      <c r="K35" s="43">
        <v>837</v>
      </c>
      <c r="L35" s="44">
        <v>67</v>
      </c>
    </row>
    <row r="36" spans="1:14" x14ac:dyDescent="0.3">
      <c r="A36" s="80" t="s">
        <v>178</v>
      </c>
      <c r="B36" s="3"/>
      <c r="C36" s="3"/>
      <c r="D36" s="3"/>
      <c r="E36" s="3"/>
      <c r="F36" s="43"/>
      <c r="G36" s="43"/>
      <c r="H36" s="43"/>
      <c r="I36" s="43"/>
      <c r="J36" s="43"/>
      <c r="K36" s="43"/>
      <c r="L36" s="44"/>
    </row>
    <row r="37" spans="1:14" x14ac:dyDescent="0.3">
      <c r="A37" s="80" t="s">
        <v>179</v>
      </c>
      <c r="B37" s="3"/>
      <c r="C37" s="3"/>
      <c r="D37" s="3"/>
      <c r="E37" s="3"/>
      <c r="F37" s="43"/>
      <c r="G37" s="43"/>
      <c r="H37" s="43"/>
      <c r="I37" s="43"/>
      <c r="J37" s="43"/>
      <c r="K37" s="43"/>
      <c r="L37" s="44"/>
    </row>
    <row r="38" spans="1:14" x14ac:dyDescent="0.3">
      <c r="A38" s="82"/>
      <c r="B38" s="42"/>
      <c r="C38" s="42"/>
      <c r="D38" s="42"/>
      <c r="E38" s="42"/>
      <c r="F38" s="43"/>
      <c r="G38" s="43"/>
      <c r="H38" s="43"/>
      <c r="I38" s="43"/>
      <c r="J38" s="43"/>
      <c r="K38" s="43"/>
      <c r="L38" s="49"/>
    </row>
    <row r="39" spans="1:14" x14ac:dyDescent="0.3">
      <c r="A39" s="80" t="s">
        <v>180</v>
      </c>
      <c r="B39" s="3">
        <v>-358.43</v>
      </c>
      <c r="C39" s="3">
        <v>-230.68</v>
      </c>
      <c r="D39" s="3">
        <v>-361.22</v>
      </c>
      <c r="E39" s="3">
        <v>-364.54</v>
      </c>
      <c r="F39" s="43">
        <v>-451.57</v>
      </c>
      <c r="G39" s="43">
        <v>-514.70000000000005</v>
      </c>
      <c r="H39" s="43">
        <v>-484.91</v>
      </c>
      <c r="I39" s="43">
        <v>-147.79</v>
      </c>
      <c r="J39" s="43">
        <v>-96.33</v>
      </c>
      <c r="K39" s="43">
        <v>-263</v>
      </c>
      <c r="L39" s="47">
        <v>-407</v>
      </c>
    </row>
    <row r="40" spans="1:14" x14ac:dyDescent="0.3">
      <c r="A40" s="83" t="s">
        <v>181</v>
      </c>
      <c r="B40" s="50">
        <v>223.34</v>
      </c>
      <c r="C40" s="50">
        <v>2337.63</v>
      </c>
      <c r="D40" s="50">
        <v>1273.57</v>
      </c>
      <c r="E40" s="50">
        <v>2331.94</v>
      </c>
      <c r="F40" s="50">
        <v>3530.92</v>
      </c>
      <c r="G40" s="50">
        <v>1870.14</v>
      </c>
      <c r="H40" s="50">
        <v>1581.29</v>
      </c>
      <c r="I40" s="50">
        <v>1780.09</v>
      </c>
      <c r="J40" s="50">
        <v>2037.3</v>
      </c>
      <c r="K40" s="50">
        <v>1645</v>
      </c>
      <c r="L40" s="50">
        <v>2971</v>
      </c>
    </row>
    <row r="41" spans="1:14" x14ac:dyDescent="0.3">
      <c r="A41" s="83" t="s">
        <v>182</v>
      </c>
      <c r="B41" s="42"/>
      <c r="C41" s="42"/>
      <c r="D41" s="42"/>
      <c r="E41" s="42"/>
      <c r="F41" s="43"/>
      <c r="G41" s="43"/>
      <c r="H41" s="43"/>
      <c r="I41" s="43"/>
      <c r="J41" s="43"/>
      <c r="K41" s="43"/>
      <c r="L41" s="42"/>
    </row>
    <row r="42" spans="1:14" x14ac:dyDescent="0.3">
      <c r="A42" s="80" t="s">
        <v>183</v>
      </c>
      <c r="B42" s="3">
        <v>-625.72</v>
      </c>
      <c r="C42" s="3">
        <v>-702.62</v>
      </c>
      <c r="D42" s="3">
        <v>-605.6</v>
      </c>
      <c r="E42" s="3">
        <v>-689.62</v>
      </c>
      <c r="F42" s="51">
        <v>-645.29999999999995</v>
      </c>
      <c r="G42" s="51">
        <v>-750.32</v>
      </c>
      <c r="H42" s="43">
        <v>-1082.3</v>
      </c>
      <c r="I42" s="43">
        <v>-1199.42</v>
      </c>
      <c r="J42" s="43">
        <v>-1241.93</v>
      </c>
      <c r="K42" s="43">
        <v>-1277</v>
      </c>
      <c r="L42" s="58">
        <v>-1578</v>
      </c>
      <c r="N42" s="52"/>
    </row>
    <row r="43" spans="1:14" ht="28.8" x14ac:dyDescent="0.3">
      <c r="A43" s="80" t="s">
        <v>184</v>
      </c>
      <c r="B43" s="3"/>
      <c r="C43" s="3"/>
      <c r="D43" s="3"/>
      <c r="E43" s="3"/>
      <c r="F43" s="51"/>
      <c r="G43" s="51"/>
      <c r="H43" s="43"/>
      <c r="I43" s="43"/>
      <c r="J43" s="43"/>
      <c r="K43" s="43"/>
      <c r="L43" s="47"/>
      <c r="N43" s="52"/>
    </row>
    <row r="44" spans="1:14" x14ac:dyDescent="0.3">
      <c r="A44" s="80" t="s">
        <v>185</v>
      </c>
      <c r="B44" s="3">
        <v>41.52</v>
      </c>
      <c r="C44" s="3">
        <v>108.81</v>
      </c>
      <c r="D44" s="3">
        <v>40.69</v>
      </c>
      <c r="E44" s="3">
        <v>3.11</v>
      </c>
      <c r="F44" s="51">
        <v>2.4</v>
      </c>
      <c r="G44" s="51">
        <v>19.72</v>
      </c>
      <c r="H44" s="43">
        <v>2.78</v>
      </c>
      <c r="I44" s="43">
        <v>29.93</v>
      </c>
      <c r="J44" s="43">
        <v>8.4499999999999993</v>
      </c>
      <c r="K44" s="43">
        <v>12</v>
      </c>
      <c r="L44" s="44">
        <v>34</v>
      </c>
      <c r="N44" s="52"/>
    </row>
    <row r="45" spans="1:14" ht="28.8" x14ac:dyDescent="0.3">
      <c r="A45" s="80" t="s">
        <v>186</v>
      </c>
      <c r="B45" s="3"/>
      <c r="C45" s="3"/>
      <c r="D45" s="3"/>
      <c r="E45" s="3"/>
      <c r="F45" s="51"/>
      <c r="G45" s="51"/>
      <c r="H45" s="43"/>
      <c r="I45" s="43"/>
      <c r="J45" s="43"/>
      <c r="K45" s="43"/>
      <c r="L45" s="44"/>
      <c r="N45" s="52"/>
    </row>
    <row r="46" spans="1:14" x14ac:dyDescent="0.3">
      <c r="A46" s="80" t="s">
        <v>187</v>
      </c>
      <c r="B46" s="3">
        <f>9788.63-9765.65</f>
        <v>22.979999999999563</v>
      </c>
      <c r="C46" s="3">
        <f>10589.73-10595.08</f>
        <v>-5.3500000000003638</v>
      </c>
      <c r="D46" s="3">
        <f>19326.64-19324.44</f>
        <v>2.2000000000007276</v>
      </c>
      <c r="E46" s="3">
        <f>12797.38-12801.26</f>
        <v>-3.8800000000010186</v>
      </c>
      <c r="F46" s="51">
        <f>11019.18-11230.3</f>
        <v>-211.11999999999898</v>
      </c>
      <c r="G46" s="51">
        <f>14944.94-14766.7</f>
        <v>178.23999999999978</v>
      </c>
      <c r="H46" s="43">
        <f>15232.91-17206.24</f>
        <v>-1973.3300000000017</v>
      </c>
      <c r="I46" s="43">
        <f>8875.68-8085.67</f>
        <v>790.01000000000022</v>
      </c>
      <c r="J46" s="43">
        <f>4023.73-3925.01</f>
        <v>98.7199999999998</v>
      </c>
      <c r="K46" s="43">
        <f>5220-4923</f>
        <v>297</v>
      </c>
      <c r="L46" s="58">
        <f>4636-4485</f>
        <v>151</v>
      </c>
      <c r="N46" s="52"/>
    </row>
    <row r="47" spans="1:14" x14ac:dyDescent="0.3">
      <c r="A47" s="80" t="s">
        <v>188</v>
      </c>
      <c r="B47" s="3"/>
      <c r="C47" s="3"/>
      <c r="D47" s="3"/>
      <c r="E47" s="3"/>
      <c r="F47" s="51"/>
      <c r="G47" s="51"/>
      <c r="H47" s="43"/>
      <c r="I47" s="43"/>
      <c r="J47" s="43"/>
      <c r="K47" s="43"/>
      <c r="L47" s="53"/>
      <c r="N47" s="52"/>
    </row>
    <row r="48" spans="1:14" x14ac:dyDescent="0.3">
      <c r="A48" s="80" t="s">
        <v>189</v>
      </c>
      <c r="B48" s="3"/>
      <c r="C48" s="3"/>
      <c r="D48" s="3"/>
      <c r="E48" s="3"/>
      <c r="F48" s="51"/>
      <c r="G48" s="51"/>
      <c r="H48" s="43"/>
      <c r="I48" s="43"/>
      <c r="J48" s="43"/>
      <c r="K48" s="43"/>
      <c r="L48" s="53"/>
      <c r="N48" s="52"/>
    </row>
    <row r="49" spans="1:15" x14ac:dyDescent="0.3">
      <c r="A49" s="80" t="s">
        <v>190</v>
      </c>
      <c r="B49" s="3">
        <v>-2.89</v>
      </c>
      <c r="C49" s="3">
        <v>-0.5</v>
      </c>
      <c r="D49" s="3">
        <v>-9</v>
      </c>
      <c r="E49" s="3">
        <v>-5.12</v>
      </c>
      <c r="F49" s="51">
        <v>-0.5</v>
      </c>
      <c r="G49" s="51">
        <v>937.38</v>
      </c>
      <c r="H49" s="43">
        <v>3.69</v>
      </c>
      <c r="I49" s="43"/>
      <c r="J49" s="43">
        <v>-198.9</v>
      </c>
      <c r="K49" s="43">
        <v>-133</v>
      </c>
      <c r="L49" s="44">
        <v>-150</v>
      </c>
      <c r="N49" s="52"/>
    </row>
    <row r="50" spans="1:15" x14ac:dyDescent="0.3">
      <c r="A50" s="80" t="s">
        <v>191</v>
      </c>
      <c r="B50" s="42"/>
      <c r="C50" s="42"/>
      <c r="D50" s="42"/>
      <c r="E50" s="42"/>
      <c r="F50" s="51"/>
      <c r="G50" s="42"/>
      <c r="H50" s="43"/>
      <c r="I50" s="43"/>
      <c r="J50" s="43"/>
      <c r="K50" s="43"/>
      <c r="L50" s="44"/>
    </row>
    <row r="51" spans="1:15" x14ac:dyDescent="0.3">
      <c r="A51" s="80" t="s">
        <v>192</v>
      </c>
      <c r="B51" s="3"/>
      <c r="C51" s="3"/>
      <c r="D51" s="3"/>
      <c r="E51" s="3"/>
      <c r="F51" s="51"/>
      <c r="G51" s="51"/>
      <c r="H51" s="43"/>
      <c r="I51" s="43"/>
      <c r="J51" s="43"/>
      <c r="K51" s="43"/>
      <c r="L51" s="44"/>
      <c r="N51" s="52"/>
    </row>
    <row r="52" spans="1:15" x14ac:dyDescent="0.3">
      <c r="A52" s="80" t="s">
        <v>193</v>
      </c>
      <c r="B52" s="3">
        <v>16.84</v>
      </c>
      <c r="C52" s="3">
        <v>65.58</v>
      </c>
      <c r="D52" s="3">
        <v>38.33</v>
      </c>
      <c r="E52" s="3">
        <v>11.06</v>
      </c>
      <c r="F52" s="51">
        <v>8.01</v>
      </c>
      <c r="G52" s="51">
        <v>22.49</v>
      </c>
      <c r="H52" s="43">
        <v>85.55</v>
      </c>
      <c r="I52" s="43">
        <v>60.13</v>
      </c>
      <c r="J52" s="43">
        <v>55.22</v>
      </c>
      <c r="K52" s="43">
        <v>40</v>
      </c>
      <c r="L52" s="44">
        <v>48</v>
      </c>
      <c r="N52" s="52"/>
    </row>
    <row r="53" spans="1:15" x14ac:dyDescent="0.3">
      <c r="A53" s="80" t="s">
        <v>194</v>
      </c>
      <c r="B53" s="42"/>
      <c r="C53" s="42"/>
      <c r="D53" s="42"/>
      <c r="E53" s="42"/>
      <c r="F53" s="51"/>
      <c r="G53" s="51"/>
      <c r="H53" s="43"/>
      <c r="I53" s="43"/>
      <c r="J53" s="43"/>
      <c r="K53" s="43"/>
      <c r="L53" s="42"/>
      <c r="N53" s="52"/>
    </row>
    <row r="54" spans="1:15" x14ac:dyDescent="0.3">
      <c r="A54" s="80" t="s">
        <v>195</v>
      </c>
      <c r="B54" s="3"/>
      <c r="C54" s="3"/>
      <c r="D54" s="3"/>
      <c r="E54" s="3"/>
      <c r="F54" s="51"/>
      <c r="G54" s="51"/>
      <c r="H54" s="43"/>
      <c r="I54" s="43"/>
      <c r="J54" s="43"/>
      <c r="K54" s="43"/>
      <c r="L54" s="42"/>
      <c r="N54" s="52"/>
    </row>
    <row r="55" spans="1:15" x14ac:dyDescent="0.3">
      <c r="A55" s="83" t="s">
        <v>196</v>
      </c>
      <c r="B55" s="50">
        <v>-238.74</v>
      </c>
      <c r="C55" s="50">
        <v>-472.73</v>
      </c>
      <c r="D55" s="50">
        <v>-655.20000000000005</v>
      </c>
      <c r="E55" s="50">
        <v>-488.67</v>
      </c>
      <c r="F55" s="50">
        <v>-983.24</v>
      </c>
      <c r="G55" s="50">
        <v>2707.01</v>
      </c>
      <c r="H55" s="50">
        <v>-1958.19</v>
      </c>
      <c r="I55" s="50">
        <v>-2368.23</v>
      </c>
      <c r="J55" s="50">
        <v>-1130.31</v>
      </c>
      <c r="K55" s="50">
        <v>-836</v>
      </c>
      <c r="L55" s="50">
        <v>-1186</v>
      </c>
      <c r="N55" s="54"/>
    </row>
    <row r="56" spans="1:15" x14ac:dyDescent="0.3">
      <c r="A56" s="83" t="s">
        <v>197</v>
      </c>
      <c r="B56" s="42"/>
      <c r="C56" s="42"/>
      <c r="D56" s="42"/>
      <c r="E56" s="42"/>
      <c r="F56" s="43"/>
      <c r="G56" s="43"/>
      <c r="H56" s="43"/>
      <c r="I56" s="43"/>
      <c r="J56" s="43"/>
      <c r="K56" s="43"/>
      <c r="L56" s="42"/>
    </row>
    <row r="57" spans="1:15" x14ac:dyDescent="0.3">
      <c r="A57" s="80" t="s">
        <v>198</v>
      </c>
      <c r="B57" s="3"/>
      <c r="C57" s="3"/>
      <c r="D57" s="3"/>
      <c r="E57" s="3"/>
      <c r="F57" s="51"/>
      <c r="G57" s="51"/>
      <c r="H57" s="43"/>
      <c r="I57" s="43"/>
      <c r="J57" s="43"/>
      <c r="K57" s="43"/>
      <c r="L57" s="44"/>
    </row>
    <row r="58" spans="1:15" x14ac:dyDescent="0.3">
      <c r="A58" s="80" t="s">
        <v>199</v>
      </c>
      <c r="B58" s="3"/>
      <c r="C58" s="3"/>
      <c r="D58" s="3"/>
      <c r="E58" s="3"/>
      <c r="F58" s="51"/>
      <c r="G58" s="51"/>
      <c r="H58" s="43"/>
      <c r="I58" s="43"/>
      <c r="J58" s="43"/>
      <c r="K58" s="43"/>
      <c r="L58" s="44"/>
    </row>
    <row r="59" spans="1:15" x14ac:dyDescent="0.3">
      <c r="A59" s="80" t="s">
        <v>200</v>
      </c>
      <c r="B59" s="3"/>
      <c r="C59" s="3"/>
      <c r="D59" s="3"/>
      <c r="E59" s="3"/>
      <c r="F59" s="51"/>
      <c r="G59" s="51"/>
      <c r="H59" s="43"/>
      <c r="I59" s="43"/>
      <c r="J59" s="43"/>
      <c r="K59" s="43"/>
      <c r="L59" s="53"/>
      <c r="O59" s="52"/>
    </row>
    <row r="60" spans="1:15" x14ac:dyDescent="0.3">
      <c r="A60" s="80" t="s">
        <v>201</v>
      </c>
      <c r="B60" s="3"/>
      <c r="C60" s="3"/>
      <c r="D60" s="3"/>
      <c r="E60" s="3"/>
      <c r="F60" s="51"/>
      <c r="G60" s="51">
        <v>-19.18</v>
      </c>
      <c r="H60" s="43">
        <v>-4.75</v>
      </c>
      <c r="I60" s="43">
        <v>-87.39</v>
      </c>
      <c r="J60" s="43">
        <v>-105.7</v>
      </c>
      <c r="K60" s="43">
        <v>-109</v>
      </c>
      <c r="L60" s="47">
        <v>-119</v>
      </c>
    </row>
    <row r="61" spans="1:15" x14ac:dyDescent="0.3">
      <c r="A61" s="80" t="s">
        <v>202</v>
      </c>
      <c r="B61" s="42"/>
      <c r="C61" s="42"/>
      <c r="D61" s="42"/>
      <c r="E61" s="42"/>
      <c r="F61" s="51"/>
      <c r="G61" s="51"/>
      <c r="H61" s="43"/>
      <c r="I61" s="43"/>
      <c r="J61" s="43"/>
      <c r="K61" s="43"/>
      <c r="L61" s="47"/>
    </row>
    <row r="62" spans="1:15" x14ac:dyDescent="0.3">
      <c r="A62" s="80" t="s">
        <v>23</v>
      </c>
      <c r="B62" s="3">
        <v>-464.05</v>
      </c>
      <c r="C62" s="3">
        <v>-579.79</v>
      </c>
      <c r="D62" s="3">
        <v>-442.96</v>
      </c>
      <c r="E62" s="3">
        <v>-620.19000000000005</v>
      </c>
      <c r="F62" s="51">
        <v>-445.56</v>
      </c>
      <c r="G62" s="51">
        <v>-324.31</v>
      </c>
      <c r="H62" s="43">
        <v>-293.85000000000002</v>
      </c>
      <c r="I62" s="43">
        <v>-308.95999999999998</v>
      </c>
      <c r="J62" s="43">
        <v>-345.87</v>
      </c>
      <c r="K62" s="43">
        <v>-255</v>
      </c>
      <c r="L62" s="47">
        <v>-344</v>
      </c>
    </row>
    <row r="63" spans="1:15" x14ac:dyDescent="0.3">
      <c r="A63" s="83" t="s">
        <v>203</v>
      </c>
      <c r="B63" s="50">
        <v>130.33000000000001</v>
      </c>
      <c r="C63" s="50">
        <v>-1865.27</v>
      </c>
      <c r="D63" s="50">
        <v>-1087.3</v>
      </c>
      <c r="E63" s="50">
        <v>-1801.66</v>
      </c>
      <c r="F63" s="50">
        <v>-2340.38</v>
      </c>
      <c r="G63" s="50">
        <v>-2089.46</v>
      </c>
      <c r="H63" s="50">
        <v>-1711.83</v>
      </c>
      <c r="I63" s="50">
        <v>-129.26</v>
      </c>
      <c r="J63" s="50">
        <v>-1455.65</v>
      </c>
      <c r="K63" s="50">
        <v>-755</v>
      </c>
      <c r="L63" s="50">
        <v>-2076</v>
      </c>
    </row>
    <row r="64" spans="1:15" x14ac:dyDescent="0.3">
      <c r="A64" s="83" t="s">
        <v>204</v>
      </c>
      <c r="B64" s="55">
        <v>114.93</v>
      </c>
      <c r="C64" s="55">
        <v>-0.37</v>
      </c>
      <c r="D64" s="55">
        <v>-468.93</v>
      </c>
      <c r="E64" s="55">
        <v>41.61</v>
      </c>
      <c r="F64" s="55">
        <v>207.3</v>
      </c>
      <c r="G64" s="55">
        <v>2487.69</v>
      </c>
      <c r="H64" s="55">
        <v>-2088.73</v>
      </c>
      <c r="I64" s="55">
        <v>-717.4</v>
      </c>
      <c r="J64" s="55">
        <v>-548.66</v>
      </c>
      <c r="K64" s="55">
        <v>54</v>
      </c>
      <c r="L64" s="55">
        <v>-291</v>
      </c>
    </row>
    <row r="65" spans="1:12" x14ac:dyDescent="0.3">
      <c r="A65" s="80" t="s">
        <v>205</v>
      </c>
      <c r="B65" s="3">
        <v>1678.03</v>
      </c>
      <c r="C65" s="3">
        <v>1826.49</v>
      </c>
      <c r="D65" s="3">
        <v>1735.98</v>
      </c>
      <c r="E65" s="3">
        <v>1179.0899999999999</v>
      </c>
      <c r="F65" s="3">
        <v>1246.69</v>
      </c>
      <c r="G65" s="3">
        <v>1451.45</v>
      </c>
      <c r="H65" s="3">
        <v>3945.93</v>
      </c>
      <c r="I65" s="3">
        <v>1888.38</v>
      </c>
      <c r="J65" s="3">
        <v>1254.26</v>
      </c>
      <c r="K65" s="3">
        <v>689</v>
      </c>
      <c r="L65" s="56">
        <v>762</v>
      </c>
    </row>
    <row r="66" spans="1:12" x14ac:dyDescent="0.3">
      <c r="A66" s="83" t="s">
        <v>207</v>
      </c>
      <c r="B66" s="59">
        <v>1841.35</v>
      </c>
      <c r="C66" s="59">
        <v>1735.98</v>
      </c>
      <c r="D66" s="59">
        <v>1258.96</v>
      </c>
      <c r="E66" s="59">
        <v>1246.69</v>
      </c>
      <c r="F66" s="59">
        <v>1451.45</v>
      </c>
      <c r="G66" s="59">
        <v>3945.93</v>
      </c>
      <c r="H66" s="59">
        <v>1888.38</v>
      </c>
      <c r="I66" s="59">
        <v>1254.26</v>
      </c>
      <c r="J66" s="59">
        <v>689.34</v>
      </c>
      <c r="K66" s="59">
        <v>762</v>
      </c>
      <c r="L66" s="60">
        <v>508</v>
      </c>
    </row>
    <row r="67" spans="1:12" x14ac:dyDescent="0.3">
      <c r="A67" s="80" t="s">
        <v>206</v>
      </c>
      <c r="B67" s="42"/>
      <c r="C67" s="42"/>
      <c r="D67" s="42"/>
      <c r="E67" s="42"/>
      <c r="F67" s="43"/>
      <c r="G67" s="43"/>
      <c r="H67" s="42"/>
      <c r="I67" s="42"/>
      <c r="J67" s="42"/>
      <c r="K67" s="57"/>
      <c r="L67" s="42"/>
    </row>
    <row r="68" spans="1:12" x14ac:dyDescent="0.3">
      <c r="A68" s="84"/>
      <c r="B68" s="42"/>
      <c r="C68" s="42"/>
      <c r="D68" s="42"/>
      <c r="E68" s="42"/>
      <c r="F68" s="43"/>
      <c r="G68" s="43"/>
      <c r="H68" s="42"/>
      <c r="I68" s="42"/>
      <c r="J68" s="42"/>
      <c r="K68" s="42"/>
      <c r="L68" s="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BB8A-823B-47B1-B941-56C4D5D2AB47}">
  <dimension ref="A1:P49"/>
  <sheetViews>
    <sheetView topLeftCell="A3" workbookViewId="0">
      <pane xSplit="1" topLeftCell="B1" activePane="topRight" state="frozen"/>
      <selection activeCell="A9" sqref="A9"/>
      <selection pane="topRight" activeCell="B28" sqref="B28"/>
    </sheetView>
  </sheetViews>
  <sheetFormatPr defaultRowHeight="14.4" x14ac:dyDescent="0.3"/>
  <cols>
    <col min="1" max="1" width="42.6640625" bestFit="1" customWidth="1"/>
    <col min="2" max="12" width="10.109375" bestFit="1" customWidth="1"/>
    <col min="15" max="15" width="23.21875" bestFit="1" customWidth="1"/>
    <col min="16" max="16" width="9.6640625" bestFit="1" customWidth="1"/>
  </cols>
  <sheetData>
    <row r="1" spans="1:12" ht="18" x14ac:dyDescent="0.3">
      <c r="A1" s="25" t="s">
        <v>111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6" x14ac:dyDescent="0.3">
      <c r="A2" s="26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">
      <c r="A5" s="19" t="s">
        <v>1</v>
      </c>
      <c r="B5" s="24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146</v>
      </c>
      <c r="K5" s="24" t="s">
        <v>11</v>
      </c>
      <c r="L5" s="24" t="s">
        <v>147</v>
      </c>
    </row>
    <row r="6" spans="1:12" x14ac:dyDescent="0.3">
      <c r="A6" s="27" t="s">
        <v>14</v>
      </c>
      <c r="B6" s="38">
        <f>'Incomee Statement'!B4</f>
        <v>15182.14</v>
      </c>
      <c r="C6" s="38">
        <f>'Incomee Statement'!C4</f>
        <v>16227.41</v>
      </c>
      <c r="D6" s="38">
        <f>'Incomee Statement'!D4</f>
        <v>17569.22</v>
      </c>
      <c r="E6" s="38">
        <f>'Incomee Statement'!E4</f>
        <v>15220.23</v>
      </c>
      <c r="F6" s="38">
        <f>'Incomee Statement'!F4</f>
        <v>13288.92</v>
      </c>
      <c r="G6" s="38">
        <f>'Incomee Statement'!G4</f>
        <v>10345.36</v>
      </c>
      <c r="H6" s="38">
        <f>'Incomee Statement'!H4</f>
        <v>11296.33</v>
      </c>
      <c r="I6" s="38">
        <f>'Incomee Statement'!I4</f>
        <v>10356.75</v>
      </c>
      <c r="J6" s="38">
        <f>'Incomee Statement'!J4</f>
        <v>10199.799999999999</v>
      </c>
      <c r="K6" s="38">
        <f>'Incomee Statement'!K4</f>
        <v>12622</v>
      </c>
      <c r="L6" s="38">
        <f>'Incomee Statement'!L4</f>
        <v>16789</v>
      </c>
    </row>
    <row r="7" spans="1:12" x14ac:dyDescent="0.3">
      <c r="A7" s="27" t="s">
        <v>15</v>
      </c>
      <c r="B7" s="38">
        <f>'Incomee Statement'!B5</f>
        <v>417.78</v>
      </c>
      <c r="C7" s="38">
        <f>'Incomee Statement'!C5</f>
        <v>142.41999999999999</v>
      </c>
      <c r="D7" s="38">
        <f>'Incomee Statement'!D5</f>
        <v>117.97</v>
      </c>
      <c r="E7" s="38">
        <f>'Incomee Statement'!E5</f>
        <v>125.26</v>
      </c>
      <c r="F7" s="38">
        <f>'Incomee Statement'!F5</f>
        <v>166.12</v>
      </c>
      <c r="G7" s="38">
        <f>'Incomee Statement'!G5</f>
        <v>159.46</v>
      </c>
      <c r="H7" s="38">
        <f>'Incomee Statement'!H5</f>
        <v>411.64</v>
      </c>
      <c r="I7" s="38">
        <f>'Incomee Statement'!I5</f>
        <v>311.12</v>
      </c>
      <c r="J7" s="38">
        <f>'Incomee Statement'!J5</f>
        <v>234.42</v>
      </c>
      <c r="K7" s="38">
        <f>'Incomee Statement'!K5</f>
        <v>256</v>
      </c>
      <c r="L7" s="38">
        <f>'Incomee Statement'!L5</f>
        <v>218</v>
      </c>
    </row>
    <row r="8" spans="1:12" x14ac:dyDescent="0.3">
      <c r="A8" s="28" t="s">
        <v>112</v>
      </c>
      <c r="B8" s="31">
        <f>B6+B7</f>
        <v>15599.92</v>
      </c>
      <c r="C8" s="31">
        <f t="shared" ref="C8:L8" si="0">C6+C7</f>
        <v>16369.83</v>
      </c>
      <c r="D8" s="31">
        <f t="shared" si="0"/>
        <v>17687.190000000002</v>
      </c>
      <c r="E8" s="31">
        <f t="shared" si="0"/>
        <v>15345.49</v>
      </c>
      <c r="F8" s="31">
        <f t="shared" si="0"/>
        <v>13455.04</v>
      </c>
      <c r="G8" s="31">
        <f t="shared" si="0"/>
        <v>10504.82</v>
      </c>
      <c r="H8" s="31">
        <f t="shared" si="0"/>
        <v>11707.97</v>
      </c>
      <c r="I8" s="31">
        <f t="shared" si="0"/>
        <v>10667.87</v>
      </c>
      <c r="J8" s="31">
        <f t="shared" si="0"/>
        <v>10434.219999999999</v>
      </c>
      <c r="K8" s="31">
        <f t="shared" si="0"/>
        <v>12878</v>
      </c>
      <c r="L8" s="31">
        <f t="shared" si="0"/>
        <v>17007</v>
      </c>
    </row>
    <row r="9" spans="1:12" x14ac:dyDescent="0.3">
      <c r="A9" s="28" t="s">
        <v>113</v>
      </c>
      <c r="B9" s="31">
        <f>'Incomee Statement'!B12</f>
        <v>1125.53</v>
      </c>
      <c r="C9" s="31">
        <f>'Incomee Statement'!C12</f>
        <v>1214.53</v>
      </c>
      <c r="D9" s="31">
        <f>'Incomee Statement'!D12</f>
        <v>1255.77</v>
      </c>
      <c r="E9" s="31">
        <f>'Incomee Statement'!E12</f>
        <v>1271.2</v>
      </c>
      <c r="F9" s="31">
        <f>'Incomee Statement'!F12</f>
        <v>1297.23</v>
      </c>
      <c r="G9" s="31">
        <f>'Incomee Statement'!G12</f>
        <v>1270.23</v>
      </c>
      <c r="H9" s="31">
        <f>'Incomee Statement'!H12</f>
        <v>1351.8</v>
      </c>
      <c r="I9" s="31">
        <f>'Incomee Statement'!I12</f>
        <v>1375.37</v>
      </c>
      <c r="J9" s="31">
        <f>'Incomee Statement'!J12</f>
        <v>1399.74</v>
      </c>
      <c r="K9" s="31">
        <f>'Incomee Statement'!K12</f>
        <v>1540</v>
      </c>
      <c r="L9" s="31">
        <f>'Incomee Statement'!L12</f>
        <v>1691</v>
      </c>
    </row>
    <row r="10" spans="1:12" x14ac:dyDescent="0.3">
      <c r="A10" s="28" t="s">
        <v>114</v>
      </c>
      <c r="B10" s="31">
        <f>'Incomee Statement'!B17</f>
        <v>5771.81</v>
      </c>
      <c r="C10" s="31">
        <f>'Incomee Statement'!C17</f>
        <v>6598.36</v>
      </c>
      <c r="D10" s="31">
        <f>'Incomee Statement'!D17</f>
        <v>6814.09</v>
      </c>
      <c r="E10" s="31">
        <f>'Incomee Statement'!E17</f>
        <v>5564.6</v>
      </c>
      <c r="F10" s="31">
        <f>'Incomee Statement'!F17</f>
        <v>5276.44</v>
      </c>
      <c r="G10" s="31">
        <f>'Incomee Statement'!G17</f>
        <v>5053.26</v>
      </c>
      <c r="H10" s="31">
        <f>'Incomee Statement'!H17</f>
        <v>5711.79</v>
      </c>
      <c r="I10" s="31">
        <f>'Incomee Statement'!I17</f>
        <v>5063.8100000000004</v>
      </c>
      <c r="J10" s="31">
        <f>'Incomee Statement'!J17</f>
        <v>4902.5</v>
      </c>
      <c r="K10" s="31">
        <f>'Incomee Statement'!K17</f>
        <v>2222</v>
      </c>
      <c r="L10" s="31">
        <f>'Incomee Statement'!L17</f>
        <v>2821</v>
      </c>
    </row>
    <row r="11" spans="1:12" x14ac:dyDescent="0.3">
      <c r="A11" s="21" t="s">
        <v>115</v>
      </c>
      <c r="B11" s="31">
        <f>B8-B9-B10</f>
        <v>8702.5799999999981</v>
      </c>
      <c r="C11" s="31">
        <f t="shared" ref="C11:L11" si="1">C8-C9-C10</f>
        <v>8556.9399999999987</v>
      </c>
      <c r="D11" s="31">
        <f t="shared" si="1"/>
        <v>9617.3300000000017</v>
      </c>
      <c r="E11" s="31">
        <f t="shared" si="1"/>
        <v>8509.6899999999987</v>
      </c>
      <c r="F11" s="31">
        <f t="shared" si="1"/>
        <v>6881.3700000000017</v>
      </c>
      <c r="G11" s="31">
        <f t="shared" si="1"/>
        <v>4181.33</v>
      </c>
      <c r="H11" s="31">
        <f t="shared" si="1"/>
        <v>4644.38</v>
      </c>
      <c r="I11" s="31">
        <f t="shared" si="1"/>
        <v>4228.6899999999996</v>
      </c>
      <c r="J11" s="31">
        <f t="shared" si="1"/>
        <v>4131.9799999999996</v>
      </c>
      <c r="K11" s="31">
        <f t="shared" si="1"/>
        <v>9116</v>
      </c>
      <c r="L11" s="31">
        <f t="shared" si="1"/>
        <v>12495</v>
      </c>
    </row>
    <row r="12" spans="1:12" x14ac:dyDescent="0.3">
      <c r="A12" s="7" t="s">
        <v>116</v>
      </c>
      <c r="B12" s="28">
        <f>'Incomee Statement'!B16</f>
        <v>533.88</v>
      </c>
      <c r="C12" s="28">
        <f>'Incomee Statement'!C16</f>
        <v>471.24</v>
      </c>
      <c r="D12" s="28">
        <f>'Incomee Statement'!D16</f>
        <v>463.14</v>
      </c>
      <c r="E12" s="28">
        <f>'Incomee Statement'!E16</f>
        <v>526.08000000000004</v>
      </c>
      <c r="F12" s="28">
        <f>'Incomee Statement'!F16</f>
        <v>534.73</v>
      </c>
      <c r="G12" s="28">
        <f>'Incomee Statement'!G16</f>
        <v>518.01</v>
      </c>
      <c r="H12" s="28">
        <f>'Incomee Statement'!H16</f>
        <v>571.39</v>
      </c>
      <c r="I12" s="28">
        <f>'Incomee Statement'!I16</f>
        <v>666.47</v>
      </c>
      <c r="J12" s="28">
        <f>'Incomee Statement'!J16</f>
        <v>759.32</v>
      </c>
      <c r="K12" s="28">
        <f>'Incomee Statement'!K16</f>
        <v>806</v>
      </c>
      <c r="L12" s="28">
        <f>'Incomee Statement'!L16</f>
        <v>892</v>
      </c>
    </row>
    <row r="13" spans="1:12" x14ac:dyDescent="0.3">
      <c r="A13" s="21" t="s">
        <v>117</v>
      </c>
      <c r="B13" s="31">
        <f>B11-B12</f>
        <v>8168.699999999998</v>
      </c>
      <c r="C13" s="31">
        <f t="shared" ref="C13:L13" si="2">C11-C12</f>
        <v>8085.6999999999989</v>
      </c>
      <c r="D13" s="31">
        <f t="shared" si="2"/>
        <v>9154.1900000000023</v>
      </c>
      <c r="E13" s="31">
        <f t="shared" si="2"/>
        <v>7983.6099999999988</v>
      </c>
      <c r="F13" s="31">
        <f t="shared" si="2"/>
        <v>6346.6400000000012</v>
      </c>
      <c r="G13" s="31">
        <f t="shared" si="2"/>
        <v>3663.3199999999997</v>
      </c>
      <c r="H13" s="31">
        <f t="shared" si="2"/>
        <v>4072.9900000000002</v>
      </c>
      <c r="I13" s="31">
        <f t="shared" si="2"/>
        <v>3562.2199999999993</v>
      </c>
      <c r="J13" s="31">
        <f t="shared" si="2"/>
        <v>3372.6599999999994</v>
      </c>
      <c r="K13" s="31">
        <f t="shared" si="2"/>
        <v>8310</v>
      </c>
      <c r="L13" s="31">
        <f t="shared" si="2"/>
        <v>11603</v>
      </c>
    </row>
    <row r="14" spans="1:12" x14ac:dyDescent="0.3">
      <c r="A14" s="7" t="s">
        <v>118</v>
      </c>
      <c r="B14" s="28">
        <f>'Incomee Statement'!B15</f>
        <v>463.91</v>
      </c>
      <c r="C14" s="28">
        <f>'Incomee Statement'!C15</f>
        <v>579.46</v>
      </c>
      <c r="D14" s="28">
        <f>'Incomee Statement'!D15</f>
        <v>454.03</v>
      </c>
      <c r="E14" s="28">
        <f>'Incomee Statement'!E15</f>
        <v>525.47</v>
      </c>
      <c r="F14" s="28">
        <f>'Incomee Statement'!F15</f>
        <v>411.16</v>
      </c>
      <c r="G14" s="28">
        <f>'Incomee Statement'!G15</f>
        <v>325.58</v>
      </c>
      <c r="H14" s="28">
        <f>'Incomee Statement'!H15</f>
        <v>363.1</v>
      </c>
      <c r="I14" s="28">
        <f>'Incomee Statement'!I15</f>
        <v>341.91</v>
      </c>
      <c r="J14" s="28">
        <f>'Incomee Statement'!J15</f>
        <v>367.37</v>
      </c>
      <c r="K14" s="28">
        <f>'Incomee Statement'!K15</f>
        <v>303</v>
      </c>
      <c r="L14" s="28">
        <f>'Incomee Statement'!L15</f>
        <v>406</v>
      </c>
    </row>
    <row r="15" spans="1:12" x14ac:dyDescent="0.3">
      <c r="A15" s="21" t="s">
        <v>119</v>
      </c>
      <c r="B15" s="31">
        <f>B13-B14</f>
        <v>7704.7899999999981</v>
      </c>
      <c r="C15" s="31">
        <f t="shared" ref="C15:L15" si="3">C13-C14</f>
        <v>7506.2399999999989</v>
      </c>
      <c r="D15" s="31">
        <f t="shared" si="3"/>
        <v>8700.1600000000017</v>
      </c>
      <c r="E15" s="31">
        <f t="shared" si="3"/>
        <v>7458.1399999999985</v>
      </c>
      <c r="F15" s="31">
        <f t="shared" si="3"/>
        <v>5935.4800000000014</v>
      </c>
      <c r="G15" s="31">
        <f t="shared" si="3"/>
        <v>3337.74</v>
      </c>
      <c r="H15" s="31">
        <f t="shared" si="3"/>
        <v>3709.8900000000003</v>
      </c>
      <c r="I15" s="31">
        <f t="shared" si="3"/>
        <v>3220.3099999999995</v>
      </c>
      <c r="J15" s="31">
        <f t="shared" si="3"/>
        <v>3005.2899999999995</v>
      </c>
      <c r="K15" s="31">
        <f t="shared" si="3"/>
        <v>8007</v>
      </c>
      <c r="L15" s="31">
        <f t="shared" si="3"/>
        <v>11197</v>
      </c>
    </row>
    <row r="16" spans="1:12" x14ac:dyDescent="0.3">
      <c r="A16" s="7" t="s">
        <v>120</v>
      </c>
      <c r="B16" s="39">
        <f>'Incomee Statement'!B29</f>
        <v>302.52</v>
      </c>
      <c r="C16" s="39">
        <f>'Incomee Statement'!C29</f>
        <v>288.77999999999997</v>
      </c>
      <c r="D16" s="39">
        <f>'Incomee Statement'!D29</f>
        <v>351.12</v>
      </c>
      <c r="E16" s="39">
        <f>'Incomee Statement'!E29</f>
        <v>248.38000000000002</v>
      </c>
      <c r="F16" s="39">
        <f>'Incomee Statement'!F29</f>
        <v>357.33</v>
      </c>
      <c r="G16" s="39">
        <f>'Incomee Statement'!G29</f>
        <v>60.129999999999995</v>
      </c>
      <c r="H16" s="39">
        <f>'Incomee Statement'!H29</f>
        <v>346.91999999999996</v>
      </c>
      <c r="I16" s="39">
        <f>'Incomee Statement'!I29</f>
        <v>219.64999999999998</v>
      </c>
      <c r="J16" s="39">
        <f>'Incomee Statement'!J29</f>
        <v>197.76999999999998</v>
      </c>
      <c r="K16" s="39">
        <f>'Incomee Statement'!K29</f>
        <v>267</v>
      </c>
      <c r="L16" s="39">
        <f>'Incomee Statement'!L29</f>
        <v>288</v>
      </c>
    </row>
    <row r="17" spans="1:16" x14ac:dyDescent="0.3">
      <c r="A17" s="21" t="s">
        <v>121</v>
      </c>
      <c r="B17" s="31">
        <f>B15-B16</f>
        <v>7402.2699999999986</v>
      </c>
      <c r="C17" s="31">
        <f t="shared" ref="C17:L17" si="4">C15-C16</f>
        <v>7217.4599999999991</v>
      </c>
      <c r="D17" s="31">
        <f t="shared" si="4"/>
        <v>8349.0400000000009</v>
      </c>
      <c r="E17" s="31">
        <f t="shared" si="4"/>
        <v>7209.7599999999984</v>
      </c>
      <c r="F17" s="31">
        <f t="shared" si="4"/>
        <v>5578.1500000000015</v>
      </c>
      <c r="G17" s="31">
        <f t="shared" si="4"/>
        <v>3277.6099999999997</v>
      </c>
      <c r="H17" s="31">
        <f t="shared" si="4"/>
        <v>3362.9700000000003</v>
      </c>
      <c r="I17" s="31">
        <f t="shared" si="4"/>
        <v>3000.6599999999994</v>
      </c>
      <c r="J17" s="31">
        <f t="shared" si="4"/>
        <v>2807.5199999999995</v>
      </c>
      <c r="K17" s="31">
        <f t="shared" si="4"/>
        <v>7740</v>
      </c>
      <c r="L17" s="31">
        <f t="shared" si="4"/>
        <v>10909</v>
      </c>
    </row>
    <row r="18" spans="1:16" x14ac:dyDescent="0.3">
      <c r="A18" s="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7"/>
    </row>
    <row r="19" spans="1:16" x14ac:dyDescent="0.3">
      <c r="A19" s="20" t="s">
        <v>122</v>
      </c>
      <c r="B19" s="31">
        <f>B6-B9</f>
        <v>14056.609999999999</v>
      </c>
      <c r="C19" s="31">
        <f t="shared" ref="C19:L19" si="5">C6-C9</f>
        <v>15012.88</v>
      </c>
      <c r="D19" s="31">
        <f t="shared" si="5"/>
        <v>16313.45</v>
      </c>
      <c r="E19" s="31">
        <f t="shared" si="5"/>
        <v>13949.029999999999</v>
      </c>
      <c r="F19" s="31">
        <f t="shared" si="5"/>
        <v>11991.69</v>
      </c>
      <c r="G19" s="31">
        <f t="shared" si="5"/>
        <v>9075.130000000001</v>
      </c>
      <c r="H19" s="31">
        <f t="shared" si="5"/>
        <v>9944.5300000000007</v>
      </c>
      <c r="I19" s="31">
        <f t="shared" si="5"/>
        <v>8981.380000000001</v>
      </c>
      <c r="J19" s="31">
        <f t="shared" si="5"/>
        <v>8800.06</v>
      </c>
      <c r="K19" s="31">
        <f t="shared" si="5"/>
        <v>11082</v>
      </c>
      <c r="L19" s="31">
        <f t="shared" si="5"/>
        <v>15098</v>
      </c>
    </row>
    <row r="20" spans="1:16" x14ac:dyDescent="0.3">
      <c r="A20" s="7" t="s">
        <v>123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O20" s="61" t="s">
        <v>208</v>
      </c>
      <c r="P20" s="62"/>
    </row>
    <row r="21" spans="1:16" ht="15.6" x14ac:dyDescent="0.3">
      <c r="A21" s="32" t="s">
        <v>124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O21" s="62"/>
      <c r="P21" s="62"/>
    </row>
    <row r="22" spans="1:16" x14ac:dyDescent="0.3">
      <c r="A22" s="22" t="s">
        <v>125</v>
      </c>
      <c r="B22" s="33">
        <f>B19/'Incomee Statement'!B4</f>
        <v>0.92586486490046849</v>
      </c>
      <c r="C22" s="33">
        <f>Ratio!C19/'Incomee Statement'!C4</f>
        <v>0.92515564714270482</v>
      </c>
      <c r="D22" s="33">
        <f>Ratio!D19/'Incomee Statement'!D4</f>
        <v>0.92852443079430957</v>
      </c>
      <c r="E22" s="33">
        <f>Ratio!E19/'Incomee Statement'!E4</f>
        <v>0.91647958013775077</v>
      </c>
      <c r="F22" s="33">
        <f>Ratio!F19/'Incomee Statement'!F4</f>
        <v>0.90238258639528268</v>
      </c>
      <c r="G22" s="33">
        <f>Ratio!G19/'Incomee Statement'!G4</f>
        <v>0.87721741921015806</v>
      </c>
      <c r="H22" s="33">
        <f>Ratio!H19/'Incomee Statement'!H4</f>
        <v>0.88033281605618818</v>
      </c>
      <c r="I22" s="33">
        <f>Ratio!I19/'Incomee Statement'!I4</f>
        <v>0.86720061795447423</v>
      </c>
      <c r="J22" s="33">
        <f>Ratio!J19/'Incomee Statement'!J4</f>
        <v>0.86276789740975313</v>
      </c>
      <c r="K22" s="33">
        <f>Ratio!K19/'Incomee Statement'!K4</f>
        <v>0.87799080969735388</v>
      </c>
      <c r="L22" s="33">
        <f>Ratio!L19/'Incomee Statement'!L4</f>
        <v>0.8992792900113169</v>
      </c>
      <c r="O22" s="63" t="s">
        <v>125</v>
      </c>
      <c r="P22" s="7" t="s">
        <v>209</v>
      </c>
    </row>
    <row r="23" spans="1:1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O23" s="23"/>
      <c r="P23" s="7"/>
    </row>
    <row r="24" spans="1:16" x14ac:dyDescent="0.3">
      <c r="A24" s="22" t="s">
        <v>126</v>
      </c>
      <c r="B24" s="33">
        <f>B17/'Incomee Statement'!B4</f>
        <v>0.48756433546258954</v>
      </c>
      <c r="C24" s="33">
        <f>C17/'Incomee Statement'!C4</f>
        <v>0.44476968290072161</v>
      </c>
      <c r="D24" s="33">
        <f>D17/'Incomee Statement'!D4</f>
        <v>0.47520834732560696</v>
      </c>
      <c r="E24" s="33">
        <f>E17/'Incomee Statement'!E4</f>
        <v>0.47369586399154273</v>
      </c>
      <c r="F24" s="33">
        <f>F17/'Incomee Statement'!F4</f>
        <v>0.41975946879054138</v>
      </c>
      <c r="G24" s="33">
        <f>G17/'Incomee Statement'!G4</f>
        <v>0.31681932769860105</v>
      </c>
      <c r="H24" s="33">
        <f>H17/'Incomee Statement'!H4</f>
        <v>0.29770465275005248</v>
      </c>
      <c r="I24" s="33">
        <f>I17/'Incomee Statement'!I4</f>
        <v>0.28972988630603225</v>
      </c>
      <c r="J24" s="33">
        <f>J17/'Incomee Statement'!J4</f>
        <v>0.2752524559305084</v>
      </c>
      <c r="K24" s="33">
        <f>K17/'Incomee Statement'!K4</f>
        <v>0.61321502139122164</v>
      </c>
      <c r="L24" s="33">
        <f>L17/'Incomee Statement'!L4</f>
        <v>0.64977068318541897</v>
      </c>
      <c r="O24" s="63" t="s">
        <v>126</v>
      </c>
      <c r="P24" s="7" t="s">
        <v>210</v>
      </c>
    </row>
    <row r="25" spans="1:16" x14ac:dyDescent="0.3">
      <c r="A25" s="7" t="s">
        <v>127</v>
      </c>
      <c r="B25" s="31">
        <f>'Balance Sheet'!B34</f>
        <v>20239.010000000002</v>
      </c>
      <c r="C25" s="31">
        <f>'Balance Sheet'!C34</f>
        <v>20210.399999999998</v>
      </c>
      <c r="D25" s="31">
        <f>'Balance Sheet'!D34</f>
        <v>24449.23</v>
      </c>
      <c r="E25" s="31">
        <f>'Balance Sheet'!E34</f>
        <v>24355.23</v>
      </c>
      <c r="F25" s="31">
        <f>'Balance Sheet'!F34</f>
        <v>23605.079999999994</v>
      </c>
      <c r="G25" s="31">
        <f>'Balance Sheet'!G34</f>
        <v>25878.639999999999</v>
      </c>
      <c r="H25" s="31">
        <f>'Balance Sheet'!H34</f>
        <v>26904.920000000002</v>
      </c>
      <c r="I25" s="31">
        <f>'Balance Sheet'!I34</f>
        <v>27688.75</v>
      </c>
      <c r="J25" s="31">
        <f>'Balance Sheet'!J34</f>
        <v>28337.200000000004</v>
      </c>
      <c r="K25" s="31">
        <f>'Balance Sheet'!K34</f>
        <v>33843</v>
      </c>
      <c r="L25" s="31">
        <f>'Balance Sheet'!L34</f>
        <v>35084</v>
      </c>
      <c r="O25" s="23"/>
      <c r="P25" s="7"/>
    </row>
    <row r="26" spans="1:16" x14ac:dyDescent="0.3">
      <c r="A26" s="34" t="s">
        <v>128</v>
      </c>
      <c r="B26" s="39">
        <f>'Balance Sheet'!B63</f>
        <v>6217.9500000000007</v>
      </c>
      <c r="C26" s="39">
        <f>'Balance Sheet'!C63</f>
        <v>5164.93</v>
      </c>
      <c r="D26" s="39">
        <f>'Balance Sheet'!D63</f>
        <v>6540.9600000000009</v>
      </c>
      <c r="E26" s="39">
        <f>'Balance Sheet'!E63</f>
        <v>5024.96</v>
      </c>
      <c r="F26" s="39">
        <f>'Balance Sheet'!F63</f>
        <v>5602.76</v>
      </c>
      <c r="G26" s="39">
        <f>'Balance Sheet'!G63</f>
        <v>3703.3300000000008</v>
      </c>
      <c r="H26" s="39">
        <f>'Balance Sheet'!H63</f>
        <v>3948.64</v>
      </c>
      <c r="I26" s="39">
        <f>'Balance Sheet'!I63</f>
        <v>7024.9</v>
      </c>
      <c r="J26" s="39">
        <f>'Balance Sheet'!J63</f>
        <v>4463.3599999999997</v>
      </c>
      <c r="K26" s="39">
        <f>'Balance Sheet'!K63</f>
        <v>7096</v>
      </c>
      <c r="L26" s="39">
        <f>'Balance Sheet'!L63</f>
        <v>4904</v>
      </c>
      <c r="O26" s="23"/>
      <c r="P26" s="7"/>
    </row>
    <row r="27" spans="1:16" x14ac:dyDescent="0.3">
      <c r="A27" s="7" t="s">
        <v>129</v>
      </c>
      <c r="B27" s="29">
        <f>B25-B26</f>
        <v>14021.060000000001</v>
      </c>
      <c r="C27" s="29">
        <f t="shared" ref="C27:L27" si="6">C25-C26</f>
        <v>15045.469999999998</v>
      </c>
      <c r="D27" s="29">
        <f t="shared" si="6"/>
        <v>17908.269999999997</v>
      </c>
      <c r="E27" s="29">
        <f t="shared" si="6"/>
        <v>19330.27</v>
      </c>
      <c r="F27" s="29">
        <f t="shared" si="6"/>
        <v>18002.319999999992</v>
      </c>
      <c r="G27" s="29">
        <f t="shared" si="6"/>
        <v>22175.309999999998</v>
      </c>
      <c r="H27" s="29">
        <f t="shared" si="6"/>
        <v>22956.280000000002</v>
      </c>
      <c r="I27" s="29">
        <f t="shared" si="6"/>
        <v>20663.849999999999</v>
      </c>
      <c r="J27" s="29">
        <f t="shared" si="6"/>
        <v>23873.840000000004</v>
      </c>
      <c r="K27" s="29">
        <f t="shared" si="6"/>
        <v>26747</v>
      </c>
      <c r="L27" s="29">
        <f t="shared" si="6"/>
        <v>30180</v>
      </c>
      <c r="O27" s="23"/>
      <c r="P27" s="7"/>
    </row>
    <row r="28" spans="1:16" x14ac:dyDescent="0.3">
      <c r="A28" s="22" t="s">
        <v>130</v>
      </c>
      <c r="B28" s="33">
        <f>B15/B27</f>
        <v>0.54951551451887359</v>
      </c>
      <c r="C28" s="33">
        <f t="shared" ref="C28:L28" si="7">C15/C27</f>
        <v>0.49890365671527709</v>
      </c>
      <c r="D28" s="33">
        <f t="shared" si="7"/>
        <v>0.48581800475422826</v>
      </c>
      <c r="E28" s="33">
        <f t="shared" si="7"/>
        <v>0.38582699569121376</v>
      </c>
      <c r="F28" s="33">
        <f t="shared" si="7"/>
        <v>0.32970639339818447</v>
      </c>
      <c r="G28" s="33">
        <f t="shared" si="7"/>
        <v>0.15051604690080997</v>
      </c>
      <c r="H28" s="33">
        <f t="shared" si="7"/>
        <v>0.16160675858632148</v>
      </c>
      <c r="I28" s="33">
        <f t="shared" si="7"/>
        <v>0.15584269146359461</v>
      </c>
      <c r="J28" s="33">
        <f t="shared" si="7"/>
        <v>0.1258821371006926</v>
      </c>
      <c r="K28" s="33">
        <f t="shared" si="7"/>
        <v>0.29936067596365945</v>
      </c>
      <c r="L28" s="33">
        <f t="shared" si="7"/>
        <v>0.37100728959575879</v>
      </c>
      <c r="O28" s="63" t="s">
        <v>211</v>
      </c>
      <c r="P28" s="7" t="s">
        <v>212</v>
      </c>
    </row>
    <row r="29" spans="1:1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O29" s="23"/>
      <c r="P29" s="7"/>
    </row>
    <row r="30" spans="1:16" x14ac:dyDescent="0.3">
      <c r="A30" s="22" t="s">
        <v>131</v>
      </c>
      <c r="B30" s="33">
        <f>B17/'Balance Sheet'!B34</f>
        <v>0.36574269195973508</v>
      </c>
      <c r="C30" s="33">
        <f>C17/'Balance Sheet'!C34</f>
        <v>0.35711613822586391</v>
      </c>
      <c r="D30" s="33">
        <f>D17/'Balance Sheet'!D34</f>
        <v>0.34148478295635493</v>
      </c>
      <c r="E30" s="33">
        <f>E17/'Balance Sheet'!E34</f>
        <v>0.29602512478839244</v>
      </c>
      <c r="F30" s="33">
        <f>F17/'Balance Sheet'!F34</f>
        <v>0.2363114211008818</v>
      </c>
      <c r="G30" s="33">
        <f>G17/'Balance Sheet'!G34</f>
        <v>0.12665310078118477</v>
      </c>
      <c r="H30" s="33">
        <f>H17/'Balance Sheet'!H34</f>
        <v>0.12499461065113741</v>
      </c>
      <c r="I30" s="33">
        <f>I17/'Balance Sheet'!I34</f>
        <v>0.10837108934133897</v>
      </c>
      <c r="J30" s="33">
        <f>J17/'Balance Sheet'!J34</f>
        <v>9.9075420295583153E-2</v>
      </c>
      <c r="K30" s="33">
        <f>K17/'Balance Sheet'!K34</f>
        <v>0.22870312915521673</v>
      </c>
      <c r="L30" s="33">
        <f>L17/'Balance Sheet'!L34</f>
        <v>0.31093945958271579</v>
      </c>
      <c r="O30" s="63" t="s">
        <v>131</v>
      </c>
      <c r="P30" s="7" t="s">
        <v>213</v>
      </c>
    </row>
    <row r="31" spans="1:1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O31" s="23"/>
      <c r="P31" s="7"/>
    </row>
    <row r="32" spans="1:16" x14ac:dyDescent="0.3">
      <c r="A32" s="22" t="s">
        <v>132</v>
      </c>
      <c r="B32" s="33">
        <f>B17/'Balance Sheet'!B40</f>
        <v>1.0651207965811471</v>
      </c>
      <c r="C32" s="33">
        <f>C17/'Balance Sheet'!C40</f>
        <v>1.1602271759102227</v>
      </c>
      <c r="D32" s="33">
        <f>D17/'Balance Sheet'!D40</f>
        <v>0.92134047831345522</v>
      </c>
      <c r="E32" s="33">
        <f>E17/'Balance Sheet'!E40</f>
        <v>0.76271319125167403</v>
      </c>
      <c r="F32" s="33">
        <f>F17/'Balance Sheet'!F40</f>
        <v>0.52963170792612724</v>
      </c>
      <c r="G32" s="33">
        <f>G17/'Balance Sheet'!G40</f>
        <v>0.23718364815647008</v>
      </c>
      <c r="H32" s="33">
        <f>H17/'Balance Sheet'!H40</f>
        <v>0.22043676102554155</v>
      </c>
      <c r="I32" s="33">
        <f>I17/'Balance Sheet'!I40</f>
        <v>0.2196446492058298</v>
      </c>
      <c r="J32" s="33">
        <f>J17/'Balance Sheet'!J40</f>
        <v>0.18540577986431628</v>
      </c>
      <c r="K32" s="33">
        <f>K17/'Balance Sheet'!K40</f>
        <v>0.4040298585373493</v>
      </c>
      <c r="L32" s="33">
        <f>L17/'Balance Sheet'!L40</f>
        <v>0.52848561185931597</v>
      </c>
      <c r="O32" s="63" t="s">
        <v>132</v>
      </c>
      <c r="P32" s="7" t="s">
        <v>210</v>
      </c>
    </row>
    <row r="33" spans="1:1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O33" s="23"/>
      <c r="P33" s="7"/>
    </row>
    <row r="34" spans="1:16" ht="15.6" x14ac:dyDescent="0.3">
      <c r="A34" s="32" t="s">
        <v>133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O34" s="23"/>
      <c r="P34" s="7"/>
    </row>
    <row r="35" spans="1:16" x14ac:dyDescent="0.3">
      <c r="A35" s="22" t="s">
        <v>134</v>
      </c>
      <c r="B35" s="35">
        <f>B6/'Balance Sheet'!B25</f>
        <v>4.4132973265234332</v>
      </c>
      <c r="C35" s="35">
        <f>C6/'Balance Sheet'!C25</f>
        <v>4.9687710509877885</v>
      </c>
      <c r="D35" s="35">
        <f>D6/'Balance Sheet'!D25</f>
        <v>4.9554972640604733</v>
      </c>
      <c r="E35" s="35">
        <f>E6/'Balance Sheet'!E25</f>
        <v>4.2686667208889455</v>
      </c>
      <c r="F35" s="35">
        <f>F6/'Balance Sheet'!F25</f>
        <v>6.3633586324131493</v>
      </c>
      <c r="G35" s="35">
        <f>G6/'Balance Sheet'!G25</f>
        <v>7.9101432875078386</v>
      </c>
      <c r="H35" s="35">
        <f>H6/'Balance Sheet'!H25</f>
        <v>7.7771635111876076</v>
      </c>
      <c r="I35" s="35">
        <f>I6/'Balance Sheet'!I25</f>
        <v>6.5552369740240009</v>
      </c>
      <c r="J35" s="35">
        <f>J6/'Balance Sheet'!J25</f>
        <v>7.3012691572595356</v>
      </c>
      <c r="K35" s="35">
        <f>K6/'Balance Sheet'!K25</f>
        <v>6.5297465080186239</v>
      </c>
      <c r="L35" s="35">
        <f>L6/'Balance Sheet'!L25</f>
        <v>6.3909402360106586</v>
      </c>
      <c r="O35" s="63" t="s">
        <v>134</v>
      </c>
      <c r="P35" s="7" t="s">
        <v>214</v>
      </c>
    </row>
    <row r="36" spans="1:16" x14ac:dyDescent="0.3">
      <c r="A36" s="22" t="s">
        <v>135</v>
      </c>
      <c r="B36" s="29">
        <f>B6/'Balance Sheet'!B34</f>
        <v>0.75014242297424616</v>
      </c>
      <c r="C36" s="29">
        <f>C6/'Balance Sheet'!C34</f>
        <v>0.80292374223172236</v>
      </c>
      <c r="D36" s="29">
        <f>D6/'Balance Sheet'!D34</f>
        <v>0.71860013587339977</v>
      </c>
      <c r="E36" s="29">
        <f>E6/'Balance Sheet'!E34</f>
        <v>0.62492655581573242</v>
      </c>
      <c r="F36" s="29">
        <f>F6/'Balance Sheet'!F34</f>
        <v>0.56296864912129096</v>
      </c>
      <c r="G36" s="29">
        <f>G6/'Balance Sheet'!G34</f>
        <v>0.39976443893496727</v>
      </c>
      <c r="H36" s="29">
        <f>H6/'Balance Sheet'!H34</f>
        <v>0.41986112577179191</v>
      </c>
      <c r="I36" s="29">
        <f>I6/'Balance Sheet'!I34</f>
        <v>0.37404180398176157</v>
      </c>
      <c r="J36" s="29">
        <f>J6/'Balance Sheet'!J34</f>
        <v>0.35994381943170101</v>
      </c>
      <c r="K36" s="29">
        <f>K6/'Balance Sheet'!K34</f>
        <v>0.37295748012883018</v>
      </c>
      <c r="L36" s="29">
        <f>L6/'Balance Sheet'!L34</f>
        <v>0.47853722494584428</v>
      </c>
      <c r="O36" s="63" t="s">
        <v>135</v>
      </c>
      <c r="P36" s="7" t="s">
        <v>215</v>
      </c>
    </row>
    <row r="37" spans="1:1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O37" s="23"/>
      <c r="P37" s="7"/>
    </row>
    <row r="38" spans="1:16" ht="18" x14ac:dyDescent="0.3">
      <c r="A38" s="25" t="s">
        <v>136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O38" s="23"/>
      <c r="P38" s="7"/>
    </row>
    <row r="39" spans="1:16" x14ac:dyDescent="0.3">
      <c r="A39" s="22" t="s">
        <v>137</v>
      </c>
      <c r="B39" s="35">
        <f>'Balance Sheet'!B34/'Balance Sheet'!B63</f>
        <v>3.2549328958901245</v>
      </c>
      <c r="C39" s="35">
        <f>'Balance Sheet'!C34/'Balance Sheet'!C63</f>
        <v>3.9130055973653075</v>
      </c>
      <c r="D39" s="35">
        <f>'Balance Sheet'!D34/'Balance Sheet'!D63</f>
        <v>3.7378656955553917</v>
      </c>
      <c r="E39" s="35">
        <f>'Balance Sheet'!E34/'Balance Sheet'!E63</f>
        <v>4.8468505221932112</v>
      </c>
      <c r="F39" s="35">
        <f>'Balance Sheet'!F34/'Balance Sheet'!F63</f>
        <v>4.2131163926350572</v>
      </c>
      <c r="G39" s="35">
        <f>'Balance Sheet'!G34/'Balance Sheet'!G63</f>
        <v>6.9879378829323864</v>
      </c>
      <c r="H39" s="35">
        <f>'Balance Sheet'!H34/'Balance Sheet'!H63</f>
        <v>6.8137181409295362</v>
      </c>
      <c r="I39" s="35">
        <f>'Balance Sheet'!I34/'Balance Sheet'!I63</f>
        <v>3.9415151817107721</v>
      </c>
      <c r="J39" s="35">
        <f>'Balance Sheet'!J34/'Balance Sheet'!J63</f>
        <v>6.3488492973903083</v>
      </c>
      <c r="K39" s="35">
        <f>'Balance Sheet'!K34/'Balance Sheet'!K63</f>
        <v>4.7693066516347242</v>
      </c>
      <c r="L39" s="35">
        <f>'Balance Sheet'!L34/'Balance Sheet'!L63</f>
        <v>7.1541598694942907</v>
      </c>
      <c r="O39" s="63" t="s">
        <v>137</v>
      </c>
      <c r="P39" s="7" t="s">
        <v>216</v>
      </c>
    </row>
    <row r="40" spans="1:16" x14ac:dyDescent="0.3">
      <c r="A40" s="22" t="s">
        <v>138</v>
      </c>
      <c r="B40" s="35">
        <f>'Balance Sheet'!B50/'Balance Sheet'!B34</f>
        <v>0.34939258392579475</v>
      </c>
      <c r="C40" s="35">
        <f>'Balance Sheet'!C50/'Balance Sheet'!C34</f>
        <v>0.43664351027193926</v>
      </c>
      <c r="D40" s="35">
        <f>'Balance Sheet'!D50/'Balance Sheet'!D34</f>
        <v>0.36182857292438242</v>
      </c>
      <c r="E40" s="35">
        <f>'Balance Sheet'!E50/'Balance Sheet'!E34</f>
        <v>0.4055592987625245</v>
      </c>
      <c r="F40" s="35">
        <f>'Balance Sheet'!F50/'Balance Sheet'!F34</f>
        <v>0.31646535406785331</v>
      </c>
      <c r="G40" s="35">
        <f>'Balance Sheet'!G50/'Balance Sheet'!G34</f>
        <v>0.32290877727732209</v>
      </c>
      <c r="H40" s="35">
        <f>'Balance Sheet'!H50/'Balance Sheet'!H34</f>
        <v>0.28620564565886092</v>
      </c>
      <c r="I40" s="35">
        <f>'Balance Sheet'!I50/'Balance Sheet'!I34</f>
        <v>0.25289765699065503</v>
      </c>
      <c r="J40" s="35">
        <f>'Balance Sheet'!J50/'Balance Sheet'!J34</f>
        <v>0.30812042121310501</v>
      </c>
      <c r="K40" s="35">
        <f>'Balance Sheet'!K50/'Balance Sheet'!K34</f>
        <v>0.22427089797003813</v>
      </c>
      <c r="L40" s="35">
        <f>'Balance Sheet'!L50/'Balance Sheet'!L34</f>
        <v>0.27186181735263937</v>
      </c>
      <c r="O40" s="63" t="s">
        <v>138</v>
      </c>
      <c r="P40" s="7" t="s">
        <v>217</v>
      </c>
    </row>
    <row r="41" spans="1:16" x14ac:dyDescent="0.3">
      <c r="A41" s="22" t="s">
        <v>139</v>
      </c>
      <c r="B41" s="35">
        <f>'Balance Sheet'!B50/'Balance Sheet'!B40</f>
        <v>1.0175057916169044</v>
      </c>
      <c r="C41" s="35">
        <f>'Balance Sheet'!C50/'Balance Sheet'!C40</f>
        <v>1.4186019968717498</v>
      </c>
      <c r="D41" s="35">
        <f>'Balance Sheet'!D50/'Balance Sheet'!D40</f>
        <v>0.97622888949705555</v>
      </c>
      <c r="E41" s="35">
        <f>'Balance Sheet'!E50/'Balance Sheet'!E40</f>
        <v>1.0449296397461911</v>
      </c>
      <c r="F41" s="35">
        <f>'Balance Sheet'!F50/'Balance Sheet'!F40</f>
        <v>0.7092762812460538</v>
      </c>
      <c r="G41" s="35">
        <f>'Balance Sheet'!G50/'Balance Sheet'!G40</f>
        <v>0.60471225215954705</v>
      </c>
      <c r="H41" s="35">
        <f>'Balance Sheet'!H50/'Balance Sheet'!H40</f>
        <v>0.50474372605031215</v>
      </c>
      <c r="I41" s="35">
        <f>'Balance Sheet'!I50/'Balance Sheet'!I40</f>
        <v>0.51256859640608632</v>
      </c>
      <c r="J41" s="35">
        <f>'Balance Sheet'!J50/'Balance Sheet'!J40</f>
        <v>0.57660423560861862</v>
      </c>
      <c r="K41" s="35">
        <f>'Balance Sheet'!K50/'Balance Sheet'!K40</f>
        <v>0.39619982251918356</v>
      </c>
      <c r="L41" s="35">
        <f>'Balance Sheet'!L50/'Balance Sheet'!L40</f>
        <v>0.46206762910570681</v>
      </c>
      <c r="O41" s="63" t="s">
        <v>139</v>
      </c>
      <c r="P41" s="7" t="s">
        <v>217</v>
      </c>
    </row>
    <row r="42" spans="1:16" x14ac:dyDescent="0.3">
      <c r="A42" s="22" t="s">
        <v>140</v>
      </c>
      <c r="B42" s="29">
        <f>B13/'Incomee Statement'!B15</f>
        <v>17.608372313595304</v>
      </c>
      <c r="C42" s="29">
        <f>C13/'Incomee Statement'!C15</f>
        <v>13.953853587823144</v>
      </c>
      <c r="D42" s="29">
        <f>D13/'Incomee Statement'!D15</f>
        <v>20.162081800762071</v>
      </c>
      <c r="E42" s="29">
        <f>E13/'Incomee Statement'!E15</f>
        <v>15.193274592269775</v>
      </c>
      <c r="F42" s="29">
        <f>F13/'Incomee Statement'!F15</f>
        <v>15.435937347991052</v>
      </c>
      <c r="G42" s="29">
        <f>G13/'Incomee Statement'!G15</f>
        <v>11.251673935745439</v>
      </c>
      <c r="H42" s="29">
        <f>H13/'Incomee Statement'!H15</f>
        <v>11.217267970256128</v>
      </c>
      <c r="I42" s="29">
        <f>I13/'Incomee Statement'!I15</f>
        <v>10.418589687344619</v>
      </c>
      <c r="J42" s="29">
        <f>J13/'Incomee Statement'!J15</f>
        <v>9.1805536652421242</v>
      </c>
      <c r="K42" s="29">
        <f>K13/'Incomee Statement'!K15</f>
        <v>27.425742574257427</v>
      </c>
      <c r="L42" s="29">
        <f>L13/'Incomee Statement'!L15</f>
        <v>28.578817733990149</v>
      </c>
      <c r="O42" s="63" t="s">
        <v>140</v>
      </c>
      <c r="P42" s="7" t="s">
        <v>218</v>
      </c>
    </row>
    <row r="43" spans="1:16" x14ac:dyDescent="0.3">
      <c r="A43" s="3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O43" s="23"/>
      <c r="P43" s="7"/>
    </row>
    <row r="44" spans="1:1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O44" s="23"/>
      <c r="P44" s="7"/>
    </row>
    <row r="45" spans="1:16" ht="18" x14ac:dyDescent="0.3">
      <c r="A45" s="25" t="s">
        <v>141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O45" s="23"/>
      <c r="P45" s="7"/>
    </row>
    <row r="46" spans="1:16" x14ac:dyDescent="0.3">
      <c r="A46" s="22" t="s">
        <v>142</v>
      </c>
      <c r="B46" s="30">
        <f>'Incomee Statement'!B37</f>
        <v>15.72</v>
      </c>
      <c r="C46" s="30">
        <f>'Incomee Statement'!C37</f>
        <v>-40.51</v>
      </c>
      <c r="D46" s="30">
        <f>'Incomee Statement'!D37</f>
        <v>23.41</v>
      </c>
      <c r="E46" s="30">
        <f>'Incomee Statement'!E37</f>
        <v>38.979999999999997</v>
      </c>
      <c r="F46" s="30">
        <f>'Incomee Statement'!F37</f>
        <v>38.979999999999997</v>
      </c>
      <c r="G46" s="30">
        <f>'Incomee Statement'!G37</f>
        <v>95.51</v>
      </c>
      <c r="H46" s="30">
        <f>'Incomee Statement'!H37</f>
        <v>45.38</v>
      </c>
      <c r="I46" s="30">
        <f>'Incomee Statement'!I37</f>
        <v>275.02</v>
      </c>
      <c r="J46" s="30">
        <f>'Incomee Statement'!J37</f>
        <v>10.06</v>
      </c>
      <c r="K46" s="30">
        <f>'Incomee Statement'!K37</f>
        <v>49.37</v>
      </c>
      <c r="L46" s="30">
        <f>'Incomee Statement'!L37</f>
        <v>90.95</v>
      </c>
      <c r="O46" s="63" t="s">
        <v>143</v>
      </c>
      <c r="P46" s="7" t="s">
        <v>219</v>
      </c>
    </row>
    <row r="47" spans="1:16" x14ac:dyDescent="0.3">
      <c r="A47" s="22" t="s">
        <v>143</v>
      </c>
      <c r="B47" s="35">
        <f>993/B46</f>
        <v>63.167938931297705</v>
      </c>
      <c r="C47" s="35">
        <f t="shared" ref="C47:L47" si="8">993/C46</f>
        <v>-24.512466057763515</v>
      </c>
      <c r="D47" s="35">
        <f t="shared" si="8"/>
        <v>42.417770183682187</v>
      </c>
      <c r="E47" s="35">
        <f t="shared" si="8"/>
        <v>25.474602360184711</v>
      </c>
      <c r="F47" s="35">
        <f t="shared" si="8"/>
        <v>25.474602360184711</v>
      </c>
      <c r="G47" s="35">
        <f t="shared" si="8"/>
        <v>10.396817087215998</v>
      </c>
      <c r="H47" s="35">
        <f t="shared" si="8"/>
        <v>21.881886293521372</v>
      </c>
      <c r="I47" s="35">
        <f t="shared" si="8"/>
        <v>3.6106464984364774</v>
      </c>
      <c r="J47" s="35">
        <f t="shared" si="8"/>
        <v>98.707753479125245</v>
      </c>
      <c r="K47" s="35">
        <f t="shared" si="8"/>
        <v>20.113429208021067</v>
      </c>
      <c r="L47" s="35">
        <f t="shared" si="8"/>
        <v>10.91808686091259</v>
      </c>
    </row>
    <row r="48" spans="1:16" x14ac:dyDescent="0.3">
      <c r="A48" s="22" t="s">
        <v>144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</row>
    <row r="49" spans="1:12" x14ac:dyDescent="0.3">
      <c r="A49" s="23" t="s">
        <v>145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37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Incomee Statement</vt:lpstr>
      <vt:lpstr>Balance Sheet</vt:lpstr>
      <vt:lpstr>Cash flow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Rubesh</dc:creator>
  <cp:lastModifiedBy>Sam Rubesh</cp:lastModifiedBy>
  <dcterms:created xsi:type="dcterms:W3CDTF">2023-07-13T07:33:21Z</dcterms:created>
  <dcterms:modified xsi:type="dcterms:W3CDTF">2023-07-24T14:51:54Z</dcterms:modified>
</cp:coreProperties>
</file>