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a98f55eb55150b/Desktop/"/>
    </mc:Choice>
  </mc:AlternateContent>
  <xr:revisionPtr revIDLastSave="4" documentId="13_ncr:1_{48C2B5FF-173B-4A15-8326-52F915A33525}" xr6:coauthVersionLast="47" xr6:coauthVersionMax="47" xr10:uidLastSave="{D372D4FA-F6D0-49A9-A60B-94648F3C83BF}"/>
  <bookViews>
    <workbookView xWindow="11424" yWindow="0" windowWidth="11712" windowHeight="12336" firstSheet="2" activeTab="3" xr2:uid="{2160E9BB-650B-43EB-8E3D-EBBCD47C793E}"/>
  </bookViews>
  <sheets>
    <sheet name="Income Statement" sheetId="1" r:id="rId1"/>
    <sheet name="Balance Sheet" sheetId="2" r:id="rId2"/>
    <sheet name="Cash Flow Statement" sheetId="5" r:id="rId3"/>
    <sheet name="Ratio Analysis" sheetId="3" r:id="rId4"/>
    <sheet name="Bench Mark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3" l="1"/>
  <c r="D35" i="3"/>
  <c r="D38" i="3"/>
  <c r="D39" i="3"/>
  <c r="C74" i="5"/>
  <c r="D74" i="5"/>
  <c r="E74" i="5"/>
  <c r="F74" i="5"/>
  <c r="G74" i="5"/>
  <c r="H74" i="5"/>
  <c r="I74" i="5"/>
  <c r="J74" i="5"/>
  <c r="K74" i="5"/>
  <c r="B74" i="5"/>
  <c r="K86" i="5"/>
  <c r="L40" i="5"/>
  <c r="G26" i="5"/>
  <c r="G40" i="5" s="1"/>
  <c r="C75" i="5"/>
  <c r="D75" i="5"/>
  <c r="E75" i="5"/>
  <c r="F75" i="5"/>
  <c r="G75" i="5"/>
  <c r="H75" i="5"/>
  <c r="I75" i="5"/>
  <c r="J75" i="5"/>
  <c r="K75" i="5"/>
  <c r="B75" i="5"/>
  <c r="C58" i="5"/>
  <c r="C60" i="5" s="1"/>
  <c r="D58" i="5"/>
  <c r="D60" i="5" s="1"/>
  <c r="E58" i="5"/>
  <c r="E60" i="5" s="1"/>
  <c r="F58" i="5"/>
  <c r="F60" i="5" s="1"/>
  <c r="G58" i="5"/>
  <c r="G60" i="5" s="1"/>
  <c r="H58" i="5"/>
  <c r="H60" i="5" s="1"/>
  <c r="I58" i="5"/>
  <c r="I60" i="5" s="1"/>
  <c r="J58" i="5"/>
  <c r="J60" i="5" s="1"/>
  <c r="K58" i="5"/>
  <c r="K60" i="5" s="1"/>
  <c r="B58" i="5"/>
  <c r="B60" i="5" s="1"/>
  <c r="C26" i="5"/>
  <c r="C40" i="5" s="1"/>
  <c r="C42" i="5" s="1"/>
  <c r="C44" i="5" s="1"/>
  <c r="D26" i="5"/>
  <c r="D40" i="5" s="1"/>
  <c r="D42" i="5" s="1"/>
  <c r="D44" i="5" s="1"/>
  <c r="E26" i="5"/>
  <c r="E40" i="5" s="1"/>
  <c r="E42" i="5" s="1"/>
  <c r="E44" i="5" s="1"/>
  <c r="F26" i="5"/>
  <c r="F40" i="5" s="1"/>
  <c r="H26" i="5"/>
  <c r="H40" i="5" s="1"/>
  <c r="I26" i="5"/>
  <c r="I40" i="5" s="1"/>
  <c r="J26" i="5"/>
  <c r="K26" i="5"/>
  <c r="K40" i="5" s="1"/>
  <c r="B26" i="5"/>
  <c r="B40" i="5" s="1"/>
  <c r="B42" i="5" s="1"/>
  <c r="B44" i="5" s="1"/>
  <c r="B62" i="2"/>
  <c r="H42" i="5" l="1"/>
  <c r="H44" i="5" s="1"/>
  <c r="H83" i="5" s="1"/>
  <c r="H86" i="5" s="1"/>
  <c r="I42" i="5"/>
  <c r="I44" i="5" s="1"/>
  <c r="I83" i="5" s="1"/>
  <c r="I86" i="5" s="1"/>
  <c r="K42" i="5"/>
  <c r="K44" i="5" s="1"/>
  <c r="K83" i="5" s="1"/>
  <c r="J42" i="5"/>
  <c r="J44" i="5" s="1"/>
  <c r="J83" i="5" s="1"/>
  <c r="J86" i="5" s="1"/>
  <c r="G42" i="5"/>
  <c r="G44" i="5" s="1"/>
  <c r="G83" i="5" s="1"/>
  <c r="G86" i="5" s="1"/>
  <c r="F42" i="5"/>
  <c r="F44" i="5" s="1"/>
  <c r="F83" i="5" s="1"/>
  <c r="F86" i="5" s="1"/>
  <c r="B83" i="5"/>
  <c r="B86" i="5" s="1"/>
  <c r="C83" i="5"/>
  <c r="C86" i="5" s="1"/>
  <c r="E83" i="5"/>
  <c r="E86" i="5" s="1"/>
  <c r="D83" i="5"/>
  <c r="D86" i="5" s="1"/>
  <c r="D85" i="2" l="1"/>
  <c r="C87" i="2" s="1"/>
  <c r="B85" i="2"/>
  <c r="B5" i="2"/>
  <c r="C62" i="2"/>
  <c r="D62" i="2"/>
  <c r="E62" i="2"/>
  <c r="F62" i="2"/>
  <c r="G62" i="2"/>
  <c r="H62" i="2"/>
  <c r="I62" i="2"/>
  <c r="J62" i="2"/>
  <c r="K62" i="2"/>
  <c r="F9" i="1"/>
  <c r="F7" i="1"/>
  <c r="E7" i="1"/>
  <c r="C7" i="1"/>
  <c r="B61" i="3"/>
  <c r="B52" i="2"/>
  <c r="B51" i="2"/>
  <c r="B47" i="2"/>
  <c r="B46" i="2"/>
  <c r="B41" i="2"/>
  <c r="B43" i="2" s="1"/>
  <c r="B39" i="2"/>
  <c r="B33" i="2"/>
  <c r="B32" i="2"/>
  <c r="B27" i="2"/>
  <c r="B24" i="2"/>
  <c r="B22" i="2"/>
  <c r="B21" i="2"/>
  <c r="B18" i="2"/>
  <c r="B17" i="2"/>
  <c r="B8" i="2"/>
  <c r="B6" i="2"/>
  <c r="K53" i="2"/>
  <c r="K52" i="2"/>
  <c r="K51" i="2"/>
  <c r="K50" i="2"/>
  <c r="K54" i="2" s="1"/>
  <c r="K49" i="2"/>
  <c r="K48" i="2"/>
  <c r="K46" i="2"/>
  <c r="L47" i="3" s="1"/>
  <c r="K42" i="2"/>
  <c r="K43" i="2" s="1"/>
  <c r="K41" i="2"/>
  <c r="K40" i="2"/>
  <c r="K34" i="2"/>
  <c r="K32" i="2"/>
  <c r="K27" i="2"/>
  <c r="K26" i="2"/>
  <c r="K25" i="2"/>
  <c r="K24" i="2"/>
  <c r="K23" i="2"/>
  <c r="K22" i="2"/>
  <c r="K21" i="2"/>
  <c r="M39" i="3" s="1"/>
  <c r="K20" i="2"/>
  <c r="K18" i="2"/>
  <c r="K14" i="2"/>
  <c r="K13" i="2"/>
  <c r="K12" i="2"/>
  <c r="K11" i="2"/>
  <c r="K9" i="2"/>
  <c r="K8" i="2"/>
  <c r="K7" i="2"/>
  <c r="J53" i="2"/>
  <c r="J52" i="2"/>
  <c r="J51" i="2"/>
  <c r="J50" i="2"/>
  <c r="J49" i="2"/>
  <c r="J48" i="2"/>
  <c r="J46" i="2"/>
  <c r="K47" i="3" s="1"/>
  <c r="J42" i="2"/>
  <c r="J41" i="2"/>
  <c r="J40" i="2"/>
  <c r="J34" i="2"/>
  <c r="J32" i="2"/>
  <c r="J27" i="2"/>
  <c r="J26" i="2"/>
  <c r="J25" i="2"/>
  <c r="J24" i="2"/>
  <c r="J23" i="2"/>
  <c r="J22" i="2"/>
  <c r="J21" i="2"/>
  <c r="L39" i="3" s="1"/>
  <c r="J20" i="2"/>
  <c r="J18" i="2"/>
  <c r="L60" i="3" s="1"/>
  <c r="J14" i="2"/>
  <c r="J13" i="2"/>
  <c r="J12" i="2"/>
  <c r="J11" i="2"/>
  <c r="J9" i="2"/>
  <c r="J8" i="2"/>
  <c r="J7" i="2"/>
  <c r="I53" i="2"/>
  <c r="I52" i="2"/>
  <c r="I51" i="2"/>
  <c r="I50" i="2"/>
  <c r="I49" i="2"/>
  <c r="I48" i="2"/>
  <c r="I46" i="2"/>
  <c r="J47" i="3" s="1"/>
  <c r="I42" i="2"/>
  <c r="I41" i="2"/>
  <c r="I40" i="2"/>
  <c r="I34" i="2"/>
  <c r="I32" i="2"/>
  <c r="I27" i="2"/>
  <c r="I26" i="2"/>
  <c r="I25" i="2"/>
  <c r="I24" i="2"/>
  <c r="I23" i="2"/>
  <c r="I22" i="2"/>
  <c r="I21" i="2"/>
  <c r="K39" i="3" s="1"/>
  <c r="I20" i="2"/>
  <c r="I18" i="2"/>
  <c r="K60" i="3" s="1"/>
  <c r="I14" i="2"/>
  <c r="I13" i="2"/>
  <c r="I9" i="2"/>
  <c r="I8" i="2"/>
  <c r="I7" i="2"/>
  <c r="H53" i="2"/>
  <c r="H52" i="2"/>
  <c r="H51" i="2"/>
  <c r="H50" i="2"/>
  <c r="H48" i="2"/>
  <c r="H49" i="2"/>
  <c r="H46" i="2"/>
  <c r="I47" i="3" s="1"/>
  <c r="H42" i="2"/>
  <c r="H41" i="2"/>
  <c r="H40" i="2"/>
  <c r="H34" i="2"/>
  <c r="H32" i="2"/>
  <c r="H18" i="2"/>
  <c r="H27" i="2"/>
  <c r="H26" i="2"/>
  <c r="H25" i="2"/>
  <c r="H24" i="2"/>
  <c r="H23" i="2"/>
  <c r="H22" i="2"/>
  <c r="H21" i="2"/>
  <c r="H20" i="2"/>
  <c r="H14" i="2"/>
  <c r="H13" i="2"/>
  <c r="H9" i="2"/>
  <c r="H8" i="2"/>
  <c r="H7" i="2"/>
  <c r="G53" i="2"/>
  <c r="G52" i="2"/>
  <c r="G51" i="2"/>
  <c r="G50" i="2"/>
  <c r="G47" i="2"/>
  <c r="G46" i="2"/>
  <c r="H47" i="3" s="1"/>
  <c r="G42" i="2"/>
  <c r="G41" i="2"/>
  <c r="G40" i="2"/>
  <c r="G34" i="2"/>
  <c r="G32" i="2"/>
  <c r="G27" i="2"/>
  <c r="G26" i="2"/>
  <c r="G25" i="2"/>
  <c r="G24" i="2"/>
  <c r="G23" i="2"/>
  <c r="G22" i="2"/>
  <c r="G21" i="2"/>
  <c r="I39" i="3" s="1"/>
  <c r="G20" i="2"/>
  <c r="G18" i="2"/>
  <c r="G14" i="2"/>
  <c r="G13" i="2"/>
  <c r="G9" i="2"/>
  <c r="G8" i="2"/>
  <c r="G7" i="2"/>
  <c r="F52" i="2"/>
  <c r="F51" i="2"/>
  <c r="F47" i="2"/>
  <c r="F46" i="2"/>
  <c r="G47" i="3" s="1"/>
  <c r="F41" i="2"/>
  <c r="F43" i="2" s="1"/>
  <c r="F33" i="2"/>
  <c r="F32" i="2"/>
  <c r="F27" i="2"/>
  <c r="F24" i="2"/>
  <c r="F22" i="2"/>
  <c r="F21" i="2"/>
  <c r="H39" i="3" s="1"/>
  <c r="F18" i="2"/>
  <c r="F17" i="2"/>
  <c r="F14" i="2"/>
  <c r="F12" i="2"/>
  <c r="F8" i="2"/>
  <c r="F6" i="2"/>
  <c r="F5" i="2"/>
  <c r="E52" i="2"/>
  <c r="E51" i="2"/>
  <c r="E47" i="2"/>
  <c r="E46" i="2"/>
  <c r="E41" i="2"/>
  <c r="E39" i="2"/>
  <c r="E33" i="2"/>
  <c r="E32" i="2"/>
  <c r="E27" i="2"/>
  <c r="E24" i="2"/>
  <c r="E22" i="2"/>
  <c r="E21" i="2"/>
  <c r="E18" i="2"/>
  <c r="E17" i="2"/>
  <c r="E14" i="2"/>
  <c r="E12" i="2"/>
  <c r="E8" i="2"/>
  <c r="E6" i="2"/>
  <c r="E5" i="2"/>
  <c r="D52" i="2"/>
  <c r="D51" i="2"/>
  <c r="D47" i="2"/>
  <c r="D46" i="2"/>
  <c r="D41" i="2"/>
  <c r="D39" i="2"/>
  <c r="E47" i="3" s="1"/>
  <c r="D33" i="2"/>
  <c r="D32" i="2"/>
  <c r="D27" i="2"/>
  <c r="C27" i="2"/>
  <c r="D24" i="2"/>
  <c r="D22" i="2"/>
  <c r="D21" i="2"/>
  <c r="F39" i="3" s="1"/>
  <c r="D18" i="2"/>
  <c r="F60" i="3" s="1"/>
  <c r="D17" i="2"/>
  <c r="D14" i="2"/>
  <c r="D12" i="2"/>
  <c r="D8" i="2"/>
  <c r="D6" i="2"/>
  <c r="D5" i="2"/>
  <c r="C52" i="2"/>
  <c r="C51" i="2"/>
  <c r="C47" i="2"/>
  <c r="C46" i="2"/>
  <c r="C39" i="2"/>
  <c r="C41" i="2"/>
  <c r="C32" i="2"/>
  <c r="C33" i="2"/>
  <c r="C24" i="2"/>
  <c r="C22" i="2"/>
  <c r="C21" i="2"/>
  <c r="C18" i="2"/>
  <c r="C17" i="2"/>
  <c r="C8" i="2"/>
  <c r="C6" i="2"/>
  <c r="C5" i="2"/>
  <c r="D49" i="3"/>
  <c r="D50" i="3" s="1"/>
  <c r="E49" i="3"/>
  <c r="E50" i="3" s="1"/>
  <c r="F49" i="3"/>
  <c r="F50" i="3" s="1"/>
  <c r="G49" i="3"/>
  <c r="G50" i="3" s="1"/>
  <c r="H49" i="3"/>
  <c r="H50" i="3" s="1"/>
  <c r="I49" i="3"/>
  <c r="I50" i="3" s="1"/>
  <c r="J49" i="3"/>
  <c r="J50" i="3" s="1"/>
  <c r="K49" i="3"/>
  <c r="K50" i="3" s="1"/>
  <c r="L49" i="3"/>
  <c r="L50" i="3" s="1"/>
  <c r="C49" i="3"/>
  <c r="C50" i="3" s="1"/>
  <c r="M4" i="3"/>
  <c r="L36" i="1"/>
  <c r="L27" i="1"/>
  <c r="L26" i="1"/>
  <c r="L25" i="1"/>
  <c r="L20" i="1"/>
  <c r="L19" i="1"/>
  <c r="L9" i="3" s="1"/>
  <c r="L18" i="1"/>
  <c r="L8" i="3" s="1"/>
  <c r="L17" i="1"/>
  <c r="L16" i="1"/>
  <c r="L15" i="1"/>
  <c r="L13" i="1"/>
  <c r="L9" i="1"/>
  <c r="L7" i="1"/>
  <c r="K36" i="1"/>
  <c r="K27" i="1"/>
  <c r="K26" i="1"/>
  <c r="K25" i="1"/>
  <c r="K20" i="1"/>
  <c r="K19" i="1"/>
  <c r="K18" i="1"/>
  <c r="K17" i="1"/>
  <c r="K16" i="1"/>
  <c r="K13" i="1"/>
  <c r="K9" i="1"/>
  <c r="K7" i="1"/>
  <c r="J36" i="1"/>
  <c r="J27" i="1"/>
  <c r="J26" i="1"/>
  <c r="J25" i="1"/>
  <c r="J20" i="1"/>
  <c r="J19" i="1"/>
  <c r="J18" i="1"/>
  <c r="J8" i="3" s="1"/>
  <c r="J17" i="1"/>
  <c r="J16" i="1"/>
  <c r="J13" i="1"/>
  <c r="J9" i="1"/>
  <c r="J7" i="1"/>
  <c r="I36" i="1"/>
  <c r="I27" i="1"/>
  <c r="I26" i="1"/>
  <c r="I25" i="1"/>
  <c r="I20" i="1"/>
  <c r="I19" i="1"/>
  <c r="I9" i="3" s="1"/>
  <c r="I18" i="1"/>
  <c r="I17" i="1"/>
  <c r="I16" i="1"/>
  <c r="I13" i="1"/>
  <c r="I9" i="1"/>
  <c r="I7" i="1"/>
  <c r="H36" i="1"/>
  <c r="H27" i="1"/>
  <c r="H26" i="1"/>
  <c r="H25" i="1"/>
  <c r="H20" i="1"/>
  <c r="H19" i="1"/>
  <c r="H9" i="3" s="1"/>
  <c r="H18" i="1"/>
  <c r="H8" i="3" s="1"/>
  <c r="H17" i="1"/>
  <c r="H16" i="1"/>
  <c r="H15" i="1"/>
  <c r="H14" i="1"/>
  <c r="H13" i="1"/>
  <c r="H9" i="1"/>
  <c r="H7" i="1"/>
  <c r="G60" i="3" l="1"/>
  <c r="G28" i="2"/>
  <c r="B54" i="2"/>
  <c r="B56" i="2" s="1"/>
  <c r="B58" i="2" s="1"/>
  <c r="E35" i="2"/>
  <c r="F47" i="3"/>
  <c r="G35" i="2"/>
  <c r="J60" i="3"/>
  <c r="E43" i="2"/>
  <c r="H15" i="2"/>
  <c r="K15" i="2"/>
  <c r="D35" i="2"/>
  <c r="G39" i="3"/>
  <c r="H54" i="2"/>
  <c r="B35" i="2"/>
  <c r="J39" i="3"/>
  <c r="E60" i="3"/>
  <c r="I28" i="2"/>
  <c r="D43" i="2"/>
  <c r="F35" i="2"/>
  <c r="G15" i="2"/>
  <c r="H43" i="2"/>
  <c r="E39" i="3"/>
  <c r="C54" i="2"/>
  <c r="D15" i="2"/>
  <c r="E15" i="2"/>
  <c r="H35" i="2"/>
  <c r="B28" i="2"/>
  <c r="C47" i="3"/>
  <c r="F15" i="2"/>
  <c r="F29" i="2" s="1"/>
  <c r="G31" i="3" s="1"/>
  <c r="F54" i="2"/>
  <c r="H28" i="2"/>
  <c r="C35" i="2"/>
  <c r="G43" i="2"/>
  <c r="I15" i="2"/>
  <c r="I35" i="2"/>
  <c r="I43" i="2"/>
  <c r="I56" i="2" s="1"/>
  <c r="J45" i="3" s="1"/>
  <c r="I54" i="2"/>
  <c r="K28" i="2"/>
  <c r="L43" i="3" s="1"/>
  <c r="B15" i="2"/>
  <c r="B29" i="2" s="1"/>
  <c r="D60" i="3"/>
  <c r="I60" i="3"/>
  <c r="H29" i="2"/>
  <c r="I31" i="3" s="1"/>
  <c r="I43" i="3"/>
  <c r="C43" i="3"/>
  <c r="E28" i="2"/>
  <c r="E29" i="2" s="1"/>
  <c r="F44" i="3" s="1"/>
  <c r="J15" i="2"/>
  <c r="J28" i="2"/>
  <c r="E54" i="2"/>
  <c r="E56" i="2" s="1"/>
  <c r="F28" i="2"/>
  <c r="G43" i="3" s="1"/>
  <c r="H60" i="3"/>
  <c r="D28" i="2"/>
  <c r="C43" i="2"/>
  <c r="K35" i="2"/>
  <c r="G54" i="2"/>
  <c r="J43" i="2"/>
  <c r="J54" i="2"/>
  <c r="J56" i="2" s="1"/>
  <c r="D47" i="3"/>
  <c r="I10" i="1"/>
  <c r="J10" i="1"/>
  <c r="K10" i="1"/>
  <c r="L5" i="3"/>
  <c r="L10" i="1"/>
  <c r="I8" i="1"/>
  <c r="J8" i="1"/>
  <c r="L8" i="1"/>
  <c r="K8" i="1"/>
  <c r="J63" i="3"/>
  <c r="K63" i="3"/>
  <c r="I63" i="3"/>
  <c r="H5" i="3"/>
  <c r="K5" i="3"/>
  <c r="K8" i="3"/>
  <c r="J5" i="3"/>
  <c r="J9" i="3"/>
  <c r="I5" i="3"/>
  <c r="I8" i="3"/>
  <c r="K9" i="3"/>
  <c r="L63" i="3"/>
  <c r="H63" i="3"/>
  <c r="K56" i="2"/>
  <c r="K29" i="2"/>
  <c r="L31" i="3" s="1"/>
  <c r="J35" i="2"/>
  <c r="I29" i="2"/>
  <c r="J31" i="3" s="1"/>
  <c r="H56" i="2"/>
  <c r="G29" i="2"/>
  <c r="H44" i="3" s="1"/>
  <c r="F56" i="2"/>
  <c r="D54" i="2"/>
  <c r="D56" i="2" s="1"/>
  <c r="C28" i="2"/>
  <c r="C15" i="2"/>
  <c r="C45" i="3" l="1"/>
  <c r="K58" i="2"/>
  <c r="C56" i="2"/>
  <c r="C58" i="2" s="1"/>
  <c r="C31" i="3"/>
  <c r="D43" i="3"/>
  <c r="E43" i="3"/>
  <c r="K43" i="3"/>
  <c r="G56" i="2"/>
  <c r="J43" i="3"/>
  <c r="F31" i="3"/>
  <c r="J29" i="2"/>
  <c r="J44" i="3"/>
  <c r="I44" i="3"/>
  <c r="D45" i="3"/>
  <c r="E58" i="2"/>
  <c r="F45" i="3"/>
  <c r="H58" i="2"/>
  <c r="I45" i="3"/>
  <c r="D58" i="2"/>
  <c r="E45" i="3"/>
  <c r="F58" i="2"/>
  <c r="G45" i="3"/>
  <c r="L45" i="3"/>
  <c r="H43" i="3"/>
  <c r="D29" i="2"/>
  <c r="C44" i="3"/>
  <c r="H31" i="3"/>
  <c r="I58" i="2"/>
  <c r="K45" i="3"/>
  <c r="G44" i="3"/>
  <c r="F43" i="3"/>
  <c r="L44" i="3"/>
  <c r="J58" i="2"/>
  <c r="C29" i="2"/>
  <c r="D31" i="3" s="1"/>
  <c r="H45" i="3" l="1"/>
  <c r="G58" i="2"/>
  <c r="K31" i="3"/>
  <c r="K44" i="3"/>
  <c r="D44" i="3"/>
  <c r="E31" i="3"/>
  <c r="E44" i="3"/>
  <c r="G27" i="1"/>
  <c r="G26" i="1"/>
  <c r="G25" i="1"/>
  <c r="G20" i="1"/>
  <c r="G19" i="1"/>
  <c r="G18" i="1"/>
  <c r="G17" i="1"/>
  <c r="G16" i="1"/>
  <c r="G13" i="1"/>
  <c r="G9" i="1"/>
  <c r="G7" i="1"/>
  <c r="F27" i="1"/>
  <c r="F26" i="1"/>
  <c r="F25" i="1"/>
  <c r="F20" i="1"/>
  <c r="F19" i="1"/>
  <c r="F18" i="1"/>
  <c r="F17" i="1"/>
  <c r="F16" i="1"/>
  <c r="F15" i="1"/>
  <c r="F13" i="1"/>
  <c r="E27" i="1"/>
  <c r="E26" i="1"/>
  <c r="E25" i="1"/>
  <c r="E20" i="1"/>
  <c r="E19" i="1"/>
  <c r="E18" i="1"/>
  <c r="E17" i="1"/>
  <c r="E16" i="1"/>
  <c r="E15" i="1"/>
  <c r="E13" i="1"/>
  <c r="E9" i="1"/>
  <c r="D26" i="1"/>
  <c r="D25" i="1"/>
  <c r="D20" i="1"/>
  <c r="D19" i="1"/>
  <c r="D18" i="1"/>
  <c r="D17" i="1"/>
  <c r="D16" i="1"/>
  <c r="D15" i="1"/>
  <c r="D13" i="1"/>
  <c r="D9" i="1"/>
  <c r="D7" i="1"/>
  <c r="H28" i="1"/>
  <c r="I28" i="1"/>
  <c r="J28" i="1"/>
  <c r="K28" i="1"/>
  <c r="L28" i="1"/>
  <c r="L21" i="1"/>
  <c r="H21" i="1"/>
  <c r="I21" i="1"/>
  <c r="J21" i="1"/>
  <c r="K21" i="1"/>
  <c r="C27" i="1"/>
  <c r="C26" i="1"/>
  <c r="C25" i="1"/>
  <c r="C20" i="1"/>
  <c r="C19" i="1"/>
  <c r="C18" i="1"/>
  <c r="C17" i="1"/>
  <c r="C16" i="1"/>
  <c r="C13" i="1"/>
  <c r="L11" i="1"/>
  <c r="H11" i="1"/>
  <c r="I11" i="1"/>
  <c r="J11" i="1"/>
  <c r="K11" i="1"/>
  <c r="C9" i="1"/>
  <c r="B6" i="1"/>
  <c r="L29" i="1" l="1"/>
  <c r="K29" i="1"/>
  <c r="J29" i="1"/>
  <c r="D28" i="1"/>
  <c r="D18" i="3" s="1"/>
  <c r="E10" i="1"/>
  <c r="I29" i="1"/>
  <c r="D10" i="1"/>
  <c r="F10" i="1"/>
  <c r="G10" i="1"/>
  <c r="H10" i="1"/>
  <c r="E8" i="1"/>
  <c r="F8" i="1"/>
  <c r="G8" i="1"/>
  <c r="H8" i="1"/>
  <c r="D8" i="1"/>
  <c r="C11" i="1"/>
  <c r="C4" i="3" s="1"/>
  <c r="C55" i="3" s="1"/>
  <c r="C63" i="3"/>
  <c r="J18" i="3"/>
  <c r="G63" i="3"/>
  <c r="V15" i="1"/>
  <c r="V14" i="1"/>
  <c r="K7" i="3"/>
  <c r="K10" i="3" s="1"/>
  <c r="V17" i="1"/>
  <c r="V18" i="1"/>
  <c r="V13" i="1"/>
  <c r="V16" i="1"/>
  <c r="V20" i="1"/>
  <c r="V19" i="1"/>
  <c r="C9" i="3"/>
  <c r="E8" i="3"/>
  <c r="F8" i="3"/>
  <c r="W14" i="1"/>
  <c r="L7" i="3"/>
  <c r="L10" i="3" s="1"/>
  <c r="W20" i="1"/>
  <c r="W15" i="1"/>
  <c r="W16" i="1"/>
  <c r="W18" i="1"/>
  <c r="W13" i="1"/>
  <c r="W19" i="1"/>
  <c r="W17" i="1"/>
  <c r="D63" i="3"/>
  <c r="F9" i="3"/>
  <c r="H4" i="3"/>
  <c r="U15" i="1"/>
  <c r="U14" i="1"/>
  <c r="J7" i="3"/>
  <c r="J10" i="3" s="1"/>
  <c r="U20" i="1"/>
  <c r="U13" i="1"/>
  <c r="U17" i="1"/>
  <c r="U19" i="1"/>
  <c r="U16" i="1"/>
  <c r="U18" i="1"/>
  <c r="L18" i="3"/>
  <c r="H18" i="3"/>
  <c r="D9" i="3"/>
  <c r="J22" i="1"/>
  <c r="J4" i="3"/>
  <c r="H7" i="3"/>
  <c r="H10" i="3" s="1"/>
  <c r="S13" i="1"/>
  <c r="S19" i="1"/>
  <c r="S17" i="1"/>
  <c r="S16" i="1"/>
  <c r="S20" i="1"/>
  <c r="S18" i="1"/>
  <c r="S14" i="1"/>
  <c r="S15" i="1"/>
  <c r="D5" i="3"/>
  <c r="E63" i="3"/>
  <c r="F63" i="3"/>
  <c r="G9" i="3"/>
  <c r="I4" i="3"/>
  <c r="I18" i="3"/>
  <c r="D8" i="3"/>
  <c r="E9" i="3"/>
  <c r="C5" i="3"/>
  <c r="K4" i="3"/>
  <c r="L4" i="3"/>
  <c r="C8" i="3"/>
  <c r="T14" i="1"/>
  <c r="T15" i="1"/>
  <c r="I7" i="3"/>
  <c r="I10" i="3" s="1"/>
  <c r="T20" i="1"/>
  <c r="T18" i="1"/>
  <c r="T13" i="1"/>
  <c r="T17" i="1"/>
  <c r="T19" i="1"/>
  <c r="T16" i="1"/>
  <c r="K18" i="3"/>
  <c r="D11" i="1"/>
  <c r="D4" i="3" s="1"/>
  <c r="E11" i="1"/>
  <c r="E4" i="3" s="1"/>
  <c r="E5" i="3"/>
  <c r="E28" i="1"/>
  <c r="F11" i="1"/>
  <c r="F4" i="3" s="1"/>
  <c r="F5" i="3"/>
  <c r="F21" i="1"/>
  <c r="F28" i="1"/>
  <c r="F29" i="1" s="1"/>
  <c r="G11" i="1"/>
  <c r="G4" i="3" s="1"/>
  <c r="G5" i="3"/>
  <c r="G21" i="1"/>
  <c r="G8" i="3"/>
  <c r="G28" i="1"/>
  <c r="L22" i="1"/>
  <c r="K22" i="1"/>
  <c r="I22" i="1"/>
  <c r="C21" i="1"/>
  <c r="C28" i="1"/>
  <c r="H22" i="1"/>
  <c r="E21" i="1"/>
  <c r="D21" i="1"/>
  <c r="O17" i="1" s="1"/>
  <c r="D29" i="1" l="1"/>
  <c r="E29" i="1"/>
  <c r="H30" i="1"/>
  <c r="L30" i="1"/>
  <c r="L38" i="1" s="1"/>
  <c r="L23" i="1"/>
  <c r="K21" i="3"/>
  <c r="K23" i="1"/>
  <c r="J21" i="3"/>
  <c r="J23" i="1"/>
  <c r="I30" i="1"/>
  <c r="I23" i="1"/>
  <c r="G29" i="1"/>
  <c r="C6" i="3"/>
  <c r="I38" i="1"/>
  <c r="H38" i="1"/>
  <c r="H29" i="1"/>
  <c r="K30" i="1"/>
  <c r="J30" i="1"/>
  <c r="N20" i="1"/>
  <c r="O15" i="1"/>
  <c r="O16" i="1"/>
  <c r="N18" i="1"/>
  <c r="O18" i="1"/>
  <c r="N16" i="1"/>
  <c r="O13" i="1"/>
  <c r="O19" i="1"/>
  <c r="E22" i="1"/>
  <c r="P14" i="1"/>
  <c r="E7" i="3"/>
  <c r="E10" i="3" s="1"/>
  <c r="C18" i="3"/>
  <c r="R15" i="1"/>
  <c r="R14" i="1"/>
  <c r="G7" i="3"/>
  <c r="G10" i="3" s="1"/>
  <c r="Q14" i="1"/>
  <c r="F7" i="3"/>
  <c r="F10" i="3" s="1"/>
  <c r="Q16" i="1"/>
  <c r="P15" i="1"/>
  <c r="R16" i="1"/>
  <c r="R19" i="1"/>
  <c r="P20" i="1"/>
  <c r="P18" i="1"/>
  <c r="C22" i="1"/>
  <c r="N15" i="1"/>
  <c r="N14" i="1"/>
  <c r="C7" i="3"/>
  <c r="C10" i="3" s="1"/>
  <c r="E6" i="3"/>
  <c r="E55" i="3"/>
  <c r="E58" i="3"/>
  <c r="E38" i="3"/>
  <c r="E40" i="3" s="1"/>
  <c r="R17" i="1"/>
  <c r="L21" i="3"/>
  <c r="Q19" i="1"/>
  <c r="Q18" i="1"/>
  <c r="G18" i="3"/>
  <c r="F18" i="3"/>
  <c r="E18" i="3"/>
  <c r="K6" i="3"/>
  <c r="K55" i="3"/>
  <c r="K38" i="3"/>
  <c r="K40" i="3" s="1"/>
  <c r="K58" i="3"/>
  <c r="F22" i="1"/>
  <c r="D40" i="3"/>
  <c r="D55" i="3"/>
  <c r="D6" i="3"/>
  <c r="D58" i="3"/>
  <c r="P19" i="1"/>
  <c r="P13" i="1"/>
  <c r="G22" i="1"/>
  <c r="H23" i="1" s="1"/>
  <c r="L38" i="3"/>
  <c r="L40" i="3" s="1"/>
  <c r="L6" i="3"/>
  <c r="L58" i="3"/>
  <c r="L55" i="3"/>
  <c r="R20" i="1"/>
  <c r="I58" i="3"/>
  <c r="I38" i="3"/>
  <c r="I40" i="3" s="1"/>
  <c r="I6" i="3"/>
  <c r="I55" i="3"/>
  <c r="J58" i="3"/>
  <c r="J55" i="3"/>
  <c r="J6" i="3"/>
  <c r="J38" i="3"/>
  <c r="J40" i="3" s="1"/>
  <c r="P16" i="1"/>
  <c r="D22" i="1"/>
  <c r="O14" i="1"/>
  <c r="D7" i="3"/>
  <c r="D10" i="3" s="1"/>
  <c r="R18" i="1"/>
  <c r="G6" i="3"/>
  <c r="G58" i="3"/>
  <c r="G38" i="3"/>
  <c r="G40" i="3" s="1"/>
  <c r="G55" i="3"/>
  <c r="Q17" i="1"/>
  <c r="F58" i="3"/>
  <c r="F6" i="3"/>
  <c r="F55" i="3"/>
  <c r="F38" i="3"/>
  <c r="F40" i="3" s="1"/>
  <c r="P17" i="1"/>
  <c r="O20" i="1"/>
  <c r="N17" i="1"/>
  <c r="I21" i="3"/>
  <c r="Q13" i="1"/>
  <c r="Q20" i="1"/>
  <c r="H21" i="3"/>
  <c r="H55" i="3"/>
  <c r="H38" i="3"/>
  <c r="H40" i="3" s="1"/>
  <c r="H58" i="3"/>
  <c r="H6" i="3"/>
  <c r="Q15" i="1"/>
  <c r="N19" i="1"/>
  <c r="R13" i="1"/>
  <c r="N13" i="1"/>
  <c r="I31" i="1" l="1"/>
  <c r="D23" i="1"/>
  <c r="F21" i="3"/>
  <c r="F23" i="1"/>
  <c r="G21" i="3"/>
  <c r="G23" i="1"/>
  <c r="C11" i="3"/>
  <c r="C23" i="3" s="1"/>
  <c r="E23" i="1"/>
  <c r="K38" i="1"/>
  <c r="K31" i="1"/>
  <c r="L31" i="1"/>
  <c r="J38" i="1"/>
  <c r="J31" i="1"/>
  <c r="C21" i="3"/>
  <c r="C15" i="3"/>
  <c r="I41" i="3"/>
  <c r="I11" i="3"/>
  <c r="L41" i="3"/>
  <c r="L11" i="3"/>
  <c r="F30" i="1"/>
  <c r="F38" i="1"/>
  <c r="E30" i="1"/>
  <c r="E38" i="1"/>
  <c r="J41" i="3"/>
  <c r="J11" i="3"/>
  <c r="K41" i="3"/>
  <c r="K11" i="3"/>
  <c r="E41" i="3"/>
  <c r="E11" i="3"/>
  <c r="C38" i="1"/>
  <c r="C30" i="1"/>
  <c r="H41" i="3"/>
  <c r="H11" i="3"/>
  <c r="F41" i="3"/>
  <c r="F11" i="3"/>
  <c r="G41" i="3"/>
  <c r="G11" i="3"/>
  <c r="D30" i="1"/>
  <c r="D38" i="1"/>
  <c r="D21" i="3"/>
  <c r="D41" i="3"/>
  <c r="D11" i="3"/>
  <c r="G30" i="1"/>
  <c r="G38" i="1"/>
  <c r="E21" i="3"/>
  <c r="C12" i="3" l="1"/>
  <c r="C13" i="3"/>
  <c r="F31" i="1"/>
  <c r="G31" i="1"/>
  <c r="H31" i="1"/>
  <c r="D31" i="1"/>
  <c r="E31" i="1"/>
  <c r="G12" i="3"/>
  <c r="G15" i="3"/>
  <c r="G13" i="3"/>
  <c r="G23" i="3"/>
  <c r="C56" i="3"/>
  <c r="C25" i="3"/>
  <c r="D23" i="3"/>
  <c r="D13" i="3"/>
  <c r="D12" i="3"/>
  <c r="D15" i="3"/>
  <c r="E15" i="3"/>
  <c r="E13" i="3"/>
  <c r="E12" i="3"/>
  <c r="E23" i="3"/>
  <c r="L12" i="3"/>
  <c r="L15" i="3"/>
  <c r="L13" i="3"/>
  <c r="L23" i="3"/>
  <c r="I12" i="3"/>
  <c r="I15" i="3"/>
  <c r="I13" i="3"/>
  <c r="I23" i="3"/>
  <c r="K12" i="3"/>
  <c r="K13" i="3"/>
  <c r="K15" i="3"/>
  <c r="K23" i="3"/>
  <c r="J12" i="3"/>
  <c r="J13" i="3"/>
  <c r="J15" i="3"/>
  <c r="J23" i="3"/>
  <c r="F13" i="3"/>
  <c r="F12" i="3"/>
  <c r="F15" i="3"/>
  <c r="F23" i="3"/>
  <c r="H13" i="3"/>
  <c r="H12" i="3"/>
  <c r="H15" i="3"/>
  <c r="H23" i="3"/>
  <c r="C32" i="3"/>
  <c r="C17" i="3"/>
  <c r="C19" i="3" s="1"/>
  <c r="C51" i="3" s="1"/>
  <c r="C46" i="3"/>
  <c r="C33" i="3" l="1"/>
  <c r="D57" i="3"/>
  <c r="D59" i="3"/>
  <c r="D61" i="3" s="1"/>
  <c r="D56" i="3"/>
  <c r="D25" i="3"/>
  <c r="H59" i="3"/>
  <c r="H61" i="3" s="1"/>
  <c r="H57" i="3"/>
  <c r="H56" i="3"/>
  <c r="H25" i="3"/>
  <c r="J57" i="3"/>
  <c r="J56" i="3" a="1"/>
  <c r="J56" i="3" s="1"/>
  <c r="J59" i="3"/>
  <c r="J61" i="3" s="1"/>
  <c r="J25" i="3"/>
  <c r="K57" i="3"/>
  <c r="K59" i="3"/>
  <c r="K61" i="3" s="1"/>
  <c r="K56" i="3" a="1"/>
  <c r="K56" i="3" s="1"/>
  <c r="K25" i="3"/>
  <c r="L57" i="3"/>
  <c r="L56" i="3" a="1"/>
  <c r="L56" i="3" s="1"/>
  <c r="L59" i="3"/>
  <c r="L61" i="3" s="1"/>
  <c r="L25" i="3"/>
  <c r="D32" i="3"/>
  <c r="D46" i="3"/>
  <c r="D17" i="3"/>
  <c r="D19" i="3" s="1"/>
  <c r="D51" i="3" s="1"/>
  <c r="C26" i="3"/>
  <c r="C28" i="3"/>
  <c r="H17" i="3"/>
  <c r="H19" i="3" s="1"/>
  <c r="H51" i="3" s="1"/>
  <c r="H32" i="3"/>
  <c r="H46" i="3"/>
  <c r="F32" i="3"/>
  <c r="F46" i="3"/>
  <c r="F17" i="3"/>
  <c r="F19" i="3" s="1"/>
  <c r="F51" i="3" s="1"/>
  <c r="J46" i="3"/>
  <c r="J17" i="3"/>
  <c r="J19" i="3" s="1"/>
  <c r="J51" i="3" s="1"/>
  <c r="J32" i="3"/>
  <c r="K32" i="3"/>
  <c r="K17" i="3"/>
  <c r="K19" i="3" s="1"/>
  <c r="K51" i="3" s="1"/>
  <c r="K46" i="3"/>
  <c r="G17" i="3"/>
  <c r="G19" i="3" s="1"/>
  <c r="G51" i="3" s="1"/>
  <c r="G46" i="3"/>
  <c r="G32" i="3"/>
  <c r="E46" i="3"/>
  <c r="E17" i="3"/>
  <c r="E19" i="3" s="1"/>
  <c r="E51" i="3" s="1"/>
  <c r="E32" i="3"/>
  <c r="G56" i="3"/>
  <c r="G59" i="3"/>
  <c r="G61" i="3" s="1"/>
  <c r="G57" i="3"/>
  <c r="G25" i="3"/>
  <c r="F57" i="3"/>
  <c r="F56" i="3"/>
  <c r="F59" i="3"/>
  <c r="F61" i="3" s="1"/>
  <c r="F25" i="3"/>
  <c r="I57" i="3"/>
  <c r="I59" i="3"/>
  <c r="I61" i="3" s="1"/>
  <c r="I56" i="3" a="1"/>
  <c r="I56" i="3" s="1"/>
  <c r="I25" i="3"/>
  <c r="E59" i="3"/>
  <c r="E61" i="3" s="1"/>
  <c r="E56" i="3"/>
  <c r="E57" i="3"/>
  <c r="E25" i="3"/>
  <c r="C29" i="3"/>
  <c r="C30" i="3"/>
  <c r="I46" i="3"/>
  <c r="I32" i="3"/>
  <c r="I17" i="3"/>
  <c r="I19" i="3" s="1"/>
  <c r="I51" i="3" s="1"/>
  <c r="L17" i="3"/>
  <c r="L19" i="3" s="1"/>
  <c r="L51" i="3" s="1"/>
  <c r="L46" i="3"/>
  <c r="E33" i="3" l="1"/>
  <c r="G33" i="3"/>
  <c r="H33" i="3"/>
  <c r="L33" i="3"/>
  <c r="J33" i="3"/>
  <c r="I33" i="3"/>
  <c r="K33" i="3"/>
  <c r="F33" i="3"/>
  <c r="D33" i="3"/>
  <c r="D29" i="3"/>
  <c r="D34" i="3"/>
  <c r="D30" i="3"/>
  <c r="K28" i="3"/>
  <c r="K26" i="3"/>
  <c r="E30" i="3"/>
  <c r="E29" i="3"/>
  <c r="E35" i="3"/>
  <c r="E34" i="3"/>
  <c r="G30" i="3"/>
  <c r="G35" i="3"/>
  <c r="G29" i="3"/>
  <c r="G34" i="3"/>
  <c r="H30" i="3"/>
  <c r="H34" i="3"/>
  <c r="H35" i="3"/>
  <c r="H29" i="3"/>
  <c r="L30" i="3"/>
  <c r="L35" i="3"/>
  <c r="L34" i="3"/>
  <c r="L29" i="3"/>
  <c r="F28" i="3"/>
  <c r="F26" i="3"/>
  <c r="J30" i="3"/>
  <c r="J35" i="3"/>
  <c r="J29" i="3"/>
  <c r="J34" i="3"/>
  <c r="H28" i="3"/>
  <c r="H26" i="3"/>
  <c r="E26" i="3"/>
  <c r="E28" i="3"/>
  <c r="F30" i="3"/>
  <c r="F29" i="3"/>
  <c r="F34" i="3"/>
  <c r="F35" i="3"/>
  <c r="I26" i="3"/>
  <c r="I28" i="3"/>
  <c r="J26" i="3"/>
  <c r="J28" i="3"/>
  <c r="I30" i="3"/>
  <c r="I29" i="3"/>
  <c r="I35" i="3"/>
  <c r="I34" i="3"/>
  <c r="G26" i="3"/>
  <c r="G28" i="3"/>
  <c r="K35" i="3"/>
  <c r="K29" i="3"/>
  <c r="K30" i="3"/>
  <c r="K34" i="3"/>
  <c r="L28" i="3"/>
  <c r="L26" i="3"/>
  <c r="D28" i="3"/>
  <c r="D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<sst xmlns="http://schemas.openxmlformats.org/spreadsheetml/2006/main" count="275" uniqueCount="248">
  <si>
    <t>INCOME</t>
  </si>
  <si>
    <t>EXPENSES</t>
  </si>
  <si>
    <t>TAX EXPENSE</t>
  </si>
  <si>
    <t>OTHER COMPREHENSIVE INCOME</t>
  </si>
  <si>
    <t>Items that will not be reclassified to Profit or Loss</t>
  </si>
  <si>
    <t xml:space="preserve">Revenue from Operations </t>
  </si>
  <si>
    <t xml:space="preserve">Other Income </t>
  </si>
  <si>
    <t xml:space="preserve">TOTAL INCOME </t>
  </si>
  <si>
    <t xml:space="preserve">Cost of materials consumed </t>
  </si>
  <si>
    <t xml:space="preserve">Purchase of Stock in Trade </t>
  </si>
  <si>
    <t xml:space="preserve">Changes in inventories of Finished Goods, Stock-in-Trade and Work-in-Progress </t>
  </si>
  <si>
    <t xml:space="preserve">Employee Benefits expense </t>
  </si>
  <si>
    <t xml:space="preserve">Finance Costs </t>
  </si>
  <si>
    <t xml:space="preserve">Depreciation and Amortisation expense </t>
  </si>
  <si>
    <t xml:space="preserve">Other Expenses </t>
  </si>
  <si>
    <t xml:space="preserve">TOTAL EXPENSES </t>
  </si>
  <si>
    <t xml:space="preserve">PROFIT BEFORE TAX </t>
  </si>
  <si>
    <t xml:space="preserve">Current Tax </t>
  </si>
  <si>
    <t>Deferred Tax</t>
  </si>
  <si>
    <t>Earlier year Adjustments</t>
  </si>
  <si>
    <t xml:space="preserve">TOTAL TAX EXPENSE </t>
  </si>
  <si>
    <t xml:space="preserve">PROFIT FOR THE YEAR </t>
  </si>
  <si>
    <t>Remeasurements of Defined benefit plans</t>
  </si>
  <si>
    <t xml:space="preserve">Income Tax relating to items that will not be reclassified to Profit or Loss </t>
  </si>
  <si>
    <t xml:space="preserve">TOTAL OTHER COMPREHENSIVE INCOME FOR THE YEAR, NET OF TAX </t>
  </si>
  <si>
    <t>TOTAL COMPREHENSIVE INCOME FOR THE YEAR</t>
  </si>
  <si>
    <t xml:space="preserve">EARNINGS PER EQUITY SHARE </t>
  </si>
  <si>
    <t>Excise Dut</t>
  </si>
  <si>
    <t>Net Income</t>
  </si>
  <si>
    <t>Total Revenue</t>
  </si>
  <si>
    <t>Other Income</t>
  </si>
  <si>
    <t>Operating Revenues = [Total Revenue – Other Income]</t>
  </si>
  <si>
    <t>Total Expense</t>
  </si>
  <si>
    <t xml:space="preserve">Finance Cost </t>
  </si>
  <si>
    <t>Depreciation &amp; Amortization</t>
  </si>
  <si>
    <t>Operating Expense = [Total Expense – Finance Cost – Depreciation &amp; Amortization]</t>
  </si>
  <si>
    <t>EBITDA = [Operating Revenues – Operating Expense]</t>
  </si>
  <si>
    <t>EBIDTA Margin = EBITDA / [Total Revenue – Other Income]</t>
  </si>
  <si>
    <t>EBITDA</t>
  </si>
  <si>
    <t>Less Depriciation and Ammortisation Expense</t>
  </si>
  <si>
    <t>EBIT</t>
  </si>
  <si>
    <t>Less Interest ( Finance Cost)</t>
  </si>
  <si>
    <t>PBT</t>
  </si>
  <si>
    <t>Less Tax</t>
  </si>
  <si>
    <t>PAT</t>
  </si>
  <si>
    <t>COGS</t>
  </si>
  <si>
    <t>Gross Profit= Revenue-COGS</t>
  </si>
  <si>
    <t>Gross Profit Margin</t>
  </si>
  <si>
    <t>Gross Profit Ratio</t>
  </si>
  <si>
    <t>Net Profit Ratio</t>
  </si>
  <si>
    <t>PAT Margin = [PAT/Total Revenues]</t>
  </si>
  <si>
    <t>Capital employeed = Total assets-current liabilities</t>
  </si>
  <si>
    <t>Return on Asset (ROA)</t>
  </si>
  <si>
    <t>Return on Equiy (ROE)</t>
  </si>
  <si>
    <t>Total Revenue / Average Receivables</t>
  </si>
  <si>
    <t>Debtor Turnover Ratio</t>
  </si>
  <si>
    <t>Avg Receivables</t>
  </si>
  <si>
    <t>Debtor Days</t>
  </si>
  <si>
    <t>Asset Turnover Ratio</t>
  </si>
  <si>
    <t>Asset Turnover = Net Sales / Average Total asset.</t>
  </si>
  <si>
    <t>SOLVENCY RATIOS</t>
  </si>
  <si>
    <t>Current Ratio</t>
  </si>
  <si>
    <t>Debt to Asset Ratio</t>
  </si>
  <si>
    <t>Debt to Equity Ratio</t>
  </si>
  <si>
    <t>Interest Coverage Ratio</t>
  </si>
  <si>
    <t>INVESTORS RATIOS</t>
  </si>
  <si>
    <t>Earnings Per Share (EPS)</t>
  </si>
  <si>
    <t>Price to Earning Ratio (PE)</t>
  </si>
  <si>
    <t>Dividend Payout Ratio</t>
  </si>
  <si>
    <t>Market Price</t>
  </si>
  <si>
    <t>Creditor Days = (Trade Payable / Cost of Goods Sold) * Number of Days(365)</t>
  </si>
  <si>
    <t>Inventory Turnover Ratio</t>
  </si>
  <si>
    <t>Inventory Turnover Ratio (Sales)</t>
  </si>
  <si>
    <t>Inventory Turnover Ratio(COGS)</t>
  </si>
  <si>
    <t>Average Inventory</t>
  </si>
  <si>
    <t xml:space="preserve">Inventory Days </t>
  </si>
  <si>
    <t xml:space="preserve"> </t>
  </si>
  <si>
    <t>ASSETS</t>
  </si>
  <si>
    <t>Non-Current Assets</t>
  </si>
  <si>
    <t>Financial Assets;</t>
  </si>
  <si>
    <t>Current Assets</t>
  </si>
  <si>
    <t>EQUITY AND LIABILITIES</t>
  </si>
  <si>
    <t>Equity</t>
  </si>
  <si>
    <t>LIABILITIES</t>
  </si>
  <si>
    <t>Non-Current Liabilities</t>
  </si>
  <si>
    <t>Financial Liabilities</t>
  </si>
  <si>
    <t>Current Liabilities</t>
  </si>
  <si>
    <t xml:space="preserve"> – Trade Payables</t>
  </si>
  <si>
    <t>TOTAL EQUITY AND LIABILITIES</t>
  </si>
  <si>
    <t xml:space="preserve">Property, Plant and Equipment </t>
  </si>
  <si>
    <t xml:space="preserve">Capital Work-in-Progress </t>
  </si>
  <si>
    <t xml:space="preserve">Other Intangible Assets </t>
  </si>
  <si>
    <t xml:space="preserve"> – Investments </t>
  </si>
  <si>
    <t xml:space="preserve"> – Loans </t>
  </si>
  <si>
    <t xml:space="preserve"> – Other financial assets </t>
  </si>
  <si>
    <t xml:space="preserve">Other non-current assets </t>
  </si>
  <si>
    <t xml:space="preserve">Inventories </t>
  </si>
  <si>
    <t xml:space="preserve"> – Investments</t>
  </si>
  <si>
    <t xml:space="preserve"> – Trade Receivables </t>
  </si>
  <si>
    <t xml:space="preserve"> – Cash and cash Equivalents</t>
  </si>
  <si>
    <t xml:space="preserve"> – Bank balances other than cash and cash equivalents </t>
  </si>
  <si>
    <t xml:space="preserve"> – Others financial assets </t>
  </si>
  <si>
    <t xml:space="preserve"> – Loans</t>
  </si>
  <si>
    <t xml:space="preserve">Current Tax Assets (Net) </t>
  </si>
  <si>
    <t xml:space="preserve">Other current assets </t>
  </si>
  <si>
    <t xml:space="preserve">Equity Share Capital </t>
  </si>
  <si>
    <t xml:space="preserve">Other Equity </t>
  </si>
  <si>
    <t xml:space="preserve">Total Equity </t>
  </si>
  <si>
    <t xml:space="preserve"> – Other Financial Liabilities</t>
  </si>
  <si>
    <t>Deferred Tax Liabilities (Net)</t>
  </si>
  <si>
    <t>Other non-current liabilities</t>
  </si>
  <si>
    <t xml:space="preserve"> (A) total oustanding dues of micro &amp; small enterprises </t>
  </si>
  <si>
    <t xml:space="preserve"> (B) total outstanding dues otherthan micro &amp; small enterprises </t>
  </si>
  <si>
    <t xml:space="preserve"> – Other Financial Liabilities </t>
  </si>
  <si>
    <t xml:space="preserve">Other Current Liabilities </t>
  </si>
  <si>
    <t xml:space="preserve">Provisions </t>
  </si>
  <si>
    <t xml:space="preserve">Current Tax Liabilities (Net) </t>
  </si>
  <si>
    <t xml:space="preserve">Total Liabilities </t>
  </si>
  <si>
    <t>Total Current Liabilities</t>
  </si>
  <si>
    <t>Total Non Current Assets</t>
  </si>
  <si>
    <t>Total Current Assets</t>
  </si>
  <si>
    <t xml:space="preserve">TOTAL ASSETS </t>
  </si>
  <si>
    <t>Tangible Assets</t>
  </si>
  <si>
    <t>Intangible Assets</t>
  </si>
  <si>
    <t>Current Investments</t>
  </si>
  <si>
    <t xml:space="preserve"> Reserves &amp; Surplus</t>
  </si>
  <si>
    <t xml:space="preserve"> – Borrowings Short Term</t>
  </si>
  <si>
    <t>Long Term Borrowings</t>
  </si>
  <si>
    <t>Total Non Current Liabilities</t>
  </si>
  <si>
    <t>Cogs/avg inventory</t>
  </si>
  <si>
    <t>sales/avg inventory</t>
  </si>
  <si>
    <t>Compounded Profit Growth</t>
  </si>
  <si>
    <t>Compounded Sales Growth</t>
  </si>
  <si>
    <t>Year</t>
  </si>
  <si>
    <t>Debtor days  = (Trade Receivable / Revenue) * Number of Days(365)</t>
  </si>
  <si>
    <t>Total Debts/Total Assets</t>
  </si>
  <si>
    <t>​</t>
  </si>
  <si>
    <t>Current Assets/Current Liabilities</t>
  </si>
  <si>
    <t>Tax %</t>
  </si>
  <si>
    <t>Vinati Organics Ltd.</t>
  </si>
  <si>
    <t>1.PROFITABILITY RATIOS</t>
  </si>
  <si>
    <t>2.EFFCIENCY RATIOS</t>
  </si>
  <si>
    <t>Revenue from Operations  Growth YOY</t>
  </si>
  <si>
    <t>Other Income Growth YOY</t>
  </si>
  <si>
    <t>TAX EXPENSE GROWTH YOY</t>
  </si>
  <si>
    <t>Profit Growth Rate YOY</t>
  </si>
  <si>
    <t>PBT Growth YOY</t>
  </si>
  <si>
    <t>Net profit before tax and extra ordinary item</t>
  </si>
  <si>
    <t>Operating profit before working capital changes</t>
  </si>
  <si>
    <t>Adjustments for :</t>
  </si>
  <si>
    <t>Trade and other receivables</t>
  </si>
  <si>
    <t>Inventories</t>
  </si>
  <si>
    <t>Trade and other payables</t>
  </si>
  <si>
    <t>Cash generated from operations</t>
  </si>
  <si>
    <t>Extra ordinary items</t>
  </si>
  <si>
    <t>Net cash generated from operating activities</t>
  </si>
  <si>
    <t>CASH FLOW FROM INVESTING ACTIVITIES</t>
  </si>
  <si>
    <t>Adjustment for foreign exchange year end revaluation</t>
  </si>
  <si>
    <t>(Increase) in Investments(including re investments)</t>
  </si>
  <si>
    <t>Interest received</t>
  </si>
  <si>
    <t>Cash generated from investing activities</t>
  </si>
  <si>
    <t>Tax deducted at source on interest income</t>
  </si>
  <si>
    <t>Net cash (used in) investing activities</t>
  </si>
  <si>
    <t>Dividend paid</t>
  </si>
  <si>
    <t>Tax on dividend</t>
  </si>
  <si>
    <t>Net cash flow from financing activities</t>
  </si>
  <si>
    <t>Dividend received</t>
  </si>
  <si>
    <t>Other Financial assets</t>
  </si>
  <si>
    <t>Other Non Current Assets</t>
  </si>
  <si>
    <t>Other Current Assets</t>
  </si>
  <si>
    <t>Provisions</t>
  </si>
  <si>
    <t>Other Non Current Financial Liabilities</t>
  </si>
  <si>
    <t>Other Current Financial Liabilities</t>
  </si>
  <si>
    <t>Other liabilities</t>
  </si>
  <si>
    <t>Proceeds from sale of Fixed Assets</t>
  </si>
  <si>
    <t>Deposits/Balances with Banks</t>
  </si>
  <si>
    <t>Interest Income</t>
  </si>
  <si>
    <t>Loans (Financial assets)</t>
  </si>
  <si>
    <t>Proceeds from sale of Investments</t>
  </si>
  <si>
    <t>Other Current Financial assets</t>
  </si>
  <si>
    <t>Gross Profit/Total revenue</t>
  </si>
  <si>
    <t>EBIT/ Capital Employed</t>
  </si>
  <si>
    <t>PAT /Total Assets</t>
  </si>
  <si>
    <t>PAT /Total Equity Or(ShareHolders Fund)</t>
  </si>
  <si>
    <t>Total Revenue/ AVG Receiveables</t>
  </si>
  <si>
    <t>Total Debts/Total Equity(ShareHolders Fund)</t>
  </si>
  <si>
    <t>EBIT/Finance Costs</t>
  </si>
  <si>
    <t>Current Market Price Of Share/EPS</t>
  </si>
  <si>
    <t>365/Inventory Turnover Ratio</t>
  </si>
  <si>
    <t>Return on Capital Employeed (ROCE)</t>
  </si>
  <si>
    <t>ROI</t>
  </si>
  <si>
    <t>PAT/(Total Assets- Current Liabilities)</t>
  </si>
  <si>
    <t>Book Value</t>
  </si>
  <si>
    <t>Net Profit/Total revenue</t>
  </si>
  <si>
    <t>Total Debt=Long Term Borrowings + Short term Borrowings</t>
  </si>
  <si>
    <t>Dividend Paid/ PAT</t>
  </si>
  <si>
    <t>CASH FLOW FROM OPERATING ACTIVITIES :</t>
  </si>
  <si>
    <t xml:space="preserve"> Unrealised export incentives/Import entitlements</t>
  </si>
  <si>
    <t xml:space="preserve">Depreciation </t>
  </si>
  <si>
    <t xml:space="preserve"> Amortisation </t>
  </si>
  <si>
    <t xml:space="preserve"> Loss /(Gain)on sale of fixed assets/assets discarded</t>
  </si>
  <si>
    <t xml:space="preserve"> Interest paid</t>
  </si>
  <si>
    <t xml:space="preserve"> Unrealised Foreign Exchange (Gain)/Loss (net) </t>
  </si>
  <si>
    <t xml:space="preserve"> Provisions for expenses and liabilities </t>
  </si>
  <si>
    <t xml:space="preserve"> Excess Liability written back</t>
  </si>
  <si>
    <t xml:space="preserve"> Other Provisions and write offs (net)</t>
  </si>
  <si>
    <t xml:space="preserve"> Interest Accured income</t>
  </si>
  <si>
    <t xml:space="preserve"> Loss (Profit)on sale of Investment</t>
  </si>
  <si>
    <t xml:space="preserve"> Dividend Received </t>
  </si>
  <si>
    <t>Direct taxes (including earlier years)</t>
  </si>
  <si>
    <t>Cash flow before extra ordinary items</t>
  </si>
  <si>
    <t>Fixed assets purchased, sold/discarded(net and excluding CWIP capitalised)</t>
  </si>
  <si>
    <t>(Increase)/ Decrease in Capital Work-in-Progress (including capital advances)</t>
  </si>
  <si>
    <t>CASH FLOW FROM FINANCING ACTIVITIES</t>
  </si>
  <si>
    <t>Receipt of long-term borrowings (net of repayment)</t>
  </si>
  <si>
    <t>Receipt of short-term borrowings (net of repayment)</t>
  </si>
  <si>
    <t>Current Investment Increased</t>
  </si>
  <si>
    <t>Interest paid</t>
  </si>
  <si>
    <t>Net increase/(decrease) in cash and cash equivalents (A + B + C )</t>
  </si>
  <si>
    <t>Cash and cash equivalents (opening balance)</t>
  </si>
  <si>
    <t>Cash and cash equivalents (closing balance)</t>
  </si>
  <si>
    <t>(Purchase)/Sale of Investment (net)</t>
  </si>
  <si>
    <t>Finance Cost (including fair value change in financial instruments)</t>
  </si>
  <si>
    <t>Loss / (Gain) on Sale / Disposal of Fixed Assets</t>
  </si>
  <si>
    <t>(Repayments) / Proceeds from Working Capital Facilities (Net)</t>
  </si>
  <si>
    <t>Buyback of Shares</t>
  </si>
  <si>
    <t>(Repayments) of Term Loans</t>
  </si>
  <si>
    <t>Non Current Financial Liabilities - Security Deposits</t>
  </si>
  <si>
    <t>- Highly Liquid Investments (Note 6</t>
  </si>
  <si>
    <t>Net gains on fair value changes on financial assets classified as FVTPL</t>
  </si>
  <si>
    <t>Net gain on sale of Investments classified as FVTPL</t>
  </si>
  <si>
    <t>Purchase of Investments</t>
  </si>
  <si>
    <t>Share Issue Expenses</t>
  </si>
  <si>
    <t>Common Size Statement</t>
  </si>
  <si>
    <t>Bench Marking</t>
  </si>
  <si>
    <t>Chemical Sector- Producon Trends</t>
  </si>
  <si>
    <t>The producon of Major Chemicals in 2022-23 (up to September 2022) is 6487 thousand MT. The</t>
  </si>
  <si>
    <t>CAGR in producon of Total Major Chemicals during the period 2017-18 to 2021-22 was 3.58%.</t>
  </si>
  <si>
    <t>The trend in the producon of selected major chemicals is depicted in Chart I.</t>
  </si>
  <si>
    <t>CAGR From 2018-2022 is 3.58</t>
  </si>
  <si>
    <t>The producon of Major Petrochemicals in 2022-23 (up to September 2022) is 20083 thousand</t>
  </si>
  <si>
    <t>MT. The CAGR in producon of Major Petrochemicals during the period 2017-18 to 2021-22 was</t>
  </si>
  <si>
    <t>4.91%. The trend in the producon of Major Petrochemicals has been depicted in Chart II.</t>
  </si>
  <si>
    <t>CAGR Is 4.91%</t>
  </si>
  <si>
    <t>Projected Growth Rate By 2025 Is 9%</t>
  </si>
  <si>
    <t>Vinati Organics CAGR Is Greater Than Average Growth Rate Of Chemical Industry</t>
  </si>
  <si>
    <t>Growth Rate</t>
  </si>
  <si>
    <r>
      <rPr>
        <b/>
        <sz val="11"/>
        <color theme="2"/>
        <rFont val="Calibri"/>
        <family val="2"/>
        <scheme val="minor"/>
      </rPr>
      <t>Source :</t>
    </r>
    <r>
      <rPr>
        <sz val="11"/>
        <color theme="2"/>
        <rFont val="Calibri"/>
        <family val="2"/>
        <scheme val="minor"/>
      </rPr>
      <t xml:space="preserve"> https://chemicals.gov.in/sites/default/files/Reports/Annual%20Report_2022-23_1.pdf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</si>
</sst>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rgb="FF005BA8"/>
      <name val="Calibri"/>
      <family val="2"/>
      <scheme val="minor"/>
    </font>
    <font>
      <b/>
      <sz val="11"/>
      <color theme="2" tint="-0.499984740745262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theme="0"/>
      <name val="Calibri"/>
      <family val="2"/>
    </font>
    <font>
      <b/>
      <u/>
      <sz val="12"/>
      <color rgb="FF0070C0"/>
      <name val="Calibri"/>
      <family val="2"/>
    </font>
    <font>
      <b/>
      <sz val="11"/>
      <name val="Calibri"/>
      <family val="2"/>
      <scheme val="minor"/>
    </font>
    <font>
      <b/>
      <sz val="9"/>
      <color rgb="FF03050A"/>
      <name val="Roboto"/>
    </font>
    <font>
      <b/>
      <sz val="14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2" applyNumberFormat="0" applyFill="0" applyAlignment="0" applyProtection="0"/>
    <xf numFmtId="0" fontId="9" fillId="16" borderId="0" applyNumberFormat="0" applyBorder="0" applyAlignment="0" applyProtection="0"/>
  </cellStyleXfs>
  <cellXfs count="109">
    <xf numFmtId="0" fontId="0" fillId="0" borderId="0" xfId="0"/>
    <xf numFmtId="17" fontId="0" fillId="0" borderId="0" xfId="0" applyNumberForma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4" borderId="1" xfId="0" applyFont="1" applyFill="1" applyBorder="1"/>
    <xf numFmtId="43" fontId="5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0" fillId="2" borderId="1" xfId="0" applyFill="1" applyBorder="1"/>
    <xf numFmtId="9" fontId="0" fillId="5" borderId="1" xfId="2" applyFont="1" applyFill="1" applyBorder="1"/>
    <xf numFmtId="0" fontId="0" fillId="6" borderId="1" xfId="0" applyFill="1" applyBorder="1"/>
    <xf numFmtId="0" fontId="11" fillId="0" borderId="3" xfId="0" applyFont="1" applyBorder="1"/>
    <xf numFmtId="0" fontId="12" fillId="7" borderId="1" xfId="0" applyFont="1" applyFill="1" applyBorder="1" applyAlignment="1">
      <alignment horizontal="center"/>
    </xf>
    <xf numFmtId="0" fontId="9" fillId="0" borderId="0" xfId="0" applyFont="1"/>
    <xf numFmtId="0" fontId="3" fillId="0" borderId="0" xfId="0" applyFont="1"/>
    <xf numFmtId="0" fontId="0" fillId="9" borderId="1" xfId="0" applyFill="1" applyBorder="1"/>
    <xf numFmtId="0" fontId="2" fillId="9" borderId="1" xfId="0" applyFont="1" applyFill="1" applyBorder="1"/>
    <xf numFmtId="0" fontId="4" fillId="9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/>
    <xf numFmtId="0" fontId="10" fillId="0" borderId="0" xfId="0" applyFont="1"/>
    <xf numFmtId="0" fontId="13" fillId="0" borderId="1" xfId="0" applyFont="1" applyBorder="1"/>
    <xf numFmtId="0" fontId="2" fillId="10" borderId="1" xfId="0" applyFont="1" applyFill="1" applyBorder="1"/>
    <xf numFmtId="0" fontId="8" fillId="8" borderId="1" xfId="0" applyFont="1" applyFill="1" applyBorder="1"/>
    <xf numFmtId="17" fontId="2" fillId="0" borderId="1" xfId="0" applyNumberFormat="1" applyFont="1" applyBorder="1"/>
    <xf numFmtId="9" fontId="2" fillId="10" borderId="1" xfId="2" applyFont="1" applyFill="1" applyBorder="1"/>
    <xf numFmtId="0" fontId="2" fillId="5" borderId="1" xfId="0" applyFont="1" applyFill="1" applyBorder="1"/>
    <xf numFmtId="9" fontId="8" fillId="7" borderId="1" xfId="2" applyFont="1" applyFill="1" applyBorder="1"/>
    <xf numFmtId="9" fontId="2" fillId="0" borderId="1" xfId="2" applyFont="1" applyBorder="1"/>
    <xf numFmtId="2" fontId="2" fillId="0" borderId="1" xfId="0" applyNumberFormat="1" applyFont="1" applyBorder="1"/>
    <xf numFmtId="9" fontId="2" fillId="4" borderId="1" xfId="2" applyFont="1" applyFill="1" applyBorder="1"/>
    <xf numFmtId="2" fontId="2" fillId="4" borderId="1" xfId="0" applyNumberFormat="1" applyFont="1" applyFill="1" applyBorder="1"/>
    <xf numFmtId="0" fontId="14" fillId="0" borderId="1" xfId="0" applyFont="1" applyBorder="1"/>
    <xf numFmtId="2" fontId="2" fillId="3" borderId="1" xfId="0" applyNumberFormat="1" applyFont="1" applyFill="1" applyBorder="1"/>
    <xf numFmtId="0" fontId="15" fillId="3" borderId="1" xfId="0" applyFont="1" applyFill="1" applyBorder="1"/>
    <xf numFmtId="4" fontId="15" fillId="3" borderId="1" xfId="0" applyNumberFormat="1" applyFont="1" applyFill="1" applyBorder="1"/>
    <xf numFmtId="4" fontId="2" fillId="3" borderId="1" xfId="0" applyNumberFormat="1" applyFont="1" applyFill="1" applyBorder="1"/>
    <xf numFmtId="0" fontId="4" fillId="6" borderId="1" xfId="0" applyFont="1" applyFill="1" applyBorder="1"/>
    <xf numFmtId="0" fontId="2" fillId="6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2" fillId="11" borderId="1" xfId="0" applyFont="1" applyFill="1" applyBorder="1"/>
    <xf numFmtId="4" fontId="0" fillId="11" borderId="1" xfId="0" applyNumberFormat="1" applyFill="1" applyBorder="1"/>
    <xf numFmtId="9" fontId="0" fillId="11" borderId="1" xfId="2" applyFont="1" applyFill="1" applyBorder="1"/>
    <xf numFmtId="17" fontId="7" fillId="0" borderId="2" xfId="3" applyNumberFormat="1"/>
    <xf numFmtId="0" fontId="0" fillId="0" borderId="6" xfId="0" applyBorder="1"/>
    <xf numFmtId="17" fontId="7" fillId="0" borderId="1" xfId="3" applyNumberFormat="1" applyBorder="1"/>
    <xf numFmtId="9" fontId="0" fillId="12" borderId="1" xfId="2" applyFont="1" applyFill="1" applyBorder="1"/>
    <xf numFmtId="9" fontId="0" fillId="12" borderId="0" xfId="2" applyFont="1" applyFill="1"/>
    <xf numFmtId="0" fontId="2" fillId="12" borderId="1" xfId="0" applyFont="1" applyFill="1" applyBorder="1"/>
    <xf numFmtId="9" fontId="0" fillId="6" borderId="1" xfId="2" applyFont="1" applyFill="1" applyBorder="1"/>
    <xf numFmtId="9" fontId="0" fillId="13" borderId="1" xfId="2" applyFont="1" applyFill="1" applyBorder="1"/>
    <xf numFmtId="9" fontId="0" fillId="0" borderId="1" xfId="2" applyFont="1" applyFill="1" applyBorder="1"/>
    <xf numFmtId="9" fontId="0" fillId="0" borderId="6" xfId="2" applyFont="1" applyFill="1" applyBorder="1"/>
    <xf numFmtId="9" fontId="0" fillId="0" borderId="0" xfId="2" applyFont="1" applyFill="1" applyBorder="1"/>
    <xf numFmtId="0" fontId="0" fillId="0" borderId="8" xfId="0" applyBorder="1"/>
    <xf numFmtId="0" fontId="0" fillId="14" borderId="1" xfId="0" applyFill="1" applyBorder="1"/>
    <xf numFmtId="0" fontId="0" fillId="4" borderId="7" xfId="0" applyFill="1" applyBorder="1"/>
    <xf numFmtId="164" fontId="0" fillId="9" borderId="1" xfId="0" applyNumberFormat="1" applyFill="1" applyBorder="1"/>
    <xf numFmtId="0" fontId="0" fillId="4" borderId="5" xfId="0" applyFill="1" applyBorder="1"/>
    <xf numFmtId="0" fontId="0" fillId="4" borderId="9" xfId="0" applyFill="1" applyBorder="1"/>
    <xf numFmtId="0" fontId="2" fillId="0" borderId="4" xfId="0" applyFont="1" applyBorder="1"/>
    <xf numFmtId="0" fontId="0" fillId="14" borderId="7" xfId="0" applyFill="1" applyBorder="1"/>
    <xf numFmtId="0" fontId="0" fillId="14" borderId="5" xfId="0" applyFill="1" applyBorder="1"/>
    <xf numFmtId="0" fontId="0" fillId="14" borderId="9" xfId="0" applyFill="1" applyBorder="1"/>
    <xf numFmtId="4" fontId="0" fillId="2" borderId="1" xfId="0" applyNumberFormat="1" applyFill="1" applyBorder="1"/>
    <xf numFmtId="0" fontId="2" fillId="0" borderId="7" xfId="0" applyFont="1" applyBorder="1"/>
    <xf numFmtId="0" fontId="2" fillId="15" borderId="1" xfId="0" applyFont="1" applyFill="1" applyBorder="1"/>
    <xf numFmtId="0" fontId="0" fillId="15" borderId="1" xfId="0" applyFill="1" applyBorder="1"/>
    <xf numFmtId="0" fontId="0" fillId="11" borderId="7" xfId="0" applyFill="1" applyBorder="1"/>
    <xf numFmtId="0" fontId="0" fillId="11" borderId="5" xfId="0" applyFill="1" applyBorder="1"/>
    <xf numFmtId="17" fontId="7" fillId="0" borderId="5" xfId="3" applyNumberFormat="1" applyBorder="1"/>
    <xf numFmtId="17" fontId="7" fillId="0" borderId="0" xfId="3" applyNumberFormat="1" applyBorder="1"/>
    <xf numFmtId="0" fontId="4" fillId="0" borderId="1" xfId="0" applyFont="1" applyBorder="1"/>
    <xf numFmtId="0" fontId="2" fillId="17" borderId="1" xfId="0" applyFont="1" applyFill="1" applyBorder="1"/>
    <xf numFmtId="0" fontId="0" fillId="17" borderId="1" xfId="0" applyFill="1" applyBorder="1"/>
    <xf numFmtId="4" fontId="0" fillId="17" borderId="1" xfId="0" applyNumberFormat="1" applyFill="1" applyBorder="1"/>
    <xf numFmtId="4" fontId="0" fillId="0" borderId="0" xfId="0" applyNumberFormat="1"/>
    <xf numFmtId="0" fontId="0" fillId="0" borderId="10" xfId="0" applyBorder="1"/>
    <xf numFmtId="17" fontId="7" fillId="0" borderId="1" xfId="3" applyNumberFormat="1" applyFill="1" applyBorder="1"/>
    <xf numFmtId="9" fontId="0" fillId="12" borderId="8" xfId="2" applyFont="1" applyFill="1" applyBorder="1"/>
    <xf numFmtId="0" fontId="16" fillId="0" borderId="1" xfId="0" applyFont="1" applyBorder="1"/>
    <xf numFmtId="9" fontId="0" fillId="18" borderId="1" xfId="2" applyFont="1" applyFill="1" applyBorder="1"/>
    <xf numFmtId="0" fontId="0" fillId="19" borderId="1" xfId="0" applyFill="1" applyBorder="1"/>
    <xf numFmtId="0" fontId="2" fillId="20" borderId="1" xfId="0" applyFont="1" applyFill="1" applyBorder="1"/>
    <xf numFmtId="0" fontId="0" fillId="20" borderId="1" xfId="0" applyFill="1" applyBorder="1"/>
    <xf numFmtId="17" fontId="9" fillId="21" borderId="1" xfId="4" applyNumberFormat="1" applyFill="1" applyBorder="1"/>
    <xf numFmtId="0" fontId="17" fillId="22" borderId="1" xfId="0" applyFont="1" applyFill="1" applyBorder="1"/>
    <xf numFmtId="0" fontId="0" fillId="10" borderId="1" xfId="0" applyFill="1" applyBorder="1"/>
    <xf numFmtId="0" fontId="0" fillId="23" borderId="1" xfId="0" applyFill="1" applyBorder="1"/>
    <xf numFmtId="9" fontId="0" fillId="0" borderId="0" xfId="2" applyFont="1"/>
    <xf numFmtId="0" fontId="16" fillId="24" borderId="1" xfId="0" applyFont="1" applyFill="1" applyBorder="1"/>
    <xf numFmtId="9" fontId="0" fillId="4" borderId="1" xfId="2" applyFont="1" applyFill="1" applyBorder="1"/>
    <xf numFmtId="9" fontId="0" fillId="4" borderId="7" xfId="2" applyFont="1" applyFill="1" applyBorder="1"/>
    <xf numFmtId="0" fontId="0" fillId="24" borderId="11" xfId="0" applyFill="1" applyBorder="1"/>
    <xf numFmtId="0" fontId="0" fillId="24" borderId="8" xfId="0" applyFill="1" applyBorder="1"/>
    <xf numFmtId="0" fontId="0" fillId="24" borderId="12" xfId="0" applyFill="1" applyBorder="1"/>
    <xf numFmtId="0" fontId="0" fillId="24" borderId="1" xfId="0" applyFill="1" applyBorder="1"/>
    <xf numFmtId="0" fontId="19" fillId="0" borderId="0" xfId="0" applyFont="1"/>
    <xf numFmtId="0" fontId="20" fillId="0" borderId="3" xfId="0" applyFont="1" applyBorder="1"/>
    <xf numFmtId="0" fontId="21" fillId="0" borderId="3" xfId="0" applyFont="1" applyBorder="1"/>
  </cellXfs>
  <cellStyles count="5">
    <cellStyle name="Accent6" xfId="4" builtinId="49"/>
    <cellStyle name="Comma" xfId="1" builtinId="3"/>
    <cellStyle name="Heading 3" xfId="3" builtinId="18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35088398-FF73-4324-B887-ABDE04B0833C}"/>
  </tableStyles>
  <colors>
    <mruColors>
      <color rgb="FFCC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80B0-F3C1-463E-B9F8-0AA60175403E}">
  <dimension ref="A3:X45"/>
  <sheetViews>
    <sheetView workbookViewId="0">
      <selection activeCell="A5" sqref="A5"/>
    </sheetView>
  </sheetViews>
  <sheetFormatPr defaultRowHeight="14.4" x14ac:dyDescent="0.3"/>
  <cols>
    <col min="1" max="1" width="91.44140625" bestFit="1" customWidth="1"/>
    <col min="13" max="13" width="37.109375" customWidth="1"/>
  </cols>
  <sheetData>
    <row r="3" spans="1:24" ht="21" x14ac:dyDescent="0.4">
      <c r="A3" s="107" t="s">
        <v>139</v>
      </c>
    </row>
    <row r="4" spans="1:24" x14ac:dyDescent="0.3">
      <c r="A4" s="3"/>
      <c r="C4" s="3"/>
      <c r="D4" s="3"/>
      <c r="E4" s="3"/>
      <c r="F4" s="3"/>
      <c r="G4" s="3"/>
      <c r="H4" s="3"/>
      <c r="I4" s="3"/>
      <c r="J4" s="3"/>
      <c r="K4" s="3"/>
      <c r="L4" s="11"/>
    </row>
    <row r="5" spans="1:24" ht="15" thickBot="1" x14ac:dyDescent="0.35">
      <c r="A5" s="4" t="s">
        <v>0</v>
      </c>
      <c r="C5" s="54">
        <v>41334</v>
      </c>
      <c r="D5" s="52">
        <v>41699</v>
      </c>
      <c r="E5" s="52">
        <v>42064</v>
      </c>
      <c r="F5" s="52">
        <v>42430</v>
      </c>
      <c r="G5" s="52">
        <v>42795</v>
      </c>
      <c r="H5" s="52">
        <v>43160</v>
      </c>
      <c r="I5" s="52">
        <v>43525</v>
      </c>
      <c r="J5" s="52">
        <v>43891</v>
      </c>
      <c r="K5" s="52">
        <v>44256</v>
      </c>
      <c r="L5" s="79">
        <v>44621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3"/>
      <c r="B6" s="3">
        <f>100</f>
        <v>100</v>
      </c>
      <c r="C6" s="53"/>
      <c r="D6" s="3"/>
      <c r="E6" s="3"/>
      <c r="F6" s="3"/>
      <c r="G6" s="3"/>
      <c r="H6" s="3"/>
      <c r="I6" s="3"/>
      <c r="J6" s="3"/>
      <c r="K6" s="3"/>
      <c r="L6" s="86"/>
    </row>
    <row r="7" spans="1:24" x14ac:dyDescent="0.3">
      <c r="A7" s="48" t="s">
        <v>5</v>
      </c>
      <c r="C7" s="48">
        <f>55291.54/$B6</f>
        <v>552.91539999999998</v>
      </c>
      <c r="D7" s="48">
        <f>69613.35/100</f>
        <v>696.13350000000003</v>
      </c>
      <c r="E7" s="48">
        <f>77172.56/100</f>
        <v>771.72559999999999</v>
      </c>
      <c r="F7" s="48">
        <f>63094.8/100</f>
        <v>630.94799999999998</v>
      </c>
      <c r="G7" s="48">
        <f>66632.99/100</f>
        <v>666.32990000000007</v>
      </c>
      <c r="H7" s="48">
        <f>75587.44/100</f>
        <v>755.87440000000004</v>
      </c>
      <c r="I7" s="48">
        <f>110814.01/100</f>
        <v>1108.1400999999998</v>
      </c>
      <c r="J7" s="48">
        <f>102887.39/100</f>
        <v>1028.8739</v>
      </c>
      <c r="K7" s="48">
        <f>95425.81/100</f>
        <v>954.25810000000001</v>
      </c>
      <c r="L7" s="48">
        <f>161551.18/100</f>
        <v>1615.5118</v>
      </c>
    </row>
    <row r="8" spans="1:24" x14ac:dyDescent="0.3">
      <c r="A8" s="48" t="s">
        <v>142</v>
      </c>
      <c r="C8" s="48"/>
      <c r="D8" s="55">
        <f>D7/C7-1</f>
        <v>0.25902353235232733</v>
      </c>
      <c r="E8" s="55">
        <f t="shared" ref="E8:L8" si="0">E7/D7-1</f>
        <v>0.10858851068078179</v>
      </c>
      <c r="F8" s="55">
        <f t="shared" si="0"/>
        <v>-0.18241924331653636</v>
      </c>
      <c r="G8" s="55">
        <f t="shared" si="0"/>
        <v>5.6077362952256182E-2</v>
      </c>
      <c r="H8" s="55">
        <f t="shared" si="0"/>
        <v>0.13438463439806614</v>
      </c>
      <c r="I8" s="55">
        <f t="shared" si="0"/>
        <v>0.46603734694547105</v>
      </c>
      <c r="J8" s="55">
        <f t="shared" si="0"/>
        <v>-7.1530847047227897E-2</v>
      </c>
      <c r="K8" s="55">
        <f t="shared" si="0"/>
        <v>-7.2521812439794608E-2</v>
      </c>
      <c r="L8" s="55">
        <f t="shared" si="0"/>
        <v>0.69295057595004961</v>
      </c>
    </row>
    <row r="9" spans="1:24" x14ac:dyDescent="0.3">
      <c r="A9" s="48" t="s">
        <v>6</v>
      </c>
      <c r="C9" s="48">
        <f>376.37/100</f>
        <v>3.7637</v>
      </c>
      <c r="D9" s="48">
        <f>916.81/100</f>
        <v>9.168099999999999</v>
      </c>
      <c r="E9" s="48">
        <f>914.47/100</f>
        <v>9.1447000000000003</v>
      </c>
      <c r="F9" s="48">
        <f>615.8 /100</f>
        <v>6.1579999999999995</v>
      </c>
      <c r="G9" s="48">
        <f>956.48 /100</f>
        <v>9.5648</v>
      </c>
      <c r="H9" s="48">
        <f>1702.15/100</f>
        <v>17.0215</v>
      </c>
      <c r="I9" s="48">
        <f>4995.45/100</f>
        <v>49.954499999999996</v>
      </c>
      <c r="J9" s="48">
        <f>4498.92/100</f>
        <v>44.989200000000004</v>
      </c>
      <c r="K9" s="48">
        <f>2584.43/100</f>
        <v>25.844299999999997</v>
      </c>
      <c r="L9" s="48">
        <f>6091.21/100</f>
        <v>60.912100000000002</v>
      </c>
    </row>
    <row r="10" spans="1:24" x14ac:dyDescent="0.3">
      <c r="A10" s="48" t="s">
        <v>143</v>
      </c>
      <c r="C10" s="48"/>
      <c r="D10" s="56">
        <f>(D9-C9)/C9</f>
        <v>1.4359274118553549</v>
      </c>
      <c r="E10" s="56">
        <f t="shared" ref="E10:L10" si="1">(E9-D9)/D9</f>
        <v>-2.5523281814114982E-3</v>
      </c>
      <c r="F10" s="56">
        <f t="shared" si="1"/>
        <v>-0.32660448128424124</v>
      </c>
      <c r="G10" s="56">
        <f t="shared" si="1"/>
        <v>0.55323156869113366</v>
      </c>
      <c r="H10" s="56">
        <f t="shared" si="1"/>
        <v>0.77959810973569754</v>
      </c>
      <c r="I10" s="56">
        <f t="shared" si="1"/>
        <v>1.9347883559028285</v>
      </c>
      <c r="J10" s="56">
        <f t="shared" si="1"/>
        <v>-9.9396450770200734E-2</v>
      </c>
      <c r="K10" s="56">
        <f t="shared" si="1"/>
        <v>-0.42554435286691039</v>
      </c>
      <c r="L10" s="88">
        <f t="shared" si="1"/>
        <v>1.3568872053025236</v>
      </c>
    </row>
    <row r="11" spans="1:24" ht="18" x14ac:dyDescent="0.35">
      <c r="A11" s="57" t="s">
        <v>7</v>
      </c>
      <c r="C11" s="48">
        <f t="shared" ref="C11:L11" si="2">C7+C9</f>
        <v>556.67909999999995</v>
      </c>
      <c r="D11" s="48">
        <f t="shared" si="2"/>
        <v>705.30160000000001</v>
      </c>
      <c r="E11" s="48">
        <f t="shared" si="2"/>
        <v>780.87030000000004</v>
      </c>
      <c r="F11" s="48">
        <f t="shared" si="2"/>
        <v>637.10599999999999</v>
      </c>
      <c r="G11" s="48">
        <f t="shared" si="2"/>
        <v>675.89470000000006</v>
      </c>
      <c r="H11" s="48">
        <f t="shared" si="2"/>
        <v>772.89589999999998</v>
      </c>
      <c r="I11" s="48">
        <f t="shared" si="2"/>
        <v>1158.0945999999999</v>
      </c>
      <c r="J11" s="48">
        <f t="shared" si="2"/>
        <v>1073.8631</v>
      </c>
      <c r="K11" s="48">
        <f t="shared" si="2"/>
        <v>980.10239999999999</v>
      </c>
      <c r="L11" s="48">
        <f t="shared" si="2"/>
        <v>1676.4239</v>
      </c>
      <c r="M11" s="89" t="s">
        <v>233</v>
      </c>
    </row>
    <row r="12" spans="1:24" x14ac:dyDescent="0.3">
      <c r="A12" s="4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N12" s="87">
        <v>41334</v>
      </c>
      <c r="O12" s="87">
        <v>41699</v>
      </c>
      <c r="P12" s="87">
        <v>42064</v>
      </c>
      <c r="Q12" s="87">
        <v>42430</v>
      </c>
      <c r="R12" s="87">
        <v>42795</v>
      </c>
      <c r="S12" s="87">
        <v>43160</v>
      </c>
      <c r="T12" s="87">
        <v>43525</v>
      </c>
      <c r="U12" s="87">
        <v>43891</v>
      </c>
      <c r="V12" s="87">
        <v>44256</v>
      </c>
      <c r="W12" s="87">
        <v>44621</v>
      </c>
      <c r="X12" s="1"/>
    </row>
    <row r="13" spans="1:24" x14ac:dyDescent="0.3">
      <c r="A13" s="47" t="s">
        <v>8</v>
      </c>
      <c r="C13" s="47">
        <f>33990.84/100</f>
        <v>339.90839999999997</v>
      </c>
      <c r="D13" s="47">
        <f>41744.24/100</f>
        <v>417.44239999999996</v>
      </c>
      <c r="E13" s="47">
        <f>45537.83/100</f>
        <v>455.37830000000002</v>
      </c>
      <c r="F13" s="47">
        <f>29545.6/100</f>
        <v>295.45599999999996</v>
      </c>
      <c r="G13" s="50">
        <f>30612.67/100</f>
        <v>306.12669999999997</v>
      </c>
      <c r="H13" s="50">
        <f>37023.2/100</f>
        <v>370.23199999999997</v>
      </c>
      <c r="I13" s="47">
        <f>52858.97/100</f>
        <v>528.58969999999999</v>
      </c>
      <c r="J13" s="47">
        <f>43149.68/100</f>
        <v>431.49680000000001</v>
      </c>
      <c r="K13" s="47">
        <f>41585.56/100</f>
        <v>415.85559999999998</v>
      </c>
      <c r="L13" s="47">
        <f>85532.03/100</f>
        <v>855.32029999999997</v>
      </c>
      <c r="M13" s="91" t="s">
        <v>8</v>
      </c>
      <c r="N13" s="90">
        <f>C13/C21</f>
        <v>0.74857622075031072</v>
      </c>
      <c r="O13" s="90">
        <f t="shared" ref="O13:W13" si="3">D13/D21</f>
        <v>0.72383566888523287</v>
      </c>
      <c r="P13" s="90">
        <f t="shared" si="3"/>
        <v>0.74975003025321318</v>
      </c>
      <c r="Q13" s="90">
        <f t="shared" si="3"/>
        <v>0.65576899643967601</v>
      </c>
      <c r="R13" s="90">
        <f t="shared" si="3"/>
        <v>0.64959566674086533</v>
      </c>
      <c r="S13" s="90">
        <f t="shared" si="3"/>
        <v>0.65007451857907605</v>
      </c>
      <c r="T13" s="90">
        <f t="shared" si="3"/>
        <v>0.72127578515660296</v>
      </c>
      <c r="U13" s="90">
        <f t="shared" si="3"/>
        <v>0.66466899931530121</v>
      </c>
      <c r="V13" s="90">
        <f t="shared" si="3"/>
        <v>0.64487443765178609</v>
      </c>
      <c r="W13" s="90">
        <f t="shared" si="3"/>
        <v>0.69698343634096038</v>
      </c>
    </row>
    <row r="14" spans="1:24" x14ac:dyDescent="0.3">
      <c r="A14" s="47" t="s">
        <v>27</v>
      </c>
      <c r="C14" s="47"/>
      <c r="D14" s="47"/>
      <c r="E14" s="47"/>
      <c r="F14" s="47"/>
      <c r="G14" s="50"/>
      <c r="H14" s="47">
        <f>1251.79/100</f>
        <v>12.517899999999999</v>
      </c>
      <c r="I14" s="47"/>
      <c r="J14" s="47"/>
      <c r="K14" s="47"/>
      <c r="L14" s="47"/>
      <c r="M14" s="91" t="s">
        <v>27</v>
      </c>
      <c r="N14" s="90">
        <f>C14/C21</f>
        <v>0</v>
      </c>
      <c r="O14" s="90">
        <f t="shared" ref="O14:W14" si="4">D14/D21</f>
        <v>0</v>
      </c>
      <c r="P14" s="90">
        <f t="shared" si="4"/>
        <v>0</v>
      </c>
      <c r="Q14" s="90">
        <f t="shared" si="4"/>
        <v>0</v>
      </c>
      <c r="R14" s="90">
        <f t="shared" si="4"/>
        <v>0</v>
      </c>
      <c r="S14" s="90">
        <f t="shared" si="4"/>
        <v>2.1979644698786212E-2</v>
      </c>
      <c r="T14" s="90">
        <f t="shared" si="4"/>
        <v>0</v>
      </c>
      <c r="U14" s="90">
        <f t="shared" si="4"/>
        <v>0</v>
      </c>
      <c r="V14" s="90">
        <f t="shared" si="4"/>
        <v>0</v>
      </c>
      <c r="W14" s="90">
        <f t="shared" si="4"/>
        <v>0</v>
      </c>
    </row>
    <row r="15" spans="1:24" x14ac:dyDescent="0.3">
      <c r="A15" s="47" t="s">
        <v>9</v>
      </c>
      <c r="C15" s="47"/>
      <c r="D15" s="47">
        <f>51.71 /100</f>
        <v>0.5171</v>
      </c>
      <c r="E15" s="47">
        <f>51.5/100</f>
        <v>0.51500000000000001</v>
      </c>
      <c r="F15" s="47">
        <f>10.26 /100</f>
        <v>0.1026</v>
      </c>
      <c r="G15" s="47"/>
      <c r="H15" s="47">
        <f>28.28 /100</f>
        <v>0.2828</v>
      </c>
      <c r="I15" s="47"/>
      <c r="J15" s="47"/>
      <c r="K15" s="47"/>
      <c r="L15" s="47">
        <f>581.3/100</f>
        <v>5.8129999999999997</v>
      </c>
      <c r="M15" s="91" t="s">
        <v>9</v>
      </c>
      <c r="N15" s="90">
        <f>C15/C21</f>
        <v>0</v>
      </c>
      <c r="O15" s="90">
        <f t="shared" ref="O15:W15" si="5">D15/D21</f>
        <v>8.966396906029525E-4</v>
      </c>
      <c r="P15" s="90">
        <f t="shared" si="5"/>
        <v>8.4791318686113241E-4</v>
      </c>
      <c r="Q15" s="90">
        <f t="shared" si="5"/>
        <v>2.2772222948496822E-4</v>
      </c>
      <c r="R15" s="90">
        <f t="shared" si="5"/>
        <v>0</v>
      </c>
      <c r="S15" s="90">
        <f t="shared" si="5"/>
        <v>4.9655641288209212E-4</v>
      </c>
      <c r="T15" s="90">
        <f t="shared" si="5"/>
        <v>0</v>
      </c>
      <c r="U15" s="90">
        <f t="shared" si="5"/>
        <v>0</v>
      </c>
      <c r="V15" s="90">
        <f t="shared" si="5"/>
        <v>0</v>
      </c>
      <c r="W15" s="90">
        <f t="shared" si="5"/>
        <v>4.736897645770833E-3</v>
      </c>
    </row>
    <row r="16" spans="1:24" x14ac:dyDescent="0.3">
      <c r="A16" s="47" t="s">
        <v>10</v>
      </c>
      <c r="C16" s="47">
        <f>-489.88/100</f>
        <v>-4.8987999999999996</v>
      </c>
      <c r="D16" s="47">
        <f>84.81/100</f>
        <v>0.84810000000000008</v>
      </c>
      <c r="E16" s="47">
        <f>64.99/100</f>
        <v>0.64989999999999992</v>
      </c>
      <c r="F16" s="47">
        <f>74.7/100</f>
        <v>0.747</v>
      </c>
      <c r="G16" s="47">
        <f>-(558.2)/100</f>
        <v>-5.5820000000000007</v>
      </c>
      <c r="H16" s="47">
        <f xml:space="preserve"> 705.1 /100</f>
        <v>7.0510000000000002</v>
      </c>
      <c r="I16" s="47">
        <f>-(349.08)/100</f>
        <v>-3.4907999999999997</v>
      </c>
      <c r="J16" s="47">
        <f>-(279.41)/100</f>
        <v>-2.7941000000000003</v>
      </c>
      <c r="K16" s="47">
        <f>-2819.64/100</f>
        <v>-28.196399999999997</v>
      </c>
      <c r="L16" s="47">
        <f>-40.98/100</f>
        <v>-0.40979999999999994</v>
      </c>
      <c r="M16" s="91" t="s">
        <v>10</v>
      </c>
      <c r="N16" s="90">
        <f>C16/C21</f>
        <v>-1.0788568891535549E-2</v>
      </c>
      <c r="O16" s="90">
        <f t="shared" ref="O16:W16" si="6">D16/D21</f>
        <v>1.4705861953207581E-3</v>
      </c>
      <c r="P16" s="90">
        <f t="shared" si="6"/>
        <v>1.0700170488175725E-3</v>
      </c>
      <c r="Q16" s="90">
        <f t="shared" si="6"/>
        <v>1.6579776357238914E-3</v>
      </c>
      <c r="R16" s="90">
        <f t="shared" si="6"/>
        <v>-1.1844909352067334E-2</v>
      </c>
      <c r="S16" s="90">
        <f t="shared" si="6"/>
        <v>1.2380549035472531E-2</v>
      </c>
      <c r="T16" s="90">
        <f t="shared" si="6"/>
        <v>-4.7632965811189084E-3</v>
      </c>
      <c r="U16" s="90">
        <f t="shared" si="6"/>
        <v>-4.3039754894749699E-3</v>
      </c>
      <c r="V16" s="90">
        <f t="shared" si="6"/>
        <v>-4.3724642865948717E-2</v>
      </c>
      <c r="W16" s="90">
        <f t="shared" si="6"/>
        <v>-3.3393783850625962E-4</v>
      </c>
    </row>
    <row r="17" spans="1:23" x14ac:dyDescent="0.3">
      <c r="A17" s="47" t="s">
        <v>11</v>
      </c>
      <c r="C17" s="47">
        <f>2258.77/100</f>
        <v>22.587699999999998</v>
      </c>
      <c r="D17" s="47">
        <f>2742.88/100</f>
        <v>27.428800000000003</v>
      </c>
      <c r="E17" s="47">
        <f>3189.93/100</f>
        <v>31.899299999999997</v>
      </c>
      <c r="F17" s="47">
        <f>3589.05/100</f>
        <v>35.890500000000003</v>
      </c>
      <c r="G17" s="47">
        <f>4410.26/100</f>
        <v>44.102600000000002</v>
      </c>
      <c r="H17" s="47">
        <f>4898.39/100</f>
        <v>48.983900000000006</v>
      </c>
      <c r="I17" s="47">
        <f>5420.04/100</f>
        <v>54.200400000000002</v>
      </c>
      <c r="J17" s="47">
        <f>6427.7/100</f>
        <v>64.277000000000001</v>
      </c>
      <c r="K17" s="47">
        <f>7264.25/100</f>
        <v>72.642499999999998</v>
      </c>
      <c r="L17" s="47">
        <f>8398.54/100</f>
        <v>83.985400000000013</v>
      </c>
      <c r="M17" s="91" t="s">
        <v>11</v>
      </c>
      <c r="N17" s="90">
        <f>C17/C21</f>
        <v>4.974462267317252E-2</v>
      </c>
      <c r="O17" s="90">
        <f t="shared" ref="O17:W17" si="7">D17/D21</f>
        <v>4.7560918092458451E-2</v>
      </c>
      <c r="P17" s="90">
        <f t="shared" si="7"/>
        <v>5.2520072080853041E-2</v>
      </c>
      <c r="Q17" s="90">
        <f t="shared" si="7"/>
        <v>7.9659499779047294E-2</v>
      </c>
      <c r="R17" s="90">
        <f t="shared" si="7"/>
        <v>9.3584969399943527E-2</v>
      </c>
      <c r="S17" s="90">
        <f t="shared" si="7"/>
        <v>8.6008732931312296E-2</v>
      </c>
      <c r="T17" s="90">
        <f t="shared" si="7"/>
        <v>7.395799817098582E-2</v>
      </c>
      <c r="U17" s="90">
        <f t="shared" si="7"/>
        <v>9.9010999082703777E-2</v>
      </c>
      <c r="V17" s="90">
        <f t="shared" si="7"/>
        <v>0.11264797525179383</v>
      </c>
      <c r="W17" s="90">
        <f t="shared" si="7"/>
        <v>6.8438025724947837E-2</v>
      </c>
    </row>
    <row r="18" spans="1:23" x14ac:dyDescent="0.3">
      <c r="A18" s="47" t="s">
        <v>12</v>
      </c>
      <c r="C18" s="47">
        <f>1153.87/100</f>
        <v>11.538699999999999</v>
      </c>
      <c r="D18" s="47">
        <f>1814.64/100</f>
        <v>18.1464</v>
      </c>
      <c r="E18" s="47">
        <f>975.51/100</f>
        <v>9.7551000000000005</v>
      </c>
      <c r="F18" s="47">
        <f>785.94/100</f>
        <v>7.8594000000000008</v>
      </c>
      <c r="G18" s="47">
        <f>275.32 /100</f>
        <v>2.7532000000000001</v>
      </c>
      <c r="H18" s="47">
        <f>121.09/100</f>
        <v>1.2109000000000001</v>
      </c>
      <c r="I18" s="47">
        <f>94.4/100</f>
        <v>0.94400000000000006</v>
      </c>
      <c r="J18" s="47">
        <f>109.22/100</f>
        <v>1.0922000000000001</v>
      </c>
      <c r="K18" s="47">
        <f xml:space="preserve"> 21.19 /100</f>
        <v>0.21190000000000001</v>
      </c>
      <c r="L18" s="47">
        <f>25.87/100</f>
        <v>0.25869999999999999</v>
      </c>
      <c r="M18" s="91" t="s">
        <v>12</v>
      </c>
      <c r="N18" s="90">
        <f>C18/C21</f>
        <v>2.5411541575235005E-2</v>
      </c>
      <c r="O18" s="90">
        <f t="shared" ref="O18:W18" si="8">D18/D21</f>
        <v>3.1465446686438629E-2</v>
      </c>
      <c r="P18" s="90">
        <f t="shared" si="8"/>
        <v>1.6061122192522394E-2</v>
      </c>
      <c r="Q18" s="90">
        <f t="shared" si="8"/>
        <v>1.7444055462126309E-2</v>
      </c>
      <c r="R18" s="90">
        <f t="shared" si="8"/>
        <v>5.8422437169673566E-3</v>
      </c>
      <c r="S18" s="90">
        <f t="shared" si="8"/>
        <v>2.1261674694445735E-3</v>
      </c>
      <c r="T18" s="90">
        <f t="shared" si="8"/>
        <v>1.2881150374058239E-3</v>
      </c>
      <c r="U18" s="90">
        <f t="shared" si="8"/>
        <v>1.6824029310348815E-3</v>
      </c>
      <c r="V18" s="90">
        <f t="shared" si="8"/>
        <v>3.2859697774519206E-4</v>
      </c>
      <c r="W18" s="90">
        <f t="shared" si="8"/>
        <v>2.1080946515756314E-4</v>
      </c>
    </row>
    <row r="19" spans="1:23" x14ac:dyDescent="0.3">
      <c r="A19" s="47" t="s">
        <v>13</v>
      </c>
      <c r="C19" s="47">
        <f>994.95/100</f>
        <v>9.9495000000000005</v>
      </c>
      <c r="D19" s="47">
        <f>1531.72/100</f>
        <v>15.3172</v>
      </c>
      <c r="E19" s="47">
        <f>1765.86/100</f>
        <v>17.6586</v>
      </c>
      <c r="F19" s="47">
        <f>1851.79/100</f>
        <v>18.517900000000001</v>
      </c>
      <c r="G19" s="47">
        <f>2136.83/100</f>
        <v>21.368299999999998</v>
      </c>
      <c r="H19" s="47">
        <f>2336.26/100</f>
        <v>23.3626</v>
      </c>
      <c r="I19" s="47">
        <f>2738.56/100</f>
        <v>27.3856</v>
      </c>
      <c r="J19" s="47">
        <f>3316.05/100</f>
        <v>33.160499999999999</v>
      </c>
      <c r="K19" s="47">
        <f>4291.45/100</f>
        <v>42.914499999999997</v>
      </c>
      <c r="L19" s="47">
        <f>4548.63/100</f>
        <v>45.4863</v>
      </c>
      <c r="M19" s="91" t="s">
        <v>13</v>
      </c>
      <c r="N19" s="90">
        <f>C19/C21</f>
        <v>2.1911665343825621E-2</v>
      </c>
      <c r="O19" s="90">
        <f t="shared" ref="O19:W19" si="9">D19/D21</f>
        <v>2.655967795185369E-2</v>
      </c>
      <c r="P19" s="90">
        <f t="shared" si="9"/>
        <v>2.9073708352438818E-2</v>
      </c>
      <c r="Q19" s="90">
        <f t="shared" si="9"/>
        <v>4.1100755101166599E-2</v>
      </c>
      <c r="R19" s="90">
        <f t="shared" si="9"/>
        <v>4.5343170280863557E-2</v>
      </c>
      <c r="S19" s="90">
        <f t="shared" si="9"/>
        <v>4.1021389149926327E-2</v>
      </c>
      <c r="T19" s="90">
        <f t="shared" si="9"/>
        <v>3.7368435559725563E-2</v>
      </c>
      <c r="U19" s="90">
        <f t="shared" si="9"/>
        <v>5.1079767803133294E-2</v>
      </c>
      <c r="V19" s="90">
        <f t="shared" si="9"/>
        <v>6.6548253900170093E-2</v>
      </c>
      <c r="W19" s="90">
        <f t="shared" si="9"/>
        <v>3.7065877754141725E-2</v>
      </c>
    </row>
    <row r="20" spans="1:23" x14ac:dyDescent="0.3">
      <c r="A20" s="47" t="s">
        <v>14</v>
      </c>
      <c r="C20" s="47">
        <f>7498.77/100</f>
        <v>74.987700000000004</v>
      </c>
      <c r="D20" s="47">
        <f>9700.88/100</f>
        <v>97.008799999999994</v>
      </c>
      <c r="E20" s="47">
        <f>9151.73/100</f>
        <v>91.517299999999992</v>
      </c>
      <c r="F20" s="47">
        <f>9197.55/100</f>
        <v>91.975499999999997</v>
      </c>
      <c r="G20" s="47">
        <f>10248.85/100</f>
        <v>102.4885</v>
      </c>
      <c r="H20" s="47">
        <f>10588.13/100</f>
        <v>105.8813</v>
      </c>
      <c r="I20" s="47">
        <f>12522.49/100</f>
        <v>125.22489999999999</v>
      </c>
      <c r="J20" s="47">
        <f>12195.81/100</f>
        <v>121.9581</v>
      </c>
      <c r="K20" s="47">
        <f>14143.48/100</f>
        <v>141.4348</v>
      </c>
      <c r="L20" s="47">
        <f>23672.06/100</f>
        <v>236.72060000000002</v>
      </c>
      <c r="M20" s="91" t="s">
        <v>14</v>
      </c>
      <c r="N20" s="90">
        <f>C20/C21</f>
        <v>0.16514451854899168</v>
      </c>
      <c r="O20" s="90">
        <f t="shared" ref="O20:W20" si="10">D20/D21</f>
        <v>0.16821106249809262</v>
      </c>
      <c r="P20" s="90">
        <f t="shared" si="10"/>
        <v>0.1506771368852938</v>
      </c>
      <c r="Q20" s="90">
        <f t="shared" si="10"/>
        <v>0.2041409933527748</v>
      </c>
      <c r="R20" s="90">
        <f t="shared" si="10"/>
        <v>0.21747885921342761</v>
      </c>
      <c r="S20" s="90">
        <f t="shared" si="10"/>
        <v>0.18591244172309992</v>
      </c>
      <c r="T20" s="90">
        <f t="shared" si="10"/>
        <v>0.17087296265639887</v>
      </c>
      <c r="U20" s="90">
        <f t="shared" si="10"/>
        <v>0.18786180635730193</v>
      </c>
      <c r="V20" s="90">
        <f t="shared" si="10"/>
        <v>0.21932537908445346</v>
      </c>
      <c r="W20" s="90">
        <f t="shared" si="10"/>
        <v>0.19289889090752782</v>
      </c>
    </row>
    <row r="21" spans="1:23" x14ac:dyDescent="0.3">
      <c r="A21" s="49" t="s">
        <v>15</v>
      </c>
      <c r="C21" s="47">
        <f>SUM(C13:C20)</f>
        <v>454.07319999999999</v>
      </c>
      <c r="D21" s="47">
        <f t="shared" ref="D21:K21" si="11">SUM(D13:D20)</f>
        <v>576.7088</v>
      </c>
      <c r="E21" s="47">
        <f t="shared" si="11"/>
        <v>607.37350000000004</v>
      </c>
      <c r="F21" s="47">
        <f t="shared" si="11"/>
        <v>450.5489</v>
      </c>
      <c r="G21" s="47">
        <f t="shared" si="11"/>
        <v>471.25729999999993</v>
      </c>
      <c r="H21" s="47">
        <f t="shared" si="11"/>
        <v>569.52239999999995</v>
      </c>
      <c r="I21" s="47">
        <f>SUM(I13:I20)</f>
        <v>732.85379999999986</v>
      </c>
      <c r="J21" s="47">
        <f t="shared" si="11"/>
        <v>649.19049999999993</v>
      </c>
      <c r="K21" s="47">
        <f t="shared" si="11"/>
        <v>644.86289999999997</v>
      </c>
      <c r="L21" s="47">
        <f>SUM(L13:L20)</f>
        <v>1227.1745000000001</v>
      </c>
    </row>
    <row r="22" spans="1:23" x14ac:dyDescent="0.3">
      <c r="A22" s="46" t="s">
        <v>16</v>
      </c>
      <c r="C22" s="16">
        <f>C11-C21</f>
        <v>102.60589999999996</v>
      </c>
      <c r="D22" s="16">
        <f t="shared" ref="D22:K22" si="12">D11-D21</f>
        <v>128.59280000000001</v>
      </c>
      <c r="E22" s="16">
        <f t="shared" si="12"/>
        <v>173.49680000000001</v>
      </c>
      <c r="F22" s="16">
        <f t="shared" si="12"/>
        <v>186.55709999999999</v>
      </c>
      <c r="G22" s="16">
        <f t="shared" si="12"/>
        <v>204.63740000000013</v>
      </c>
      <c r="H22" s="16">
        <f t="shared" si="12"/>
        <v>203.37350000000004</v>
      </c>
      <c r="I22" s="16">
        <f t="shared" si="12"/>
        <v>425.24080000000004</v>
      </c>
      <c r="J22" s="16">
        <f t="shared" si="12"/>
        <v>424.6726000000001</v>
      </c>
      <c r="K22" s="16">
        <f t="shared" si="12"/>
        <v>335.23950000000002</v>
      </c>
      <c r="L22" s="16">
        <f>L11-L21</f>
        <v>449.24939999999992</v>
      </c>
    </row>
    <row r="23" spans="1:23" x14ac:dyDescent="0.3">
      <c r="A23" s="46" t="s">
        <v>146</v>
      </c>
      <c r="C23" s="16"/>
      <c r="D23" s="58">
        <f>D22/C22-1</f>
        <v>0.25326906152570228</v>
      </c>
      <c r="E23" s="58">
        <f t="shared" ref="E23" si="13">E22/D22-1</f>
        <v>0.34919528931635369</v>
      </c>
      <c r="F23" s="58">
        <f t="shared" ref="F23" si="14">F22/E22-1</f>
        <v>7.5276892715024024E-2</v>
      </c>
      <c r="G23" s="58">
        <f t="shared" ref="G23" si="15">G22/F22-1</f>
        <v>9.6915636017069984E-2</v>
      </c>
      <c r="H23" s="58">
        <f t="shared" ref="H23" si="16">H22/G22-1</f>
        <v>-6.1762903555268034E-3</v>
      </c>
      <c r="I23" s="58">
        <f t="shared" ref="I23" si="17">I22/H22-1</f>
        <v>1.0909351513348589</v>
      </c>
      <c r="J23" s="58">
        <f t="shared" ref="J23" si="18">J22/I22-1</f>
        <v>-1.336184110273364E-3</v>
      </c>
      <c r="K23" s="58">
        <f t="shared" ref="K23" si="19">K22/J22-1</f>
        <v>-0.21059305450834376</v>
      </c>
      <c r="L23" s="58">
        <f t="shared" ref="L23" si="20">L22/K22-1</f>
        <v>0.34008492436004678</v>
      </c>
    </row>
    <row r="24" spans="1:23" x14ac:dyDescent="0.3">
      <c r="A24" s="4" t="s">
        <v>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23" x14ac:dyDescent="0.3">
      <c r="A25" s="3" t="s">
        <v>17</v>
      </c>
      <c r="C25" s="3">
        <f>2317.96/100</f>
        <v>23.179600000000001</v>
      </c>
      <c r="D25" s="3">
        <f>3539.4/100</f>
        <v>35.393999999999998</v>
      </c>
      <c r="E25" s="3">
        <f>5144.95/100</f>
        <v>51.4495</v>
      </c>
      <c r="F25" s="3">
        <f>5298.14/100</f>
        <v>52.981400000000001</v>
      </c>
      <c r="G25" s="3">
        <f>4707.39/100</f>
        <v>47.073900000000002</v>
      </c>
      <c r="H25" s="3">
        <f>5555.71/100</f>
        <v>55.557099999999998</v>
      </c>
      <c r="I25" s="3">
        <f>13861.73/100</f>
        <v>138.6173</v>
      </c>
      <c r="J25" s="3">
        <f>9559.51/100</f>
        <v>95.595100000000002</v>
      </c>
      <c r="K25" s="9">
        <f>7574.33/100</f>
        <v>75.743300000000005</v>
      </c>
      <c r="L25" s="3">
        <f>10146/100</f>
        <v>101.46</v>
      </c>
    </row>
    <row r="26" spans="1:23" x14ac:dyDescent="0.3">
      <c r="A26" s="3" t="s">
        <v>18</v>
      </c>
      <c r="C26" s="3">
        <f>1120.14/100</f>
        <v>11.201400000000001</v>
      </c>
      <c r="D26" s="3">
        <f>704.43/100</f>
        <v>7.0442999999999998</v>
      </c>
      <c r="E26" s="3">
        <f>611.19 /100</f>
        <v>6.1119000000000003</v>
      </c>
      <c r="F26" s="3">
        <f>710.89/100</f>
        <v>7.1089000000000002</v>
      </c>
      <c r="G26" s="3">
        <f>1881.39/100</f>
        <v>18.8139</v>
      </c>
      <c r="H26" s="3">
        <f>1130.63/100</f>
        <v>11.3063</v>
      </c>
      <c r="I26" s="3">
        <f>371.3/100</f>
        <v>3.7130000000000001</v>
      </c>
      <c r="J26" s="3">
        <f>-1408.51/100</f>
        <v>-14.085100000000001</v>
      </c>
      <c r="K26" s="3">
        <f xml:space="preserve"> 744.42 /100</f>
        <v>7.4441999999999995</v>
      </c>
      <c r="L26" s="3">
        <f>1209.45/100</f>
        <v>12.0945</v>
      </c>
    </row>
    <row r="27" spans="1:23" x14ac:dyDescent="0.3">
      <c r="A27" s="3" t="s">
        <v>19</v>
      </c>
      <c r="C27" s="3">
        <f>-(43.79)/100</f>
        <v>-0.43790000000000001</v>
      </c>
      <c r="D27" s="3"/>
      <c r="E27" s="3">
        <f>14.14 /100</f>
        <v>0.1414</v>
      </c>
      <c r="F27" s="3">
        <f xml:space="preserve"> -(510.5)/100</f>
        <v>-5.1050000000000004</v>
      </c>
      <c r="G27" s="3">
        <f>- (55.26)/100</f>
        <v>-0.55259999999999998</v>
      </c>
      <c r="H27" s="3">
        <f>- (737.11)/100</f>
        <v>-7.3711000000000002</v>
      </c>
      <c r="I27" s="3">
        <f>42.21/100</f>
        <v>0.42210000000000003</v>
      </c>
      <c r="J27" s="3">
        <f>933.78/100</f>
        <v>9.3377999999999997</v>
      </c>
      <c r="K27" s="3">
        <f>-1726.89/100</f>
        <v>-17.268900000000002</v>
      </c>
      <c r="L27" s="3">
        <f>-1092.37/100</f>
        <v>-10.923699999999998</v>
      </c>
    </row>
    <row r="28" spans="1:23" x14ac:dyDescent="0.3">
      <c r="A28" s="49" t="s">
        <v>20</v>
      </c>
      <c r="C28" s="47">
        <f>SUM(C25:C27)</f>
        <v>33.943100000000001</v>
      </c>
      <c r="D28" s="47">
        <f t="shared" ref="D28:L28" si="21">SUM(D25:D27)</f>
        <v>42.438299999999998</v>
      </c>
      <c r="E28" s="47">
        <f t="shared" si="21"/>
        <v>57.702799999999996</v>
      </c>
      <c r="F28" s="47">
        <f t="shared" si="21"/>
        <v>54.985299999999995</v>
      </c>
      <c r="G28" s="47">
        <f t="shared" si="21"/>
        <v>65.3352</v>
      </c>
      <c r="H28" s="47">
        <f t="shared" si="21"/>
        <v>59.4923</v>
      </c>
      <c r="I28" s="47">
        <f t="shared" si="21"/>
        <v>142.75239999999999</v>
      </c>
      <c r="J28" s="47">
        <f t="shared" si="21"/>
        <v>90.847800000000007</v>
      </c>
      <c r="K28" s="47">
        <f t="shared" si="21"/>
        <v>65.918599999999998</v>
      </c>
      <c r="L28" s="47">
        <f t="shared" si="21"/>
        <v>102.63079999999999</v>
      </c>
    </row>
    <row r="29" spans="1:23" x14ac:dyDescent="0.3">
      <c r="A29" s="49" t="s">
        <v>144</v>
      </c>
      <c r="C29" s="47"/>
      <c r="D29" s="51">
        <f>D28/C28-1</f>
        <v>0.25027767057222228</v>
      </c>
      <c r="E29" s="51">
        <f t="shared" ref="E29" si="22">E28/D28-1</f>
        <v>0.35968688660950132</v>
      </c>
      <c r="F29" s="51">
        <f t="shared" ref="F29" si="23">F28/E28-1</f>
        <v>-4.7094768364793427E-2</v>
      </c>
      <c r="G29" s="51">
        <f t="shared" ref="G29" si="24">G28/F28-1</f>
        <v>0.18823030882799596</v>
      </c>
      <c r="H29" s="51">
        <f t="shared" ref="H29" si="25">H28/G28-1</f>
        <v>-8.9429587726065018E-2</v>
      </c>
      <c r="I29" s="51">
        <f t="shared" ref="I29" si="26">I28/H28-1</f>
        <v>1.3995105248914563</v>
      </c>
      <c r="J29" s="51">
        <f t="shared" ref="J29" si="27">J28/I28-1</f>
        <v>-0.36359879063329226</v>
      </c>
      <c r="K29" s="51">
        <f t="shared" ref="K29" si="28">K28/J28-1</f>
        <v>-0.27440620466318399</v>
      </c>
      <c r="L29" s="51">
        <f t="shared" ref="L29" si="29">L28/K28-1</f>
        <v>0.55693233776202766</v>
      </c>
    </row>
    <row r="30" spans="1:23" x14ac:dyDescent="0.3">
      <c r="A30" s="34" t="s">
        <v>21</v>
      </c>
      <c r="C30" s="12">
        <f t="shared" ref="C30:L30" si="30">C22-C28</f>
        <v>68.662799999999962</v>
      </c>
      <c r="D30" s="12">
        <f t="shared" si="30"/>
        <v>86.154500000000013</v>
      </c>
      <c r="E30" s="12">
        <f t="shared" si="30"/>
        <v>115.79400000000001</v>
      </c>
      <c r="F30" s="12">
        <f t="shared" si="30"/>
        <v>131.5718</v>
      </c>
      <c r="G30" s="12">
        <f t="shared" si="30"/>
        <v>139.30220000000014</v>
      </c>
      <c r="H30" s="12">
        <f t="shared" si="30"/>
        <v>143.88120000000004</v>
      </c>
      <c r="I30" s="12">
        <f t="shared" si="30"/>
        <v>282.48840000000007</v>
      </c>
      <c r="J30" s="12">
        <f t="shared" si="30"/>
        <v>333.8248000000001</v>
      </c>
      <c r="K30" s="12">
        <f t="shared" si="30"/>
        <v>269.32090000000005</v>
      </c>
      <c r="L30" s="12">
        <f t="shared" si="30"/>
        <v>346.6185999999999</v>
      </c>
    </row>
    <row r="31" spans="1:23" x14ac:dyDescent="0.3">
      <c r="A31" s="34" t="s">
        <v>145</v>
      </c>
      <c r="C31" s="12"/>
      <c r="D31" s="15">
        <f>D30/C30-1</f>
        <v>0.25474784016964147</v>
      </c>
      <c r="E31" s="15">
        <f t="shared" ref="E31" si="31">E30/D30-1</f>
        <v>0.34402729979281399</v>
      </c>
      <c r="F31" s="15">
        <f t="shared" ref="F31" si="32">F30/E30-1</f>
        <v>0.13625749175259494</v>
      </c>
      <c r="G31" s="15">
        <f t="shared" ref="G31" si="33">G30/F30-1</f>
        <v>5.8754231529857703E-2</v>
      </c>
      <c r="H31" s="15">
        <f t="shared" ref="H31" si="34">H30/G30-1</f>
        <v>3.2870981219247808E-2</v>
      </c>
      <c r="I31" s="15">
        <f t="shared" ref="I31" si="35">I30/H30-1</f>
        <v>0.96334475942652698</v>
      </c>
      <c r="J31" s="15">
        <f t="shared" ref="J31" si="36">J30/I30-1</f>
        <v>0.18172923206758229</v>
      </c>
      <c r="K31" s="15">
        <f t="shared" ref="K31" si="37">K30/J30-1</f>
        <v>-0.19322680639664891</v>
      </c>
      <c r="L31" s="15">
        <f t="shared" ref="L31" si="38">L30/K30-1</f>
        <v>0.28700966022317553</v>
      </c>
    </row>
    <row r="32" spans="1:23" x14ac:dyDescent="0.3">
      <c r="A32" s="3" t="s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 t="s">
        <v>22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 t="s">
        <v>23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 t="s">
        <v>24</v>
      </c>
      <c r="C36" s="3"/>
      <c r="D36" s="3"/>
      <c r="E36" s="3"/>
      <c r="F36" s="3"/>
      <c r="G36" s="3"/>
      <c r="H36" s="3">
        <f xml:space="preserve"> -(12.01)/100</f>
        <v>-0.1201</v>
      </c>
      <c r="I36" s="3">
        <f>0.65/100</f>
        <v>6.5000000000000006E-3</v>
      </c>
      <c r="J36" s="3">
        <f>-37.51/100</f>
        <v>-0.37509999999999999</v>
      </c>
      <c r="K36" s="3">
        <f xml:space="preserve"> -18.91/100</f>
        <v>-0.18909999999999999</v>
      </c>
      <c r="L36" s="3">
        <f>-28.29/100</f>
        <v>-0.28289999999999998</v>
      </c>
    </row>
    <row r="37" spans="1:12" x14ac:dyDescent="0.3">
      <c r="A37" s="3" t="s">
        <v>25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4" t="s">
        <v>28</v>
      </c>
      <c r="C38" s="12">
        <f>C22-C28</f>
        <v>68.662799999999962</v>
      </c>
      <c r="D38" s="12">
        <f>D22-D28</f>
        <v>86.154500000000013</v>
      </c>
      <c r="E38" s="12">
        <f>E22-E28</f>
        <v>115.79400000000001</v>
      </c>
      <c r="F38" s="12">
        <f>F22-F28</f>
        <v>131.5718</v>
      </c>
      <c r="G38" s="12">
        <f>G22-G28</f>
        <v>139.30220000000014</v>
      </c>
      <c r="H38" s="12">
        <f>H30+H36</f>
        <v>143.76110000000003</v>
      </c>
      <c r="I38" s="12">
        <f>I30+I36</f>
        <v>282.49490000000009</v>
      </c>
      <c r="J38" s="12">
        <f>J30+J36</f>
        <v>333.44970000000012</v>
      </c>
      <c r="K38" s="12">
        <f>K30+K36</f>
        <v>269.13180000000006</v>
      </c>
      <c r="L38" s="12">
        <f>L30+L36</f>
        <v>346.33569999999992</v>
      </c>
    </row>
    <row r="39" spans="1:12" x14ac:dyDescent="0.3">
      <c r="A39" s="3" t="s">
        <v>26</v>
      </c>
      <c r="C39" s="3">
        <v>13.91</v>
      </c>
      <c r="D39" s="3">
        <v>17.45</v>
      </c>
      <c r="E39" s="3">
        <v>22.85</v>
      </c>
      <c r="F39" s="3">
        <v>25.5</v>
      </c>
      <c r="G39" s="3">
        <v>27</v>
      </c>
      <c r="H39" s="3">
        <v>27.93</v>
      </c>
      <c r="I39" s="3">
        <v>54.97</v>
      </c>
      <c r="J39" s="3">
        <v>32.479999999999997</v>
      </c>
      <c r="K39" s="3">
        <v>26.2</v>
      </c>
      <c r="L39" s="3">
        <v>33.72</v>
      </c>
    </row>
    <row r="40" spans="1:12" x14ac:dyDescent="0.3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59" t="s">
        <v>142</v>
      </c>
      <c r="B41" s="62"/>
      <c r="C41" s="60"/>
      <c r="D41" s="59">
        <v>0.25902353235232733</v>
      </c>
      <c r="E41" s="59">
        <v>0.10858851068078179</v>
      </c>
      <c r="F41" s="59">
        <v>-0.18241924331653636</v>
      </c>
      <c r="G41" s="59">
        <v>5.6077362952256182E-2</v>
      </c>
      <c r="H41" s="59">
        <v>0.13438463439806614</v>
      </c>
      <c r="I41" s="59">
        <v>0.46603734694547105</v>
      </c>
      <c r="J41" s="59">
        <v>-7.1530847047227897E-2</v>
      </c>
      <c r="K41" s="59">
        <v>-7.2521812439794608E-2</v>
      </c>
      <c r="L41" s="59">
        <v>0.69295057595004961</v>
      </c>
    </row>
    <row r="42" spans="1:12" x14ac:dyDescent="0.3">
      <c r="A42" s="59" t="s">
        <v>143</v>
      </c>
      <c r="B42" s="62"/>
      <c r="C42" s="60"/>
      <c r="D42" s="59">
        <v>1.4359274118553549</v>
      </c>
      <c r="E42" s="59">
        <v>-2.5523281814114982E-3</v>
      </c>
      <c r="F42" s="59">
        <v>-0.32660448128424124</v>
      </c>
      <c r="G42" s="59">
        <v>0.55323156869113366</v>
      </c>
      <c r="H42" s="59">
        <v>0.77959810973569754</v>
      </c>
      <c r="I42" s="59">
        <v>1.9347883559028285</v>
      </c>
      <c r="J42" s="59">
        <v>-9.9396450770200734E-2</v>
      </c>
      <c r="K42" s="59">
        <v>-0.42554435286691039</v>
      </c>
      <c r="L42" s="59">
        <v>1.3568872053025236</v>
      </c>
    </row>
    <row r="43" spans="1:12" x14ac:dyDescent="0.3">
      <c r="A43" s="59" t="s">
        <v>146</v>
      </c>
      <c r="B43" s="62"/>
      <c r="C43" s="60"/>
      <c r="D43" s="59">
        <v>0.25326906152570228</v>
      </c>
      <c r="E43" s="59">
        <v>0.34919528931635369</v>
      </c>
      <c r="F43" s="59">
        <v>7.5276892715024024E-2</v>
      </c>
      <c r="G43" s="59">
        <v>9.6915636017069984E-2</v>
      </c>
      <c r="H43" s="59">
        <v>-6.1762903555268034E-3</v>
      </c>
      <c r="I43" s="59">
        <v>1.0909351513348589</v>
      </c>
      <c r="J43" s="59">
        <v>-1.336184110273364E-3</v>
      </c>
      <c r="K43" s="59">
        <v>-0.21059305450834376</v>
      </c>
      <c r="L43" s="59">
        <v>0.34008492436004678</v>
      </c>
    </row>
    <row r="44" spans="1:12" x14ac:dyDescent="0.3">
      <c r="A44" s="59" t="s">
        <v>144</v>
      </c>
      <c r="B44" s="62"/>
      <c r="C44" s="60"/>
      <c r="D44" s="59">
        <v>0.25027767057222228</v>
      </c>
      <c r="E44" s="59">
        <v>0.35968688660950132</v>
      </c>
      <c r="F44" s="59">
        <v>-4.7094768364793427E-2</v>
      </c>
      <c r="G44" s="59">
        <v>0.18823030882799596</v>
      </c>
      <c r="H44" s="59">
        <v>-8.9429587726065018E-2</v>
      </c>
      <c r="I44" s="59">
        <v>1.3995105248914563</v>
      </c>
      <c r="J44" s="59">
        <v>-0.36359879063329226</v>
      </c>
      <c r="K44" s="59">
        <v>-0.27440620466318399</v>
      </c>
      <c r="L44" s="59">
        <v>0.55693233776202766</v>
      </c>
    </row>
    <row r="45" spans="1:12" x14ac:dyDescent="0.3">
      <c r="A45" s="59" t="s">
        <v>145</v>
      </c>
      <c r="B45" s="61"/>
      <c r="C45" s="60"/>
      <c r="D45" s="59">
        <v>0.25474784016964147</v>
      </c>
      <c r="E45" s="59">
        <v>0.34402729979281399</v>
      </c>
      <c r="F45" s="59">
        <v>0.13625749175259494</v>
      </c>
      <c r="G45" s="59">
        <v>5.8754231529857703E-2</v>
      </c>
      <c r="H45" s="59">
        <v>3.2870981219247808E-2</v>
      </c>
      <c r="I45" s="59">
        <v>0.96334475942652698</v>
      </c>
      <c r="J45" s="59">
        <v>0.18172923206758229</v>
      </c>
      <c r="K45" s="59">
        <v>-0.19322680639664891</v>
      </c>
      <c r="L45" s="59">
        <v>0.28700966022317553</v>
      </c>
    </row>
  </sheetData>
  <pageMargins left="0.7" right="0.7" top="0.75" bottom="0.75" header="0.3" footer="0.3"/>
  <ignoredErrors>
    <ignoredError sqref="D30:L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6FCE-38BD-4F03-A4E4-DF5AF6EB8FDE}">
  <dimension ref="A2:L87"/>
  <sheetViews>
    <sheetView topLeftCell="A17" workbookViewId="0">
      <selection activeCell="A2" sqref="A2"/>
    </sheetView>
  </sheetViews>
  <sheetFormatPr defaultRowHeight="14.4" x14ac:dyDescent="0.3"/>
  <cols>
    <col min="1" max="1" width="77.44140625" bestFit="1" customWidth="1"/>
    <col min="2" max="2" width="12" bestFit="1" customWidth="1"/>
    <col min="6" max="6" width="9.5546875" bestFit="1" customWidth="1"/>
  </cols>
  <sheetData>
    <row r="2" spans="1:12" ht="21" x14ac:dyDescent="0.4">
      <c r="A2" s="107" t="s">
        <v>139</v>
      </c>
    </row>
    <row r="3" spans="1:12" x14ac:dyDescent="0.3">
      <c r="A3" t="s">
        <v>77</v>
      </c>
      <c r="B3" s="54">
        <v>41334</v>
      </c>
      <c r="C3" s="54">
        <v>41699</v>
      </c>
      <c r="D3" s="54">
        <v>42064</v>
      </c>
      <c r="E3" s="54">
        <v>42430</v>
      </c>
      <c r="F3" s="54">
        <v>42795</v>
      </c>
      <c r="G3" s="54">
        <v>43160</v>
      </c>
      <c r="H3" s="54">
        <v>43525</v>
      </c>
      <c r="I3" s="54">
        <v>43891</v>
      </c>
      <c r="J3" s="79">
        <v>44256</v>
      </c>
      <c r="K3" s="54">
        <v>44621</v>
      </c>
      <c r="L3" s="80"/>
    </row>
    <row r="4" spans="1:12" x14ac:dyDescent="0.3">
      <c r="A4" s="2" t="s">
        <v>78</v>
      </c>
      <c r="B4" s="3"/>
      <c r="K4" s="10"/>
    </row>
    <row r="5" spans="1:12" x14ac:dyDescent="0.3">
      <c r="A5" s="24" t="s">
        <v>122</v>
      </c>
      <c r="B5" s="24">
        <f>28682.46/100</f>
        <v>286.82459999999998</v>
      </c>
      <c r="C5" s="24">
        <f>29845.05/100</f>
        <v>298.45049999999998</v>
      </c>
      <c r="D5" s="24">
        <f>32073.97/100</f>
        <v>320.73970000000003</v>
      </c>
      <c r="E5" s="24">
        <f>37645.52/100</f>
        <v>376.45519999999999</v>
      </c>
      <c r="F5" s="24">
        <f>46912.71/100</f>
        <v>469.12709999999998</v>
      </c>
      <c r="G5" s="24"/>
      <c r="H5" s="24"/>
      <c r="I5" s="24"/>
      <c r="J5" s="24"/>
      <c r="K5" s="67"/>
    </row>
    <row r="6" spans="1:12" x14ac:dyDescent="0.3">
      <c r="A6" s="24" t="s">
        <v>123</v>
      </c>
      <c r="B6" s="24">
        <f>330.96/100</f>
        <v>3.3095999999999997</v>
      </c>
      <c r="C6" s="24">
        <f>573.73 /100</f>
        <v>5.7373000000000003</v>
      </c>
      <c r="D6" s="24">
        <f>651.17/100</f>
        <v>6.5116999999999994</v>
      </c>
      <c r="E6" s="24">
        <f>543.96 /100</f>
        <v>5.4396000000000004</v>
      </c>
      <c r="F6" s="24">
        <f>450.395/100</f>
        <v>4.5039499999999997</v>
      </c>
      <c r="G6" s="24"/>
      <c r="H6" s="24"/>
      <c r="I6" s="24"/>
      <c r="J6" s="24"/>
      <c r="K6" s="67"/>
    </row>
    <row r="7" spans="1:12" x14ac:dyDescent="0.3">
      <c r="A7" s="24" t="s">
        <v>89</v>
      </c>
      <c r="B7" s="24"/>
      <c r="C7" s="24"/>
      <c r="D7" s="24"/>
      <c r="E7" s="24"/>
      <c r="F7" s="24"/>
      <c r="G7" s="24">
        <f>45329.61/100</f>
        <v>453.29610000000002</v>
      </c>
      <c r="H7" s="24">
        <f>47191.1/100</f>
        <v>471.911</v>
      </c>
      <c r="I7" s="24">
        <f>74909.44/100</f>
        <v>749.09440000000006</v>
      </c>
      <c r="J7" s="24">
        <f>75565.49/100</f>
        <v>755.6549</v>
      </c>
      <c r="K7" s="24">
        <f>87193.5/100</f>
        <v>871.93499999999995</v>
      </c>
    </row>
    <row r="8" spans="1:12" x14ac:dyDescent="0.3">
      <c r="A8" s="24" t="s">
        <v>90</v>
      </c>
      <c r="B8" s="24">
        <f>1404.86/100</f>
        <v>14.048599999999999</v>
      </c>
      <c r="C8" s="24">
        <f>1008.76/100</f>
        <v>10.0876</v>
      </c>
      <c r="D8" s="24">
        <f>2001.9/100</f>
        <v>20.019000000000002</v>
      </c>
      <c r="E8" s="24">
        <f>2483.07/100</f>
        <v>24.8307</v>
      </c>
      <c r="F8" s="24">
        <f>738.28 /100</f>
        <v>7.3827999999999996</v>
      </c>
      <c r="G8" s="24">
        <f>3487.96/100</f>
        <v>34.879600000000003</v>
      </c>
      <c r="H8" s="24">
        <f>19117.5/100</f>
        <v>191.17500000000001</v>
      </c>
      <c r="I8" s="24">
        <f>3097.07/100</f>
        <v>30.970700000000001</v>
      </c>
      <c r="J8" s="24">
        <f>5580.19/100</f>
        <v>55.801899999999996</v>
      </c>
      <c r="K8" s="24">
        <f>5147.56/100</f>
        <v>51.475600000000007</v>
      </c>
    </row>
    <row r="9" spans="1:12" x14ac:dyDescent="0.3">
      <c r="A9" s="24" t="s">
        <v>91</v>
      </c>
      <c r="B9" s="24"/>
      <c r="C9" s="24"/>
      <c r="D9" s="24"/>
      <c r="E9" s="24"/>
      <c r="F9" s="24"/>
      <c r="G9" s="24">
        <f xml:space="preserve"> 354.86 /100</f>
        <v>3.5486</v>
      </c>
      <c r="H9" s="24">
        <f>259.81 /100</f>
        <v>2.5981000000000001</v>
      </c>
      <c r="I9" s="24">
        <f>166.65/100</f>
        <v>1.6665000000000001</v>
      </c>
      <c r="J9" s="24">
        <f xml:space="preserve"> 117.98 /100</f>
        <v>1.1798</v>
      </c>
      <c r="K9" s="24">
        <f>123.2/100</f>
        <v>1.232</v>
      </c>
    </row>
    <row r="10" spans="1:12" x14ac:dyDescent="0.3">
      <c r="A10" s="24" t="s">
        <v>79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2" x14ac:dyDescent="0.3">
      <c r="A11" s="24" t="s">
        <v>92</v>
      </c>
      <c r="B11" s="24"/>
      <c r="C11" s="24"/>
      <c r="D11" s="24"/>
      <c r="E11" s="24"/>
      <c r="F11" s="24"/>
      <c r="G11" s="24"/>
      <c r="H11" s="24"/>
      <c r="I11" s="24"/>
      <c r="J11" s="24">
        <f>10775.25/100</f>
        <v>107.7525</v>
      </c>
      <c r="K11" s="67">
        <f>9349.7/100</f>
        <v>93.497000000000014</v>
      </c>
    </row>
    <row r="12" spans="1:12" x14ac:dyDescent="0.3">
      <c r="A12" s="24" t="s">
        <v>93</v>
      </c>
      <c r="B12" s="24"/>
      <c r="C12" s="24"/>
      <c r="D12" s="24">
        <f>1043.93/100</f>
        <v>10.439300000000001</v>
      </c>
      <c r="E12" s="24">
        <f>1548.01/100</f>
        <v>15.4801</v>
      </c>
      <c r="F12" s="24">
        <f>2394.7/100</f>
        <v>23.946999999999999</v>
      </c>
      <c r="G12" s="24"/>
      <c r="H12" s="24"/>
      <c r="I12" s="24"/>
      <c r="J12" s="24">
        <f>13186.4/100</f>
        <v>131.864</v>
      </c>
      <c r="K12" s="67">
        <f>25234.4/100</f>
        <v>252.34400000000002</v>
      </c>
    </row>
    <row r="13" spans="1:12" x14ac:dyDescent="0.3">
      <c r="A13" s="24" t="s">
        <v>94</v>
      </c>
      <c r="B13" s="24"/>
      <c r="C13" s="24"/>
      <c r="D13" s="24"/>
      <c r="E13" s="24"/>
      <c r="F13" s="24"/>
      <c r="G13" s="24">
        <f xml:space="preserve"> 235.12/100</f>
        <v>2.3512</v>
      </c>
      <c r="H13" s="24">
        <f>316.23 /100</f>
        <v>3.1623000000000001</v>
      </c>
      <c r="I13" s="24">
        <f>311.81/100</f>
        <v>3.1181000000000001</v>
      </c>
      <c r="J13" s="24">
        <f>126.06 /100</f>
        <v>1.2605999999999999</v>
      </c>
      <c r="K13" s="67">
        <f>208.72/100</f>
        <v>2.0872000000000002</v>
      </c>
    </row>
    <row r="14" spans="1:12" x14ac:dyDescent="0.3">
      <c r="A14" s="65" t="s">
        <v>95</v>
      </c>
      <c r="B14" s="65"/>
      <c r="C14" s="65"/>
      <c r="D14" s="65">
        <f>75.2/100</f>
        <v>0.752</v>
      </c>
      <c r="E14" s="65">
        <f>198.1 /100</f>
        <v>1.9809999999999999</v>
      </c>
      <c r="F14" s="65">
        <f>133.32 /100</f>
        <v>1.3331999999999999</v>
      </c>
      <c r="G14" s="65">
        <f>2298.37/100</f>
        <v>22.983699999999999</v>
      </c>
      <c r="H14" s="65">
        <f>2765.39/100</f>
        <v>27.6539</v>
      </c>
      <c r="I14" s="65">
        <f>1555.95/100</f>
        <v>15.5595</v>
      </c>
      <c r="J14" s="65">
        <f>2518.71/100</f>
        <v>25.187100000000001</v>
      </c>
      <c r="K14" s="68">
        <f>4118.76/100</f>
        <v>41.187600000000003</v>
      </c>
    </row>
    <row r="15" spans="1:12" x14ac:dyDescent="0.3">
      <c r="A15" s="22" t="s">
        <v>119</v>
      </c>
      <c r="B15" s="21">
        <f>SUM(B5:B14)</f>
        <v>304.18279999999999</v>
      </c>
      <c r="C15" s="21">
        <f>SUM(C5:C14)</f>
        <v>314.27539999999999</v>
      </c>
      <c r="D15" s="21">
        <f>SUM(D5:D14)</f>
        <v>358.46170000000006</v>
      </c>
      <c r="E15" s="21">
        <f t="shared" ref="E15:K15" si="0">SUM(E5:E14)</f>
        <v>424.18659999999994</v>
      </c>
      <c r="F15" s="66">
        <f t="shared" si="0"/>
        <v>506.29404999999991</v>
      </c>
      <c r="G15" s="21">
        <f>SUM(G5:G14)</f>
        <v>517.05920000000003</v>
      </c>
      <c r="H15" s="21">
        <f t="shared" si="0"/>
        <v>696.50030000000004</v>
      </c>
      <c r="I15" s="21">
        <f t="shared" si="0"/>
        <v>800.40920000000006</v>
      </c>
      <c r="J15" s="21">
        <f t="shared" si="0"/>
        <v>1078.7008000000003</v>
      </c>
      <c r="K15" s="21">
        <f t="shared" si="0"/>
        <v>1313.7583999999999</v>
      </c>
    </row>
    <row r="16" spans="1:12" x14ac:dyDescent="0.3">
      <c r="A16" s="69" t="s">
        <v>80</v>
      </c>
      <c r="K16" s="10"/>
    </row>
    <row r="17" spans="1:11" x14ac:dyDescent="0.3">
      <c r="A17" s="64" t="s">
        <v>124</v>
      </c>
      <c r="B17" s="64">
        <f>1277.27/100</f>
        <v>12.7727</v>
      </c>
      <c r="C17" s="64">
        <f>273.86/100</f>
        <v>2.7385999999999999</v>
      </c>
      <c r="D17" s="64">
        <f>273.86 /100</f>
        <v>2.7385999999999999</v>
      </c>
      <c r="E17" s="64">
        <f>273.86/100</f>
        <v>2.7385999999999999</v>
      </c>
      <c r="F17" s="64">
        <f>6178.14/100</f>
        <v>61.781400000000005</v>
      </c>
      <c r="G17" s="64"/>
      <c r="H17" s="64"/>
      <c r="I17" s="64"/>
      <c r="J17" s="64"/>
      <c r="K17" s="64"/>
    </row>
    <row r="18" spans="1:11" x14ac:dyDescent="0.3">
      <c r="A18" s="64" t="s">
        <v>96</v>
      </c>
      <c r="B18" s="64">
        <f>5464.29/100</f>
        <v>54.642899999999997</v>
      </c>
      <c r="C18" s="64">
        <f>4663.44/100</f>
        <v>46.634399999999999</v>
      </c>
      <c r="D18" s="64">
        <f>5449.21/100</f>
        <v>54.492100000000001</v>
      </c>
      <c r="E18" s="64">
        <f>4469.63/100</f>
        <v>44.696300000000001</v>
      </c>
      <c r="F18" s="64">
        <f>6709.08/100</f>
        <v>67.090800000000002</v>
      </c>
      <c r="G18" s="64">
        <f>8223.38/100</f>
        <v>82.233799999999988</v>
      </c>
      <c r="H18" s="64">
        <f>9239.46/100</f>
        <v>92.394599999999997</v>
      </c>
      <c r="I18" s="64">
        <f>9317.07/100</f>
        <v>93.170699999999997</v>
      </c>
      <c r="J18" s="64">
        <f>12193.96/100</f>
        <v>121.93959999999998</v>
      </c>
      <c r="K18" s="64">
        <f>17615.88/100</f>
        <v>176.15880000000001</v>
      </c>
    </row>
    <row r="19" spans="1:11" x14ac:dyDescent="0.3">
      <c r="A19" s="64" t="s">
        <v>79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</row>
    <row r="20" spans="1:11" x14ac:dyDescent="0.3">
      <c r="A20" s="64" t="s">
        <v>97</v>
      </c>
      <c r="B20" s="64"/>
      <c r="C20" s="64"/>
      <c r="D20" s="64"/>
      <c r="E20" s="64"/>
      <c r="F20" s="64"/>
      <c r="G20" s="64">
        <f>13173.86/100</f>
        <v>131.73860000000002</v>
      </c>
      <c r="H20" s="64">
        <f>9647.34/100</f>
        <v>96.473399999999998</v>
      </c>
      <c r="I20" s="64">
        <f>22739.47/100</f>
        <v>227.3947</v>
      </c>
      <c r="J20" s="64">
        <f>18091.18/100</f>
        <v>180.9118</v>
      </c>
      <c r="K20" s="64">
        <f>11.58/100</f>
        <v>0.1158</v>
      </c>
    </row>
    <row r="21" spans="1:11" x14ac:dyDescent="0.3">
      <c r="A21" s="64" t="s">
        <v>98</v>
      </c>
      <c r="B21" s="64">
        <f>11319.46/100</f>
        <v>113.19459999999999</v>
      </c>
      <c r="C21" s="64">
        <f>11505.42/100</f>
        <v>115.05419999999999</v>
      </c>
      <c r="D21" s="64">
        <f>12909.57/100</f>
        <v>129.09569999999999</v>
      </c>
      <c r="E21" s="64">
        <f>11482.25/100</f>
        <v>114.82250000000001</v>
      </c>
      <c r="F21" s="64">
        <f>14054.17/100</f>
        <v>140.54169999999999</v>
      </c>
      <c r="G21" s="64">
        <f>17711.38/100</f>
        <v>177.1138</v>
      </c>
      <c r="H21" s="64">
        <f>24397.73/100</f>
        <v>243.97729999999999</v>
      </c>
      <c r="I21" s="64">
        <f>20177.65/100</f>
        <v>201.77650000000003</v>
      </c>
      <c r="J21" s="64">
        <f>27720.34/100</f>
        <v>277.20339999999999</v>
      </c>
      <c r="K21" s="64">
        <f>45838.11/100</f>
        <v>458.3811</v>
      </c>
    </row>
    <row r="22" spans="1:11" x14ac:dyDescent="0.3">
      <c r="A22" s="64" t="s">
        <v>99</v>
      </c>
      <c r="B22" s="64">
        <f>3377/100</f>
        <v>33.770000000000003</v>
      </c>
      <c r="C22" s="64">
        <f>4532.84/100</f>
        <v>45.328400000000002</v>
      </c>
      <c r="D22" s="64">
        <f>2714.39/100</f>
        <v>27.143899999999999</v>
      </c>
      <c r="E22" s="64">
        <f>7222.9/100</f>
        <v>72.228999999999999</v>
      </c>
      <c r="F22" s="64">
        <f>348.08/100</f>
        <v>3.4807999999999999</v>
      </c>
      <c r="G22" s="64">
        <f xml:space="preserve">  4.69 /100</f>
        <v>4.6900000000000004E-2</v>
      </c>
      <c r="H22" s="64">
        <f xml:space="preserve"> 4.06/100</f>
        <v>4.0599999999999997E-2</v>
      </c>
      <c r="I22" s="64">
        <f>909.32 /100</f>
        <v>9.0932000000000013</v>
      </c>
      <c r="J22" s="64">
        <f>168.32/100</f>
        <v>1.6832</v>
      </c>
      <c r="K22" s="64">
        <f>95.14/100</f>
        <v>0.95140000000000002</v>
      </c>
    </row>
    <row r="23" spans="1:11" x14ac:dyDescent="0.3">
      <c r="A23" s="64" t="s">
        <v>100</v>
      </c>
      <c r="B23" s="64"/>
      <c r="C23" s="64"/>
      <c r="D23" s="64"/>
      <c r="E23" s="64"/>
      <c r="F23" s="64"/>
      <c r="G23" s="64">
        <f xml:space="preserve"> 519.73/100</f>
        <v>5.1973000000000003</v>
      </c>
      <c r="H23" s="64">
        <f xml:space="preserve"> 376.1 /100</f>
        <v>3.7610000000000001</v>
      </c>
      <c r="I23" s="64">
        <f>4460.75/100</f>
        <v>44.607500000000002</v>
      </c>
      <c r="J23" s="64">
        <f>517.07 /100</f>
        <v>5.1707000000000001</v>
      </c>
      <c r="K23" s="64">
        <f>334.48/100</f>
        <v>3.3448000000000002</v>
      </c>
    </row>
    <row r="24" spans="1:11" x14ac:dyDescent="0.3">
      <c r="A24" s="64" t="s">
        <v>102</v>
      </c>
      <c r="B24" s="64">
        <f>2695.28/100</f>
        <v>26.952800000000003</v>
      </c>
      <c r="C24" s="64">
        <f>2783.01/100</f>
        <v>27.830100000000002</v>
      </c>
      <c r="D24" s="64">
        <f>2468.71/100</f>
        <v>24.687100000000001</v>
      </c>
      <c r="E24" s="64">
        <f>2686.59/100</f>
        <v>26.8659</v>
      </c>
      <c r="F24" s="64">
        <f>4097.67/100</f>
        <v>40.976700000000001</v>
      </c>
      <c r="G24" s="64">
        <f xml:space="preserve"> 105.73/100</f>
        <v>1.0573000000000001</v>
      </c>
      <c r="H24" s="64">
        <f xml:space="preserve"> 5.11/100</f>
        <v>5.1100000000000007E-2</v>
      </c>
      <c r="I24" s="64">
        <f>30.34/100</f>
        <v>0.3034</v>
      </c>
      <c r="J24" s="64">
        <f xml:space="preserve"> 8.3/100</f>
        <v>8.3000000000000004E-2</v>
      </c>
      <c r="K24" s="64">
        <f>28.68/100</f>
        <v>0.2868</v>
      </c>
    </row>
    <row r="25" spans="1:11" x14ac:dyDescent="0.3">
      <c r="A25" s="64" t="s">
        <v>101</v>
      </c>
      <c r="B25" s="64"/>
      <c r="C25" s="64"/>
      <c r="D25" s="64"/>
      <c r="E25" s="64"/>
      <c r="F25" s="64"/>
      <c r="G25" s="64">
        <f>46.33 /100</f>
        <v>0.46329999999999999</v>
      </c>
      <c r="H25" s="64">
        <f xml:space="preserve"> 10.4 /100</f>
        <v>0.10400000000000001</v>
      </c>
      <c r="I25" s="64">
        <f>225.06 /100</f>
        <v>2.2505999999999999</v>
      </c>
      <c r="J25" s="64">
        <f>1377.79/100</f>
        <v>13.777899999999999</v>
      </c>
      <c r="K25" s="64">
        <f>2741.03/100</f>
        <v>27.410300000000003</v>
      </c>
    </row>
    <row r="26" spans="1:11" x14ac:dyDescent="0.3">
      <c r="A26" s="64" t="s">
        <v>103</v>
      </c>
      <c r="B26" s="64"/>
      <c r="C26" s="64"/>
      <c r="D26" s="64"/>
      <c r="E26" s="64"/>
      <c r="F26" s="64"/>
      <c r="G26" s="64">
        <f>1772.27/100</f>
        <v>17.7227</v>
      </c>
      <c r="H26" s="64">
        <f>1178.78/100</f>
        <v>11.787799999999999</v>
      </c>
      <c r="I26" s="64">
        <f>817.8 /100</f>
        <v>8.177999999999999</v>
      </c>
      <c r="J26" s="64">
        <f xml:space="preserve"> 651.56 /100</f>
        <v>6.5155999999999992</v>
      </c>
      <c r="K26" s="71">
        <f>1745.31/100</f>
        <v>17.453099999999999</v>
      </c>
    </row>
    <row r="27" spans="1:11" x14ac:dyDescent="0.3">
      <c r="A27" s="70" t="s">
        <v>104</v>
      </c>
      <c r="B27" s="70">
        <f>12.1/100</f>
        <v>0.121</v>
      </c>
      <c r="C27" s="70">
        <f>24.95 /100</f>
        <v>0.2495</v>
      </c>
      <c r="D27" s="70">
        <f>257.53 /100</f>
        <v>2.5752999999999999</v>
      </c>
      <c r="E27" s="70">
        <f>142.02 /100</f>
        <v>1.4202000000000001</v>
      </c>
      <c r="F27" s="70">
        <f>154.13/100</f>
        <v>1.5412999999999999</v>
      </c>
      <c r="G27" s="70">
        <f>4732.16/100</f>
        <v>47.321599999999997</v>
      </c>
      <c r="H27" s="70">
        <f>8248.48/100</f>
        <v>82.484799999999993</v>
      </c>
      <c r="I27" s="70">
        <f>5578.96/100</f>
        <v>55.7896</v>
      </c>
      <c r="J27" s="70">
        <f>4783.41/100</f>
        <v>47.834099999999999</v>
      </c>
      <c r="K27" s="72">
        <f>9189.32/100</f>
        <v>91.893199999999993</v>
      </c>
    </row>
    <row r="28" spans="1:11" x14ac:dyDescent="0.3">
      <c r="A28" s="22" t="s">
        <v>120</v>
      </c>
      <c r="B28" s="21">
        <f>SUM(B17:B27)</f>
        <v>241.45400000000001</v>
      </c>
      <c r="C28" s="21">
        <f>SUM(C17:C27)</f>
        <v>237.83520000000004</v>
      </c>
      <c r="D28" s="21">
        <f>SUM(D17:D27)</f>
        <v>240.73269999999999</v>
      </c>
      <c r="E28" s="21">
        <f t="shared" ref="E28:K28" si="1">SUM(E17:E27)</f>
        <v>262.77250000000004</v>
      </c>
      <c r="F28" s="21">
        <f t="shared" si="1"/>
        <v>315.41269999999997</v>
      </c>
      <c r="G28" s="21">
        <f t="shared" si="1"/>
        <v>462.89529999999991</v>
      </c>
      <c r="H28" s="21">
        <f>SUM(H17:H27)</f>
        <v>531.07459999999992</v>
      </c>
      <c r="I28" s="21">
        <f t="shared" si="1"/>
        <v>642.56419999999991</v>
      </c>
      <c r="J28" s="21">
        <f t="shared" si="1"/>
        <v>655.11930000000007</v>
      </c>
      <c r="K28" s="21">
        <f t="shared" si="1"/>
        <v>775.99529999999993</v>
      </c>
    </row>
    <row r="29" spans="1:11" x14ac:dyDescent="0.3">
      <c r="A29" s="34" t="s">
        <v>121</v>
      </c>
      <c r="B29" s="12">
        <f>B28+B15</f>
        <v>545.63679999999999</v>
      </c>
      <c r="C29" s="12">
        <f>C15+C28</f>
        <v>552.11059999999998</v>
      </c>
      <c r="D29" s="12">
        <f t="shared" ref="D29:K29" si="2">D15+D28</f>
        <v>599.19440000000009</v>
      </c>
      <c r="E29" s="12">
        <f t="shared" si="2"/>
        <v>686.95910000000003</v>
      </c>
      <c r="F29" s="12">
        <f t="shared" si="2"/>
        <v>821.70674999999983</v>
      </c>
      <c r="G29" s="12">
        <f>G15+G28</f>
        <v>979.95449999999994</v>
      </c>
      <c r="H29" s="12">
        <f>H15+H28</f>
        <v>1227.5749000000001</v>
      </c>
      <c r="I29" s="12">
        <f t="shared" si="2"/>
        <v>1442.9733999999999</v>
      </c>
      <c r="J29" s="12">
        <f t="shared" si="2"/>
        <v>1733.8201000000004</v>
      </c>
      <c r="K29" s="12">
        <f t="shared" si="2"/>
        <v>2089.7536999999998</v>
      </c>
    </row>
    <row r="30" spans="1:11" x14ac:dyDescent="0.3">
      <c r="A30" s="2" t="s">
        <v>81</v>
      </c>
      <c r="K30" s="63"/>
    </row>
    <row r="31" spans="1:11" x14ac:dyDescent="0.3">
      <c r="A31" s="21" t="s">
        <v>82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3">
      <c r="A32" s="21" t="s">
        <v>105</v>
      </c>
      <c r="B32" s="21">
        <f>987.45/100</f>
        <v>9.8745000000000012</v>
      </c>
      <c r="C32" s="21">
        <f>987.45/100</f>
        <v>9.8745000000000012</v>
      </c>
      <c r="D32" s="21">
        <f>1031.82/100</f>
        <v>10.318199999999999</v>
      </c>
      <c r="E32" s="21">
        <f>1031.82/100</f>
        <v>10.318199999999999</v>
      </c>
      <c r="F32" s="21">
        <f>1031.82/100</f>
        <v>10.318199999999999</v>
      </c>
      <c r="G32" s="21">
        <f>1027.82/100</f>
        <v>10.2782</v>
      </c>
      <c r="H32" s="21">
        <f>1027.82/100</f>
        <v>10.2782</v>
      </c>
      <c r="I32" s="21">
        <f>1027.82/100</f>
        <v>10.2782</v>
      </c>
      <c r="J32" s="21">
        <f>1027.82/100</f>
        <v>10.2782</v>
      </c>
      <c r="K32" s="21">
        <f>1027.82/100</f>
        <v>10.2782</v>
      </c>
    </row>
    <row r="33" spans="1:11" x14ac:dyDescent="0.3">
      <c r="A33" s="21" t="s">
        <v>125</v>
      </c>
      <c r="B33" s="21">
        <f>23137.36/100</f>
        <v>231.37360000000001</v>
      </c>
      <c r="C33" s="21">
        <f>30019.92/100</f>
        <v>300.19919999999996</v>
      </c>
      <c r="D33" s="21">
        <f>42372.75/100</f>
        <v>423.72750000000002</v>
      </c>
      <c r="E33" s="21">
        <f>53046.18/100</f>
        <v>530.46180000000004</v>
      </c>
      <c r="F33" s="21">
        <f>66976.4/100</f>
        <v>669.7639999999999</v>
      </c>
      <c r="G33" s="21"/>
      <c r="H33" s="21"/>
      <c r="I33" s="21"/>
      <c r="J33" s="21"/>
      <c r="K33" s="21"/>
    </row>
    <row r="34" spans="1:11" x14ac:dyDescent="0.3">
      <c r="A34" s="21" t="s">
        <v>106</v>
      </c>
      <c r="B34" s="21"/>
      <c r="C34" s="21"/>
      <c r="D34" s="21"/>
      <c r="E34" s="21"/>
      <c r="F34" s="21"/>
      <c r="G34" s="21">
        <f>78638.53/100</f>
        <v>786.38530000000003</v>
      </c>
      <c r="H34" s="21">
        <f>104100.06/100</f>
        <v>1041.0006000000001</v>
      </c>
      <c r="I34" s="21">
        <f>126912.75/100</f>
        <v>1269.1275000000001</v>
      </c>
      <c r="J34" s="21">
        <f>153313.14/100</f>
        <v>1533.1314000000002</v>
      </c>
      <c r="K34" s="21">
        <f>181773.99/100</f>
        <v>1817.7398999999998</v>
      </c>
    </row>
    <row r="35" spans="1:11" x14ac:dyDescent="0.3">
      <c r="A35" s="34" t="s">
        <v>107</v>
      </c>
      <c r="B35" s="12">
        <f>B33+B32</f>
        <v>241.24810000000002</v>
      </c>
      <c r="C35" s="12">
        <f>SUM(C32:C34)</f>
        <v>310.07369999999997</v>
      </c>
      <c r="D35" s="12">
        <f t="shared" ref="D35:F35" si="3">SUM(D32:D34)</f>
        <v>434.04570000000001</v>
      </c>
      <c r="E35" s="12">
        <f t="shared" si="3"/>
        <v>540.78000000000009</v>
      </c>
      <c r="F35" s="12">
        <f t="shared" si="3"/>
        <v>680.08219999999994</v>
      </c>
      <c r="G35" s="12">
        <f>SUM(G32:G34)</f>
        <v>796.6635</v>
      </c>
      <c r="H35" s="12">
        <f>SUM(H32:H34)</f>
        <v>1051.2788</v>
      </c>
      <c r="I35" s="12">
        <f t="shared" ref="I35:K35" si="4">SUM(I32:I34)</f>
        <v>1279.4057</v>
      </c>
      <c r="J35" s="12">
        <f t="shared" si="4"/>
        <v>1543.4096000000002</v>
      </c>
      <c r="K35" s="12">
        <f t="shared" si="4"/>
        <v>1828.0180999999998</v>
      </c>
    </row>
    <row r="36" spans="1:11" x14ac:dyDescent="0.3">
      <c r="A36" s="2" t="s">
        <v>83</v>
      </c>
    </row>
    <row r="37" spans="1:11" x14ac:dyDescent="0.3">
      <c r="A37" s="2" t="s">
        <v>84</v>
      </c>
    </row>
    <row r="38" spans="1:11" x14ac:dyDescent="0.3">
      <c r="A38" s="14" t="s">
        <v>85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x14ac:dyDescent="0.3">
      <c r="A39" s="14" t="s">
        <v>127</v>
      </c>
      <c r="B39" s="14">
        <f>13553.45/100</f>
        <v>135.53450000000001</v>
      </c>
      <c r="C39" s="14">
        <f>10996.69/100</f>
        <v>109.96690000000001</v>
      </c>
      <c r="D39" s="14">
        <f>3724.1/100</f>
        <v>37.241</v>
      </c>
      <c r="E39" s="14">
        <f>1325.2/100</f>
        <v>13.252000000000001</v>
      </c>
      <c r="F39" s="14"/>
      <c r="G39" s="14"/>
      <c r="H39" s="14"/>
      <c r="I39" s="14"/>
      <c r="J39" s="14"/>
      <c r="K39" s="14"/>
    </row>
    <row r="40" spans="1:11" x14ac:dyDescent="0.3">
      <c r="A40" s="14" t="s">
        <v>108</v>
      </c>
      <c r="B40" s="14"/>
      <c r="C40" s="14"/>
      <c r="D40" s="14"/>
      <c r="E40" s="14"/>
      <c r="F40" s="14"/>
      <c r="G40" s="14">
        <f>27.42/100</f>
        <v>0.2742</v>
      </c>
      <c r="H40" s="14">
        <f xml:space="preserve"> 25.29/100</f>
        <v>0.25290000000000001</v>
      </c>
      <c r="I40" s="14">
        <f>24.72/100</f>
        <v>0.24719999999999998</v>
      </c>
      <c r="J40" s="14">
        <f xml:space="preserve"> 121.8 /100</f>
        <v>1.218</v>
      </c>
      <c r="K40" s="14">
        <f>46.25/100</f>
        <v>0.46250000000000002</v>
      </c>
    </row>
    <row r="41" spans="1:11" x14ac:dyDescent="0.3">
      <c r="A41" s="14" t="s">
        <v>109</v>
      </c>
      <c r="B41" s="14">
        <f>2610.19/100</f>
        <v>26.101900000000001</v>
      </c>
      <c r="C41" s="14">
        <f>3314.62/100</f>
        <v>33.1462</v>
      </c>
      <c r="D41" s="14">
        <f>3897.41/100</f>
        <v>38.9741</v>
      </c>
      <c r="E41" s="14">
        <f>4922.35/100</f>
        <v>49.223500000000001</v>
      </c>
      <c r="F41" s="73">
        <f>6974.82/100</f>
        <v>69.748199999999997</v>
      </c>
      <c r="G41" s="14">
        <f>8085.53/100</f>
        <v>80.8553</v>
      </c>
      <c r="H41" s="14">
        <f>8456.83/100</f>
        <v>84.568299999999994</v>
      </c>
      <c r="I41" s="14">
        <f>7048.32/100</f>
        <v>70.483199999999997</v>
      </c>
      <c r="J41" s="14">
        <f>7792.74/100</f>
        <v>77.927399999999992</v>
      </c>
      <c r="K41" s="14">
        <f>9002.19/100</f>
        <v>90.021900000000002</v>
      </c>
    </row>
    <row r="42" spans="1:11" x14ac:dyDescent="0.3">
      <c r="A42" s="14" t="s">
        <v>110</v>
      </c>
      <c r="B42" s="14"/>
      <c r="C42" s="14"/>
      <c r="D42" s="14"/>
      <c r="E42" s="14"/>
      <c r="F42" s="14"/>
      <c r="G42" s="14">
        <f>288.18 /100</f>
        <v>2.8818000000000001</v>
      </c>
      <c r="H42" s="14">
        <f>267.55 /100</f>
        <v>2.6755</v>
      </c>
      <c r="I42" s="14">
        <f>382.65 /100</f>
        <v>3.8264999999999998</v>
      </c>
      <c r="J42" s="14">
        <f xml:space="preserve"> 481.52 /100</f>
        <v>4.8151999999999999</v>
      </c>
      <c r="K42" s="14">
        <f>399.75/100</f>
        <v>3.9975000000000001</v>
      </c>
    </row>
    <row r="43" spans="1:11" x14ac:dyDescent="0.3">
      <c r="A43" s="22" t="s">
        <v>128</v>
      </c>
      <c r="B43" s="21">
        <f>B39+B41</f>
        <v>161.63640000000001</v>
      </c>
      <c r="C43" s="21">
        <f t="shared" ref="C43:K43" si="5">C39+C40+C41+C42</f>
        <v>143.1131</v>
      </c>
      <c r="D43" s="21">
        <f t="shared" si="5"/>
        <v>76.215100000000007</v>
      </c>
      <c r="E43" s="21">
        <f t="shared" si="5"/>
        <v>62.475500000000004</v>
      </c>
      <c r="F43" s="21">
        <f t="shared" si="5"/>
        <v>69.748199999999997</v>
      </c>
      <c r="G43" s="21">
        <f t="shared" si="5"/>
        <v>84.011299999999991</v>
      </c>
      <c r="H43" s="21">
        <f t="shared" si="5"/>
        <v>87.49669999999999</v>
      </c>
      <c r="I43" s="21">
        <f t="shared" si="5"/>
        <v>74.556899999999999</v>
      </c>
      <c r="J43" s="21">
        <f t="shared" si="5"/>
        <v>83.960599999999999</v>
      </c>
      <c r="K43" s="21">
        <f t="shared" si="5"/>
        <v>94.48190000000001</v>
      </c>
    </row>
    <row r="44" spans="1:11" x14ac:dyDescent="0.3">
      <c r="A44" s="2" t="s">
        <v>86</v>
      </c>
    </row>
    <row r="45" spans="1:11" x14ac:dyDescent="0.3">
      <c r="A45" s="47" t="s">
        <v>85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</row>
    <row r="46" spans="1:11" x14ac:dyDescent="0.3">
      <c r="A46" s="47" t="s">
        <v>126</v>
      </c>
      <c r="B46" s="47">
        <f>6530.33/100</f>
        <v>65.303299999999993</v>
      </c>
      <c r="C46" s="47">
        <f>1226.89/100</f>
        <v>12.2689</v>
      </c>
      <c r="D46" s="47">
        <f>171.77/100</f>
        <v>1.7177</v>
      </c>
      <c r="E46" s="47">
        <f>264.35/100</f>
        <v>2.6435000000000004</v>
      </c>
      <c r="F46" s="47">
        <f>231.62/100</f>
        <v>2.3162000000000003</v>
      </c>
      <c r="G46" s="47">
        <f>1520.24/100</f>
        <v>15.202400000000001</v>
      </c>
      <c r="H46" s="47">
        <f xml:space="preserve"> 368.26 /100</f>
        <v>3.6825999999999999</v>
      </c>
      <c r="I46" s="47">
        <f>34.65/100</f>
        <v>0.34649999999999997</v>
      </c>
      <c r="J46" s="47">
        <f xml:space="preserve"> 202.49/100</f>
        <v>2.0249000000000001</v>
      </c>
      <c r="K46" s="47">
        <f>1839.89/100</f>
        <v>18.398900000000001</v>
      </c>
    </row>
    <row r="47" spans="1:11" x14ac:dyDescent="0.3">
      <c r="A47" s="47" t="s">
        <v>87</v>
      </c>
      <c r="B47" s="47">
        <f>1562.97/100</f>
        <v>15.6297</v>
      </c>
      <c r="C47" s="47">
        <f>1417.33/100</f>
        <v>14.173299999999999</v>
      </c>
      <c r="D47" s="47">
        <f>2152.02/100</f>
        <v>21.520199999999999</v>
      </c>
      <c r="E47" s="47">
        <f>2234.26/100</f>
        <v>22.342600000000001</v>
      </c>
      <c r="F47" s="47">
        <f>3273.79/100</f>
        <v>32.737899999999996</v>
      </c>
      <c r="G47" s="47">
        <f>6344.81/100</f>
        <v>63.448100000000004</v>
      </c>
      <c r="H47" s="47"/>
      <c r="I47" s="47"/>
      <c r="J47" s="47"/>
      <c r="K47" s="47"/>
    </row>
    <row r="48" spans="1:11" x14ac:dyDescent="0.3">
      <c r="A48" s="47" t="s">
        <v>111</v>
      </c>
      <c r="B48" s="47"/>
      <c r="C48" s="47"/>
      <c r="D48" s="47"/>
      <c r="E48" s="47"/>
      <c r="F48" s="47"/>
      <c r="G48" s="47"/>
      <c r="H48" s="47">
        <f xml:space="preserve"> 148.8/100</f>
        <v>1.4880000000000002</v>
      </c>
      <c r="I48" s="47">
        <f>215.61 /100</f>
        <v>2.1561000000000003</v>
      </c>
      <c r="J48" s="47">
        <f>299.62/100</f>
        <v>2.9962</v>
      </c>
      <c r="K48" s="47">
        <f>691.21/100</f>
        <v>6.9121000000000006</v>
      </c>
    </row>
    <row r="49" spans="1:11" x14ac:dyDescent="0.3">
      <c r="A49" s="47" t="s">
        <v>112</v>
      </c>
      <c r="B49" s="47"/>
      <c r="C49" s="47"/>
      <c r="D49" s="47"/>
      <c r="E49" s="47"/>
      <c r="F49" s="47"/>
      <c r="G49" s="47"/>
      <c r="H49" s="47">
        <f>5162.84/100</f>
        <v>51.628399999999999</v>
      </c>
      <c r="I49" s="47">
        <f>5350.41/100</f>
        <v>53.504100000000001</v>
      </c>
      <c r="J49" s="47">
        <f>6363.49/100</f>
        <v>63.634899999999995</v>
      </c>
      <c r="K49" s="47">
        <f>10765.82/100</f>
        <v>107.65819999999999</v>
      </c>
    </row>
    <row r="50" spans="1:11" x14ac:dyDescent="0.3">
      <c r="A50" s="47" t="s">
        <v>113</v>
      </c>
      <c r="B50" s="47"/>
      <c r="C50" s="47"/>
      <c r="D50" s="47"/>
      <c r="E50" s="47"/>
      <c r="F50" s="47"/>
      <c r="G50" s="47">
        <f xml:space="preserve"> 663.03 /100</f>
        <v>6.6303000000000001</v>
      </c>
      <c r="H50" s="47">
        <f>761.66/100</f>
        <v>7.6166</v>
      </c>
      <c r="I50" s="47">
        <f>310.12 /100</f>
        <v>3.1012</v>
      </c>
      <c r="J50" s="47">
        <f xml:space="preserve"> 454.65 /100</f>
        <v>4.5465</v>
      </c>
      <c r="K50" s="78">
        <f>594.32/100</f>
        <v>5.9432000000000009</v>
      </c>
    </row>
    <row r="51" spans="1:11" x14ac:dyDescent="0.3">
      <c r="A51" s="47" t="s">
        <v>114</v>
      </c>
      <c r="B51" s="47">
        <f>4447.59/100</f>
        <v>44.475900000000003</v>
      </c>
      <c r="C51" s="47">
        <f>5186.65/100</f>
        <v>51.866499999999995</v>
      </c>
      <c r="D51" s="47">
        <f>4013.85/100</f>
        <v>40.138500000000001</v>
      </c>
      <c r="E51" s="47">
        <f>4704.45/100</f>
        <v>47.044499999999999</v>
      </c>
      <c r="F51" s="47">
        <f>3183.9/100</f>
        <v>31.839000000000002</v>
      </c>
      <c r="G51" s="47">
        <f xml:space="preserve"> 761.02 /100</f>
        <v>7.6101999999999999</v>
      </c>
      <c r="H51" s="47">
        <f>1053.8/100</f>
        <v>10.538</v>
      </c>
      <c r="I51" s="47">
        <f>1416.04/100</f>
        <v>14.160399999999999</v>
      </c>
      <c r="J51" s="47">
        <f>2123.83/100</f>
        <v>21.238299999999999</v>
      </c>
      <c r="K51" s="78">
        <f>2241.75/100</f>
        <v>22.4175</v>
      </c>
    </row>
    <row r="52" spans="1:11" x14ac:dyDescent="0.3">
      <c r="A52" s="47" t="s">
        <v>115</v>
      </c>
      <c r="B52" s="47">
        <f>1734.34/100</f>
        <v>17.343399999999999</v>
      </c>
      <c r="C52" s="47">
        <f>2061.51/100</f>
        <v>20.615100000000002</v>
      </c>
      <c r="D52" s="47">
        <f>2555.72/100</f>
        <v>25.557199999999998</v>
      </c>
      <c r="E52" s="47">
        <f>1167.3/100</f>
        <v>11.673</v>
      </c>
      <c r="F52" s="47">
        <f>498.32 /100</f>
        <v>4.9832000000000001</v>
      </c>
      <c r="G52" s="47">
        <f>267.42 /100</f>
        <v>2.6742000000000004</v>
      </c>
      <c r="H52" s="47">
        <f xml:space="preserve"> 323.56 /100</f>
        <v>3.2355999999999998</v>
      </c>
      <c r="I52" s="47">
        <f>443.65 /100</f>
        <v>4.4364999999999997</v>
      </c>
      <c r="J52" s="47">
        <f>469.92 /100</f>
        <v>4.6992000000000003</v>
      </c>
      <c r="K52" s="47">
        <f>536.5/100</f>
        <v>5.3650000000000002</v>
      </c>
    </row>
    <row r="53" spans="1:11" x14ac:dyDescent="0.3">
      <c r="A53" s="47" t="s">
        <v>116</v>
      </c>
      <c r="B53" s="77"/>
      <c r="C53" s="77"/>
      <c r="D53" s="77"/>
      <c r="E53" s="77"/>
      <c r="F53" s="77"/>
      <c r="G53" s="77">
        <f>371.45 /100</f>
        <v>3.7144999999999997</v>
      </c>
      <c r="H53" s="77">
        <f>1061.02/100</f>
        <v>10.610199999999999</v>
      </c>
      <c r="I53" s="77">
        <f>1130.6/100</f>
        <v>11.305999999999999</v>
      </c>
      <c r="J53" s="77">
        <f xml:space="preserve"> 730.99 /100</f>
        <v>7.3098999999999998</v>
      </c>
      <c r="K53" s="77">
        <f>55.8/100</f>
        <v>0.55799999999999994</v>
      </c>
    </row>
    <row r="54" spans="1:11" x14ac:dyDescent="0.3">
      <c r="A54" s="22" t="s">
        <v>118</v>
      </c>
      <c r="B54" s="21">
        <f>SUM(B45:B53)</f>
        <v>142.75229999999999</v>
      </c>
      <c r="C54" s="21">
        <f>C46+C47+C51+C52</f>
        <v>98.923799999999986</v>
      </c>
      <c r="D54" s="21">
        <f t="shared" ref="D54:F54" si="6">D46+D47+D51+D52</f>
        <v>88.933599999999998</v>
      </c>
      <c r="E54" s="21">
        <f t="shared" si="6"/>
        <v>83.703599999999994</v>
      </c>
      <c r="F54" s="21">
        <f t="shared" si="6"/>
        <v>71.876300000000001</v>
      </c>
      <c r="G54" s="21">
        <f>G46+G53+G47+G51+G52+G50</f>
        <v>99.27970000000002</v>
      </c>
      <c r="H54" s="21">
        <f>SUM(H46:H53)</f>
        <v>88.799399999999991</v>
      </c>
      <c r="I54" s="21">
        <f t="shared" ref="I54:K54" si="7">SUM(I46:I53)</f>
        <v>89.010799999999989</v>
      </c>
      <c r="J54" s="21">
        <f t="shared" si="7"/>
        <v>106.44989999999999</v>
      </c>
      <c r="K54" s="21">
        <f t="shared" si="7"/>
        <v>167.25289999999998</v>
      </c>
    </row>
    <row r="55" spans="1:11" x14ac:dyDescent="0.3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22" t="s">
        <v>117</v>
      </c>
      <c r="B56" s="21">
        <f>B54+B43</f>
        <v>304.38869999999997</v>
      </c>
      <c r="C56" s="21">
        <f>C54+C43</f>
        <v>242.0369</v>
      </c>
      <c r="D56" s="21">
        <f t="shared" ref="D56:F56" si="8">D54+D43</f>
        <v>165.14870000000002</v>
      </c>
      <c r="E56" s="21">
        <f t="shared" si="8"/>
        <v>146.17910000000001</v>
      </c>
      <c r="F56" s="21">
        <f t="shared" si="8"/>
        <v>141.62450000000001</v>
      </c>
      <c r="G56" s="21">
        <f>G54+G43</f>
        <v>183.291</v>
      </c>
      <c r="H56" s="21">
        <f t="shared" ref="H56" si="9">H54+H43</f>
        <v>176.29609999999997</v>
      </c>
      <c r="I56" s="21">
        <f t="shared" ref="I56" si="10">I54+I43</f>
        <v>163.5677</v>
      </c>
      <c r="J56" s="21">
        <f t="shared" ref="J56" si="11">J54+J43</f>
        <v>190.41049999999998</v>
      </c>
      <c r="K56" s="21">
        <f t="shared" ref="K56" si="12">K54+K43</f>
        <v>261.73480000000001</v>
      </c>
    </row>
    <row r="57" spans="1:11" x14ac:dyDescent="0.3">
      <c r="A57" s="74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75" t="s">
        <v>88</v>
      </c>
      <c r="B58" s="76">
        <f>B56+B35</f>
        <v>545.63679999999999</v>
      </c>
      <c r="C58" s="76">
        <f>C56+C35</f>
        <v>552.11059999999998</v>
      </c>
      <c r="D58" s="76">
        <f t="shared" ref="D58:G58" si="13">D56+D35</f>
        <v>599.19440000000009</v>
      </c>
      <c r="E58" s="76">
        <f t="shared" si="13"/>
        <v>686.95910000000003</v>
      </c>
      <c r="F58" s="76">
        <f t="shared" si="13"/>
        <v>821.70669999999996</v>
      </c>
      <c r="G58" s="76">
        <f t="shared" si="13"/>
        <v>979.95450000000005</v>
      </c>
      <c r="H58" s="76">
        <f t="shared" ref="H58" si="14">H56+H35</f>
        <v>1227.5749000000001</v>
      </c>
      <c r="I58" s="76">
        <f t="shared" ref="I58" si="15">I56+I35</f>
        <v>1442.9734000000001</v>
      </c>
      <c r="J58" s="76">
        <f t="shared" ref="J58" si="16">J56+J35</f>
        <v>1733.8201000000001</v>
      </c>
      <c r="K58" s="76">
        <f t="shared" ref="K58" si="17">K56+K35</f>
        <v>2089.7529</v>
      </c>
    </row>
    <row r="62" spans="1:11" x14ac:dyDescent="0.3">
      <c r="B62">
        <f>B29-B56</f>
        <v>241.24810000000002</v>
      </c>
      <c r="C62">
        <f t="shared" ref="C62:K62" si="18">C29-C56</f>
        <v>310.07369999999997</v>
      </c>
      <c r="D62">
        <f t="shared" si="18"/>
        <v>434.04570000000007</v>
      </c>
      <c r="E62">
        <f t="shared" si="18"/>
        <v>540.78</v>
      </c>
      <c r="F62">
        <f t="shared" si="18"/>
        <v>680.08224999999982</v>
      </c>
      <c r="G62">
        <f t="shared" si="18"/>
        <v>796.66349999999989</v>
      </c>
      <c r="H62">
        <f t="shared" si="18"/>
        <v>1051.2788</v>
      </c>
      <c r="I62">
        <f t="shared" si="18"/>
        <v>1279.4056999999998</v>
      </c>
      <c r="J62">
        <f t="shared" si="18"/>
        <v>1543.4096000000004</v>
      </c>
      <c r="K62">
        <f t="shared" si="18"/>
        <v>1828.0188999999998</v>
      </c>
    </row>
    <row r="85" spans="1:4" x14ac:dyDescent="0.3">
      <c r="B85">
        <f>186790000000/1817</f>
        <v>102801320.85855806</v>
      </c>
      <c r="D85">
        <f>18289999999/B85</f>
        <v>177.91600191757055</v>
      </c>
    </row>
    <row r="87" spans="1:4" x14ac:dyDescent="0.3">
      <c r="A87" t="s">
        <v>192</v>
      </c>
      <c r="C87">
        <f>1817/D85</f>
        <v>10.212684527622343</v>
      </c>
    </row>
  </sheetData>
  <pageMargins left="0.7" right="0.7" top="0.75" bottom="0.75" header="0.3" footer="0.3"/>
  <ignoredErrors>
    <ignoredError sqref="D17 G54:H5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0337-4B76-4E90-9FEC-4DDEA3A22F8E}">
  <dimension ref="A2:M87"/>
  <sheetViews>
    <sheetView workbookViewId="0">
      <selection activeCell="A2" sqref="A2"/>
    </sheetView>
  </sheetViews>
  <sheetFormatPr defaultRowHeight="14.4" x14ac:dyDescent="0.3"/>
  <cols>
    <col min="1" max="1" width="69.6640625" bestFit="1" customWidth="1"/>
    <col min="2" max="2" width="9.88671875" bestFit="1" customWidth="1"/>
    <col min="6" max="6" width="11.6640625" bestFit="1" customWidth="1"/>
    <col min="8" max="9" width="9.88671875" bestFit="1" customWidth="1"/>
    <col min="10" max="11" width="11.6640625" bestFit="1" customWidth="1"/>
  </cols>
  <sheetData>
    <row r="2" spans="1:12" ht="21" x14ac:dyDescent="0.4">
      <c r="A2" s="107" t="s">
        <v>139</v>
      </c>
    </row>
    <row r="3" spans="1:12" x14ac:dyDescent="0.3">
      <c r="A3" s="3">
        <v>100</v>
      </c>
      <c r="B3" s="94">
        <v>41334</v>
      </c>
      <c r="C3" s="94">
        <v>41699</v>
      </c>
      <c r="D3" s="94">
        <v>42064</v>
      </c>
      <c r="E3" s="94">
        <v>42430</v>
      </c>
      <c r="F3" s="94">
        <v>42795</v>
      </c>
      <c r="G3" s="94">
        <v>43160</v>
      </c>
      <c r="H3" s="94">
        <v>43525</v>
      </c>
      <c r="I3" s="94">
        <v>43891</v>
      </c>
      <c r="J3" s="94">
        <v>44256</v>
      </c>
      <c r="K3" s="94">
        <v>44621</v>
      </c>
    </row>
    <row r="4" spans="1:12" x14ac:dyDescent="0.3">
      <c r="A4" s="4" t="s">
        <v>196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x14ac:dyDescent="0.3">
      <c r="A5" s="92" t="s">
        <v>147</v>
      </c>
      <c r="B5" s="93">
        <v>102.60590000000001</v>
      </c>
      <c r="C5" s="93">
        <v>128.59280000000001</v>
      </c>
      <c r="D5" s="93">
        <v>173.49680000000001</v>
      </c>
      <c r="E5" s="93">
        <v>186.55709999999999</v>
      </c>
      <c r="F5" s="93">
        <v>204.63740000000001</v>
      </c>
      <c r="G5" s="93">
        <v>203.37349999999998</v>
      </c>
      <c r="H5" s="93">
        <v>425.24080000000004</v>
      </c>
      <c r="I5" s="93">
        <v>424.67260000000005</v>
      </c>
      <c r="J5" s="93">
        <v>335.23949999999996</v>
      </c>
      <c r="K5" s="93">
        <v>449.24940000000004</v>
      </c>
    </row>
    <row r="6" spans="1:12" x14ac:dyDescent="0.3">
      <c r="A6" s="3" t="s">
        <v>149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x14ac:dyDescent="0.3">
      <c r="A7" s="3" t="s">
        <v>198</v>
      </c>
      <c r="B7" s="3">
        <v>9.9237000000000002</v>
      </c>
      <c r="C7" s="3">
        <v>15.291099999999998</v>
      </c>
      <c r="D7" s="3">
        <v>17.5853</v>
      </c>
      <c r="E7" s="3">
        <v>18.4346</v>
      </c>
      <c r="F7" s="3">
        <v>21.285</v>
      </c>
      <c r="G7" s="3">
        <v>25.446999999999999</v>
      </c>
      <c r="H7" s="3">
        <v>27.3856</v>
      </c>
      <c r="I7" s="3">
        <v>33.160499999999999</v>
      </c>
      <c r="J7" s="3">
        <v>42.914499999999997</v>
      </c>
      <c r="K7" s="3">
        <v>45.4863</v>
      </c>
    </row>
    <row r="8" spans="1:12" x14ac:dyDescent="0.3">
      <c r="A8" s="3" t="s">
        <v>199</v>
      </c>
      <c r="B8" s="3">
        <v>2.58E-2</v>
      </c>
      <c r="C8" s="3">
        <v>2.6099999999999998E-2</v>
      </c>
      <c r="D8" s="3">
        <v>7.3300000000000004E-2</v>
      </c>
      <c r="E8" s="3">
        <v>8.3299999999999999E-2</v>
      </c>
      <c r="F8" s="3">
        <v>8.3299999999999999E-2</v>
      </c>
      <c r="G8" s="3"/>
      <c r="H8" s="3"/>
      <c r="I8" s="3"/>
      <c r="J8" s="3"/>
      <c r="K8" s="3"/>
    </row>
    <row r="9" spans="1:12" x14ac:dyDescent="0.3">
      <c r="A9" s="3" t="s">
        <v>200</v>
      </c>
      <c r="B9" s="3">
        <v>-1.09E-2</v>
      </c>
      <c r="C9" s="3">
        <v>2E-3</v>
      </c>
      <c r="D9" s="3">
        <v>0.31780000000000003</v>
      </c>
      <c r="E9" s="3">
        <v>6.3899999999999998E-2</v>
      </c>
      <c r="F9" s="3">
        <v>-2.1499999999999998E-2</v>
      </c>
      <c r="G9" s="3"/>
      <c r="H9" s="3"/>
      <c r="I9" s="3"/>
      <c r="J9" s="3"/>
      <c r="K9" s="3"/>
      <c r="L9">
        <v>100</v>
      </c>
    </row>
    <row r="10" spans="1:12" x14ac:dyDescent="0.3">
      <c r="A10" s="3" t="s">
        <v>201</v>
      </c>
      <c r="B10" s="3">
        <v>6.069</v>
      </c>
      <c r="C10" s="3">
        <v>7.1353999999999997</v>
      </c>
      <c r="D10" s="3">
        <v>4.8663999999999996</v>
      </c>
      <c r="E10" s="3">
        <v>3.2524000000000002</v>
      </c>
      <c r="F10" s="3">
        <v>1.5647</v>
      </c>
      <c r="G10" s="3"/>
      <c r="H10" s="3"/>
      <c r="I10" s="3"/>
      <c r="J10" s="3"/>
      <c r="K10" s="3"/>
    </row>
    <row r="11" spans="1:12" x14ac:dyDescent="0.3">
      <c r="A11" s="3" t="s">
        <v>202</v>
      </c>
      <c r="B11" s="3">
        <v>4.2324000000000002</v>
      </c>
      <c r="C11" s="3">
        <v>13.286900000000001</v>
      </c>
      <c r="D11" s="3">
        <v>1.6325999999999998</v>
      </c>
      <c r="E11" s="3">
        <v>3.0211999999999999</v>
      </c>
      <c r="F11" s="3">
        <v>1.9291</v>
      </c>
      <c r="G11" s="3">
        <v>-3.1471</v>
      </c>
      <c r="H11" s="3">
        <v>-4.8472</v>
      </c>
      <c r="I11" s="3">
        <v>-9.7151999999999994</v>
      </c>
      <c r="J11" s="3">
        <v>-0.24299999999999999</v>
      </c>
      <c r="K11" s="3">
        <v>-5.605599999999999</v>
      </c>
    </row>
    <row r="12" spans="1:12" x14ac:dyDescent="0.3">
      <c r="A12" s="3" t="s">
        <v>222</v>
      </c>
      <c r="B12" s="3"/>
      <c r="C12" s="3"/>
      <c r="D12" s="3"/>
      <c r="E12" s="3"/>
      <c r="F12" s="3"/>
      <c r="G12" s="3">
        <v>1.1078000000000001</v>
      </c>
      <c r="H12" s="3">
        <v>0.94400000000000006</v>
      </c>
      <c r="I12" s="3">
        <v>1.0922000000000001</v>
      </c>
      <c r="J12" s="3">
        <v>0.21190000000000001</v>
      </c>
      <c r="K12" s="3">
        <v>0.25869999999999999</v>
      </c>
    </row>
    <row r="13" spans="1:12" x14ac:dyDescent="0.3">
      <c r="A13" s="3" t="s">
        <v>203</v>
      </c>
      <c r="B13" s="3">
        <v>5.2913999999999994</v>
      </c>
      <c r="C13" s="3">
        <v>4.3113999999999999</v>
      </c>
      <c r="D13" s="3">
        <v>-2.2130999999999998</v>
      </c>
      <c r="E13" s="3">
        <v>7.6837</v>
      </c>
      <c r="F13" s="3">
        <v>8.4887999999999995</v>
      </c>
      <c r="G13" s="3"/>
      <c r="H13" s="3"/>
      <c r="I13" s="3"/>
      <c r="J13" s="3"/>
      <c r="K13" s="3"/>
    </row>
    <row r="14" spans="1:12" x14ac:dyDescent="0.3">
      <c r="A14" s="3" t="s">
        <v>204</v>
      </c>
      <c r="B14" s="3">
        <v>-6.8699999999999997E-2</v>
      </c>
      <c r="C14" s="3">
        <v>-6.1500000000000006E-2</v>
      </c>
      <c r="D14" s="3">
        <v>-3.1899999999999998E-2</v>
      </c>
      <c r="E14" s="3">
        <v>-0.4919</v>
      </c>
      <c r="F14" s="3">
        <v>-1.883</v>
      </c>
      <c r="G14" s="3"/>
      <c r="H14" s="3"/>
      <c r="I14" s="3"/>
      <c r="J14" s="3"/>
      <c r="K14" s="3"/>
    </row>
    <row r="15" spans="1:12" x14ac:dyDescent="0.3">
      <c r="A15" s="3" t="s">
        <v>205</v>
      </c>
      <c r="B15" s="3">
        <v>-2.63E-2</v>
      </c>
      <c r="C15" s="3">
        <v>-8.1099999999999992E-2</v>
      </c>
      <c r="D15" s="3">
        <v>0</v>
      </c>
      <c r="E15" s="3">
        <v>0</v>
      </c>
      <c r="F15" s="3">
        <v>0</v>
      </c>
      <c r="G15" s="3"/>
      <c r="H15" s="3"/>
      <c r="I15" s="3"/>
      <c r="J15" s="3"/>
      <c r="K15" s="3"/>
    </row>
    <row r="16" spans="1:12" x14ac:dyDescent="0.3">
      <c r="A16" s="3" t="s">
        <v>206</v>
      </c>
      <c r="B16" s="3">
        <v>-0.23050000000000001</v>
      </c>
      <c r="C16" s="3">
        <v>-0.24940000000000001</v>
      </c>
      <c r="D16" s="3">
        <v>-0.1166</v>
      </c>
      <c r="E16" s="3">
        <v>-0.1434</v>
      </c>
      <c r="F16" s="3">
        <v>-0.27529999999999999</v>
      </c>
      <c r="G16" s="3"/>
      <c r="H16" s="3"/>
      <c r="I16" s="3"/>
      <c r="J16" s="3"/>
      <c r="K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3">
      <c r="A18" s="3" t="s">
        <v>207</v>
      </c>
      <c r="B18" s="3">
        <v>-1.34E-2</v>
      </c>
      <c r="C18" s="3">
        <v>-2.8794999999999997</v>
      </c>
      <c r="D18" s="3">
        <v>0</v>
      </c>
      <c r="E18" s="3">
        <v>-1.11E-2</v>
      </c>
      <c r="F18" s="3">
        <v>-7.7882000000000007</v>
      </c>
      <c r="G18" s="3"/>
      <c r="H18" s="3"/>
      <c r="I18" s="3"/>
      <c r="J18" s="3"/>
      <c r="K18" s="3"/>
    </row>
    <row r="19" spans="1:12" x14ac:dyDescent="0.3">
      <c r="A19" s="3" t="s">
        <v>176</v>
      </c>
      <c r="B19" s="3"/>
      <c r="C19" s="3"/>
      <c r="D19" s="3"/>
      <c r="E19" s="3"/>
      <c r="F19" s="3"/>
      <c r="G19" s="3">
        <v>-0.504</v>
      </c>
      <c r="H19" s="3">
        <v>-1.4056</v>
      </c>
      <c r="I19" s="3">
        <v>-2.3927</v>
      </c>
      <c r="J19" s="3">
        <v>-2.1044999999999998</v>
      </c>
      <c r="K19" s="3">
        <v>-13.664000000000001</v>
      </c>
    </row>
    <row r="20" spans="1:12" x14ac:dyDescent="0.3">
      <c r="A20" s="3" t="s">
        <v>208</v>
      </c>
      <c r="B20" s="3">
        <v>-1.4530000000000001</v>
      </c>
      <c r="C20" s="3">
        <v>-1.6906999999999999</v>
      </c>
      <c r="D20" s="3">
        <v>-3.3227999999999995</v>
      </c>
      <c r="E20" s="3">
        <v>-4.4096000000000002</v>
      </c>
      <c r="F20" s="3">
        <v>-2.2174999999999998</v>
      </c>
      <c r="G20" s="3">
        <v>-7.1409000000000002</v>
      </c>
      <c r="H20" s="3">
        <v>-4.6939000000000002</v>
      </c>
      <c r="I20" s="3">
        <v>-7.13</v>
      </c>
      <c r="J20" s="3"/>
      <c r="K20" s="3">
        <v>-0.31440000000000001</v>
      </c>
      <c r="L20">
        <v>100</v>
      </c>
    </row>
    <row r="21" spans="1:12" x14ac:dyDescent="0.3">
      <c r="A21" s="3" t="s">
        <v>229</v>
      </c>
      <c r="B21" s="3"/>
      <c r="C21" s="3"/>
      <c r="D21" s="3"/>
      <c r="E21" s="3"/>
      <c r="F21" s="3"/>
      <c r="G21" s="3"/>
      <c r="H21" s="3">
        <v>-2.2833000000000001</v>
      </c>
      <c r="I21" s="3">
        <v>-3.0238999999999998</v>
      </c>
      <c r="J21" s="3">
        <v>-6.3071000000000002</v>
      </c>
      <c r="K21" s="3">
        <v>-10.722899999999999</v>
      </c>
    </row>
    <row r="22" spans="1:12" x14ac:dyDescent="0.3">
      <c r="A22" s="3" t="s">
        <v>230</v>
      </c>
      <c r="B22" s="3"/>
      <c r="C22" s="3"/>
      <c r="D22" s="3"/>
      <c r="E22" s="3"/>
      <c r="F22" s="3"/>
      <c r="G22" s="3"/>
      <c r="H22" s="3"/>
      <c r="I22" s="3">
        <v>-0.8306</v>
      </c>
      <c r="J22" s="3">
        <v>-2.3343000000000003</v>
      </c>
      <c r="K22" s="3">
        <v>-3.7812000000000001</v>
      </c>
    </row>
    <row r="23" spans="1:12" x14ac:dyDescent="0.3">
      <c r="A23" s="3" t="s">
        <v>22</v>
      </c>
      <c r="B23" s="3"/>
      <c r="C23" s="3"/>
      <c r="D23" s="3"/>
      <c r="E23" s="3"/>
      <c r="F23" s="3"/>
      <c r="G23" s="3">
        <v>-0.1837</v>
      </c>
      <c r="H23" s="3">
        <v>0.01</v>
      </c>
      <c r="I23" s="3">
        <v>-0.50130000000000008</v>
      </c>
      <c r="J23" s="3">
        <v>-0.25269999999999998</v>
      </c>
      <c r="K23" s="3">
        <v>-0.37799999999999995</v>
      </c>
    </row>
    <row r="24" spans="1:12" x14ac:dyDescent="0.3">
      <c r="A24" s="3" t="s">
        <v>223</v>
      </c>
      <c r="B24" s="3"/>
      <c r="C24" s="3"/>
      <c r="D24" s="3"/>
      <c r="E24" s="3"/>
      <c r="F24" s="3"/>
      <c r="G24" s="3">
        <v>3.1899999999999998E-2</v>
      </c>
      <c r="H24" s="3">
        <v>-2.5000000000000001E-2</v>
      </c>
      <c r="I24" s="3">
        <v>-2.1700000000000001E-2</v>
      </c>
      <c r="J24" s="3">
        <v>-1.8200000000000001E-2</v>
      </c>
      <c r="K24" s="3">
        <v>-8.0000000000000002E-3</v>
      </c>
    </row>
    <row r="25" spans="1:12" x14ac:dyDescent="0.3">
      <c r="A25" s="3" t="s">
        <v>197</v>
      </c>
      <c r="B25" s="3">
        <v>-1.8278999999999999</v>
      </c>
      <c r="C25" s="3">
        <v>-5.4804999999999993</v>
      </c>
      <c r="D25" s="3">
        <v>-4.4212999999999996</v>
      </c>
      <c r="E25" s="3">
        <v>-9.1814999999999998</v>
      </c>
      <c r="F25" s="3">
        <v>-11.560699999999999</v>
      </c>
      <c r="G25" s="3"/>
      <c r="H25" s="3"/>
      <c r="I25" s="3"/>
      <c r="J25" s="3"/>
      <c r="K25" s="3"/>
    </row>
    <row r="26" spans="1:12" x14ac:dyDescent="0.3">
      <c r="A26" s="82" t="s">
        <v>148</v>
      </c>
      <c r="B26" s="83">
        <f t="shared" ref="B26:K26" si="0">SUM(B5:B25)</f>
        <v>124.5175</v>
      </c>
      <c r="C26" s="83">
        <f t="shared" si="0"/>
        <v>158.20300000000003</v>
      </c>
      <c r="D26" s="83">
        <f t="shared" si="0"/>
        <v>187.86649999999997</v>
      </c>
      <c r="E26" s="83">
        <f t="shared" si="0"/>
        <v>204.85869999999994</v>
      </c>
      <c r="F26" s="83">
        <f t="shared" si="0"/>
        <v>214.24210000000002</v>
      </c>
      <c r="G26" s="84">
        <f t="shared" si="0"/>
        <v>218.98450000000003</v>
      </c>
      <c r="H26" s="83">
        <f t="shared" si="0"/>
        <v>440.32540000000012</v>
      </c>
      <c r="I26" s="83">
        <f t="shared" si="0"/>
        <v>435.30990000000003</v>
      </c>
      <c r="J26" s="83">
        <f t="shared" si="0"/>
        <v>367.10610000000003</v>
      </c>
      <c r="K26" s="83">
        <f t="shared" si="0"/>
        <v>460.52030000000013</v>
      </c>
    </row>
    <row r="27" spans="1:12" x14ac:dyDescent="0.3">
      <c r="A27" s="3" t="s">
        <v>149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x14ac:dyDescent="0.3">
      <c r="A28" s="3" t="s">
        <v>150</v>
      </c>
      <c r="B28" s="3">
        <v>-18.9986</v>
      </c>
      <c r="C28" s="3">
        <v>1.1445999999999998</v>
      </c>
      <c r="D28" s="3">
        <v>-10.9824</v>
      </c>
      <c r="E28" s="3">
        <v>13.787100000000001</v>
      </c>
      <c r="F28" s="3">
        <v>-29.519699999999997</v>
      </c>
      <c r="G28" s="3">
        <v>-33.390300000000003</v>
      </c>
      <c r="H28" s="3">
        <v>-64.598199999999991</v>
      </c>
      <c r="I28" s="3">
        <v>51.916000000000004</v>
      </c>
      <c r="J28" s="3">
        <v>-75.225399999999993</v>
      </c>
      <c r="K28" s="3">
        <v>-175.2929</v>
      </c>
    </row>
    <row r="29" spans="1:12" x14ac:dyDescent="0.3">
      <c r="A29" s="3" t="s">
        <v>167</v>
      </c>
      <c r="B29" s="3"/>
      <c r="C29" s="3"/>
      <c r="D29" s="3"/>
      <c r="E29" s="3"/>
      <c r="F29" s="3"/>
      <c r="G29" s="3">
        <v>-0.21969999999999998</v>
      </c>
      <c r="H29" s="3">
        <v>-0.1195</v>
      </c>
      <c r="I29" s="3">
        <v>-0.13170000000000001</v>
      </c>
      <c r="J29" s="3">
        <v>1.0223</v>
      </c>
      <c r="K29" s="3">
        <v>0.46860000000000002</v>
      </c>
    </row>
    <row r="30" spans="1:12" x14ac:dyDescent="0.3">
      <c r="A30" s="3" t="s">
        <v>179</v>
      </c>
      <c r="B30" s="3"/>
      <c r="C30" s="3"/>
      <c r="D30" s="3"/>
      <c r="E30" s="3"/>
      <c r="F30" s="3"/>
      <c r="G30" s="3"/>
      <c r="H30" s="3"/>
      <c r="I30" s="3"/>
      <c r="J30" s="3">
        <v>2.0552999999999999</v>
      </c>
      <c r="K30" s="3">
        <v>-2.9169</v>
      </c>
    </row>
    <row r="31" spans="1:12" x14ac:dyDescent="0.3">
      <c r="A31" s="3" t="s">
        <v>168</v>
      </c>
      <c r="B31" s="3"/>
      <c r="C31" s="3"/>
      <c r="D31" s="3"/>
      <c r="E31" s="3"/>
      <c r="F31" s="3"/>
      <c r="G31" s="3">
        <v>-2.8242000000000003</v>
      </c>
      <c r="H31" s="3">
        <v>-2.1700000000000001E-2</v>
      </c>
      <c r="I31" s="3">
        <v>0.1152</v>
      </c>
      <c r="J31" s="3">
        <v>-0.49590000000000001</v>
      </c>
      <c r="K31" s="3">
        <v>0.14760000000000001</v>
      </c>
    </row>
    <row r="32" spans="1:12" x14ac:dyDescent="0.3">
      <c r="A32" s="3" t="s">
        <v>169</v>
      </c>
      <c r="B32" s="3"/>
      <c r="C32" s="3"/>
      <c r="D32" s="3"/>
      <c r="E32" s="3"/>
      <c r="F32" s="3"/>
      <c r="G32" s="3">
        <v>-6.7526000000000002</v>
      </c>
      <c r="H32" s="3">
        <v>-33.103499999999997</v>
      </c>
      <c r="I32" s="3">
        <v>26.6952</v>
      </c>
      <c r="J32" s="3">
        <v>-7.1258000000000008</v>
      </c>
      <c r="K32" s="3">
        <v>-43.989200000000004</v>
      </c>
    </row>
    <row r="33" spans="1:13" x14ac:dyDescent="0.3">
      <c r="A33" s="3" t="s">
        <v>151</v>
      </c>
      <c r="B33" s="3">
        <v>-11.620699999999999</v>
      </c>
      <c r="C33" s="3">
        <v>8.0084999999999997</v>
      </c>
      <c r="D33" s="3">
        <v>-7.8576999999999995</v>
      </c>
      <c r="E33" s="3">
        <v>9.7957999999999998</v>
      </c>
      <c r="F33" s="3">
        <v>-22.394499999999997</v>
      </c>
      <c r="G33" s="3">
        <v>-17.164300000000001</v>
      </c>
      <c r="H33" s="3">
        <v>-10.1608</v>
      </c>
      <c r="I33" s="3">
        <v>-0.77610000000000001</v>
      </c>
      <c r="J33" s="3">
        <v>-28.768899999999999</v>
      </c>
      <c r="K33" s="3">
        <v>-54.219200000000001</v>
      </c>
    </row>
    <row r="34" spans="1:13" x14ac:dyDescent="0.3">
      <c r="A34" s="3" t="s">
        <v>152</v>
      </c>
      <c r="B34" s="3">
        <v>20.3765</v>
      </c>
      <c r="C34" s="3">
        <v>3.0872000000000002</v>
      </c>
      <c r="D34" s="3">
        <v>-4.4467999999999996</v>
      </c>
      <c r="E34" s="3">
        <v>-16.249000000000002</v>
      </c>
      <c r="F34" s="3">
        <v>-15.0177</v>
      </c>
      <c r="G34" s="3">
        <v>30.675500000000003</v>
      </c>
      <c r="H34" s="3">
        <v>-9.8468</v>
      </c>
      <c r="I34" s="3">
        <v>2.5438000000000001</v>
      </c>
      <c r="J34" s="3">
        <v>11.0025</v>
      </c>
      <c r="K34" s="3">
        <v>47.8339</v>
      </c>
      <c r="L34">
        <v>100</v>
      </c>
    </row>
    <row r="35" spans="1:13" x14ac:dyDescent="0.3">
      <c r="A35" s="3" t="s">
        <v>170</v>
      </c>
      <c r="B35" s="3"/>
      <c r="C35" s="3"/>
      <c r="D35" s="3"/>
      <c r="E35" s="3"/>
      <c r="F35" s="3"/>
      <c r="G35" s="3">
        <v>-3.0999999999999999E-3</v>
      </c>
      <c r="H35" s="3">
        <v>0.56140000000000001</v>
      </c>
      <c r="I35" s="3">
        <v>1.2009000000000001</v>
      </c>
      <c r="J35" s="3">
        <v>0.26269999999999999</v>
      </c>
      <c r="K35" s="3">
        <v>0.66659999999999997</v>
      </c>
    </row>
    <row r="36" spans="1:13" x14ac:dyDescent="0.3">
      <c r="A36" s="3" t="s">
        <v>171</v>
      </c>
      <c r="B36" s="3"/>
      <c r="C36" s="3"/>
      <c r="D36" s="3"/>
      <c r="E36" s="3"/>
      <c r="F36" s="3"/>
      <c r="G36" s="3">
        <v>-2.2799999999999997E-2</v>
      </c>
      <c r="H36" s="3">
        <v>0</v>
      </c>
      <c r="I36" s="3">
        <v>1.151</v>
      </c>
      <c r="J36" s="3">
        <v>1.8415999999999999</v>
      </c>
      <c r="K36" s="3">
        <v>0</v>
      </c>
    </row>
    <row r="37" spans="1:13" x14ac:dyDescent="0.3">
      <c r="A37" s="3" t="s">
        <v>110</v>
      </c>
      <c r="B37" s="3"/>
      <c r="C37" s="3"/>
      <c r="D37" s="3"/>
      <c r="E37" s="3"/>
      <c r="F37" s="3"/>
      <c r="G37" s="3">
        <v>-0.52369999999999994</v>
      </c>
      <c r="H37" s="3">
        <v>-0.20629999999999998</v>
      </c>
      <c r="I37" s="3">
        <v>0</v>
      </c>
      <c r="J37" s="3">
        <v>0.98870000000000002</v>
      </c>
      <c r="K37" s="3">
        <v>0.46850000000000003</v>
      </c>
    </row>
    <row r="38" spans="1:13" x14ac:dyDescent="0.3">
      <c r="A38" s="3" t="s">
        <v>172</v>
      </c>
      <c r="B38" s="3"/>
      <c r="C38" s="3"/>
      <c r="D38" s="3"/>
      <c r="E38" s="3"/>
      <c r="F38" s="3"/>
      <c r="G38" s="3">
        <v>0.95790000000000008</v>
      </c>
      <c r="H38" s="3">
        <v>0.81099999999999994</v>
      </c>
      <c r="I38" s="3">
        <v>-5.2176</v>
      </c>
      <c r="J38" s="3">
        <v>1.8415999999999999</v>
      </c>
      <c r="K38" s="3">
        <v>1.5209000000000001</v>
      </c>
    </row>
    <row r="39" spans="1:13" x14ac:dyDescent="0.3">
      <c r="A39" s="3" t="s">
        <v>173</v>
      </c>
      <c r="B39" s="3"/>
      <c r="C39" s="3"/>
      <c r="D39" s="3"/>
      <c r="E39" s="3"/>
      <c r="F39" s="3"/>
      <c r="G39" s="3">
        <v>-2.3174999999999999</v>
      </c>
      <c r="H39" s="3">
        <v>2.9277999999999995</v>
      </c>
      <c r="I39" s="3">
        <v>3.6224000000000003</v>
      </c>
      <c r="J39" s="3">
        <v>7.0876999999999999</v>
      </c>
      <c r="K39" s="3">
        <v>-0.3049</v>
      </c>
    </row>
    <row r="40" spans="1:13" x14ac:dyDescent="0.3">
      <c r="A40" s="82" t="s">
        <v>153</v>
      </c>
      <c r="B40" s="83">
        <f>B26+B28+B33+B34</f>
        <v>114.2747</v>
      </c>
      <c r="C40" s="83">
        <f>C26+C28+C33+C34</f>
        <v>170.44330000000002</v>
      </c>
      <c r="D40" s="83">
        <f>D26+D28+D33+D34</f>
        <v>164.57959999999997</v>
      </c>
      <c r="E40" s="83">
        <f>E26+E28+E33+E34</f>
        <v>212.19259999999994</v>
      </c>
      <c r="F40" s="83">
        <f>F26+F28+F33+F34</f>
        <v>147.31020000000004</v>
      </c>
      <c r="G40" s="84">
        <f>G26+SUM(G28:G39)</f>
        <v>187.39970000000002</v>
      </c>
      <c r="H40" s="84">
        <f>H26+SUM(H28:H39)</f>
        <v>326.56880000000012</v>
      </c>
      <c r="I40" s="84">
        <f t="shared" ref="I40" si="1">I26+SUM(I28:I39)</f>
        <v>516.42900000000009</v>
      </c>
      <c r="J40" s="84">
        <v>279.75080000000003</v>
      </c>
      <c r="K40" s="84">
        <f>SUM(K28:K39)+K26</f>
        <v>234.90330000000012</v>
      </c>
      <c r="L40" s="85">
        <f t="shared" ref="L40" si="2">SUM(L28:L39)</f>
        <v>100</v>
      </c>
      <c r="M40" s="85"/>
    </row>
    <row r="41" spans="1:13" x14ac:dyDescent="0.3">
      <c r="A41" s="3" t="s">
        <v>209</v>
      </c>
      <c r="B41" s="3">
        <v>-22.179400000000001</v>
      </c>
      <c r="C41" s="3">
        <v>-36.517600000000002</v>
      </c>
      <c r="D41" s="3">
        <v>-52.0197</v>
      </c>
      <c r="E41" s="3">
        <v>-44.698900000000002</v>
      </c>
      <c r="F41" s="3">
        <v>-46.521300000000004</v>
      </c>
      <c r="G41" s="3">
        <v>-49.072299999999998</v>
      </c>
      <c r="H41" s="3">
        <v>-126.21260000000001</v>
      </c>
      <c r="I41" s="3">
        <v>-100.50139999999999</v>
      </c>
      <c r="J41" s="3">
        <v>-60.744300000000003</v>
      </c>
      <c r="K41" s="3">
        <v>-108.13040000000001</v>
      </c>
    </row>
    <row r="42" spans="1:13" x14ac:dyDescent="0.3">
      <c r="A42" s="82" t="s">
        <v>210</v>
      </c>
      <c r="B42" s="83">
        <f>B41+B40</f>
        <v>92.095299999999995</v>
      </c>
      <c r="C42" s="83">
        <f t="shared" ref="C42:K42" si="3">C41+C40</f>
        <v>133.92570000000001</v>
      </c>
      <c r="D42" s="83">
        <f t="shared" si="3"/>
        <v>112.55989999999997</v>
      </c>
      <c r="E42" s="83">
        <f t="shared" si="3"/>
        <v>167.49369999999993</v>
      </c>
      <c r="F42" s="83">
        <f t="shared" si="3"/>
        <v>100.78890000000004</v>
      </c>
      <c r="G42" s="83">
        <f t="shared" si="3"/>
        <v>138.32740000000001</v>
      </c>
      <c r="H42" s="83">
        <f t="shared" si="3"/>
        <v>200.35620000000011</v>
      </c>
      <c r="I42" s="83">
        <f t="shared" si="3"/>
        <v>415.9276000000001</v>
      </c>
      <c r="J42" s="83">
        <f t="shared" si="3"/>
        <v>219.00650000000002</v>
      </c>
      <c r="K42" s="83">
        <f t="shared" si="3"/>
        <v>126.77290000000011</v>
      </c>
    </row>
    <row r="43" spans="1:13" x14ac:dyDescent="0.3">
      <c r="A43" s="3" t="s">
        <v>154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 x14ac:dyDescent="0.3">
      <c r="A44" s="82" t="s">
        <v>155</v>
      </c>
      <c r="B44" s="83">
        <f>B42-B43</f>
        <v>92.095299999999995</v>
      </c>
      <c r="C44" s="83">
        <f t="shared" ref="C44:K44" si="4">C42-C43</f>
        <v>133.92570000000001</v>
      </c>
      <c r="D44" s="83">
        <f t="shared" si="4"/>
        <v>112.55989999999997</v>
      </c>
      <c r="E44" s="83">
        <f t="shared" si="4"/>
        <v>167.49369999999993</v>
      </c>
      <c r="F44" s="83">
        <f t="shared" si="4"/>
        <v>100.78890000000004</v>
      </c>
      <c r="G44" s="83">
        <f t="shared" si="4"/>
        <v>138.32740000000001</v>
      </c>
      <c r="H44" s="83">
        <f t="shared" si="4"/>
        <v>200.35620000000011</v>
      </c>
      <c r="I44" s="83">
        <f t="shared" si="4"/>
        <v>415.9276000000001</v>
      </c>
      <c r="J44" s="83">
        <f t="shared" si="4"/>
        <v>219.00650000000002</v>
      </c>
      <c r="K44" s="83">
        <f t="shared" si="4"/>
        <v>126.77290000000011</v>
      </c>
    </row>
    <row r="45" spans="1:13" x14ac:dyDescent="0.3">
      <c r="A45" s="4" t="s">
        <v>156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>
        <v>100</v>
      </c>
    </row>
    <row r="46" spans="1:13" x14ac:dyDescent="0.3">
      <c r="A46" s="3" t="s">
        <v>211</v>
      </c>
      <c r="B46" s="3">
        <v>-155.75399999999999</v>
      </c>
      <c r="C46" s="3">
        <v>-29.372900000000001</v>
      </c>
      <c r="D46" s="3">
        <v>-42.193400000000004</v>
      </c>
      <c r="E46" s="3">
        <v>-73.225300000000004</v>
      </c>
      <c r="F46" s="3">
        <v>-113.5411</v>
      </c>
      <c r="G46" s="3">
        <v>-72.528300000000002</v>
      </c>
      <c r="H46" s="3">
        <v>-45.122299999999996</v>
      </c>
      <c r="I46" s="3">
        <v>-310.08969999999999</v>
      </c>
      <c r="J46" s="3">
        <v>-49.3339</v>
      </c>
      <c r="K46" s="3">
        <v>-161.98740000000001</v>
      </c>
    </row>
    <row r="47" spans="1:13" x14ac:dyDescent="0.3">
      <c r="A47" s="3" t="s">
        <v>212</v>
      </c>
      <c r="B47" s="3">
        <v>42.695500000000003</v>
      </c>
      <c r="C47" s="3">
        <v>3.9610000000000003</v>
      </c>
      <c r="D47" s="3">
        <v>-14.593399999999999</v>
      </c>
      <c r="E47" s="3">
        <v>-3.3466000000000005</v>
      </c>
      <c r="F47" s="3">
        <v>15.0648</v>
      </c>
      <c r="G47" s="3">
        <v>-4.0768000000000004</v>
      </c>
      <c r="H47" s="3">
        <v>-160.94389999999999</v>
      </c>
      <c r="I47" s="3">
        <v>172.18349999999998</v>
      </c>
      <c r="J47" s="3">
        <v>-33.962899999999998</v>
      </c>
      <c r="K47" s="3">
        <v>-11.8917</v>
      </c>
    </row>
    <row r="48" spans="1:13" x14ac:dyDescent="0.3">
      <c r="A48" s="3" t="s">
        <v>157</v>
      </c>
      <c r="B48" s="3">
        <v>3.8008999999999999</v>
      </c>
      <c r="C48" s="3">
        <v>1.9530000000000001</v>
      </c>
      <c r="D48" s="3"/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2" x14ac:dyDescent="0.3">
      <c r="A49" s="3" t="s">
        <v>174</v>
      </c>
      <c r="B49" s="3"/>
      <c r="C49" s="3"/>
      <c r="D49" s="3"/>
      <c r="E49" s="3"/>
      <c r="F49" s="3"/>
      <c r="G49" s="3">
        <v>30.3095</v>
      </c>
      <c r="H49" s="3">
        <v>9.74E-2</v>
      </c>
      <c r="I49" s="3">
        <v>0.69940000000000002</v>
      </c>
      <c r="J49" s="3">
        <v>0.36380000000000001</v>
      </c>
      <c r="K49" s="3">
        <v>0.17679999999999998</v>
      </c>
    </row>
    <row r="50" spans="1:12" x14ac:dyDescent="0.3">
      <c r="A50" s="3" t="s">
        <v>177</v>
      </c>
      <c r="B50" s="3"/>
      <c r="C50" s="3"/>
      <c r="D50" s="3"/>
      <c r="E50" s="3"/>
      <c r="F50" s="3"/>
      <c r="G50" s="3">
        <v>-0.10949999999999999</v>
      </c>
      <c r="H50" s="3">
        <v>1.0062</v>
      </c>
      <c r="I50" s="3">
        <v>-0.25230000000000002</v>
      </c>
      <c r="J50" s="3">
        <v>-131.64359999999999</v>
      </c>
      <c r="K50" s="3">
        <v>-120.68379999999999</v>
      </c>
    </row>
    <row r="51" spans="1:12" x14ac:dyDescent="0.3">
      <c r="A51" s="3" t="s">
        <v>175</v>
      </c>
      <c r="B51" s="3"/>
      <c r="C51" s="3"/>
      <c r="D51" s="3"/>
      <c r="E51" s="3"/>
      <c r="F51" s="3"/>
      <c r="G51" s="3">
        <v>5.3899999999999997E-2</v>
      </c>
      <c r="H51" s="3">
        <v>0.85609999999999997</v>
      </c>
      <c r="I51" s="3">
        <v>-40.6706</v>
      </c>
      <c r="J51" s="3">
        <v>40.271999999999998</v>
      </c>
      <c r="K51" s="3">
        <v>0.53069999999999995</v>
      </c>
    </row>
    <row r="52" spans="1:12" x14ac:dyDescent="0.3">
      <c r="A52" s="3" t="s">
        <v>231</v>
      </c>
      <c r="B52" s="3"/>
      <c r="C52" s="3"/>
      <c r="D52" s="3"/>
      <c r="E52" s="3"/>
      <c r="F52" s="3"/>
      <c r="G52" s="3"/>
      <c r="H52" s="3"/>
      <c r="I52" s="3"/>
      <c r="J52" s="3">
        <v>-130.12200000000001</v>
      </c>
      <c r="K52" s="3">
        <v>-40.3765</v>
      </c>
    </row>
    <row r="53" spans="1:12" x14ac:dyDescent="0.3">
      <c r="A53" s="3" t="s">
        <v>158</v>
      </c>
      <c r="B53" s="3">
        <v>-3.4083999999999999</v>
      </c>
      <c r="C53" s="3">
        <v>14.6043</v>
      </c>
      <c r="D53" s="3"/>
      <c r="E53" s="3">
        <v>0</v>
      </c>
      <c r="F53" s="3">
        <v>-59.0428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2" x14ac:dyDescent="0.3">
      <c r="A54" s="3" t="s">
        <v>178</v>
      </c>
      <c r="B54" s="3"/>
      <c r="C54" s="3"/>
      <c r="D54" s="3"/>
      <c r="E54" s="3"/>
      <c r="F54" s="3"/>
      <c r="G54" s="3"/>
      <c r="H54" s="3"/>
      <c r="I54" s="3">
        <v>21.899000000000001</v>
      </c>
      <c r="J54" s="3">
        <v>102.51700000000001</v>
      </c>
      <c r="K54" s="3">
        <v>75.53649999999999</v>
      </c>
    </row>
    <row r="55" spans="1:12" x14ac:dyDescent="0.3">
      <c r="A55" s="3" t="s">
        <v>166</v>
      </c>
      <c r="B55" s="3"/>
      <c r="C55" s="3"/>
      <c r="D55" s="3">
        <v>3.3227999999999995</v>
      </c>
      <c r="E55" s="3">
        <v>4.4096000000000002</v>
      </c>
      <c r="F55" s="3">
        <v>2.2174999999999998</v>
      </c>
      <c r="G55" s="3">
        <v>7.1409000000000002</v>
      </c>
      <c r="H55" s="3">
        <v>4.6939000000000002</v>
      </c>
      <c r="I55" s="3">
        <v>7.13</v>
      </c>
      <c r="J55" s="3">
        <v>0</v>
      </c>
      <c r="K55" s="3">
        <v>0.31440000000000001</v>
      </c>
    </row>
    <row r="56" spans="1:12" x14ac:dyDescent="0.3">
      <c r="A56" s="3" t="s">
        <v>221</v>
      </c>
      <c r="B56" s="3"/>
      <c r="C56" s="3"/>
      <c r="D56" s="3"/>
      <c r="E56" s="3">
        <v>1.11E-2</v>
      </c>
      <c r="F56" s="3">
        <v>3.8941000000000003</v>
      </c>
      <c r="G56" s="3">
        <v>0</v>
      </c>
      <c r="H56" s="3">
        <v>-45.065899999999999</v>
      </c>
      <c r="I56" s="3">
        <v>-48.601800000000004</v>
      </c>
      <c r="J56" s="3">
        <v>0</v>
      </c>
      <c r="K56" s="3">
        <v>0</v>
      </c>
    </row>
    <row r="57" spans="1:12" x14ac:dyDescent="0.3">
      <c r="A57" s="3" t="s">
        <v>159</v>
      </c>
      <c r="B57" s="3">
        <v>0.10949999999999999</v>
      </c>
      <c r="C57" s="3"/>
      <c r="D57" s="3"/>
      <c r="E57" s="3"/>
      <c r="F57" s="3"/>
      <c r="G57" s="3">
        <v>0.4274</v>
      </c>
      <c r="H57" s="3">
        <v>1.7663</v>
      </c>
      <c r="I57" s="3">
        <v>0.24609999999999999</v>
      </c>
      <c r="J57" s="3">
        <v>3.6143999999999998</v>
      </c>
      <c r="K57" s="3">
        <v>2.9988000000000001</v>
      </c>
    </row>
    <row r="58" spans="1:12" x14ac:dyDescent="0.3">
      <c r="A58" s="82" t="s">
        <v>160</v>
      </c>
      <c r="B58" s="83">
        <f>SUM(B46:B57)</f>
        <v>-112.55649999999999</v>
      </c>
      <c r="C58" s="83">
        <f t="shared" ref="C58:K58" si="5">SUM(C46:C57)</f>
        <v>-8.8546000000000031</v>
      </c>
      <c r="D58" s="83">
        <f t="shared" si="5"/>
        <v>-53.463999999999999</v>
      </c>
      <c r="E58" s="83">
        <f t="shared" si="5"/>
        <v>-72.151200000000003</v>
      </c>
      <c r="F58" s="83">
        <f t="shared" si="5"/>
        <v>-151.40749999999997</v>
      </c>
      <c r="G58" s="83">
        <f t="shared" si="5"/>
        <v>-38.782900000000005</v>
      </c>
      <c r="H58" s="83">
        <f t="shared" si="5"/>
        <v>-242.71219999999997</v>
      </c>
      <c r="I58" s="83">
        <f t="shared" si="5"/>
        <v>-197.4564</v>
      </c>
      <c r="J58" s="83">
        <f t="shared" si="5"/>
        <v>-198.29520000000002</v>
      </c>
      <c r="K58" s="83">
        <f t="shared" si="5"/>
        <v>-255.38220000000004</v>
      </c>
    </row>
    <row r="59" spans="1:12" x14ac:dyDescent="0.3">
      <c r="A59" s="3" t="s">
        <v>161</v>
      </c>
      <c r="B59" s="3">
        <v>-1.9699999999999999E-2</v>
      </c>
      <c r="C59" s="3">
        <v>-1.9799999999999998E-2</v>
      </c>
      <c r="D59" s="3">
        <v>-2.7300000000000001E-2</v>
      </c>
      <c r="E59" s="3">
        <v>-3.7100000000000001E-2</v>
      </c>
      <c r="F59" s="3"/>
      <c r="G59" s="3"/>
      <c r="H59" s="3"/>
      <c r="I59" s="3"/>
      <c r="J59" s="3"/>
      <c r="K59" s="3"/>
    </row>
    <row r="60" spans="1:12" x14ac:dyDescent="0.3">
      <c r="A60" s="82" t="s">
        <v>162</v>
      </c>
      <c r="B60" s="83">
        <f>SUM(B58:B59)</f>
        <v>-112.57619999999999</v>
      </c>
      <c r="C60" s="83">
        <f t="shared" ref="C60:K60" si="6">SUM(C58:C59)</f>
        <v>-8.8744000000000032</v>
      </c>
      <c r="D60" s="83">
        <f t="shared" si="6"/>
        <v>-53.491299999999995</v>
      </c>
      <c r="E60" s="83">
        <f t="shared" si="6"/>
        <v>-72.188299999999998</v>
      </c>
      <c r="F60" s="83">
        <f t="shared" si="6"/>
        <v>-151.40749999999997</v>
      </c>
      <c r="G60" s="83">
        <f t="shared" si="6"/>
        <v>-38.782900000000005</v>
      </c>
      <c r="H60" s="83">
        <f t="shared" si="6"/>
        <v>-242.71219999999997</v>
      </c>
      <c r="I60" s="83">
        <f t="shared" si="6"/>
        <v>-197.4564</v>
      </c>
      <c r="J60" s="83">
        <f t="shared" si="6"/>
        <v>-198.29520000000002</v>
      </c>
      <c r="K60" s="83">
        <f t="shared" si="6"/>
        <v>-255.38220000000004</v>
      </c>
    </row>
    <row r="61" spans="1:12" x14ac:dyDescent="0.3">
      <c r="A61" s="4" t="s">
        <v>213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2" x14ac:dyDescent="0.3">
      <c r="A62" s="3" t="s">
        <v>214</v>
      </c>
      <c r="B62" s="3">
        <v>44.233800000000002</v>
      </c>
      <c r="C62" s="3">
        <v>-25.567600000000002</v>
      </c>
      <c r="D62" s="3">
        <v>-41.945500000000003</v>
      </c>
      <c r="E62" s="3">
        <v>-23.989000000000001</v>
      </c>
      <c r="F62" s="3">
        <v>-13.252000000000001</v>
      </c>
      <c r="G62" s="3"/>
      <c r="H62" s="3"/>
      <c r="I62" s="3"/>
      <c r="J62" s="3"/>
      <c r="K62" s="3"/>
      <c r="L62">
        <v>100</v>
      </c>
    </row>
    <row r="63" spans="1:12" x14ac:dyDescent="0.3">
      <c r="A63" s="3" t="s">
        <v>215</v>
      </c>
      <c r="B63" s="3">
        <v>3.3805999999999998</v>
      </c>
      <c r="C63" s="3">
        <v>-53.034399999999998</v>
      </c>
      <c r="D63" s="3">
        <v>-10.547599999999999</v>
      </c>
      <c r="E63" s="3">
        <v>0.92590000000000006</v>
      </c>
      <c r="F63" s="3">
        <v>-0.29719999999999996</v>
      </c>
      <c r="G63" s="3"/>
      <c r="H63" s="3"/>
      <c r="I63" s="3"/>
      <c r="J63" s="3"/>
      <c r="K63" s="3"/>
    </row>
    <row r="64" spans="1:12" x14ac:dyDescent="0.3">
      <c r="A64" s="3" t="s">
        <v>157</v>
      </c>
      <c r="B64" s="3">
        <v>-7.9974999999999996</v>
      </c>
      <c r="C64" s="3">
        <v>-13.5966</v>
      </c>
      <c r="D64" s="3">
        <v>-2.7226999999999997</v>
      </c>
      <c r="E64" s="3">
        <v>-2.1718999999999999</v>
      </c>
      <c r="F64" s="3"/>
      <c r="G64" s="3"/>
      <c r="H64" s="3"/>
      <c r="I64" s="3"/>
      <c r="J64" s="3"/>
      <c r="K64" s="3"/>
    </row>
    <row r="65" spans="1:13" x14ac:dyDescent="0.3">
      <c r="A65" s="3" t="s">
        <v>216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3" x14ac:dyDescent="0.3">
      <c r="A66" s="3" t="s">
        <v>224</v>
      </c>
      <c r="B66" s="3"/>
      <c r="C66" s="3"/>
      <c r="D66" s="3"/>
      <c r="E66" s="3"/>
      <c r="F66" s="3"/>
      <c r="G66" s="3">
        <v>12.886199999999999</v>
      </c>
      <c r="H66" s="3">
        <v>-11.5198</v>
      </c>
      <c r="I66" s="3">
        <v>-3.3361000000000001</v>
      </c>
      <c r="J66" s="3">
        <v>1.6784000000000001</v>
      </c>
      <c r="K66" s="3">
        <v>16.374000000000002</v>
      </c>
    </row>
    <row r="67" spans="1:13" x14ac:dyDescent="0.3">
      <c r="A67" s="3" t="s">
        <v>225</v>
      </c>
      <c r="B67" s="3"/>
      <c r="C67" s="3"/>
      <c r="D67" s="3"/>
      <c r="E67" s="3"/>
      <c r="F67" s="3"/>
      <c r="G67" s="3">
        <v>-24</v>
      </c>
      <c r="H67" s="3">
        <v>0</v>
      </c>
      <c r="I67" s="3">
        <v>0</v>
      </c>
      <c r="J67" s="3"/>
      <c r="K67" s="3">
        <v>0</v>
      </c>
    </row>
    <row r="68" spans="1:13" x14ac:dyDescent="0.3">
      <c r="A68" s="3" t="s">
        <v>226</v>
      </c>
      <c r="B68" s="3"/>
      <c r="C68" s="3"/>
      <c r="D68" s="3"/>
      <c r="E68" s="3"/>
      <c r="F68" s="3"/>
      <c r="G68" s="3">
        <v>0</v>
      </c>
      <c r="H68" s="3">
        <v>0</v>
      </c>
      <c r="I68" s="3">
        <v>0</v>
      </c>
      <c r="J68" s="3"/>
      <c r="K68" s="3">
        <v>0</v>
      </c>
    </row>
    <row r="69" spans="1:13" x14ac:dyDescent="0.3">
      <c r="A69" s="3" t="s">
        <v>227</v>
      </c>
      <c r="B69" s="3"/>
      <c r="C69" s="3"/>
      <c r="D69" s="3"/>
      <c r="E69" s="3"/>
      <c r="F69" s="3"/>
      <c r="G69" s="3">
        <v>-14.474400000000001</v>
      </c>
      <c r="H69" s="3">
        <v>-2.1299999999999999E-2</v>
      </c>
      <c r="I69" s="3">
        <v>-5.6999999999999993E-3</v>
      </c>
      <c r="J69" s="3">
        <v>0.9708</v>
      </c>
      <c r="K69" s="3">
        <v>-0.75549999999999995</v>
      </c>
    </row>
    <row r="70" spans="1:13" x14ac:dyDescent="0.3">
      <c r="A70" s="3" t="s">
        <v>232</v>
      </c>
      <c r="B70" s="3"/>
      <c r="C70" s="3"/>
      <c r="D70" s="3"/>
      <c r="E70" s="3"/>
      <c r="F70" s="3"/>
      <c r="G70" s="3"/>
      <c r="H70" s="3"/>
      <c r="I70" s="3"/>
      <c r="J70" s="3"/>
      <c r="K70" s="3">
        <v>-0.1084</v>
      </c>
    </row>
    <row r="71" spans="1:13" x14ac:dyDescent="0.3">
      <c r="A71" s="3" t="s">
        <v>217</v>
      </c>
      <c r="B71" s="3">
        <v>-6.069</v>
      </c>
      <c r="C71" s="3">
        <v>-7.1353999999999997</v>
      </c>
      <c r="D71" s="3">
        <v>-4.8663999999999996</v>
      </c>
      <c r="E71" s="3">
        <v>-3.2524000000000002</v>
      </c>
      <c r="F71" s="3">
        <v>-1.5647</v>
      </c>
      <c r="G71" s="3">
        <v>-1.1078000000000001</v>
      </c>
      <c r="H71" s="3">
        <v>-0.94400000000000006</v>
      </c>
      <c r="I71" s="3">
        <v>-1.0922000000000001</v>
      </c>
      <c r="J71" s="3">
        <v>-0.21190000000000001</v>
      </c>
      <c r="K71" s="3">
        <v>-0.25869999999999999</v>
      </c>
    </row>
    <row r="72" spans="1:13" x14ac:dyDescent="0.3">
      <c r="A72" s="3" t="s">
        <v>163</v>
      </c>
      <c r="B72" s="3">
        <v>-9.6463000000000001</v>
      </c>
      <c r="C72" s="3">
        <v>-12.062200000000001</v>
      </c>
      <c r="D72" s="3">
        <v>-12.0298</v>
      </c>
      <c r="E72" s="3">
        <v>-18.056899999999999</v>
      </c>
      <c r="F72" s="3">
        <v>-3.0156999999999998</v>
      </c>
      <c r="G72" s="3">
        <v>-3.1604000000000001</v>
      </c>
      <c r="H72" s="3">
        <v>-27.779699999999998</v>
      </c>
      <c r="I72" s="3">
        <v>-104.6206</v>
      </c>
      <c r="J72" s="3">
        <v>-5.5353999999999992</v>
      </c>
      <c r="K72" s="3">
        <v>-61.793399999999998</v>
      </c>
    </row>
    <row r="73" spans="1:13" x14ac:dyDescent="0.3">
      <c r="A73" s="3" t="s">
        <v>164</v>
      </c>
      <c r="B73" s="3">
        <v>-1.6018999999999999</v>
      </c>
      <c r="C73" s="3">
        <v>-2.0966</v>
      </c>
      <c r="D73" s="3">
        <v>-2.5173000000000001</v>
      </c>
      <c r="E73" s="3">
        <v>-3.6760000000000002</v>
      </c>
      <c r="F73" s="3"/>
      <c r="G73" s="3"/>
      <c r="H73" s="3"/>
      <c r="I73" s="3"/>
      <c r="J73" s="3"/>
      <c r="K73" s="3"/>
    </row>
    <row r="74" spans="1:13" x14ac:dyDescent="0.3">
      <c r="A74" s="3"/>
      <c r="B74" s="3">
        <f>SUM(B72:B73)</f>
        <v>-11.248200000000001</v>
      </c>
      <c r="C74" s="3">
        <f t="shared" ref="C74:K74" si="7">SUM(C72:C73)</f>
        <v>-14.158800000000001</v>
      </c>
      <c r="D74" s="3">
        <f t="shared" si="7"/>
        <v>-14.5471</v>
      </c>
      <c r="E74" s="3">
        <f t="shared" si="7"/>
        <v>-21.732900000000001</v>
      </c>
      <c r="F74" s="3">
        <f t="shared" si="7"/>
        <v>-3.0156999999999998</v>
      </c>
      <c r="G74" s="3">
        <f t="shared" si="7"/>
        <v>-3.1604000000000001</v>
      </c>
      <c r="H74" s="3">
        <f t="shared" si="7"/>
        <v>-27.779699999999998</v>
      </c>
      <c r="I74" s="3">
        <f t="shared" si="7"/>
        <v>-104.6206</v>
      </c>
      <c r="J74" s="3">
        <f t="shared" si="7"/>
        <v>-5.5353999999999992</v>
      </c>
      <c r="K74" s="3">
        <f t="shared" si="7"/>
        <v>-61.793399999999998</v>
      </c>
    </row>
    <row r="75" spans="1:13" x14ac:dyDescent="0.3">
      <c r="A75" s="82" t="s">
        <v>165</v>
      </c>
      <c r="B75" s="83">
        <f>SUM(B62:B73)</f>
        <v>22.299699999999998</v>
      </c>
      <c r="C75" s="83">
        <f>SUM(C62:C73)</f>
        <v>-113.4928</v>
      </c>
      <c r="D75" s="83">
        <f t="shared" ref="D75:K75" si="8">SUM(D62:D73)</f>
        <v>-74.629300000000001</v>
      </c>
      <c r="E75" s="83">
        <f t="shared" si="8"/>
        <v>-50.220300000000009</v>
      </c>
      <c r="F75" s="83">
        <f t="shared" si="8"/>
        <v>-18.1296</v>
      </c>
      <c r="G75" s="83">
        <f t="shared" si="8"/>
        <v>-29.856400000000001</v>
      </c>
      <c r="H75" s="83">
        <f t="shared" si="8"/>
        <v>-40.264800000000001</v>
      </c>
      <c r="I75" s="83">
        <f t="shared" si="8"/>
        <v>-109.05459999999999</v>
      </c>
      <c r="J75" s="83">
        <f t="shared" si="8"/>
        <v>-3.0980999999999992</v>
      </c>
      <c r="K75" s="83">
        <f t="shared" si="8"/>
        <v>-46.541999999999994</v>
      </c>
    </row>
    <row r="78" spans="1:13" x14ac:dyDescent="0.3">
      <c r="M78">
        <v>100</v>
      </c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 t="s">
        <v>218</v>
      </c>
      <c r="B83" s="3">
        <f t="shared" ref="B83:K83" si="9">B44+B60+B75</f>
        <v>1.8188000000000066</v>
      </c>
      <c r="C83" s="3">
        <f t="shared" si="9"/>
        <v>11.558499999999995</v>
      </c>
      <c r="D83" s="3">
        <f t="shared" si="9"/>
        <v>-15.560700000000026</v>
      </c>
      <c r="E83" s="3">
        <f t="shared" si="9"/>
        <v>45.085099999999926</v>
      </c>
      <c r="F83" s="3">
        <f t="shared" si="9"/>
        <v>-68.748199999999926</v>
      </c>
      <c r="G83" s="3">
        <f t="shared" si="9"/>
        <v>69.688099999999991</v>
      </c>
      <c r="H83" s="3">
        <f t="shared" si="9"/>
        <v>-82.620799999999861</v>
      </c>
      <c r="I83" s="3">
        <f t="shared" si="9"/>
        <v>109.4166000000001</v>
      </c>
      <c r="J83" s="3">
        <f t="shared" si="9"/>
        <v>17.613199999999996</v>
      </c>
      <c r="K83" s="3">
        <f t="shared" si="9"/>
        <v>-175.15129999999994</v>
      </c>
    </row>
    <row r="84" spans="1:11" x14ac:dyDescent="0.3">
      <c r="A84" s="3" t="s">
        <v>228</v>
      </c>
      <c r="B84" s="3"/>
      <c r="C84" s="3"/>
      <c r="D84" s="3"/>
      <c r="E84" s="3"/>
      <c r="F84" s="3"/>
      <c r="G84" s="3">
        <v>61.828299999999999</v>
      </c>
      <c r="H84" s="3">
        <v>131.73860000000002</v>
      </c>
      <c r="I84" s="3">
        <v>49.124099999999999</v>
      </c>
      <c r="J84" s="3">
        <v>149.4881</v>
      </c>
      <c r="K84" s="3">
        <v>174.51130000000001</v>
      </c>
    </row>
    <row r="85" spans="1:11" x14ac:dyDescent="0.3">
      <c r="A85" s="3" t="s">
        <v>219</v>
      </c>
      <c r="B85" s="3">
        <v>31.9511</v>
      </c>
      <c r="C85" s="3">
        <v>33.7699</v>
      </c>
      <c r="D85" s="3">
        <v>42.704599999999999</v>
      </c>
      <c r="E85" s="3">
        <v>27.143899999999999</v>
      </c>
      <c r="F85" s="3">
        <v>72.228999999999999</v>
      </c>
      <c r="G85" s="3">
        <v>0.26910000000000001</v>
      </c>
      <c r="H85" s="3">
        <v>4.6900000000000004E-2</v>
      </c>
      <c r="I85" s="3">
        <v>4.0599999999999997E-2</v>
      </c>
      <c r="J85" s="3">
        <v>9.0932000000000013</v>
      </c>
      <c r="K85" s="3">
        <v>1.6832</v>
      </c>
    </row>
    <row r="86" spans="1:11" x14ac:dyDescent="0.3">
      <c r="A86" s="4" t="s">
        <v>220</v>
      </c>
      <c r="B86" s="3">
        <f>B85+B83</f>
        <v>33.769900000000007</v>
      </c>
      <c r="C86" s="3">
        <f t="shared" ref="C86:E86" si="10">C85+C83</f>
        <v>45.328399999999995</v>
      </c>
      <c r="D86" s="3">
        <f t="shared" si="10"/>
        <v>27.143899999999974</v>
      </c>
      <c r="E86" s="3">
        <f t="shared" si="10"/>
        <v>72.228999999999928</v>
      </c>
      <c r="F86" s="3">
        <f>F85+F83</f>
        <v>3.4808000000000732</v>
      </c>
      <c r="G86" s="3">
        <f>G84+G83+G85</f>
        <v>131.78549999999998</v>
      </c>
      <c r="H86" s="3">
        <f t="shared" ref="H86:J86" si="11">H85+H83+H84</f>
        <v>49.164700000000153</v>
      </c>
      <c r="I86" s="3">
        <f>I85+I83+I84</f>
        <v>158.58130000000011</v>
      </c>
      <c r="J86" s="3">
        <f t="shared" si="11"/>
        <v>176.19450000000001</v>
      </c>
      <c r="K86" s="3">
        <f>K85+K84</f>
        <v>176.19450000000001</v>
      </c>
    </row>
    <row r="87" spans="1:11" x14ac:dyDescent="0.3">
      <c r="A87">
        <v>100</v>
      </c>
    </row>
  </sheetData>
  <pageMargins left="0.7" right="0.7" top="0.75" bottom="0.75" header="0.3" footer="0.3"/>
  <ignoredErrors>
    <ignoredError sqref="B74:K7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B8A-621A-4662-9F76-1A26CA9B4314}">
  <dimension ref="A2:O67"/>
  <sheetViews>
    <sheetView tabSelected="1" topLeftCell="A22" zoomScale="85" zoomScaleNormal="85" workbookViewId="0">
      <selection activeCell="C46" sqref="C46"/>
    </sheetView>
  </sheetViews>
  <sheetFormatPr defaultRowHeight="14.4" x14ac:dyDescent="0.3"/>
  <cols>
    <col min="1" max="1" width="89" bestFit="1" customWidth="1"/>
    <col min="2" max="2" width="10" customWidth="1"/>
    <col min="3" max="8" width="9.33203125" bestFit="1" customWidth="1"/>
    <col min="9" max="9" width="9.88671875" bestFit="1" customWidth="1"/>
    <col min="10" max="11" width="9.33203125" bestFit="1" customWidth="1"/>
    <col min="13" max="13" width="52" bestFit="1" customWidth="1"/>
  </cols>
  <sheetData>
    <row r="2" spans="1:13" ht="25.8" x14ac:dyDescent="0.5">
      <c r="A2" s="17" t="s">
        <v>139</v>
      </c>
      <c r="B2" s="3"/>
      <c r="C2" s="32">
        <v>41334</v>
      </c>
      <c r="D2" s="32">
        <v>41699</v>
      </c>
      <c r="E2" s="32">
        <v>42064</v>
      </c>
      <c r="F2" s="32">
        <v>42430</v>
      </c>
      <c r="G2" s="32">
        <v>42795</v>
      </c>
      <c r="H2" s="32">
        <v>43160</v>
      </c>
      <c r="I2" s="32">
        <v>43525</v>
      </c>
      <c r="J2" s="32">
        <v>43891</v>
      </c>
      <c r="K2" s="32">
        <v>44256</v>
      </c>
      <c r="L2" s="32">
        <v>44621</v>
      </c>
      <c r="M2" s="1"/>
    </row>
    <row r="3" spans="1:13" x14ac:dyDescent="0.3">
      <c r="A3" s="4"/>
      <c r="C3" s="32"/>
      <c r="D3" s="32"/>
      <c r="E3" s="32"/>
      <c r="F3" s="32"/>
      <c r="G3" s="32"/>
      <c r="H3" s="32"/>
      <c r="I3" s="32"/>
      <c r="J3" s="32"/>
      <c r="K3" s="32"/>
      <c r="L3" s="32"/>
      <c r="M3" s="1"/>
    </row>
    <row r="4" spans="1:13" x14ac:dyDescent="0.3">
      <c r="A4" s="30" t="s">
        <v>29</v>
      </c>
      <c r="C4" s="30">
        <f>'Income Statement'!C11</f>
        <v>556.67909999999995</v>
      </c>
      <c r="D4" s="30">
        <f>'Income Statement'!D11</f>
        <v>705.30160000000001</v>
      </c>
      <c r="E4" s="30">
        <f>'Income Statement'!E11</f>
        <v>780.87030000000004</v>
      </c>
      <c r="F4" s="30">
        <f>'Income Statement'!F11</f>
        <v>637.10599999999999</v>
      </c>
      <c r="G4" s="30">
        <f>'Income Statement'!G11</f>
        <v>675.89470000000006</v>
      </c>
      <c r="H4" s="30">
        <f>'Income Statement'!H11</f>
        <v>772.89589999999998</v>
      </c>
      <c r="I4" s="30">
        <f>'Income Statement'!I11</f>
        <v>1158.0945999999999</v>
      </c>
      <c r="J4" s="30">
        <f>'Income Statement'!J11</f>
        <v>1073.8631</v>
      </c>
      <c r="K4" s="30">
        <f>'Income Statement'!K11</f>
        <v>980.10239999999999</v>
      </c>
      <c r="L4" s="30">
        <f>'Income Statement'!L11</f>
        <v>1676.4239</v>
      </c>
      <c r="M4" s="28" t="e">
        <f>'Income Statement'!#REF!</f>
        <v>#REF!</v>
      </c>
    </row>
    <row r="5" spans="1:13" x14ac:dyDescent="0.3">
      <c r="A5" s="30" t="s">
        <v>30</v>
      </c>
      <c r="C5" s="30">
        <f>'Income Statement'!C9</f>
        <v>3.7637</v>
      </c>
      <c r="D5" s="30">
        <f>'Income Statement'!D9</f>
        <v>9.168099999999999</v>
      </c>
      <c r="E5" s="30">
        <f>'Income Statement'!E9</f>
        <v>9.1447000000000003</v>
      </c>
      <c r="F5" s="30">
        <f>'Income Statement'!F9</f>
        <v>6.1579999999999995</v>
      </c>
      <c r="G5" s="30">
        <f>'Income Statement'!G9</f>
        <v>9.5648</v>
      </c>
      <c r="H5" s="30">
        <f>'Income Statement'!H9</f>
        <v>17.0215</v>
      </c>
      <c r="I5" s="30">
        <f>'Income Statement'!I9</f>
        <v>49.954499999999996</v>
      </c>
      <c r="J5" s="30">
        <f>'Income Statement'!J9</f>
        <v>44.989200000000004</v>
      </c>
      <c r="K5" s="30">
        <f>'Income Statement'!K9</f>
        <v>25.844299999999997</v>
      </c>
      <c r="L5" s="30">
        <f>'Income Statement'!L9</f>
        <v>60.912100000000002</v>
      </c>
    </row>
    <row r="6" spans="1:13" x14ac:dyDescent="0.3">
      <c r="A6" s="30" t="s">
        <v>31</v>
      </c>
      <c r="C6" s="30">
        <f t="shared" ref="C6:L6" si="0">C4-C5</f>
        <v>552.91539999999998</v>
      </c>
      <c r="D6" s="30">
        <f t="shared" si="0"/>
        <v>696.13350000000003</v>
      </c>
      <c r="E6" s="30">
        <f t="shared" si="0"/>
        <v>771.72559999999999</v>
      </c>
      <c r="F6" s="30">
        <f t="shared" si="0"/>
        <v>630.94799999999998</v>
      </c>
      <c r="G6" s="30">
        <f t="shared" si="0"/>
        <v>666.32990000000007</v>
      </c>
      <c r="H6" s="30">
        <f t="shared" si="0"/>
        <v>755.87440000000004</v>
      </c>
      <c r="I6" s="30">
        <f t="shared" si="0"/>
        <v>1108.1400999999998</v>
      </c>
      <c r="J6" s="30">
        <f t="shared" si="0"/>
        <v>1028.8739</v>
      </c>
      <c r="K6" s="30">
        <f t="shared" si="0"/>
        <v>954.25810000000001</v>
      </c>
      <c r="L6" s="30">
        <f t="shared" si="0"/>
        <v>1615.5118</v>
      </c>
    </row>
    <row r="7" spans="1:13" x14ac:dyDescent="0.3">
      <c r="A7" s="30" t="s">
        <v>32</v>
      </c>
      <c r="C7" s="30">
        <f>'Income Statement'!C21</f>
        <v>454.07319999999999</v>
      </c>
      <c r="D7" s="30">
        <f>'Income Statement'!D21</f>
        <v>576.7088</v>
      </c>
      <c r="E7" s="30">
        <f>'Income Statement'!E21</f>
        <v>607.37350000000004</v>
      </c>
      <c r="F7" s="30">
        <f>'Income Statement'!F21</f>
        <v>450.5489</v>
      </c>
      <c r="G7" s="30">
        <f>'Income Statement'!G21</f>
        <v>471.25729999999993</v>
      </c>
      <c r="H7" s="30">
        <f>'Income Statement'!H21</f>
        <v>569.52239999999995</v>
      </c>
      <c r="I7" s="30">
        <f>'Income Statement'!I21</f>
        <v>732.85379999999986</v>
      </c>
      <c r="J7" s="30">
        <f>'Income Statement'!J21</f>
        <v>649.19049999999993</v>
      </c>
      <c r="K7" s="30">
        <f>'Income Statement'!K21</f>
        <v>644.86289999999997</v>
      </c>
      <c r="L7" s="30">
        <f>'Income Statement'!L21</f>
        <v>1227.1745000000001</v>
      </c>
    </row>
    <row r="8" spans="1:13" x14ac:dyDescent="0.3">
      <c r="A8" s="30" t="s">
        <v>33</v>
      </c>
      <c r="C8" s="30">
        <f>'Income Statement'!C18</f>
        <v>11.538699999999999</v>
      </c>
      <c r="D8" s="30">
        <f>'Income Statement'!D18</f>
        <v>18.1464</v>
      </c>
      <c r="E8" s="30">
        <f>'Income Statement'!E18</f>
        <v>9.7551000000000005</v>
      </c>
      <c r="F8" s="30">
        <f>'Income Statement'!F18</f>
        <v>7.8594000000000008</v>
      </c>
      <c r="G8" s="30">
        <f>'Income Statement'!G18</f>
        <v>2.7532000000000001</v>
      </c>
      <c r="H8" s="30">
        <f>'Income Statement'!H18</f>
        <v>1.2109000000000001</v>
      </c>
      <c r="I8" s="30">
        <f>'Income Statement'!I18</f>
        <v>0.94400000000000006</v>
      </c>
      <c r="J8" s="30">
        <f>'Income Statement'!J18</f>
        <v>1.0922000000000001</v>
      </c>
      <c r="K8" s="30">
        <f>'Income Statement'!K18</f>
        <v>0.21190000000000001</v>
      </c>
      <c r="L8" s="30">
        <f>'Income Statement'!L18</f>
        <v>0.25869999999999999</v>
      </c>
    </row>
    <row r="9" spans="1:13" x14ac:dyDescent="0.3">
      <c r="A9" s="30" t="s">
        <v>34</v>
      </c>
      <c r="C9" s="30">
        <f>'Income Statement'!C19</f>
        <v>9.9495000000000005</v>
      </c>
      <c r="D9" s="30">
        <f>'Income Statement'!D19</f>
        <v>15.3172</v>
      </c>
      <c r="E9" s="30">
        <f>'Income Statement'!E19</f>
        <v>17.6586</v>
      </c>
      <c r="F9" s="30">
        <f>'Income Statement'!F19</f>
        <v>18.517900000000001</v>
      </c>
      <c r="G9" s="30">
        <f>'Income Statement'!G19</f>
        <v>21.368299999999998</v>
      </c>
      <c r="H9" s="30">
        <f>'Income Statement'!H19</f>
        <v>23.3626</v>
      </c>
      <c r="I9" s="30">
        <f>'Income Statement'!I19</f>
        <v>27.3856</v>
      </c>
      <c r="J9" s="30">
        <f>'Income Statement'!J19</f>
        <v>33.160499999999999</v>
      </c>
      <c r="K9" s="30">
        <f>'Income Statement'!K19</f>
        <v>42.914499999999997</v>
      </c>
      <c r="L9" s="30">
        <f>'Income Statement'!L19</f>
        <v>45.4863</v>
      </c>
    </row>
    <row r="10" spans="1:13" x14ac:dyDescent="0.3">
      <c r="A10" s="30" t="s">
        <v>35</v>
      </c>
      <c r="C10" s="30">
        <f t="shared" ref="C10:L10" si="1">C7-C8-C9</f>
        <v>432.58499999999998</v>
      </c>
      <c r="D10" s="30">
        <f t="shared" si="1"/>
        <v>543.24520000000007</v>
      </c>
      <c r="E10" s="30">
        <f t="shared" si="1"/>
        <v>579.95980000000009</v>
      </c>
      <c r="F10" s="30">
        <f t="shared" si="1"/>
        <v>424.17160000000001</v>
      </c>
      <c r="G10" s="30">
        <f t="shared" si="1"/>
        <v>447.13579999999996</v>
      </c>
      <c r="H10" s="30">
        <f t="shared" si="1"/>
        <v>544.94889999999987</v>
      </c>
      <c r="I10" s="30">
        <f t="shared" si="1"/>
        <v>704.52419999999995</v>
      </c>
      <c r="J10" s="30">
        <f t="shared" si="1"/>
        <v>614.93779999999992</v>
      </c>
      <c r="K10" s="30">
        <f t="shared" si="1"/>
        <v>601.73649999999998</v>
      </c>
      <c r="L10" s="30">
        <f t="shared" si="1"/>
        <v>1181.4295</v>
      </c>
    </row>
    <row r="11" spans="1:13" x14ac:dyDescent="0.3">
      <c r="A11" s="30" t="s">
        <v>36</v>
      </c>
      <c r="C11" s="30">
        <f t="shared" ref="C11:L11" si="2">C6-C10</f>
        <v>120.3304</v>
      </c>
      <c r="D11" s="30">
        <f t="shared" si="2"/>
        <v>152.88829999999996</v>
      </c>
      <c r="E11" s="30">
        <f t="shared" si="2"/>
        <v>191.7657999999999</v>
      </c>
      <c r="F11" s="30">
        <f t="shared" si="2"/>
        <v>206.77639999999997</v>
      </c>
      <c r="G11" s="30">
        <f t="shared" si="2"/>
        <v>219.19410000000011</v>
      </c>
      <c r="H11" s="30">
        <f t="shared" si="2"/>
        <v>210.92550000000017</v>
      </c>
      <c r="I11" s="30">
        <f t="shared" si="2"/>
        <v>403.6158999999999</v>
      </c>
      <c r="J11" s="30">
        <f t="shared" si="2"/>
        <v>413.93610000000012</v>
      </c>
      <c r="K11" s="30">
        <f t="shared" si="2"/>
        <v>352.52160000000003</v>
      </c>
      <c r="L11" s="30">
        <f t="shared" si="2"/>
        <v>434.08230000000003</v>
      </c>
    </row>
    <row r="12" spans="1:13" x14ac:dyDescent="0.3">
      <c r="A12" s="30" t="s">
        <v>37</v>
      </c>
      <c r="C12" s="33">
        <f t="shared" ref="C12:L12" si="3">C11/C6</f>
        <v>0.21762895372420446</v>
      </c>
      <c r="D12" s="33">
        <f t="shared" si="3"/>
        <v>0.21962497135966011</v>
      </c>
      <c r="E12" s="33">
        <f t="shared" si="3"/>
        <v>0.24848961858981988</v>
      </c>
      <c r="F12" s="33">
        <f t="shared" si="3"/>
        <v>0.32772336230560994</v>
      </c>
      <c r="G12" s="33">
        <f t="shared" si="3"/>
        <v>0.32895732279160833</v>
      </c>
      <c r="H12" s="33">
        <f t="shared" si="3"/>
        <v>0.27904834453978089</v>
      </c>
      <c r="I12" s="33">
        <f t="shared" si="3"/>
        <v>0.36422822348906964</v>
      </c>
      <c r="J12" s="33">
        <f t="shared" si="3"/>
        <v>0.40231956510899936</v>
      </c>
      <c r="K12" s="33">
        <f t="shared" si="3"/>
        <v>0.36941955221548556</v>
      </c>
      <c r="L12" s="33">
        <f t="shared" si="3"/>
        <v>0.26869645891784882</v>
      </c>
    </row>
    <row r="13" spans="1:13" x14ac:dyDescent="0.3">
      <c r="A13" s="5" t="s">
        <v>38</v>
      </c>
      <c r="C13" s="4">
        <f t="shared" ref="C13:L13" si="4">C11</f>
        <v>120.3304</v>
      </c>
      <c r="D13" s="4">
        <f t="shared" si="4"/>
        <v>152.88829999999996</v>
      </c>
      <c r="E13" s="4">
        <f t="shared" si="4"/>
        <v>191.7657999999999</v>
      </c>
      <c r="F13" s="4">
        <f t="shared" si="4"/>
        <v>206.77639999999997</v>
      </c>
      <c r="G13" s="4">
        <f t="shared" si="4"/>
        <v>219.19410000000011</v>
      </c>
      <c r="H13" s="4">
        <f t="shared" si="4"/>
        <v>210.92550000000017</v>
      </c>
      <c r="I13" s="4">
        <f t="shared" si="4"/>
        <v>403.6158999999999</v>
      </c>
      <c r="J13" s="4">
        <f t="shared" si="4"/>
        <v>413.93610000000012</v>
      </c>
      <c r="K13" s="4">
        <f t="shared" si="4"/>
        <v>352.52160000000003</v>
      </c>
      <c r="L13" s="4">
        <f t="shared" si="4"/>
        <v>434.08230000000003</v>
      </c>
    </row>
    <row r="14" spans="1:13" x14ac:dyDescent="0.3">
      <c r="A14" s="4" t="s">
        <v>39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3" x14ac:dyDescent="0.3">
      <c r="A15" s="5" t="s">
        <v>40</v>
      </c>
      <c r="C15" s="4">
        <f t="shared" ref="C15:L15" si="5">C11-C9</f>
        <v>110.3809</v>
      </c>
      <c r="D15" s="4">
        <f t="shared" si="5"/>
        <v>137.57109999999994</v>
      </c>
      <c r="E15" s="4">
        <f t="shared" si="5"/>
        <v>174.10719999999989</v>
      </c>
      <c r="F15" s="4">
        <f t="shared" si="5"/>
        <v>188.25849999999997</v>
      </c>
      <c r="G15" s="4">
        <f t="shared" si="5"/>
        <v>197.8258000000001</v>
      </c>
      <c r="H15" s="4">
        <f t="shared" si="5"/>
        <v>187.56290000000018</v>
      </c>
      <c r="I15" s="4">
        <f t="shared" si="5"/>
        <v>376.23029999999989</v>
      </c>
      <c r="J15" s="4">
        <f t="shared" si="5"/>
        <v>380.77560000000011</v>
      </c>
      <c r="K15" s="4">
        <f t="shared" si="5"/>
        <v>309.60710000000006</v>
      </c>
      <c r="L15" s="4">
        <f t="shared" si="5"/>
        <v>388.596</v>
      </c>
    </row>
    <row r="16" spans="1:13" x14ac:dyDescent="0.3">
      <c r="A16" s="4" t="s">
        <v>41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3" x14ac:dyDescent="0.3">
      <c r="A17" s="5" t="s">
        <v>42</v>
      </c>
      <c r="C17" s="4">
        <f t="shared" ref="C17:L17" si="6">C15-C8+C5</f>
        <v>102.60589999999999</v>
      </c>
      <c r="D17" s="4">
        <f t="shared" si="6"/>
        <v>128.59279999999995</v>
      </c>
      <c r="E17" s="4">
        <f t="shared" si="6"/>
        <v>173.49679999999989</v>
      </c>
      <c r="F17" s="4">
        <f t="shared" si="6"/>
        <v>186.55709999999996</v>
      </c>
      <c r="G17" s="4">
        <f t="shared" si="6"/>
        <v>204.6374000000001</v>
      </c>
      <c r="H17" s="4">
        <f t="shared" si="6"/>
        <v>203.37350000000018</v>
      </c>
      <c r="I17" s="4">
        <f t="shared" si="6"/>
        <v>425.24079999999987</v>
      </c>
      <c r="J17" s="4">
        <f t="shared" si="6"/>
        <v>424.6726000000001</v>
      </c>
      <c r="K17" s="4">
        <f t="shared" si="6"/>
        <v>335.23950000000002</v>
      </c>
      <c r="L17" s="4">
        <f t="shared" si="6"/>
        <v>449.24940000000004</v>
      </c>
    </row>
    <row r="18" spans="1:13" x14ac:dyDescent="0.3">
      <c r="A18" s="4" t="s">
        <v>43</v>
      </c>
      <c r="C18" s="4">
        <f>'Income Statement'!C28</f>
        <v>33.943100000000001</v>
      </c>
      <c r="D18" s="4">
        <f>'Income Statement'!D28</f>
        <v>42.438299999999998</v>
      </c>
      <c r="E18" s="4">
        <f>'Income Statement'!E28</f>
        <v>57.702799999999996</v>
      </c>
      <c r="F18" s="4">
        <f>'Income Statement'!F28</f>
        <v>54.985299999999995</v>
      </c>
      <c r="G18" s="4">
        <f>'Income Statement'!G28</f>
        <v>65.3352</v>
      </c>
      <c r="H18" s="4">
        <f>'Income Statement'!H28</f>
        <v>59.4923</v>
      </c>
      <c r="I18" s="4">
        <f>'Income Statement'!I28</f>
        <v>142.75239999999999</v>
      </c>
      <c r="J18" s="4">
        <f>'Income Statement'!J28</f>
        <v>90.847800000000007</v>
      </c>
      <c r="K18" s="4">
        <f>'Income Statement'!K28</f>
        <v>65.918599999999998</v>
      </c>
      <c r="L18" s="4">
        <f>'Income Statement'!L28</f>
        <v>102.63079999999999</v>
      </c>
    </row>
    <row r="19" spans="1:13" x14ac:dyDescent="0.3">
      <c r="A19" s="13" t="s">
        <v>44</v>
      </c>
      <c r="C19" s="34">
        <f>C17-C18</f>
        <v>68.66279999999999</v>
      </c>
      <c r="D19" s="34">
        <f t="shared" ref="D19:L19" si="7">D17-D18</f>
        <v>86.154499999999956</v>
      </c>
      <c r="E19" s="34">
        <f t="shared" si="7"/>
        <v>115.7939999999999</v>
      </c>
      <c r="F19" s="34">
        <f t="shared" si="7"/>
        <v>131.57179999999997</v>
      </c>
      <c r="G19" s="34">
        <f t="shared" si="7"/>
        <v>139.30220000000008</v>
      </c>
      <c r="H19" s="34">
        <f t="shared" si="7"/>
        <v>143.88120000000018</v>
      </c>
      <c r="I19" s="34">
        <f t="shared" si="7"/>
        <v>282.48839999999984</v>
      </c>
      <c r="J19" s="34">
        <f t="shared" si="7"/>
        <v>333.8248000000001</v>
      </c>
      <c r="K19" s="34">
        <f t="shared" si="7"/>
        <v>269.32090000000005</v>
      </c>
      <c r="L19" s="34">
        <f t="shared" si="7"/>
        <v>346.61860000000001</v>
      </c>
    </row>
    <row r="20" spans="1:13" x14ac:dyDescent="0.3">
      <c r="A20" s="5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3" x14ac:dyDescent="0.3">
      <c r="A21" s="18" t="s">
        <v>138</v>
      </c>
      <c r="B21" s="19"/>
      <c r="C21" s="35">
        <f>'Income Statement'!C28/'Income Statement'!C22</f>
        <v>0.33081041148705886</v>
      </c>
      <c r="D21" s="35">
        <f>'Income Statement'!D28/'Income Statement'!D22</f>
        <v>0.33002080987426974</v>
      </c>
      <c r="E21" s="35">
        <f>'Income Statement'!E28/'Income Statement'!E22</f>
        <v>0.33258711399864432</v>
      </c>
      <c r="F21" s="35">
        <f>'Income Statement'!F28/'Income Statement'!F22</f>
        <v>0.2947371072985161</v>
      </c>
      <c r="G21" s="35">
        <f>'Income Statement'!G28/'Income Statement'!G22</f>
        <v>0.31927301656490925</v>
      </c>
      <c r="H21" s="35">
        <f>'Income Statement'!H28/'Income Statement'!H22</f>
        <v>0.29252729583746157</v>
      </c>
      <c r="I21" s="35">
        <f>'Income Statement'!I28/'Income Statement'!I22</f>
        <v>0.33569779757727852</v>
      </c>
      <c r="J21" s="35">
        <f>'Income Statement'!J28/'Income Statement'!J22</f>
        <v>0.2139243266459856</v>
      </c>
      <c r="K21" s="35">
        <f>'Income Statement'!K28/'Income Statement'!K22</f>
        <v>0.19663136354755328</v>
      </c>
      <c r="L21" s="35">
        <f>'Income Statement'!L28/'Income Statement'!L22</f>
        <v>0.2284494982074545</v>
      </c>
    </row>
    <row r="22" spans="1:13" x14ac:dyDescent="0.3">
      <c r="A22" s="8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3" x14ac:dyDescent="0.3">
      <c r="A23" s="31" t="s">
        <v>45</v>
      </c>
      <c r="B23" s="19"/>
      <c r="C23" s="31">
        <f t="shared" ref="C23:L23" si="8">C4-C11</f>
        <v>436.34869999999995</v>
      </c>
      <c r="D23" s="31">
        <f t="shared" si="8"/>
        <v>552.41330000000005</v>
      </c>
      <c r="E23" s="31">
        <f t="shared" si="8"/>
        <v>589.10450000000014</v>
      </c>
      <c r="F23" s="31">
        <f t="shared" si="8"/>
        <v>430.32960000000003</v>
      </c>
      <c r="G23" s="31">
        <f t="shared" si="8"/>
        <v>456.70059999999995</v>
      </c>
      <c r="H23" s="31">
        <f t="shared" si="8"/>
        <v>561.97039999999981</v>
      </c>
      <c r="I23" s="31">
        <f t="shared" si="8"/>
        <v>754.4787</v>
      </c>
      <c r="J23" s="31">
        <f t="shared" si="8"/>
        <v>659.92699999999991</v>
      </c>
      <c r="K23" s="31">
        <f t="shared" si="8"/>
        <v>627.58079999999995</v>
      </c>
      <c r="L23" s="31">
        <f t="shared" si="8"/>
        <v>1242.3416</v>
      </c>
    </row>
    <row r="24" spans="1:13" x14ac:dyDescent="0.3">
      <c r="A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3" x14ac:dyDescent="0.3">
      <c r="A25" s="4" t="s">
        <v>46</v>
      </c>
      <c r="C25" s="37">
        <f t="shared" ref="C25:L25" si="9">C4-C23</f>
        <v>120.3304</v>
      </c>
      <c r="D25" s="37">
        <f t="shared" si="9"/>
        <v>152.88829999999996</v>
      </c>
      <c r="E25" s="37">
        <f t="shared" si="9"/>
        <v>191.7657999999999</v>
      </c>
      <c r="F25" s="37">
        <f t="shared" si="9"/>
        <v>206.77639999999997</v>
      </c>
      <c r="G25" s="37">
        <f t="shared" si="9"/>
        <v>219.19410000000011</v>
      </c>
      <c r="H25" s="37">
        <f t="shared" si="9"/>
        <v>210.92550000000017</v>
      </c>
      <c r="I25" s="37">
        <f t="shared" si="9"/>
        <v>403.6158999999999</v>
      </c>
      <c r="J25" s="37">
        <f t="shared" si="9"/>
        <v>413.93610000000012</v>
      </c>
      <c r="K25" s="37">
        <f t="shared" si="9"/>
        <v>352.52160000000003</v>
      </c>
      <c r="L25" s="37">
        <f t="shared" si="9"/>
        <v>434.08230000000003</v>
      </c>
    </row>
    <row r="26" spans="1:13" x14ac:dyDescent="0.3">
      <c r="A26" s="4" t="s">
        <v>47</v>
      </c>
      <c r="C26" s="36">
        <f t="shared" ref="C26:L26" si="10">C25/C4</f>
        <v>0.21615756725912649</v>
      </c>
      <c r="D26" s="36">
        <f t="shared" si="10"/>
        <v>0.2167701023221838</v>
      </c>
      <c r="E26" s="36">
        <f t="shared" si="10"/>
        <v>0.24557957960496113</v>
      </c>
      <c r="F26" s="36">
        <f t="shared" si="10"/>
        <v>0.32455572542088751</v>
      </c>
      <c r="G26" s="36">
        <f t="shared" si="10"/>
        <v>0.32430214351436709</v>
      </c>
      <c r="H26" s="36">
        <f t="shared" si="10"/>
        <v>0.27290285793985991</v>
      </c>
      <c r="I26" s="36">
        <f t="shared" si="10"/>
        <v>0.34851721094287108</v>
      </c>
      <c r="J26" s="36">
        <f t="shared" si="10"/>
        <v>0.38546449729020404</v>
      </c>
      <c r="K26" s="36">
        <f t="shared" si="10"/>
        <v>0.35967833565145851</v>
      </c>
      <c r="L26" s="36">
        <f t="shared" si="10"/>
        <v>0.25893349528123527</v>
      </c>
    </row>
    <row r="27" spans="1:13" ht="15.6" x14ac:dyDescent="0.3">
      <c r="A27" s="29" t="s">
        <v>140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3" x14ac:dyDescent="0.3">
      <c r="A28" s="6" t="s">
        <v>48</v>
      </c>
      <c r="C28" s="38">
        <f t="shared" ref="C28:L28" si="11">C25/C4</f>
        <v>0.21615756725912649</v>
      </c>
      <c r="D28" s="38">
        <f t="shared" si="11"/>
        <v>0.2167701023221838</v>
      </c>
      <c r="E28" s="38">
        <f t="shared" si="11"/>
        <v>0.24557957960496113</v>
      </c>
      <c r="F28" s="38">
        <f t="shared" si="11"/>
        <v>0.32455572542088751</v>
      </c>
      <c r="G28" s="38">
        <f t="shared" si="11"/>
        <v>0.32430214351436709</v>
      </c>
      <c r="H28" s="38">
        <f t="shared" si="11"/>
        <v>0.27290285793985991</v>
      </c>
      <c r="I28" s="38">
        <f t="shared" si="11"/>
        <v>0.34851721094287108</v>
      </c>
      <c r="J28" s="38">
        <f t="shared" si="11"/>
        <v>0.38546449729020404</v>
      </c>
      <c r="K28" s="38">
        <f t="shared" si="11"/>
        <v>0.35967833565145851</v>
      </c>
      <c r="L28" s="38">
        <f t="shared" si="11"/>
        <v>0.25893349528123527</v>
      </c>
      <c r="M28" t="s">
        <v>180</v>
      </c>
    </row>
    <row r="29" spans="1:13" x14ac:dyDescent="0.3">
      <c r="A29" s="6" t="s">
        <v>49</v>
      </c>
      <c r="C29" s="38">
        <f t="shared" ref="C29:L29" si="12">C19/C4</f>
        <v>0.12334359238563114</v>
      </c>
      <c r="D29" s="38">
        <f t="shared" si="12"/>
        <v>0.12215270743749901</v>
      </c>
      <c r="E29" s="38">
        <f t="shared" si="12"/>
        <v>0.1482883905304119</v>
      </c>
      <c r="F29" s="38">
        <f t="shared" si="12"/>
        <v>0.20651477148229647</v>
      </c>
      <c r="G29" s="38">
        <f t="shared" si="12"/>
        <v>0.20610044730340402</v>
      </c>
      <c r="H29" s="38">
        <f t="shared" si="12"/>
        <v>0.18615857581855483</v>
      </c>
      <c r="I29" s="38">
        <f t="shared" si="12"/>
        <v>0.24392515084691688</v>
      </c>
      <c r="J29" s="38">
        <f t="shared" si="12"/>
        <v>0.31086346108735841</v>
      </c>
      <c r="K29" s="38">
        <f t="shared" si="12"/>
        <v>0.27478853230029848</v>
      </c>
      <c r="L29" s="38">
        <f t="shared" si="12"/>
        <v>0.20676071249043873</v>
      </c>
      <c r="M29" t="s">
        <v>193</v>
      </c>
    </row>
    <row r="30" spans="1:13" x14ac:dyDescent="0.3">
      <c r="A30" s="25" t="s">
        <v>50</v>
      </c>
      <c r="C30" s="38">
        <f t="shared" ref="C30:L30" si="13">C19/C4</f>
        <v>0.12334359238563114</v>
      </c>
      <c r="D30" s="38">
        <f t="shared" si="13"/>
        <v>0.12215270743749901</v>
      </c>
      <c r="E30" s="38">
        <f t="shared" si="13"/>
        <v>0.1482883905304119</v>
      </c>
      <c r="F30" s="38">
        <f t="shared" si="13"/>
        <v>0.20651477148229647</v>
      </c>
      <c r="G30" s="38">
        <f t="shared" si="13"/>
        <v>0.20610044730340402</v>
      </c>
      <c r="H30" s="38">
        <f t="shared" si="13"/>
        <v>0.18615857581855483</v>
      </c>
      <c r="I30" s="38">
        <f t="shared" si="13"/>
        <v>0.24392515084691688</v>
      </c>
      <c r="J30" s="38">
        <f t="shared" si="13"/>
        <v>0.31086346108735841</v>
      </c>
      <c r="K30" s="38">
        <f t="shared" si="13"/>
        <v>0.27478853230029848</v>
      </c>
      <c r="L30" s="38">
        <f t="shared" si="13"/>
        <v>0.20676071249043873</v>
      </c>
    </row>
    <row r="31" spans="1:13" x14ac:dyDescent="0.3">
      <c r="A31" s="25" t="s">
        <v>51</v>
      </c>
      <c r="C31" s="39">
        <f>'Balance Sheet'!B29-'Balance Sheet'!B54</f>
        <v>402.8845</v>
      </c>
      <c r="D31" s="39">
        <f>'Balance Sheet'!C29-'Balance Sheet'!C54</f>
        <v>453.18680000000001</v>
      </c>
      <c r="E31" s="39">
        <f>'Balance Sheet'!D29-'Balance Sheet'!D54</f>
        <v>510.26080000000007</v>
      </c>
      <c r="F31" s="39">
        <f>'Balance Sheet'!E29-'Balance Sheet'!E54</f>
        <v>603.25549999999998</v>
      </c>
      <c r="G31" s="39">
        <f>'Balance Sheet'!F29-'Balance Sheet'!F54</f>
        <v>749.83044999999981</v>
      </c>
      <c r="H31" s="39">
        <f>'Balance Sheet'!G29-'Balance Sheet'!G54</f>
        <v>880.67479999999989</v>
      </c>
      <c r="I31" s="39">
        <f>'Balance Sheet'!H29-'Balance Sheet'!H54</f>
        <v>1138.7755000000002</v>
      </c>
      <c r="J31" s="39">
        <f>'Balance Sheet'!I29-'Balance Sheet'!I54</f>
        <v>1353.9625999999998</v>
      </c>
      <c r="K31" s="39">
        <f>'Balance Sheet'!J29-'Balance Sheet'!J54</f>
        <v>1627.3702000000003</v>
      </c>
      <c r="L31" s="39">
        <f>'Balance Sheet'!K29-'Balance Sheet'!K54</f>
        <v>1922.5007999999998</v>
      </c>
    </row>
    <row r="32" spans="1:13" x14ac:dyDescent="0.3">
      <c r="A32" s="6" t="s">
        <v>189</v>
      </c>
      <c r="C32" s="38">
        <f t="shared" ref="C32:L32" si="14">C15/C31</f>
        <v>0.2739765366997241</v>
      </c>
      <c r="D32" s="38">
        <f t="shared" si="14"/>
        <v>0.30356378429380543</v>
      </c>
      <c r="E32" s="38">
        <f t="shared" si="14"/>
        <v>0.34121218012435967</v>
      </c>
      <c r="F32" s="38">
        <f t="shared" si="14"/>
        <v>0.3120709218564936</v>
      </c>
      <c r="G32" s="38">
        <f t="shared" si="14"/>
        <v>0.26382737590878064</v>
      </c>
      <c r="H32" s="38">
        <f t="shared" si="14"/>
        <v>0.21297634495729889</v>
      </c>
      <c r="I32" s="38">
        <f t="shared" si="14"/>
        <v>0.33038144919696621</v>
      </c>
      <c r="J32" s="38">
        <f t="shared" si="14"/>
        <v>0.28123051552531819</v>
      </c>
      <c r="K32" s="38">
        <f t="shared" si="14"/>
        <v>0.19024995050296484</v>
      </c>
      <c r="L32" s="38">
        <f>L15/L31</f>
        <v>0.20213047505623927</v>
      </c>
      <c r="M32" t="s">
        <v>181</v>
      </c>
    </row>
    <row r="33" spans="1:13" x14ac:dyDescent="0.3">
      <c r="A33" s="6" t="s">
        <v>190</v>
      </c>
      <c r="C33" s="38">
        <f>C19/('Balance Sheet'!B29-'Balance Sheet'!B54)</f>
        <v>0.1704280010772318</v>
      </c>
      <c r="D33" s="38">
        <f>D19/('Balance Sheet'!C29-'Balance Sheet'!C54)</f>
        <v>0.19010814083728819</v>
      </c>
      <c r="E33" s="38">
        <f>E19/('Balance Sheet'!D29-'Balance Sheet'!D54)</f>
        <v>0.22693101253319847</v>
      </c>
      <c r="F33" s="38">
        <f>F19/('Balance Sheet'!E29-'Balance Sheet'!E54)</f>
        <v>0.21810294311448461</v>
      </c>
      <c r="G33" s="38">
        <f>G19/('Balance Sheet'!F29-'Balance Sheet'!F54)</f>
        <v>0.18577826493976088</v>
      </c>
      <c r="H33" s="38">
        <f>H19/('Balance Sheet'!G29-'Balance Sheet'!G54)</f>
        <v>0.16337608388476677</v>
      </c>
      <c r="I33" s="38">
        <f>I19/('Balance Sheet'!H29-'Balance Sheet'!H54)</f>
        <v>0.24806329254536982</v>
      </c>
      <c r="J33" s="38">
        <f>J19/('Balance Sheet'!I29-'Balance Sheet'!I54)</f>
        <v>0.24655392992391381</v>
      </c>
      <c r="K33" s="38">
        <f>K19/('Balance Sheet'!J29-'Balance Sheet'!J54)</f>
        <v>0.16549455065602159</v>
      </c>
      <c r="L33" s="38">
        <f>L19/('Balance Sheet'!K29-'Balance Sheet'!K54)</f>
        <v>0.1802956857027056</v>
      </c>
      <c r="M33" t="s">
        <v>191</v>
      </c>
    </row>
    <row r="34" spans="1:13" x14ac:dyDescent="0.3">
      <c r="A34" s="6" t="s">
        <v>52</v>
      </c>
      <c r="C34" s="25"/>
      <c r="D34" s="38">
        <f>D19/AVERAGE('Balance Sheet'!B29:C29)</f>
        <v>0.1569659832489696</v>
      </c>
      <c r="E34" s="38">
        <f>E19/AVERAGE('Balance Sheet'!C29:D29)</f>
        <v>0.20115260508727034</v>
      </c>
      <c r="F34" s="38">
        <f>F19/AVERAGE('Balance Sheet'!D29:E29)</f>
        <v>0.20459735171579435</v>
      </c>
      <c r="G34" s="38">
        <f>G19/AVERAGE('Balance Sheet'!E29:F29)</f>
        <v>0.18466938851966472</v>
      </c>
      <c r="H34" s="38">
        <f>H19/AVERAGE('Balance Sheet'!F29:G29)</f>
        <v>0.15972059120436785</v>
      </c>
      <c r="I34" s="38">
        <f>I19/AVERAGE('Balance Sheet'!G29:H29)</f>
        <v>0.25593172167944839</v>
      </c>
      <c r="J34" s="38">
        <f>J19/AVERAGE('Balance Sheet'!H29:I29)</f>
        <v>0.25000469004810744</v>
      </c>
      <c r="K34" s="38">
        <f>K19/AVERAGE('Balance Sheet'!I29:J29)</f>
        <v>0.16955518197830613</v>
      </c>
      <c r="L34" s="38">
        <f>L19/AVERAGE('Balance Sheet'!J29:K29)</f>
        <v>0.18130608594503916</v>
      </c>
      <c r="M34" t="s">
        <v>182</v>
      </c>
    </row>
    <row r="35" spans="1:13" x14ac:dyDescent="0.3">
      <c r="A35" s="6" t="s">
        <v>53</v>
      </c>
      <c r="C35" s="25"/>
      <c r="D35" s="38">
        <f>D19/AVERAGE('Balance Sheet'!B35:C35)</f>
        <v>0.31253797691293894</v>
      </c>
      <c r="E35" s="38">
        <f>E19/AVERAGE('Balance Sheet'!C35:D35)</f>
        <v>0.31122424707647695</v>
      </c>
      <c r="F35" s="38">
        <f>F19/AVERAGE('Balance Sheet'!D35:E35)</f>
        <v>0.26993912860524699</v>
      </c>
      <c r="G35" s="38">
        <f>G19/AVERAGE('Balance Sheet'!E35:F35)</f>
        <v>0.22820298638126413</v>
      </c>
      <c r="H35" s="38">
        <f>H19/AVERAGE('Balance Sheet'!F35:G35)</f>
        <v>0.19486252778660562</v>
      </c>
      <c r="I35" s="38">
        <f>I19/AVERAGE('Balance Sheet'!G35:H35)</f>
        <v>0.30573292250521006</v>
      </c>
      <c r="J35" s="38">
        <f>J19/AVERAGE('Balance Sheet'!H35:I35)</f>
        <v>0.28646073717828391</v>
      </c>
      <c r="K35" s="38">
        <f>K19/AVERAGE('Balance Sheet'!I35:J35)</f>
        <v>0.19081723129387887</v>
      </c>
      <c r="L35" s="38">
        <f>L19/AVERAGE('Balance Sheet'!J35:K35)</f>
        <v>0.20562125653769767</v>
      </c>
      <c r="M35" t="s">
        <v>183</v>
      </c>
    </row>
    <row r="36" spans="1:13" ht="15.6" x14ac:dyDescent="0.3">
      <c r="A36" s="29" t="s">
        <v>141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3" x14ac:dyDescent="0.3">
      <c r="A37" s="22" t="s">
        <v>54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3" x14ac:dyDescent="0.3">
      <c r="A38" s="22" t="s">
        <v>55</v>
      </c>
      <c r="C38" s="4"/>
      <c r="D38" s="22">
        <f>D4/AVERAGE('Balance Sheet'!B21:C21)</f>
        <v>6.180112228410402</v>
      </c>
      <c r="E38" s="22">
        <f>E4/AVERAGE('Balance Sheet'!C21:D21)</f>
        <v>6.3966464864413215</v>
      </c>
      <c r="F38" s="22">
        <f>F4/AVERAGE('Balance Sheet'!D21:E21)</f>
        <v>5.2239316295380993</v>
      </c>
      <c r="G38" s="22">
        <f>G4/AVERAGE('Balance Sheet'!E21:F21)</f>
        <v>5.2935744321247853</v>
      </c>
      <c r="H38" s="22">
        <f>H4/AVERAGE('Balance Sheet'!F21:G21)</f>
        <v>4.8662522764441354</v>
      </c>
      <c r="I38" s="22">
        <f>I4/AVERAGE('Balance Sheet'!G21:H21)</f>
        <v>5.500446815427825</v>
      </c>
      <c r="J38" s="22">
        <f>J4/AVERAGE('Balance Sheet'!H21:I21)</f>
        <v>4.8181893233439625</v>
      </c>
      <c r="K38" s="22">
        <f>K4/AVERAGE('Balance Sheet'!I21:J21)</f>
        <v>4.0924573244096463</v>
      </c>
      <c r="L38" s="22">
        <f>L4/AVERAGE('Balance Sheet'!J21:K21)</f>
        <v>4.5580729338369697</v>
      </c>
      <c r="M38" t="s">
        <v>184</v>
      </c>
    </row>
    <row r="39" spans="1:13" x14ac:dyDescent="0.3">
      <c r="A39" s="22" t="s">
        <v>56</v>
      </c>
      <c r="C39" s="4"/>
      <c r="D39" s="22">
        <f>AVERAGE('Balance Sheet'!B21:C21)</f>
        <v>114.12439999999999</v>
      </c>
      <c r="E39" s="22">
        <f>AVERAGE('Balance Sheet'!C21:D21)</f>
        <v>122.07495</v>
      </c>
      <c r="F39" s="22">
        <f>AVERAGE('Balance Sheet'!D21:E21)</f>
        <v>121.95910000000001</v>
      </c>
      <c r="G39" s="22">
        <f>AVERAGE('Balance Sheet'!E21:F21)</f>
        <v>127.68209999999999</v>
      </c>
      <c r="H39" s="22">
        <f>AVERAGE('Balance Sheet'!F21:G21)</f>
        <v>158.82774999999998</v>
      </c>
      <c r="I39" s="22">
        <f>AVERAGE('Balance Sheet'!G21:H21)</f>
        <v>210.54554999999999</v>
      </c>
      <c r="J39" s="22">
        <f>AVERAGE('Balance Sheet'!H21:I21)</f>
        <v>222.87690000000001</v>
      </c>
      <c r="K39" s="22">
        <f>AVERAGE('Balance Sheet'!I21:J21)</f>
        <v>239.48995000000002</v>
      </c>
      <c r="L39" s="22">
        <f>AVERAGE('Balance Sheet'!J21:K21)</f>
        <v>367.79224999999997</v>
      </c>
      <c r="M39">
        <f>AVERAGE('Balance Sheet'!K21:L21)</f>
        <v>458.3811</v>
      </c>
    </row>
    <row r="40" spans="1:13" x14ac:dyDescent="0.3">
      <c r="A40" s="22" t="s">
        <v>57</v>
      </c>
      <c r="B40">
        <v>365</v>
      </c>
      <c r="C40" s="4"/>
      <c r="D40" s="22">
        <f t="shared" ref="D40:L40" si="15">$B40/D38</f>
        <v>59.060416139705332</v>
      </c>
      <c r="E40" s="22">
        <f t="shared" si="15"/>
        <v>57.06114927152435</v>
      </c>
      <c r="F40" s="22">
        <f t="shared" si="15"/>
        <v>69.870745998311108</v>
      </c>
      <c r="G40" s="22">
        <f t="shared" si="15"/>
        <v>68.951519371286679</v>
      </c>
      <c r="H40" s="22">
        <f t="shared" si="15"/>
        <v>75.006386694508279</v>
      </c>
      <c r="I40" s="22">
        <f t="shared" si="15"/>
        <v>66.358245474937888</v>
      </c>
      <c r="J40" s="22">
        <f t="shared" si="15"/>
        <v>75.754598980074832</v>
      </c>
      <c r="K40" s="22">
        <f t="shared" si="15"/>
        <v>89.188468215157926</v>
      </c>
      <c r="L40" s="22">
        <f t="shared" si="15"/>
        <v>80.077700663895328</v>
      </c>
      <c r="M40" t="s">
        <v>134</v>
      </c>
    </row>
    <row r="41" spans="1:13" x14ac:dyDescent="0.3">
      <c r="A41" s="23" t="s">
        <v>58</v>
      </c>
      <c r="C41" s="4"/>
      <c r="D41" s="22">
        <f>D6/AVERAGE('Balance Sheet'!B28:C28)</f>
        <v>2.9048578603481987</v>
      </c>
      <c r="E41" s="22">
        <f>E6/AVERAGE('Balance Sheet'!C28:D28)</f>
        <v>3.2251456898801609</v>
      </c>
      <c r="F41" s="22">
        <f>F6/AVERAGE('Balance Sheet'!D28:E28)</f>
        <v>2.5062223786368043</v>
      </c>
      <c r="G41" s="22">
        <f>G6/AVERAGE('Balance Sheet'!E28:F28)</f>
        <v>2.3049012669296967</v>
      </c>
      <c r="H41" s="22">
        <f>H6/AVERAGE('Balance Sheet'!F28:G28)</f>
        <v>1.9423528988523828</v>
      </c>
      <c r="I41" s="22">
        <f>I6/AVERAGE('Balance Sheet'!G28:H28)</f>
        <v>2.2297256687551608</v>
      </c>
      <c r="J41" s="22">
        <f>J6/AVERAGE('Balance Sheet'!H28:I28)</f>
        <v>1.7533058723007457</v>
      </c>
      <c r="K41" s="22">
        <f>K6/AVERAGE('Balance Sheet'!I28:J28)</f>
        <v>1.4707100768407704</v>
      </c>
      <c r="L41" s="22">
        <f>L6/AVERAGE('Balance Sheet'!J28:K28)</f>
        <v>2.257697322073299</v>
      </c>
      <c r="M41" s="81" t="s">
        <v>59</v>
      </c>
    </row>
    <row r="42" spans="1:13" ht="18" x14ac:dyDescent="0.3">
      <c r="A42" s="7" t="s">
        <v>60</v>
      </c>
      <c r="B42" s="2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1:13" x14ac:dyDescent="0.3">
      <c r="A43" s="45" t="s">
        <v>61</v>
      </c>
      <c r="C43" s="46">
        <f>'Balance Sheet'!B28/'Balance Sheet'!B54</f>
        <v>1.6914193326482307</v>
      </c>
      <c r="D43" s="46">
        <f>'Balance Sheet'!C28/'Balance Sheet'!C54</f>
        <v>2.4042262832604497</v>
      </c>
      <c r="E43" s="46">
        <f>'Balance Sheet'!D28/'Balance Sheet'!D54</f>
        <v>2.7068813136992094</v>
      </c>
      <c r="F43" s="46">
        <f>'Balance Sheet'!E28/'Balance Sheet'!E54</f>
        <v>3.1393213673008096</v>
      </c>
      <c r="G43" s="46">
        <f>'Balance Sheet'!F28/'Balance Sheet'!F54</f>
        <v>4.3882712382245606</v>
      </c>
      <c r="H43" s="46">
        <f>'Balance Sheet'!G28/'Balance Sheet'!G54</f>
        <v>4.6625372558539135</v>
      </c>
      <c r="I43" s="46">
        <f>'Balance Sheet'!H28/'Balance Sheet'!H54</f>
        <v>5.9806102293483958</v>
      </c>
      <c r="J43" s="46">
        <f>'Balance Sheet'!I28/'Balance Sheet'!I54</f>
        <v>7.2189464649233575</v>
      </c>
      <c r="K43" s="46">
        <f>'Balance Sheet'!J28/'Balance Sheet'!J54</f>
        <v>6.1542500274777163</v>
      </c>
      <c r="L43" s="46">
        <f>'Balance Sheet'!K28/'Balance Sheet'!K54</f>
        <v>4.6396522870455463</v>
      </c>
      <c r="M43" t="s">
        <v>137</v>
      </c>
    </row>
    <row r="44" spans="1:13" x14ac:dyDescent="0.3">
      <c r="A44" s="45" t="s">
        <v>62</v>
      </c>
      <c r="C44" s="46">
        <f>C47/'Balance Sheet'!B29</f>
        <v>0.36807964565439871</v>
      </c>
      <c r="D44" s="46">
        <f>D47/'Balance Sheet'!C29</f>
        <v>0.22139730698885335</v>
      </c>
      <c r="E44" s="46">
        <f>E47/'Balance Sheet'!D29</f>
        <v>6.5018464792060804E-2</v>
      </c>
      <c r="F44" s="46">
        <f>F47/'Balance Sheet'!E29</f>
        <v>2.3138932143121769E-2</v>
      </c>
      <c r="G44" s="46">
        <f>G47/'Balance Sheet'!F29</f>
        <v>2.818767157504792E-3</v>
      </c>
      <c r="H44" s="46">
        <f>H47/'Balance Sheet'!G29</f>
        <v>1.5513373324986009E-2</v>
      </c>
      <c r="I44" s="46">
        <f>I47/'Balance Sheet'!H29</f>
        <v>2.9998984176036834E-3</v>
      </c>
      <c r="J44" s="46">
        <f>J47/'Balance Sheet'!I29</f>
        <v>2.401291666221983E-4</v>
      </c>
      <c r="K44" s="46">
        <f>K47/'Balance Sheet'!J29</f>
        <v>1.1678835653133792E-3</v>
      </c>
      <c r="L44" s="46">
        <f>L47/'Balance Sheet'!K29</f>
        <v>8.8043389993758617E-3</v>
      </c>
      <c r="M44" t="s">
        <v>135</v>
      </c>
    </row>
    <row r="45" spans="1:13" x14ac:dyDescent="0.3">
      <c r="A45" s="45" t="s">
        <v>63</v>
      </c>
      <c r="C45" s="46">
        <f>'Balance Sheet'!B56/'Balance Sheet'!B35</f>
        <v>1.2617247555524786</v>
      </c>
      <c r="D45" s="46">
        <f>'Balance Sheet'!C56/'Balance Sheet'!C35</f>
        <v>0.78057861727711841</v>
      </c>
      <c r="E45" s="46">
        <f>'Balance Sheet'!D56/'Balance Sheet'!D35</f>
        <v>0.38048689343080699</v>
      </c>
      <c r="F45" s="46">
        <f>'Balance Sheet'!E56/'Balance Sheet'!E35</f>
        <v>0.2703115869669736</v>
      </c>
      <c r="G45" s="46">
        <f>'Balance Sheet'!F56/'Balance Sheet'!F35</f>
        <v>0.20824615024477927</v>
      </c>
      <c r="H45" s="46">
        <f>'Balance Sheet'!G56/'Balance Sheet'!G35</f>
        <v>0.23007329945453758</v>
      </c>
      <c r="I45" s="46">
        <f>'Balance Sheet'!H56/'Balance Sheet'!H35</f>
        <v>0.16769680887696009</v>
      </c>
      <c r="J45" s="46">
        <f>'Balance Sheet'!I56/'Balance Sheet'!I35</f>
        <v>0.12784662441319433</v>
      </c>
      <c r="K45" s="46">
        <f>'Balance Sheet'!J56/'Balance Sheet'!J35</f>
        <v>0.12337003735106997</v>
      </c>
      <c r="L45" s="46">
        <f>'Balance Sheet'!K56/'Balance Sheet'!K35</f>
        <v>0.14317954510406655</v>
      </c>
      <c r="M45" t="s">
        <v>185</v>
      </c>
    </row>
    <row r="46" spans="1:13" x14ac:dyDescent="0.3">
      <c r="A46" s="45" t="s">
        <v>64</v>
      </c>
      <c r="C46" s="46">
        <f t="shared" ref="C46:L46" si="16">C15/C8</f>
        <v>9.5661469662960315</v>
      </c>
      <c r="D46" s="46">
        <f t="shared" si="16"/>
        <v>7.5811786359828917</v>
      </c>
      <c r="E46" s="46">
        <f t="shared" si="16"/>
        <v>17.847812938872988</v>
      </c>
      <c r="F46" s="46">
        <f t="shared" si="16"/>
        <v>23.953291599867669</v>
      </c>
      <c r="G46" s="46">
        <f t="shared" si="16"/>
        <v>71.853043730931319</v>
      </c>
      <c r="H46" s="46">
        <f t="shared" si="16"/>
        <v>154.89544966553817</v>
      </c>
      <c r="I46" s="46">
        <f t="shared" si="16"/>
        <v>398.54904661016934</v>
      </c>
      <c r="J46" s="46">
        <f t="shared" si="16"/>
        <v>348.63175242629563</v>
      </c>
      <c r="K46" s="46">
        <f t="shared" si="16"/>
        <v>1461.100047192072</v>
      </c>
      <c r="L46" s="46">
        <f t="shared" si="16"/>
        <v>1502.1105527638192</v>
      </c>
      <c r="M46" t="s">
        <v>186</v>
      </c>
    </row>
    <row r="47" spans="1:13" x14ac:dyDescent="0.3">
      <c r="A47" s="46" t="s">
        <v>194</v>
      </c>
      <c r="C47" s="46">
        <f>'Balance Sheet'!B39+'Balance Sheet'!B46</f>
        <v>200.83780000000002</v>
      </c>
      <c r="D47" s="46">
        <f>'Balance Sheet'!C39+'Balance Sheet'!C46</f>
        <v>122.23580000000001</v>
      </c>
      <c r="E47" s="46">
        <f>'Balance Sheet'!D39+'Balance Sheet'!D46</f>
        <v>38.9587</v>
      </c>
      <c r="F47" s="46">
        <f>'Balance Sheet'!E39+'Balance Sheet'!E46</f>
        <v>15.895500000000002</v>
      </c>
      <c r="G47" s="46">
        <f>'Balance Sheet'!F39+'Balance Sheet'!F46</f>
        <v>2.3162000000000003</v>
      </c>
      <c r="H47" s="46">
        <f>'Balance Sheet'!G39+'Balance Sheet'!G46</f>
        <v>15.202400000000001</v>
      </c>
      <c r="I47" s="46">
        <f>'Balance Sheet'!H39+'Balance Sheet'!H46</f>
        <v>3.6825999999999999</v>
      </c>
      <c r="J47" s="46">
        <f>'Balance Sheet'!I39+'Balance Sheet'!I46</f>
        <v>0.34649999999999997</v>
      </c>
      <c r="K47" s="46">
        <f>'Balance Sheet'!J39+'Balance Sheet'!J46</f>
        <v>2.0249000000000001</v>
      </c>
      <c r="L47" s="46">
        <f>'Balance Sheet'!K39+'Balance Sheet'!K46</f>
        <v>18.398900000000001</v>
      </c>
    </row>
    <row r="48" spans="1:13" ht="18" x14ac:dyDescent="0.3">
      <c r="A48" s="7" t="s">
        <v>65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t="s">
        <v>76</v>
      </c>
    </row>
    <row r="49" spans="1:13" x14ac:dyDescent="0.3">
      <c r="A49" s="26" t="s">
        <v>66</v>
      </c>
      <c r="C49" s="27">
        <f>'Income Statement'!C39</f>
        <v>13.91</v>
      </c>
      <c r="D49" s="27">
        <f>'Income Statement'!D39</f>
        <v>17.45</v>
      </c>
      <c r="E49" s="27">
        <f>'Income Statement'!E39</f>
        <v>22.85</v>
      </c>
      <c r="F49" s="27">
        <f>'Income Statement'!F39</f>
        <v>25.5</v>
      </c>
      <c r="G49" s="27">
        <f>'Income Statement'!G39</f>
        <v>27</v>
      </c>
      <c r="H49" s="27">
        <f>'Income Statement'!H39</f>
        <v>27.93</v>
      </c>
      <c r="I49" s="27">
        <f>'Income Statement'!I39</f>
        <v>54.97</v>
      </c>
      <c r="J49" s="27">
        <f>'Income Statement'!J39</f>
        <v>32.479999999999997</v>
      </c>
      <c r="K49" s="27">
        <f>'Income Statement'!K39</f>
        <v>26.2</v>
      </c>
      <c r="L49" s="27">
        <f>'Income Statement'!L39</f>
        <v>33.72</v>
      </c>
      <c r="M49" t="s">
        <v>136</v>
      </c>
    </row>
    <row r="50" spans="1:13" x14ac:dyDescent="0.3">
      <c r="A50" s="26" t="s">
        <v>67</v>
      </c>
      <c r="C50" s="41">
        <f t="shared" ref="C50:L50" si="17">C54/C49</f>
        <v>7.4586628324946078</v>
      </c>
      <c r="D50" s="41">
        <f t="shared" si="17"/>
        <v>16.106017191977077</v>
      </c>
      <c r="E50" s="41">
        <f t="shared" si="17"/>
        <v>22.927789934354482</v>
      </c>
      <c r="F50" s="41">
        <f t="shared" si="17"/>
        <v>15.25686274509804</v>
      </c>
      <c r="G50" s="41">
        <f t="shared" si="17"/>
        <v>28.074074074074073</v>
      </c>
      <c r="H50" s="41">
        <f t="shared" si="17"/>
        <v>32.314715359828142</v>
      </c>
      <c r="I50" s="41">
        <f t="shared" si="17"/>
        <v>29.913589230489357</v>
      </c>
      <c r="J50" s="41">
        <f t="shared" si="17"/>
        <v>23.84698275862069</v>
      </c>
      <c r="K50" s="41">
        <f t="shared" si="17"/>
        <v>53.43320610687023</v>
      </c>
      <c r="L50" s="41">
        <f t="shared" si="17"/>
        <v>57.924080664294188</v>
      </c>
      <c r="M50" t="s">
        <v>187</v>
      </c>
    </row>
    <row r="51" spans="1:13" x14ac:dyDescent="0.3">
      <c r="A51" s="26" t="s">
        <v>68</v>
      </c>
      <c r="C51" s="36">
        <f>-('Cash Flow Statement'!B74/'Ratio Analysis'!C19)</f>
        <v>0.16381796256488232</v>
      </c>
      <c r="D51" s="36">
        <f>-('Cash Flow Statement'!C74/'Ratio Analysis'!D19)</f>
        <v>0.16434196704757162</v>
      </c>
      <c r="E51" s="36">
        <f>-('Cash Flow Statement'!D74/'Ratio Analysis'!E19)</f>
        <v>0.12562913449746976</v>
      </c>
      <c r="F51" s="36">
        <f>-('Cash Flow Statement'!E74/'Ratio Analysis'!F19)</f>
        <v>0.16517901252396036</v>
      </c>
      <c r="G51" s="36">
        <f>-('Cash Flow Statement'!F74/'Ratio Analysis'!G19)</f>
        <v>2.1648617179053871E-2</v>
      </c>
      <c r="H51" s="36">
        <f>-('Cash Flow Statement'!G74/'Ratio Analysis'!H19)</f>
        <v>2.1965343630717539E-2</v>
      </c>
      <c r="I51" s="36">
        <f>-('Cash Flow Statement'!H74/'Ratio Analysis'!I19)</f>
        <v>9.8339259240379479E-2</v>
      </c>
      <c r="J51" s="36">
        <f>-('Cash Flow Statement'!I74/'Ratio Analysis'!J19)</f>
        <v>0.31339972344774852</v>
      </c>
      <c r="K51" s="36">
        <f>-('Cash Flow Statement'!J74/'Ratio Analysis'!K19)</f>
        <v>2.055317652658965E-2</v>
      </c>
      <c r="L51" s="36">
        <f>-('Cash Flow Statement'!K74/'Ratio Analysis'!L19)</f>
        <v>0.1782749108097488</v>
      </c>
      <c r="M51" t="s">
        <v>195</v>
      </c>
    </row>
    <row r="52" spans="1:13" x14ac:dyDescent="0.3">
      <c r="A52" s="81"/>
      <c r="D52" s="4"/>
      <c r="E52" s="4"/>
      <c r="F52" s="4"/>
      <c r="G52" s="4"/>
      <c r="H52" s="4"/>
      <c r="I52" s="4"/>
      <c r="J52" s="4"/>
      <c r="K52" s="4"/>
      <c r="L52" s="4"/>
    </row>
    <row r="53" spans="1:13" x14ac:dyDescent="0.3">
      <c r="A53" s="81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3" x14ac:dyDescent="0.3">
      <c r="A54" s="27" t="s">
        <v>69</v>
      </c>
      <c r="C54" s="27">
        <v>103.75</v>
      </c>
      <c r="D54" s="42">
        <v>281.05</v>
      </c>
      <c r="E54" s="42">
        <v>523.9</v>
      </c>
      <c r="F54" s="42">
        <v>389.05</v>
      </c>
      <c r="G54" s="42">
        <v>758</v>
      </c>
      <c r="H54" s="42">
        <v>902.55</v>
      </c>
      <c r="I54" s="43">
        <v>1644.35</v>
      </c>
      <c r="J54" s="42">
        <v>774.55</v>
      </c>
      <c r="K54" s="44">
        <v>1399.95</v>
      </c>
      <c r="L54" s="43">
        <v>1953.2</v>
      </c>
    </row>
    <row r="55" spans="1:13" x14ac:dyDescent="0.3">
      <c r="A55" s="27" t="s">
        <v>134</v>
      </c>
      <c r="C55" s="27">
        <f>('Balance Sheet'!B21/'Ratio Analysis'!C4)*365</f>
        <v>74.218753676938832</v>
      </c>
      <c r="D55" s="27">
        <f>('Balance Sheet'!C21/'Ratio Analysis'!D4)*365</f>
        <v>59.541596105836142</v>
      </c>
      <c r="E55" s="27">
        <f>('Balance Sheet'!D21/'Ratio Analysis'!E4)*365</f>
        <v>60.34283862505719</v>
      </c>
      <c r="F55" s="27">
        <f>('Balance Sheet'!E21/'Ratio Analysis'!F4)*365</f>
        <v>65.7821657620553</v>
      </c>
      <c r="G55" s="27">
        <f>('Balance Sheet'!F21/'Ratio Analysis'!G4)*365</f>
        <v>75.89602418838318</v>
      </c>
      <c r="H55" s="27">
        <f>('Balance Sheet'!G21/'Ratio Analysis'!H4)*365</f>
        <v>83.641971706668386</v>
      </c>
      <c r="I55" s="27">
        <f>('Balance Sheet'!H21/'Ratio Analysis'!I4)*365</f>
        <v>76.895026105812093</v>
      </c>
      <c r="J55" s="27">
        <f>('Balance Sheet'!I21/'Ratio Analysis'!J4)*365</f>
        <v>68.582692244476988</v>
      </c>
      <c r="K55" s="27">
        <f>('Balance Sheet'!J21/'Ratio Analysis'!K4)*365</f>
        <v>103.23333663911036</v>
      </c>
      <c r="L55" s="27">
        <f>('Balance Sheet'!K21/'Ratio Analysis'!L4)*365</f>
        <v>99.801190796671406</v>
      </c>
      <c r="M55" s="4" t="s">
        <v>134</v>
      </c>
    </row>
    <row r="56" spans="1:13" x14ac:dyDescent="0.3">
      <c r="A56" s="27" t="s">
        <v>70</v>
      </c>
      <c r="C56" s="27">
        <f>('Balance Sheet'!B47/'Ratio Analysis'!C23)*365</f>
        <v>13.074040326005328</v>
      </c>
      <c r="D56" s="27">
        <f>('Balance Sheet'!C47/'Ratio Analysis'!D23)*365</f>
        <v>9.3648261184153228</v>
      </c>
      <c r="E56" s="27">
        <f>('Balance Sheet'!D47/'Ratio Analysis'!E23)*365</f>
        <v>13.333581732952299</v>
      </c>
      <c r="F56" s="27">
        <f>('Balance Sheet'!E47/'Ratio Analysis'!F23)*365</f>
        <v>18.950704297357188</v>
      </c>
      <c r="G56" s="27">
        <f>('Balance Sheet'!F47/'Ratio Analysis'!G23)*365</f>
        <v>26.164479529915219</v>
      </c>
      <c r="H56" s="27">
        <f>('Balance Sheet'!G47/'Ratio Analysis'!H23)*365</f>
        <v>41.209566375737957</v>
      </c>
      <c r="I56" s="27" cm="1">
        <f t="array" ref="I56">(SUM('Balance Sheet'!H48:H49/'Ratio Analysis'!I23)*365)</f>
        <v>25.696531923300157</v>
      </c>
      <c r="J56" s="27" cm="1">
        <f t="array" ref="J56">(SUM('Balance Sheet'!I48:I49/'Ratio Analysis'!J23)*365)</f>
        <v>30.78518230046657</v>
      </c>
      <c r="K56" s="27" cm="1">
        <f t="array" ref="K56">(SUM('Balance Sheet'!J48:J49/'Ratio Analysis'!K23)*365)</f>
        <v>38.752542302122691</v>
      </c>
      <c r="L56" s="27" cm="1">
        <f t="array" ref="L56">(SUM('Balance Sheet'!K48:K49/'Ratio Analysis'!L23)*365)</f>
        <v>33.660757637029938</v>
      </c>
    </row>
    <row r="57" spans="1:13" x14ac:dyDescent="0.3">
      <c r="A57" s="27" t="s">
        <v>71</v>
      </c>
      <c r="C57" s="27"/>
      <c r="D57" s="27">
        <f t="shared" ref="D57:L57" si="18">D23/D60</f>
        <v>10.908926284567224</v>
      </c>
      <c r="E57" s="27">
        <f t="shared" si="18"/>
        <v>11.650843250779968</v>
      </c>
      <c r="F57" s="27">
        <f t="shared" si="18"/>
        <v>8.6770146509067594</v>
      </c>
      <c r="G57" s="27">
        <f t="shared" si="18"/>
        <v>8.1708998623275839</v>
      </c>
      <c r="H57" s="27">
        <f t="shared" si="18"/>
        <v>7.5268294708306591</v>
      </c>
      <c r="I57" s="27">
        <f t="shared" si="18"/>
        <v>8.6409621802639212</v>
      </c>
      <c r="J57" s="27">
        <f t="shared" si="18"/>
        <v>7.1126121101305033</v>
      </c>
      <c r="K57" s="27">
        <f t="shared" si="18"/>
        <v>5.8349674562305935</v>
      </c>
      <c r="L57" s="27">
        <f t="shared" si="18"/>
        <v>8.3351108224666763</v>
      </c>
      <c r="M57" t="s">
        <v>129</v>
      </c>
    </row>
    <row r="58" spans="1:13" x14ac:dyDescent="0.3">
      <c r="A58" s="27" t="s">
        <v>72</v>
      </c>
      <c r="C58" s="27"/>
      <c r="D58" s="27">
        <f t="shared" ref="D58:L58" si="19">D4/D60</f>
        <v>13.928128020790444</v>
      </c>
      <c r="E58" s="27">
        <f t="shared" si="19"/>
        <v>15.443435696874708</v>
      </c>
      <c r="F58" s="27">
        <f t="shared" si="19"/>
        <v>12.846381230063193</v>
      </c>
      <c r="G58" s="27">
        <f t="shared" si="19"/>
        <v>12.092534827363801</v>
      </c>
      <c r="H58" s="27">
        <f t="shared" si="19"/>
        <v>10.351889775696705</v>
      </c>
      <c r="I58" s="27">
        <f t="shared" si="19"/>
        <v>13.263531017864217</v>
      </c>
      <c r="J58" s="27">
        <f t="shared" si="19"/>
        <v>11.573964528928633</v>
      </c>
      <c r="K58" s="27">
        <f t="shared" si="19"/>
        <v>9.1125566744130797</v>
      </c>
      <c r="L58" s="27">
        <f t="shared" si="19"/>
        <v>11.247453189953386</v>
      </c>
      <c r="M58" t="s">
        <v>130</v>
      </c>
    </row>
    <row r="59" spans="1:13" x14ac:dyDescent="0.3">
      <c r="A59" s="27" t="s">
        <v>73</v>
      </c>
      <c r="C59" s="27"/>
      <c r="D59" s="27">
        <f t="shared" ref="D59:L59" si="20">D23/D60</f>
        <v>10.908926284567224</v>
      </c>
      <c r="E59" s="27">
        <f t="shared" si="20"/>
        <v>11.650843250779968</v>
      </c>
      <c r="F59" s="27">
        <f t="shared" si="20"/>
        <v>8.6770146509067594</v>
      </c>
      <c r="G59" s="27">
        <f t="shared" si="20"/>
        <v>8.1708998623275839</v>
      </c>
      <c r="H59" s="27">
        <f t="shared" si="20"/>
        <v>7.5268294708306591</v>
      </c>
      <c r="I59" s="27">
        <f t="shared" si="20"/>
        <v>8.6409621802639212</v>
      </c>
      <c r="J59" s="27">
        <f t="shared" si="20"/>
        <v>7.1126121101305033</v>
      </c>
      <c r="K59" s="27">
        <f t="shared" si="20"/>
        <v>5.8349674562305935</v>
      </c>
      <c r="L59" s="27">
        <f t="shared" si="20"/>
        <v>8.3351108224666763</v>
      </c>
    </row>
    <row r="60" spans="1:13" x14ac:dyDescent="0.3">
      <c r="A60" s="27" t="s">
        <v>74</v>
      </c>
      <c r="C60" s="27"/>
      <c r="D60" s="27">
        <f>AVERAGE('Balance Sheet'!B18:C18)</f>
        <v>50.638649999999998</v>
      </c>
      <c r="E60" s="27">
        <f>AVERAGE('Balance Sheet'!C18:D18)</f>
        <v>50.563249999999996</v>
      </c>
      <c r="F60" s="27">
        <f>AVERAGE('Balance Sheet'!D18:E18)</f>
        <v>49.594200000000001</v>
      </c>
      <c r="G60" s="27">
        <f>AVERAGE('Balance Sheet'!E18:F18)</f>
        <v>55.893550000000005</v>
      </c>
      <c r="H60" s="27">
        <f>AVERAGE('Balance Sheet'!F18:G18)</f>
        <v>74.662299999999988</v>
      </c>
      <c r="I60" s="27">
        <f>AVERAGE('Balance Sheet'!G18:H18)</f>
        <v>87.3142</v>
      </c>
      <c r="J60" s="27">
        <f>AVERAGE('Balance Sheet'!H18:I18)</f>
        <v>92.78264999999999</v>
      </c>
      <c r="K60" s="27">
        <f>AVERAGE('Balance Sheet'!I18:J18)</f>
        <v>107.55515</v>
      </c>
      <c r="L60" s="27">
        <f>AVERAGE('Balance Sheet'!J18:K18)</f>
        <v>149.04919999999998</v>
      </c>
    </row>
    <row r="61" spans="1:13" x14ac:dyDescent="0.3">
      <c r="A61" s="27" t="s">
        <v>75</v>
      </c>
      <c r="B61">
        <f>365</f>
        <v>365</v>
      </c>
      <c r="C61" s="27"/>
      <c r="D61" s="27">
        <f>$B61/D59</f>
        <v>33.458838246653364</v>
      </c>
      <c r="E61" s="27">
        <f t="shared" ref="E61:L61" si="21">$B61/E59</f>
        <v>31.328204503615222</v>
      </c>
      <c r="F61" s="27">
        <f t="shared" si="21"/>
        <v>42.065158892160802</v>
      </c>
      <c r="G61" s="27">
        <f t="shared" si="21"/>
        <v>44.670722460185083</v>
      </c>
      <c r="H61" s="27">
        <f t="shared" si="21"/>
        <v>48.493193769636271</v>
      </c>
      <c r="I61" s="27">
        <f t="shared" si="21"/>
        <v>42.240666303767085</v>
      </c>
      <c r="J61" s="27">
        <f t="shared" si="21"/>
        <v>51.317293049079673</v>
      </c>
      <c r="K61" s="27">
        <f t="shared" si="21"/>
        <v>62.55390501111571</v>
      </c>
      <c r="L61" s="27">
        <f t="shared" si="21"/>
        <v>43.790659509429609</v>
      </c>
      <c r="M61" t="s">
        <v>188</v>
      </c>
    </row>
    <row r="62" spans="1:13" x14ac:dyDescent="0.3">
      <c r="A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3" x14ac:dyDescent="0.3">
      <c r="A63" s="3" t="s">
        <v>45</v>
      </c>
      <c r="C63" s="3">
        <f>'Income Statement'!C13+'Income Statement'!C14+'Income Statement'!C15+'Income Statement'!C16+'Income Statement'!C17+'Income Statement'!C20</f>
        <v>432.58499999999998</v>
      </c>
      <c r="D63" s="3">
        <f>'Income Statement'!D13+'Income Statement'!D14+'Income Statement'!D15+'Income Statement'!D16+'Income Statement'!D17+'Income Statement'!D20</f>
        <v>543.24519999999995</v>
      </c>
      <c r="E63" s="3">
        <f>'Income Statement'!E13+'Income Statement'!E14+'Income Statement'!E15+'Income Statement'!E16+'Income Statement'!E17+'Income Statement'!E20</f>
        <v>579.95979999999997</v>
      </c>
      <c r="F63" s="3">
        <f>'Income Statement'!F13+'Income Statement'!F14+'Income Statement'!F15+'Income Statement'!F16+'Income Statement'!F17+'Income Statement'!F20</f>
        <v>424.17160000000001</v>
      </c>
      <c r="G63" s="3">
        <f>'Income Statement'!G13+'Income Statement'!G14+'Income Statement'!G15+'Income Statement'!G16+'Income Statement'!G17+'Income Statement'!G20</f>
        <v>447.13579999999996</v>
      </c>
      <c r="H63" s="3">
        <f>'Income Statement'!H13+'Income Statement'!H14+'Income Statement'!H15+'Income Statement'!H16+'Income Statement'!H17+'Income Statement'!H20</f>
        <v>544.94889999999998</v>
      </c>
      <c r="I63" s="3">
        <f>'Income Statement'!I13+'Income Statement'!I14+'Income Statement'!I15+'Income Statement'!I16+'Income Statement'!I17+'Income Statement'!I20</f>
        <v>704.52419999999984</v>
      </c>
      <c r="J63" s="3">
        <f>'Income Statement'!J13+'Income Statement'!J14+'Income Statement'!J15+'Income Statement'!J16+'Income Statement'!J17+'Income Statement'!J20</f>
        <v>614.93779999999992</v>
      </c>
      <c r="K63" s="3">
        <f>'Income Statement'!K13+'Income Statement'!K14+'Income Statement'!K15+'Income Statement'!K16+'Income Statement'!K17+'Income Statement'!K20</f>
        <v>601.73649999999998</v>
      </c>
      <c r="L63" s="3">
        <f>'Income Statement'!L13+'Income Statement'!L14+'Income Statement'!L15+'Income Statement'!L16+'Income Statement'!L17+'Income Statement'!L20</f>
        <v>1181.4295</v>
      </c>
    </row>
    <row r="64" spans="1:13" x14ac:dyDescent="0.3">
      <c r="A64" s="10"/>
      <c r="C64" s="11"/>
      <c r="L64" s="3"/>
    </row>
    <row r="65" spans="1:15" x14ac:dyDescent="0.3">
      <c r="B65">
        <v>100</v>
      </c>
      <c r="O65" s="1"/>
    </row>
    <row r="66" spans="1:15" x14ac:dyDescent="0.3">
      <c r="A66" s="2"/>
      <c r="O66" s="1"/>
    </row>
    <row r="67" spans="1:15" x14ac:dyDescent="0.3">
      <c r="O6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BF9E-631F-4B7A-9B40-4BC0AFE9269A}">
  <dimension ref="A2:L43"/>
  <sheetViews>
    <sheetView topLeftCell="A3" workbookViewId="0">
      <selection activeCell="C5" sqref="C5:M8"/>
    </sheetView>
  </sheetViews>
  <sheetFormatPr defaultRowHeight="14.4" x14ac:dyDescent="0.3"/>
  <cols>
    <col min="1" max="1" width="87.33203125" bestFit="1" customWidth="1"/>
    <col min="3" max="3" width="26" bestFit="1" customWidth="1"/>
    <col min="5" max="5" width="12" bestFit="1" customWidth="1"/>
  </cols>
  <sheetData>
    <row r="2" spans="1:12" ht="21" x14ac:dyDescent="0.4">
      <c r="A2" s="108" t="s">
        <v>139</v>
      </c>
    </row>
    <row r="4" spans="1:12" ht="18" x14ac:dyDescent="0.35">
      <c r="A4" s="106" t="s">
        <v>234</v>
      </c>
      <c r="C4" s="99" t="s">
        <v>246</v>
      </c>
    </row>
    <row r="5" spans="1:12" x14ac:dyDescent="0.3">
      <c r="A5" s="63"/>
      <c r="C5" s="24" t="s">
        <v>133</v>
      </c>
      <c r="D5" s="24">
        <v>9</v>
      </c>
      <c r="E5" s="24">
        <v>8</v>
      </c>
      <c r="F5" s="24">
        <v>7</v>
      </c>
      <c r="G5" s="24">
        <v>6</v>
      </c>
      <c r="H5" s="24">
        <v>5</v>
      </c>
      <c r="I5" s="24">
        <v>4</v>
      </c>
      <c r="J5" s="24">
        <v>3</v>
      </c>
      <c r="K5" s="24">
        <v>2</v>
      </c>
      <c r="L5" s="24">
        <v>1</v>
      </c>
    </row>
    <row r="6" spans="1:12" x14ac:dyDescent="0.3">
      <c r="A6" s="102" t="s">
        <v>235</v>
      </c>
      <c r="C6" s="24" t="s">
        <v>132</v>
      </c>
      <c r="D6" s="100">
        <v>0.12652037173166999</v>
      </c>
      <c r="E6" s="100">
        <v>0.11096966343875914</v>
      </c>
      <c r="F6" s="100">
        <v>0.11131024537362899</v>
      </c>
      <c r="G6" s="100">
        <v>0.16964147847999911</v>
      </c>
      <c r="H6" s="100">
        <v>0.19377963692378786</v>
      </c>
      <c r="I6" s="100">
        <v>0.20910808282266369</v>
      </c>
      <c r="J6" s="100">
        <v>0.1338923394480882</v>
      </c>
      <c r="K6" s="100">
        <v>0.2530661322576544</v>
      </c>
      <c r="L6" s="100">
        <v>0.69295057595004961</v>
      </c>
    </row>
    <row r="7" spans="1:12" x14ac:dyDescent="0.3">
      <c r="A7" s="103" t="s">
        <v>236</v>
      </c>
      <c r="C7" s="24" t="s">
        <v>133</v>
      </c>
      <c r="D7" s="24">
        <v>9</v>
      </c>
      <c r="E7" s="24">
        <v>8</v>
      </c>
      <c r="F7" s="24">
        <v>7</v>
      </c>
      <c r="G7" s="24">
        <v>6</v>
      </c>
      <c r="H7" s="24">
        <v>5</v>
      </c>
      <c r="I7" s="24">
        <v>4</v>
      </c>
      <c r="J7" s="24">
        <v>3</v>
      </c>
      <c r="K7" s="24">
        <v>2</v>
      </c>
      <c r="L7" s="24">
        <v>1</v>
      </c>
    </row>
    <row r="8" spans="1:12" x14ac:dyDescent="0.3">
      <c r="A8" s="103" t="s">
        <v>237</v>
      </c>
      <c r="C8" s="24" t="s">
        <v>131</v>
      </c>
      <c r="D8" s="101">
        <v>0.19708667032245586</v>
      </c>
      <c r="E8" s="101">
        <v>0.19006788949317399</v>
      </c>
      <c r="F8" s="101">
        <v>0.16956317816127187</v>
      </c>
      <c r="G8" s="101">
        <v>0.17520827628272717</v>
      </c>
      <c r="H8" s="101">
        <v>0.1999931797293879</v>
      </c>
      <c r="I8" s="101">
        <v>0.24583908932612109</v>
      </c>
      <c r="J8" s="101">
        <v>7.0574960843019063E-2</v>
      </c>
      <c r="K8" s="101">
        <v>1.898228334776042E-2</v>
      </c>
      <c r="L8" s="101">
        <v>0.28700966022317598</v>
      </c>
    </row>
    <row r="9" spans="1:12" x14ac:dyDescent="0.3">
      <c r="A9" s="104" t="s">
        <v>238</v>
      </c>
    </row>
    <row r="10" spans="1:12" x14ac:dyDescent="0.3">
      <c r="A10" s="63"/>
    </row>
    <row r="11" spans="1:12" x14ac:dyDescent="0.3">
      <c r="A11" s="105" t="s">
        <v>239</v>
      </c>
    </row>
    <row r="12" spans="1:12" x14ac:dyDescent="0.3">
      <c r="A12" s="63"/>
    </row>
    <row r="13" spans="1:12" x14ac:dyDescent="0.3">
      <c r="A13" s="102" t="s">
        <v>240</v>
      </c>
    </row>
    <row r="14" spans="1:12" x14ac:dyDescent="0.3">
      <c r="A14" s="103" t="s">
        <v>241</v>
      </c>
    </row>
    <row r="15" spans="1:12" x14ac:dyDescent="0.3">
      <c r="A15" s="104" t="s">
        <v>242</v>
      </c>
    </row>
    <row r="16" spans="1:12" x14ac:dyDescent="0.3">
      <c r="A16" s="63"/>
    </row>
    <row r="17" spans="1:1" x14ac:dyDescent="0.3">
      <c r="A17" s="95" t="s">
        <v>247</v>
      </c>
    </row>
    <row r="18" spans="1:1" x14ac:dyDescent="0.3">
      <c r="A18" s="63"/>
    </row>
    <row r="19" spans="1:1" x14ac:dyDescent="0.3">
      <c r="A19" s="96" t="s">
        <v>243</v>
      </c>
    </row>
    <row r="20" spans="1:1" x14ac:dyDescent="0.3">
      <c r="A20" s="63"/>
    </row>
    <row r="21" spans="1:1" x14ac:dyDescent="0.3">
      <c r="A21" s="97" t="s">
        <v>244</v>
      </c>
    </row>
    <row r="22" spans="1:1" x14ac:dyDescent="0.3">
      <c r="A22" s="63"/>
    </row>
    <row r="23" spans="1:1" x14ac:dyDescent="0.3">
      <c r="A23" s="105" t="s">
        <v>245</v>
      </c>
    </row>
    <row r="43" spans="8:8" x14ac:dyDescent="0.3">
      <c r="H43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Statement</vt:lpstr>
      <vt:lpstr>Balance Sheet</vt:lpstr>
      <vt:lpstr>Cash Flow Statement</vt:lpstr>
      <vt:lpstr>Ratio Analysis</vt:lpstr>
      <vt:lpstr>Bench 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Sam Rubesh</cp:lastModifiedBy>
  <dcterms:created xsi:type="dcterms:W3CDTF">2023-07-17T18:30:07Z</dcterms:created>
  <dcterms:modified xsi:type="dcterms:W3CDTF">2023-08-03T12:39:33Z</dcterms:modified>
</cp:coreProperties>
</file>