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sal/Projects/sci7/pslab/"/>
    </mc:Choice>
  </mc:AlternateContent>
  <xr:revisionPtr revIDLastSave="0" documentId="13_ncr:1_{1CD430E7-6182-C245-BB21-598E2A1440A3}" xr6:coauthVersionLast="47" xr6:coauthVersionMax="47" xr10:uidLastSave="{00000000-0000-0000-0000-000000000000}"/>
  <bookViews>
    <workbookView xWindow="13320" yWindow="500" windowWidth="19100" windowHeight="17500" activeTab="3" xr2:uid="{0D474A96-D2BB-EA4E-9ECF-C3E62CE09279}"/>
  </bookViews>
  <sheets>
    <sheet name="mccabe-thiele" sheetId="1" r:id="rId1"/>
    <sheet name="240121" sheetId="2" r:id="rId2"/>
    <sheet name="713" sheetId="3" r:id="rId3"/>
    <sheet name="Vapor Vivo" sheetId="4" r:id="rId4"/>
    <sheet name="73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3" i="4" l="1"/>
  <c r="AM2" i="4"/>
  <c r="AI11" i="4"/>
  <c r="AI9" i="4"/>
  <c r="AH10" i="4"/>
  <c r="AH8" i="4"/>
  <c r="AH7" i="4"/>
  <c r="AI7" i="4"/>
  <c r="AH6" i="4"/>
  <c r="AI5" i="4"/>
  <c r="AH4" i="4"/>
  <c r="AI3" i="4"/>
  <c r="U11" i="4"/>
  <c r="U10" i="4"/>
  <c r="Q24" i="4"/>
  <c r="Q23" i="4"/>
  <c r="N21" i="4"/>
  <c r="M11" i="4"/>
  <c r="M10" i="4"/>
  <c r="N20" i="4"/>
  <c r="AI2" i="4"/>
  <c r="AH2" i="4"/>
  <c r="H23" i="3"/>
  <c r="H8" i="3"/>
  <c r="AH25" i="3"/>
  <c r="AI25" i="3"/>
  <c r="AI24" i="3"/>
  <c r="AH24" i="3"/>
  <c r="AI23" i="3"/>
  <c r="AI22" i="3"/>
  <c r="AH22" i="3"/>
  <c r="AI21" i="3"/>
  <c r="AI20" i="3"/>
  <c r="AH20" i="3"/>
  <c r="AH19" i="3"/>
  <c r="AI19" i="3"/>
  <c r="AH18" i="3"/>
  <c r="AH17" i="3"/>
  <c r="AI17" i="3"/>
  <c r="AI16" i="3"/>
  <c r="AH16" i="3"/>
  <c r="AH15" i="3"/>
  <c r="AI15" i="3"/>
  <c r="AH14" i="3"/>
  <c r="AI13" i="3"/>
  <c r="AI12" i="3"/>
  <c r="AH12" i="3"/>
  <c r="AH11" i="3"/>
  <c r="AI11" i="3"/>
  <c r="AI10" i="3"/>
  <c r="AH10" i="3"/>
  <c r="AI9" i="3"/>
  <c r="AI8" i="3"/>
  <c r="AH8" i="3"/>
  <c r="AI7" i="3"/>
  <c r="AI6" i="3"/>
  <c r="AH5" i="3"/>
  <c r="AH6" i="3"/>
  <c r="AH3" i="3"/>
  <c r="AH4" i="3" s="1"/>
  <c r="AI5" i="3"/>
  <c r="AI3" i="3"/>
  <c r="AI2" i="3"/>
  <c r="AH2" i="3"/>
  <c r="U11" i="3"/>
  <c r="Q24" i="3"/>
  <c r="B13" i="3"/>
  <c r="B12" i="3"/>
  <c r="H25" i="3"/>
  <c r="H24" i="3" s="1"/>
  <c r="V10" i="3" s="1"/>
  <c r="H10" i="3"/>
  <c r="H9" i="3" s="1"/>
  <c r="D4" i="3"/>
  <c r="E4" i="3" s="1"/>
  <c r="R24" i="2"/>
  <c r="H24" i="2"/>
  <c r="V10" i="2" s="1"/>
  <c r="V11" i="2"/>
  <c r="U11" i="2"/>
  <c r="Q24" i="2" s="1"/>
  <c r="F12" i="2"/>
  <c r="F42" i="2"/>
  <c r="N51" i="2" s="1"/>
  <c r="M55" i="2"/>
  <c r="M54" i="2"/>
  <c r="M53" i="2"/>
  <c r="R54" i="2"/>
  <c r="R53" i="2"/>
  <c r="Q53" i="2"/>
  <c r="N50" i="2"/>
  <c r="M50" i="2"/>
  <c r="S44" i="2"/>
  <c r="S14" i="2"/>
  <c r="R23" i="2"/>
  <c r="Q23" i="2"/>
  <c r="N20" i="2"/>
  <c r="M20" i="2"/>
  <c r="V10" i="1"/>
  <c r="U10" i="1"/>
  <c r="U11" i="1"/>
  <c r="Q24" i="1" s="1"/>
  <c r="R23" i="1"/>
  <c r="Q23" i="1"/>
  <c r="S14" i="1"/>
  <c r="Q12" i="1"/>
  <c r="S12" i="1"/>
  <c r="N21" i="1"/>
  <c r="N20" i="1"/>
  <c r="M20" i="1"/>
  <c r="M20" i="4" l="1"/>
  <c r="U10" i="3"/>
  <c r="E5" i="3"/>
  <c r="Q23" i="3"/>
  <c r="R23" i="3"/>
  <c r="M20" i="3"/>
  <c r="N20" i="3"/>
  <c r="N21" i="3"/>
  <c r="U10" i="2"/>
  <c r="N21" i="2"/>
  <c r="R24" i="1"/>
  <c r="V11" i="1" s="1"/>
  <c r="R23" i="4" l="1"/>
</calcChain>
</file>

<file path=xl/sharedStrings.xml><?xml version="1.0" encoding="utf-8"?>
<sst xmlns="http://schemas.openxmlformats.org/spreadsheetml/2006/main" count="499" uniqueCount="58">
  <si>
    <t>Substancias</t>
  </si>
  <si>
    <t>Nombre</t>
  </si>
  <si>
    <t>Etanol</t>
  </si>
  <si>
    <t>Agua</t>
  </si>
  <si>
    <t>PM (g / mol)</t>
  </si>
  <si>
    <t>F</t>
  </si>
  <si>
    <t>z</t>
  </si>
  <si>
    <t>T</t>
  </si>
  <si>
    <t>kmol / h</t>
  </si>
  <si>
    <t>˚F</t>
  </si>
  <si>
    <t>R</t>
  </si>
  <si>
    <t>Liquido saturado</t>
  </si>
  <si>
    <t>Consideraciones</t>
  </si>
  <si>
    <t>Supociciones</t>
  </si>
  <si>
    <t>Super flujo molar cte.</t>
  </si>
  <si>
    <t>D</t>
  </si>
  <si>
    <t>x_D</t>
  </si>
  <si>
    <t>B</t>
  </si>
  <si>
    <t>x_B</t>
  </si>
  <si>
    <t>Datos ELV</t>
  </si>
  <si>
    <t>x</t>
  </si>
  <si>
    <t>y</t>
  </si>
  <si>
    <t>Diagrama</t>
  </si>
  <si>
    <t>Enriquecimiento</t>
  </si>
  <si>
    <t>P_1</t>
  </si>
  <si>
    <t>P_2</t>
  </si>
  <si>
    <t>x_D / (R + 1)</t>
  </si>
  <si>
    <t>Coordenadas para linea de enriquecimiento</t>
  </si>
  <si>
    <t>Alimentación</t>
  </si>
  <si>
    <t>Coordenadas para linea de alimentación</t>
  </si>
  <si>
    <t>Del diagrama de entalpia composición</t>
  </si>
  <si>
    <t>w_F</t>
  </si>
  <si>
    <t>w_D</t>
  </si>
  <si>
    <t>H (kcal / kg)</t>
  </si>
  <si>
    <t>h (kcal / kg)</t>
  </si>
  <si>
    <t>h_F (kcal / kg)</t>
  </si>
  <si>
    <t>q</t>
  </si>
  <si>
    <t>Agotamiento</t>
  </si>
  <si>
    <t>Coordenadas para linea de agotamiento</t>
  </si>
  <si>
    <t>OP</t>
  </si>
  <si>
    <t>EQ</t>
  </si>
  <si>
    <t>Benceno</t>
  </si>
  <si>
    <t>Tolueno</t>
  </si>
  <si>
    <t>mol / h</t>
  </si>
  <si>
    <t>R_min</t>
  </si>
  <si>
    <t>m_r_min</t>
  </si>
  <si>
    <t>b_r_min</t>
  </si>
  <si>
    <t>w</t>
  </si>
  <si>
    <t>Sub</t>
  </si>
  <si>
    <t>w_B</t>
  </si>
  <si>
    <t>Liq Sat.</t>
  </si>
  <si>
    <t>Liq Sat</t>
  </si>
  <si>
    <t>n-Hexano</t>
  </si>
  <si>
    <t>n-Octano</t>
  </si>
  <si>
    <t>S</t>
  </si>
  <si>
    <t>R / (R + 1)</t>
  </si>
  <si>
    <t>Fracc Etapa</t>
  </si>
  <si>
    <t>Etapas Teoricas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</si>
</sst>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8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1" fillId="0" borderId="9" xfId="0" applyFont="1" applyBorder="1"/>
    <xf numFmtId="0" fontId="0" fillId="3" borderId="9" xfId="0" applyFill="1" applyBorder="1"/>
    <xf numFmtId="0" fontId="0" fillId="2" borderId="9" xfId="0" applyFill="1" applyBorder="1"/>
    <xf numFmtId="0" fontId="2" fillId="0" borderId="9" xfId="0" applyFont="1" applyBorder="1"/>
    <xf numFmtId="0" fontId="0" fillId="2" borderId="4" xfId="0" applyFill="1" applyBorder="1" applyAlignment="1">
      <alignment horizontal="center"/>
    </xf>
    <xf numFmtId="0" fontId="0" fillId="3" borderId="0" xfId="0" applyFill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ELV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'mccabe-thiele'!$J$3:$J$18</c:f>
              <c:numCache>
                <c:formatCode>General</c:formatCode>
                <c:ptCount val="16"/>
                <c:pt idx="0">
                  <c:v>0</c:v>
                </c:pt>
                <c:pt idx="1">
                  <c:v>1.9E-2</c:v>
                </c:pt>
                <c:pt idx="2">
                  <c:v>7.2099999999999997E-2</c:v>
                </c:pt>
                <c:pt idx="3">
                  <c:v>9.6600000000000005E-2</c:v>
                </c:pt>
                <c:pt idx="4">
                  <c:v>0.12379999999999999</c:v>
                </c:pt>
                <c:pt idx="5">
                  <c:v>0.1661</c:v>
                </c:pt>
                <c:pt idx="6">
                  <c:v>0.23369999999999999</c:v>
                </c:pt>
                <c:pt idx="7">
                  <c:v>0.26079999999999998</c:v>
                </c:pt>
                <c:pt idx="8">
                  <c:v>0.32729999999999998</c:v>
                </c:pt>
                <c:pt idx="9">
                  <c:v>0.39650000000000002</c:v>
                </c:pt>
                <c:pt idx="10">
                  <c:v>0.51980000000000004</c:v>
                </c:pt>
                <c:pt idx="11">
                  <c:v>0.57320000000000004</c:v>
                </c:pt>
                <c:pt idx="12">
                  <c:v>0.67630000000000001</c:v>
                </c:pt>
                <c:pt idx="13">
                  <c:v>0.74719999999999998</c:v>
                </c:pt>
                <c:pt idx="14">
                  <c:v>0.89429999999999998</c:v>
                </c:pt>
                <c:pt idx="15">
                  <c:v>1</c:v>
                </c:pt>
              </c:numCache>
            </c:numRef>
          </c:xVal>
          <c:yVal>
            <c:numRef>
              <c:f>'mccabe-thiele'!$K$3:$K$18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0.3891</c:v>
                </c:pt>
                <c:pt idx="3">
                  <c:v>0.4375</c:v>
                </c:pt>
                <c:pt idx="4">
                  <c:v>0.47039999999999998</c:v>
                </c:pt>
                <c:pt idx="5">
                  <c:v>0.50890000000000002</c:v>
                </c:pt>
                <c:pt idx="6">
                  <c:v>0.54449999999999998</c:v>
                </c:pt>
                <c:pt idx="7">
                  <c:v>0.55800000000000005</c:v>
                </c:pt>
                <c:pt idx="8">
                  <c:v>0.58260000000000001</c:v>
                </c:pt>
                <c:pt idx="9">
                  <c:v>0.61219999999999997</c:v>
                </c:pt>
                <c:pt idx="10">
                  <c:v>0.65990000000000004</c:v>
                </c:pt>
                <c:pt idx="11">
                  <c:v>0.68410000000000004</c:v>
                </c:pt>
                <c:pt idx="12">
                  <c:v>0.73850000000000005</c:v>
                </c:pt>
                <c:pt idx="13">
                  <c:v>0.78149999999999997</c:v>
                </c:pt>
                <c:pt idx="14">
                  <c:v>0.89429999999999998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F-A54E-B80C-DB9499041DE9}"/>
            </c:ext>
          </c:extLst>
        </c:ser>
        <c:ser>
          <c:idx val="1"/>
          <c:order val="1"/>
          <c:tx>
            <c:v>45˚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E2F-A54E-B80C-DB9499041DE9}"/>
            </c:ext>
          </c:extLst>
        </c:ser>
        <c:ser>
          <c:idx val="2"/>
          <c:order val="2"/>
          <c:tx>
            <c:v>Enriquecimiento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'mccabe-thiele'!$M$20:$M$21</c:f>
              <c:numCache>
                <c:formatCode>General</c:formatCode>
                <c:ptCount val="2"/>
                <c:pt idx="0">
                  <c:v>0.8</c:v>
                </c:pt>
                <c:pt idx="1">
                  <c:v>0</c:v>
                </c:pt>
              </c:numCache>
            </c:numRef>
          </c:xVal>
          <c:yVal>
            <c:numRef>
              <c:f>'mccabe-thiele'!$N$20:$N$21</c:f>
              <c:numCache>
                <c:formatCode>General</c:formatCode>
                <c:ptCount val="2"/>
                <c:pt idx="0">
                  <c:v>0.8</c:v>
                </c:pt>
                <c:pt idx="1">
                  <c:v>0.29962546816479402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2F-A54E-B80C-DB9499041DE9}"/>
            </c:ext>
          </c:extLst>
        </c:ser>
        <c:ser>
          <c:idx val="3"/>
          <c:order val="3"/>
          <c:tx>
            <c:v>Alimentación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'mccabe-thiele'!$Q$23:$Q$24</c:f>
              <c:numCache>
                <c:formatCode>General</c:formatCode>
                <c:ptCount val="2"/>
                <c:pt idx="0">
                  <c:v>0.2</c:v>
                </c:pt>
                <c:pt idx="1">
                  <c:v>0.17053045186640473</c:v>
                </c:pt>
              </c:numCache>
            </c:numRef>
          </c:xVal>
          <c:yVal>
            <c:numRef>
              <c:f>'mccabe-thiele'!$R$23:$R$24</c:f>
              <c:numCache>
                <c:formatCode>General</c:formatCode>
                <c:ptCount val="2"/>
                <c:pt idx="0">
                  <c:v>0.2</c:v>
                </c:pt>
                <c:pt idx="1">
                  <c:v>0.40628683693516709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2F-A54E-B80C-DB9499041DE9}"/>
            </c:ext>
          </c:extLst>
        </c:ser>
        <c:ser>
          <c:idx val="4"/>
          <c:order val="4"/>
          <c:tx>
            <c:v>Agotamiento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'mccabe-thiele'!$U$10:$U$11</c:f>
              <c:numCache>
                <c:formatCode>General</c:formatCode>
                <c:ptCount val="2"/>
                <c:pt idx="0">
                  <c:v>0.02</c:v>
                </c:pt>
                <c:pt idx="1">
                  <c:v>0.17053045186640473</c:v>
                </c:pt>
              </c:numCache>
            </c:numRef>
          </c:xVal>
          <c:yVal>
            <c:numRef>
              <c:f>'mccabe-thiele'!$V$10:$V$11</c:f>
              <c:numCache>
                <c:formatCode>General</c:formatCode>
                <c:ptCount val="2"/>
                <c:pt idx="0">
                  <c:v>0.02</c:v>
                </c:pt>
                <c:pt idx="1">
                  <c:v>0.40628683693516709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2F-A54E-B80C-DB9499041DE9}"/>
            </c:ext>
          </c:extLst>
        </c:ser>
        <c:ser>
          <c:idx val="5"/>
          <c:order val="5"/>
          <c:tx>
            <c:v>Pasos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'mccabe-thiele'!$AH$2:$AH$30</c:f>
              <c:numCache>
                <c:formatCode>General</c:formatCode>
                <c:ptCount val="29"/>
                <c:pt idx="0">
                  <c:v>0.8</c:v>
                </c:pt>
                <c:pt idx="1">
                  <c:v>0.77132544326241148</c:v>
                </c:pt>
                <c:pt idx="2">
                  <c:v>0.77132544326241148</c:v>
                </c:pt>
                <c:pt idx="3">
                  <c:v>0.74793677489412913</c:v>
                </c:pt>
                <c:pt idx="4">
                  <c:v>0.74793677489412913</c:v>
                </c:pt>
                <c:pt idx="5">
                  <c:v>0.72401093509092906</c:v>
                </c:pt>
                <c:pt idx="6">
                  <c:v>0.72401093509092906</c:v>
                </c:pt>
                <c:pt idx="7">
                  <c:v>0.69933633174437126</c:v>
                </c:pt>
                <c:pt idx="8">
                  <c:v>0.69933633174437126</c:v>
                </c:pt>
                <c:pt idx="9">
                  <c:v>0.6735293394108739</c:v>
                </c:pt>
                <c:pt idx="10">
                  <c:v>0.6735293394108739</c:v>
                </c:pt>
                <c:pt idx="11">
                  <c:v>0.64293772700309826</c:v>
                </c:pt>
                <c:pt idx="12">
                  <c:v>0.64293772700309826</c:v>
                </c:pt>
                <c:pt idx="13">
                  <c:v>0.60667442527409987</c:v>
                </c:pt>
                <c:pt idx="14">
                  <c:v>0.60667442527409987</c:v>
                </c:pt>
                <c:pt idx="15">
                  <c:v>0.56212503322954277</c:v>
                </c:pt>
                <c:pt idx="16">
                  <c:v>0.56212503322954277</c:v>
                </c:pt>
                <c:pt idx="17">
                  <c:v>0.49735469827282247</c:v>
                </c:pt>
                <c:pt idx="18">
                  <c:v>0.49735469827282247</c:v>
                </c:pt>
                <c:pt idx="19">
                  <c:v>0.39300492903128431</c:v>
                </c:pt>
                <c:pt idx="20">
                  <c:v>0.39300492903128431</c:v>
                </c:pt>
                <c:pt idx="21">
                  <c:v>0.23558202450184026</c:v>
                </c:pt>
                <c:pt idx="22">
                  <c:v>0.23558202450184026</c:v>
                </c:pt>
                <c:pt idx="23">
                  <c:v>0.10443304168768816</c:v>
                </c:pt>
                <c:pt idx="24">
                  <c:v>0.10443304168768816</c:v>
                </c:pt>
                <c:pt idx="25">
                  <c:v>0.10443304168768816</c:v>
                </c:pt>
                <c:pt idx="26">
                  <c:v>3.5157716539972274E-2</c:v>
                </c:pt>
                <c:pt idx="27">
                  <c:v>3.5157716539972274E-2</c:v>
                </c:pt>
                <c:pt idx="28">
                  <c:v>6.5826380990754701E-3</c:v>
                </c:pt>
              </c:numCache>
            </c:numRef>
          </c:xVal>
          <c:yVal>
            <c:numRef>
              <c:f>'mccabe-thiele'!$AI$2:$AI$30</c:f>
              <c:numCache>
                <c:formatCode>General</c:formatCode>
                <c:ptCount val="29"/>
                <c:pt idx="0">
                  <c:v>0.8</c:v>
                </c:pt>
                <c:pt idx="1">
                  <c:v>0.8</c:v>
                </c:pt>
                <c:pt idx="2">
                  <c:v>0.78206497762105887</c:v>
                </c:pt>
                <c:pt idx="3">
                  <c:v>0.78206497762105887</c:v>
                </c:pt>
                <c:pt idx="4">
                  <c:v>0.76743611013977364</c:v>
                </c:pt>
                <c:pt idx="5">
                  <c:v>0.76743611013977364</c:v>
                </c:pt>
                <c:pt idx="6">
                  <c:v>0.7524712590269107</c:v>
                </c:pt>
                <c:pt idx="7">
                  <c:v>0.7524712590269107</c:v>
                </c:pt>
                <c:pt idx="8">
                  <c:v>0.73703808015471917</c:v>
                </c:pt>
                <c:pt idx="9">
                  <c:v>0.73703808015471917</c:v>
                </c:pt>
                <c:pt idx="10">
                  <c:v>0.72089662802103349</c:v>
                </c:pt>
                <c:pt idx="11">
                  <c:v>0.72089662802103349</c:v>
                </c:pt>
                <c:pt idx="12">
                  <c:v>0.70176254835025254</c:v>
                </c:pt>
                <c:pt idx="13">
                  <c:v>0.70176254835025254</c:v>
                </c:pt>
                <c:pt idx="14">
                  <c:v>0.67908100756844447</c:v>
                </c:pt>
                <c:pt idx="15">
                  <c:v>0.67908100756844447</c:v>
                </c:pt>
                <c:pt idx="16">
                  <c:v>0.65121678108364667</c:v>
                </c:pt>
                <c:pt idx="17">
                  <c:v>0.65121678108364667</c:v>
                </c:pt>
                <c:pt idx="18">
                  <c:v>0.61070499854517357</c:v>
                </c:pt>
                <c:pt idx="19">
                  <c:v>0.61070499854517357</c:v>
                </c:pt>
                <c:pt idx="20">
                  <c:v>0.54543753988099053</c:v>
                </c:pt>
                <c:pt idx="21">
                  <c:v>0.54543753988099053</c:v>
                </c:pt>
                <c:pt idx="22">
                  <c:v>0.44697452468841692</c:v>
                </c:pt>
                <c:pt idx="23">
                  <c:v>0.44697452468841692</c:v>
                </c:pt>
                <c:pt idx="24">
                  <c:v>0.44697452468841692</c:v>
                </c:pt>
                <c:pt idx="25">
                  <c:v>0.23666959875532817</c:v>
                </c:pt>
                <c:pt idx="26">
                  <c:v>0.23666959875532817</c:v>
                </c:pt>
                <c:pt idx="27">
                  <c:v>5.8897288254885785E-2</c:v>
                </c:pt>
                <c:pt idx="28">
                  <c:v>5.8897288254885785E-2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2F-A54E-B80C-DB9499041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321472"/>
        <c:axId val="1174068784"/>
      </c:scatterChart>
      <c:valAx>
        <c:axId val="11743214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068784"/>
        <c:crosses val="autoZero"/>
        <c:crossBetween val="midCat"/>
      </c:valAx>
      <c:valAx>
        <c:axId val="1174068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3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ELV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'240121'!$J$3:$J$18</c:f>
              <c:numCache>
                <c:formatCode>General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0.95</c:v>
                </c:pt>
                <c:pt idx="11">
                  <c:v>1</c:v>
                </c:pt>
              </c:numCache>
            </c:numRef>
          </c:xVal>
          <c:yVal>
            <c:numRef>
              <c:f>'240121'!$K$3:$K$18</c:f>
              <c:numCache>
                <c:formatCode>General</c:formatCode>
                <c:ptCount val="16"/>
                <c:pt idx="0">
                  <c:v>0</c:v>
                </c:pt>
                <c:pt idx="1">
                  <c:v>0.21</c:v>
                </c:pt>
                <c:pt idx="2">
                  <c:v>0.37</c:v>
                </c:pt>
                <c:pt idx="3">
                  <c:v>0.51</c:v>
                </c:pt>
                <c:pt idx="4">
                  <c:v>0.65</c:v>
                </c:pt>
                <c:pt idx="5">
                  <c:v>0.72</c:v>
                </c:pt>
                <c:pt idx="6">
                  <c:v>0.79</c:v>
                </c:pt>
                <c:pt idx="7">
                  <c:v>0.86</c:v>
                </c:pt>
                <c:pt idx="8">
                  <c:v>0.91</c:v>
                </c:pt>
                <c:pt idx="9">
                  <c:v>0.96</c:v>
                </c:pt>
                <c:pt idx="10">
                  <c:v>0.98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7C-5D4E-9EF6-18F2D24902A3}"/>
            </c:ext>
          </c:extLst>
        </c:ser>
        <c:ser>
          <c:idx val="1"/>
          <c:order val="1"/>
          <c:tx>
            <c:v>45˚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E7C-5D4E-9EF6-18F2D24902A3}"/>
            </c:ext>
          </c:extLst>
        </c:ser>
        <c:ser>
          <c:idx val="2"/>
          <c:order val="2"/>
          <c:tx>
            <c:v>Enriquecimiento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'240121'!$M$20:$M$21</c:f>
              <c:numCache>
                <c:formatCode>General</c:formatCode>
                <c:ptCount val="2"/>
                <c:pt idx="0">
                  <c:v>0.96</c:v>
                </c:pt>
                <c:pt idx="1">
                  <c:v>0</c:v>
                </c:pt>
              </c:numCache>
            </c:numRef>
          </c:xVal>
          <c:yVal>
            <c:numRef>
              <c:f>'240121'!$N$20:$N$21</c:f>
              <c:numCache>
                <c:formatCode>General</c:formatCode>
                <c:ptCount val="2"/>
                <c:pt idx="0">
                  <c:v>0.96</c:v>
                </c:pt>
                <c:pt idx="1">
                  <c:v>0.30171428571428571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7C-5D4E-9EF6-18F2D24902A3}"/>
            </c:ext>
          </c:extLst>
        </c:ser>
        <c:ser>
          <c:idx val="3"/>
          <c:order val="3"/>
          <c:tx>
            <c:v>Alimentación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'240121'!$Q$23:$Q$24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'240121'!$R$23:$R$24</c:f>
              <c:numCache>
                <c:formatCode>General</c:formatCode>
                <c:ptCount val="2"/>
                <c:pt idx="0">
                  <c:v>0.5</c:v>
                </c:pt>
                <c:pt idx="1">
                  <c:v>0.64457142857142857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7C-5D4E-9EF6-18F2D24902A3}"/>
            </c:ext>
          </c:extLst>
        </c:ser>
        <c:ser>
          <c:idx val="4"/>
          <c:order val="4"/>
          <c:tx>
            <c:v>Agotamiento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'240121'!$U$10:$U$11</c:f>
              <c:numCache>
                <c:formatCode>General</c:formatCode>
                <c:ptCount val="2"/>
                <c:pt idx="0">
                  <c:v>0.16729726614346113</c:v>
                </c:pt>
                <c:pt idx="1">
                  <c:v>0.5</c:v>
                </c:pt>
              </c:numCache>
            </c:numRef>
          </c:xVal>
          <c:yVal>
            <c:numRef>
              <c:f>'240121'!$V$10:$V$11</c:f>
              <c:numCache>
                <c:formatCode>General</c:formatCode>
                <c:ptCount val="2"/>
                <c:pt idx="0">
                  <c:v>0.16729726614346113</c:v>
                </c:pt>
                <c:pt idx="1">
                  <c:v>0.64457142857142857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7C-5D4E-9EF6-18F2D24902A3}"/>
            </c:ext>
          </c:extLst>
        </c:ser>
        <c:ser>
          <c:idx val="5"/>
          <c:order val="5"/>
          <c:tx>
            <c:v>Pasos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'240121'!$AH$2:$AH$30</c:f>
              <c:numCache>
                <c:formatCode>General</c:formatCode>
                <c:ptCount val="29"/>
                <c:pt idx="0">
                  <c:v>0.96</c:v>
                </c:pt>
                <c:pt idx="1">
                  <c:v>0.9</c:v>
                </c:pt>
                <c:pt idx="2">
                  <c:v>0.9</c:v>
                </c:pt>
                <c:pt idx="3">
                  <c:v>0.81771428571428584</c:v>
                </c:pt>
                <c:pt idx="4">
                  <c:v>0.81771428571428584</c:v>
                </c:pt>
                <c:pt idx="5">
                  <c:v>0.70486530612244924</c:v>
                </c:pt>
                <c:pt idx="6">
                  <c:v>0.70486530612244924</c:v>
                </c:pt>
                <c:pt idx="7">
                  <c:v>0.59292927946688889</c:v>
                </c:pt>
                <c:pt idx="8">
                  <c:v>0.59292927946688889</c:v>
                </c:pt>
                <c:pt idx="9">
                  <c:v>0.48327766151858509</c:v>
                </c:pt>
                <c:pt idx="10">
                  <c:v>0.48327766151858509</c:v>
                </c:pt>
                <c:pt idx="11">
                  <c:v>0.48327766151858509</c:v>
                </c:pt>
                <c:pt idx="12">
                  <c:v>0.37898757223453761</c:v>
                </c:pt>
                <c:pt idx="13">
                  <c:v>0.37898757223453761</c:v>
                </c:pt>
                <c:pt idx="14">
                  <c:v>0.27212465784018325</c:v>
                </c:pt>
                <c:pt idx="15">
                  <c:v>0.27212465784018325</c:v>
                </c:pt>
                <c:pt idx="16">
                  <c:v>0.16729726614346113</c:v>
                </c:pt>
                <c:pt idx="17">
                  <c:v>0.16729726614346113</c:v>
                </c:pt>
              </c:numCache>
            </c:numRef>
          </c:xVal>
          <c:yVal>
            <c:numRef>
              <c:f>'240121'!$AI$2:$AI$30</c:f>
              <c:numCache>
                <c:formatCode>General</c:formatCode>
                <c:ptCount val="29"/>
                <c:pt idx="0">
                  <c:v>0.96</c:v>
                </c:pt>
                <c:pt idx="1">
                  <c:v>0.96</c:v>
                </c:pt>
                <c:pt idx="2">
                  <c:v>0.91885714285714293</c:v>
                </c:pt>
                <c:pt idx="3">
                  <c:v>0.91885714285714293</c:v>
                </c:pt>
                <c:pt idx="4">
                  <c:v>0.86243265306122463</c:v>
                </c:pt>
                <c:pt idx="5">
                  <c:v>0.86243265306122463</c:v>
                </c:pt>
                <c:pt idx="6">
                  <c:v>0.78505049562682228</c:v>
                </c:pt>
                <c:pt idx="7">
                  <c:v>0.78505049562682228</c:v>
                </c:pt>
                <c:pt idx="8">
                  <c:v>0.70829436306300952</c:v>
                </c:pt>
                <c:pt idx="9">
                  <c:v>0.70829436306300952</c:v>
                </c:pt>
                <c:pt idx="10">
                  <c:v>0.70829436306300952</c:v>
                </c:pt>
                <c:pt idx="11">
                  <c:v>0.62058260112835262</c:v>
                </c:pt>
                <c:pt idx="12">
                  <c:v>0.62058260112835262</c:v>
                </c:pt>
                <c:pt idx="13">
                  <c:v>0.47097452097625658</c:v>
                </c:pt>
                <c:pt idx="14">
                  <c:v>0.47097452097625658</c:v>
                </c:pt>
                <c:pt idx="15">
                  <c:v>0.31767562582953779</c:v>
                </c:pt>
                <c:pt idx="16">
                  <c:v>0.31767562582953779</c:v>
                </c:pt>
                <c:pt idx="17">
                  <c:v>0.16729676503113894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7C-5D4E-9EF6-18F2D2490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321472"/>
        <c:axId val="1174068784"/>
      </c:scatterChart>
      <c:valAx>
        <c:axId val="11743214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068784"/>
        <c:crosses val="autoZero"/>
        <c:crossBetween val="midCat"/>
      </c:valAx>
      <c:valAx>
        <c:axId val="1174068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3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ELV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'240121'!$J$33:$J$44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0.95</c:v>
                </c:pt>
                <c:pt idx="11">
                  <c:v>1</c:v>
                </c:pt>
              </c:numCache>
            </c:numRef>
          </c:xVal>
          <c:yVal>
            <c:numRef>
              <c:f>'240121'!$K$33:$K$44</c:f>
              <c:numCache>
                <c:formatCode>General</c:formatCode>
                <c:ptCount val="12"/>
                <c:pt idx="0">
                  <c:v>0</c:v>
                </c:pt>
                <c:pt idx="1">
                  <c:v>0.21</c:v>
                </c:pt>
                <c:pt idx="2">
                  <c:v>0.37</c:v>
                </c:pt>
                <c:pt idx="3">
                  <c:v>0.51</c:v>
                </c:pt>
                <c:pt idx="4">
                  <c:v>0.65</c:v>
                </c:pt>
                <c:pt idx="5">
                  <c:v>0.72</c:v>
                </c:pt>
                <c:pt idx="6">
                  <c:v>0.79</c:v>
                </c:pt>
                <c:pt idx="7">
                  <c:v>0.86</c:v>
                </c:pt>
                <c:pt idx="8">
                  <c:v>0.91</c:v>
                </c:pt>
                <c:pt idx="9">
                  <c:v>0.96</c:v>
                </c:pt>
                <c:pt idx="10">
                  <c:v>0.98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45-644B-8E54-37A5BA23199D}"/>
            </c:ext>
          </c:extLst>
        </c:ser>
        <c:ser>
          <c:idx val="1"/>
          <c:order val="1"/>
          <c:tx>
            <c:v>45˚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B45-644B-8E54-37A5BA23199D}"/>
            </c:ext>
          </c:extLst>
        </c:ser>
        <c:ser>
          <c:idx val="2"/>
          <c:order val="2"/>
          <c:tx>
            <c:v>Enriquecimiento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'240121'!$M$50:$M$51</c:f>
              <c:numCache>
                <c:formatCode>General</c:formatCode>
                <c:ptCount val="2"/>
                <c:pt idx="0">
                  <c:v>0.96</c:v>
                </c:pt>
                <c:pt idx="1">
                  <c:v>0</c:v>
                </c:pt>
              </c:numCache>
            </c:numRef>
          </c:xVal>
          <c:yVal>
            <c:numRef>
              <c:f>'240121'!$N$50:$N$51</c:f>
              <c:numCache>
                <c:formatCode>General</c:formatCode>
                <c:ptCount val="2"/>
                <c:pt idx="0">
                  <c:v>0.96</c:v>
                </c:pt>
                <c:pt idx="1">
                  <c:v>0.45913043478260868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45-644B-8E54-37A5BA23199D}"/>
            </c:ext>
          </c:extLst>
        </c:ser>
        <c:ser>
          <c:idx val="3"/>
          <c:order val="3"/>
          <c:tx>
            <c:v>Alimentación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'240121'!$Q$53:$Q$54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'240121'!$R$53:$R$54</c:f>
              <c:numCache>
                <c:formatCode>General</c:formatCode>
                <c:ptCount val="2"/>
                <c:pt idx="0">
                  <c:v>0.5</c:v>
                </c:pt>
                <c:pt idx="1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45-644B-8E54-37A5BA23199D}"/>
            </c:ext>
          </c:extLst>
        </c:ser>
        <c:ser>
          <c:idx val="4"/>
          <c:order val="4"/>
          <c:tx>
            <c:v>Agotamiento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'240121'!$U$40:$U$41</c:f>
              <c:numCache>
                <c:formatCode>General</c:formatCode>
                <c:ptCount val="2"/>
              </c:numCache>
            </c:numRef>
          </c:xVal>
          <c:yVal>
            <c:numRef>
              <c:f>'240121'!$V$40:$V$41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45-644B-8E54-37A5BA23199D}"/>
            </c:ext>
          </c:extLst>
        </c:ser>
        <c:ser>
          <c:idx val="5"/>
          <c:order val="5"/>
          <c:tx>
            <c:v>Pasos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'240121'!$AH$32:$AH$59</c:f>
              <c:numCache>
                <c:formatCode>General</c:formatCode>
                <c:ptCount val="28"/>
              </c:numCache>
            </c:numRef>
          </c:xVal>
          <c:yVal>
            <c:numRef>
              <c:f>'240121'!$AI$32:$AI$59</c:f>
              <c:numCache>
                <c:formatCode>General</c:formatCode>
                <c:ptCount val="2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B45-644B-8E54-37A5BA231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321472"/>
        <c:axId val="1174068784"/>
      </c:scatterChart>
      <c:valAx>
        <c:axId val="11743214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068784"/>
        <c:crosses val="autoZero"/>
        <c:crossBetween val="midCat"/>
      </c:valAx>
      <c:valAx>
        <c:axId val="1174068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3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ELV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'713'!$J$3:$J$18</c:f>
              <c:numCache>
                <c:formatCode>General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0.95</c:v>
                </c:pt>
                <c:pt idx="11">
                  <c:v>1</c:v>
                </c:pt>
              </c:numCache>
            </c:numRef>
          </c:xVal>
          <c:yVal>
            <c:numRef>
              <c:f>'713'!$K$3:$K$18</c:f>
              <c:numCache>
                <c:formatCode>General</c:formatCode>
                <c:ptCount val="16"/>
                <c:pt idx="0">
                  <c:v>0</c:v>
                </c:pt>
                <c:pt idx="1">
                  <c:v>0.21</c:v>
                </c:pt>
                <c:pt idx="2">
                  <c:v>0.37</c:v>
                </c:pt>
                <c:pt idx="3">
                  <c:v>0.51</c:v>
                </c:pt>
                <c:pt idx="4">
                  <c:v>0.65</c:v>
                </c:pt>
                <c:pt idx="5">
                  <c:v>0.72</c:v>
                </c:pt>
                <c:pt idx="6">
                  <c:v>0.79</c:v>
                </c:pt>
                <c:pt idx="7">
                  <c:v>0.86</c:v>
                </c:pt>
                <c:pt idx="8">
                  <c:v>0.91</c:v>
                </c:pt>
                <c:pt idx="9">
                  <c:v>0.96</c:v>
                </c:pt>
                <c:pt idx="10">
                  <c:v>0.98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CA-9D40-9BBC-313ED3060BCD}"/>
            </c:ext>
          </c:extLst>
        </c:ser>
        <c:ser>
          <c:idx val="1"/>
          <c:order val="1"/>
          <c:tx>
            <c:v>45˚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8CA-9D40-9BBC-313ED3060BCD}"/>
            </c:ext>
          </c:extLst>
        </c:ser>
        <c:ser>
          <c:idx val="2"/>
          <c:order val="2"/>
          <c:tx>
            <c:v>Enriquecimiento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'713'!$M$20:$M$21</c:f>
              <c:numCache>
                <c:formatCode>General</c:formatCode>
                <c:ptCount val="2"/>
                <c:pt idx="0">
                  <c:v>0.97445134110561482</c:v>
                </c:pt>
                <c:pt idx="1">
                  <c:v>0</c:v>
                </c:pt>
              </c:numCache>
            </c:numRef>
          </c:xVal>
          <c:yVal>
            <c:numRef>
              <c:f>'713'!$N$20:$N$21</c:f>
              <c:numCache>
                <c:formatCode>General</c:formatCode>
                <c:ptCount val="2"/>
                <c:pt idx="0">
                  <c:v>0.97445134110561482</c:v>
                </c:pt>
                <c:pt idx="1">
                  <c:v>0.21654474246791441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CA-9D40-9BBC-313ED3060BCD}"/>
            </c:ext>
          </c:extLst>
        </c:ser>
        <c:ser>
          <c:idx val="3"/>
          <c:order val="3"/>
          <c:tx>
            <c:v>Alimentación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'713'!$Q$23:$Q$24</c:f>
              <c:numCache>
                <c:formatCode>General</c:formatCode>
                <c:ptCount val="2"/>
                <c:pt idx="0">
                  <c:v>0.44021881942619628</c:v>
                </c:pt>
                <c:pt idx="1">
                  <c:v>0.44021881942619628</c:v>
                </c:pt>
              </c:numCache>
            </c:numRef>
          </c:xVal>
          <c:yVal>
            <c:numRef>
              <c:f>'713'!$R$23:$R$24</c:f>
              <c:numCache>
                <c:formatCode>General</c:formatCode>
                <c:ptCount val="2"/>
                <c:pt idx="0">
                  <c:v>0.44021881942619628</c:v>
                </c:pt>
                <c:pt idx="1">
                  <c:v>0.67800000000000005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CA-9D40-9BBC-313ED3060BCD}"/>
            </c:ext>
          </c:extLst>
        </c:ser>
        <c:ser>
          <c:idx val="4"/>
          <c:order val="4"/>
          <c:tx>
            <c:v>Agotamiento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'713'!$U$10:$U$11</c:f>
              <c:numCache>
                <c:formatCode>General</c:formatCode>
                <c:ptCount val="2"/>
                <c:pt idx="0">
                  <c:v>2.3507920592520042E-2</c:v>
                </c:pt>
                <c:pt idx="1">
                  <c:v>0.44021881942619628</c:v>
                </c:pt>
              </c:numCache>
            </c:numRef>
          </c:xVal>
          <c:yVal>
            <c:numRef>
              <c:f>'713'!$V$10:$V$11</c:f>
              <c:numCache>
                <c:formatCode>General</c:formatCode>
                <c:ptCount val="2"/>
                <c:pt idx="0">
                  <c:v>2.3507920592520042E-2</c:v>
                </c:pt>
                <c:pt idx="1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CA-9D40-9BBC-313ED3060BCD}"/>
            </c:ext>
          </c:extLst>
        </c:ser>
        <c:ser>
          <c:idx val="5"/>
          <c:order val="5"/>
          <c:tx>
            <c:v>Pasos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'713'!$AH$2:$AH$30</c:f>
              <c:numCache>
                <c:formatCode>General</c:formatCode>
                <c:ptCount val="29"/>
                <c:pt idx="0">
                  <c:v>0.97445134110561482</c:v>
                </c:pt>
                <c:pt idx="1">
                  <c:v>0.93410000000000004</c:v>
                </c:pt>
                <c:pt idx="2">
                  <c:v>0.93410000000000004</c:v>
                </c:pt>
                <c:pt idx="3">
                  <c:v>0.87119999999999997</c:v>
                </c:pt>
                <c:pt idx="4">
                  <c:v>0.87119999999999997</c:v>
                </c:pt>
                <c:pt idx="5">
                  <c:v>0.76800000000000002</c:v>
                </c:pt>
                <c:pt idx="6">
                  <c:v>0.76800000000000002</c:v>
                </c:pt>
                <c:pt idx="7">
                  <c:v>0.63500000000000001</c:v>
                </c:pt>
                <c:pt idx="8">
                  <c:v>0.63500000000000001</c:v>
                </c:pt>
                <c:pt idx="9">
                  <c:v>0.48699999999999999</c:v>
                </c:pt>
                <c:pt idx="10">
                  <c:v>0.48699999999999999</c:v>
                </c:pt>
                <c:pt idx="11">
                  <c:v>0.36199999999999999</c:v>
                </c:pt>
                <c:pt idx="12">
                  <c:v>0.36199999999999999</c:v>
                </c:pt>
                <c:pt idx="13">
                  <c:v>0.26300000000000001</c:v>
                </c:pt>
                <c:pt idx="14">
                  <c:v>0.26300000000000001</c:v>
                </c:pt>
                <c:pt idx="15">
                  <c:v>0.17699999999999999</c:v>
                </c:pt>
                <c:pt idx="16">
                  <c:v>0.17699999999999999</c:v>
                </c:pt>
                <c:pt idx="17">
                  <c:v>0.109</c:v>
                </c:pt>
                <c:pt idx="18">
                  <c:v>0.109</c:v>
                </c:pt>
                <c:pt idx="19">
                  <c:v>6.4000000000000001E-2</c:v>
                </c:pt>
                <c:pt idx="20">
                  <c:v>6.4000000000000001E-2</c:v>
                </c:pt>
                <c:pt idx="21">
                  <c:v>3.6999999999999998E-2</c:v>
                </c:pt>
                <c:pt idx="22">
                  <c:v>3.6999999999999998E-2</c:v>
                </c:pt>
                <c:pt idx="23">
                  <c:v>1.9E-2</c:v>
                </c:pt>
              </c:numCache>
            </c:numRef>
          </c:xVal>
          <c:yVal>
            <c:numRef>
              <c:f>'713'!$AI$2:$AI$30</c:f>
              <c:numCache>
                <c:formatCode>General</c:formatCode>
                <c:ptCount val="29"/>
                <c:pt idx="0">
                  <c:v>0.97445134110561482</c:v>
                </c:pt>
                <c:pt idx="1">
                  <c:v>0.97445134110561482</c:v>
                </c:pt>
                <c:pt idx="2">
                  <c:v>0.94520000000000004</c:v>
                </c:pt>
                <c:pt idx="3">
                  <c:v>0.94520000000000004</c:v>
                </c:pt>
                <c:pt idx="4">
                  <c:v>0.89490000000000003</c:v>
                </c:pt>
                <c:pt idx="5">
                  <c:v>0.89490000000000003</c:v>
                </c:pt>
                <c:pt idx="6">
                  <c:v>0.81499999999999995</c:v>
                </c:pt>
                <c:pt idx="7">
                  <c:v>0.81499999999999995</c:v>
                </c:pt>
                <c:pt idx="8">
                  <c:v>0.71199999999999997</c:v>
                </c:pt>
                <c:pt idx="9">
                  <c:v>0.71199999999999997</c:v>
                </c:pt>
                <c:pt idx="10">
                  <c:v>0.59609999999999996</c:v>
                </c:pt>
                <c:pt idx="11">
                  <c:v>0.59609999999999996</c:v>
                </c:pt>
                <c:pt idx="12">
                  <c:v>0.45800000000000002</c:v>
                </c:pt>
                <c:pt idx="13">
                  <c:v>0.45800000000000002</c:v>
                </c:pt>
                <c:pt idx="14">
                  <c:v>0.33500000000000002</c:v>
                </c:pt>
                <c:pt idx="15">
                  <c:v>0.33500000000000002</c:v>
                </c:pt>
                <c:pt idx="16">
                  <c:v>0.223</c:v>
                </c:pt>
                <c:pt idx="17">
                  <c:v>0.223</c:v>
                </c:pt>
                <c:pt idx="18">
                  <c:v>0.13500000000000001</c:v>
                </c:pt>
                <c:pt idx="19">
                  <c:v>0.13500000000000001</c:v>
                </c:pt>
                <c:pt idx="20">
                  <c:v>7.6999999999999999E-2</c:v>
                </c:pt>
                <c:pt idx="21">
                  <c:v>7.6999999999999999E-2</c:v>
                </c:pt>
                <c:pt idx="22">
                  <c:v>4.1000000000000002E-2</c:v>
                </c:pt>
                <c:pt idx="23">
                  <c:v>4.1000000000000002E-2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CA-9D40-9BBC-313ED3060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321472"/>
        <c:axId val="1174068784"/>
      </c:scatterChart>
      <c:valAx>
        <c:axId val="11743214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068784"/>
        <c:crosses val="autoZero"/>
        <c:crossBetween val="midCat"/>
      </c:valAx>
      <c:valAx>
        <c:axId val="1174068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3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ELV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'Vapor Vivo'!$J$3:$J$29</c:f>
              <c:numCache>
                <c:formatCode>General</c:formatCode>
                <c:ptCount val="27"/>
                <c:pt idx="0">
                  <c:v>0</c:v>
                </c:pt>
                <c:pt idx="1">
                  <c:v>4.3499999999999997E-2</c:v>
                </c:pt>
                <c:pt idx="2">
                  <c:v>8.72E-2</c:v>
                </c:pt>
                <c:pt idx="3">
                  <c:v>0.12479999999999999</c:v>
                </c:pt>
                <c:pt idx="4">
                  <c:v>0.219</c:v>
                </c:pt>
                <c:pt idx="5">
                  <c:v>0.27500000000000002</c:v>
                </c:pt>
                <c:pt idx="6">
                  <c:v>0.40799999999999997</c:v>
                </c:pt>
                <c:pt idx="7">
                  <c:v>0.48</c:v>
                </c:pt>
                <c:pt idx="8">
                  <c:v>0.58979999999999999</c:v>
                </c:pt>
                <c:pt idx="9">
                  <c:v>0.6512</c:v>
                </c:pt>
                <c:pt idx="10">
                  <c:v>0.74</c:v>
                </c:pt>
                <c:pt idx="11">
                  <c:v>0.80120000000000002</c:v>
                </c:pt>
                <c:pt idx="12">
                  <c:v>0.88400000000000001</c:v>
                </c:pt>
                <c:pt idx="13">
                  <c:v>0.93940000000000001</c:v>
                </c:pt>
                <c:pt idx="14">
                  <c:v>0.97699999999999998</c:v>
                </c:pt>
                <c:pt idx="15">
                  <c:v>0.99099999999999999</c:v>
                </c:pt>
                <c:pt idx="16">
                  <c:v>0.99729999999999996</c:v>
                </c:pt>
                <c:pt idx="17">
                  <c:v>1</c:v>
                </c:pt>
              </c:numCache>
            </c:numRef>
          </c:xVal>
          <c:yVal>
            <c:numRef>
              <c:f>'Vapor Vivo'!$K$3:$K$20</c:f>
              <c:numCache>
                <c:formatCode>General</c:formatCode>
                <c:ptCount val="18"/>
                <c:pt idx="0">
                  <c:v>0</c:v>
                </c:pt>
                <c:pt idx="1">
                  <c:v>0.34100000000000003</c:v>
                </c:pt>
                <c:pt idx="2">
                  <c:v>0.51200000000000001</c:v>
                </c:pt>
                <c:pt idx="3">
                  <c:v>0.625</c:v>
                </c:pt>
                <c:pt idx="4">
                  <c:v>0.78500000000000003</c:v>
                </c:pt>
                <c:pt idx="5">
                  <c:v>0.80700000000000005</c:v>
                </c:pt>
                <c:pt idx="6">
                  <c:v>0.87250000000000005</c:v>
                </c:pt>
                <c:pt idx="7">
                  <c:v>0.8901</c:v>
                </c:pt>
                <c:pt idx="8">
                  <c:v>0.91590000000000005</c:v>
                </c:pt>
                <c:pt idx="9">
                  <c:v>0.92600000000000005</c:v>
                </c:pt>
                <c:pt idx="10">
                  <c:v>0.94630000000000003</c:v>
                </c:pt>
                <c:pt idx="11">
                  <c:v>0.95450000000000002</c:v>
                </c:pt>
                <c:pt idx="12">
                  <c:v>0.97499999999999998</c:v>
                </c:pt>
                <c:pt idx="13">
                  <c:v>0.98609999999999998</c:v>
                </c:pt>
                <c:pt idx="14">
                  <c:v>0.99480000000000002</c:v>
                </c:pt>
                <c:pt idx="15">
                  <c:v>0.998</c:v>
                </c:pt>
                <c:pt idx="16">
                  <c:v>0.99929999999999997</c:v>
                </c:pt>
                <c:pt idx="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12-714F-B8B3-B086954609F3}"/>
            </c:ext>
          </c:extLst>
        </c:ser>
        <c:ser>
          <c:idx val="1"/>
          <c:order val="1"/>
          <c:tx>
            <c:v>45˚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E12-714F-B8B3-B086954609F3}"/>
            </c:ext>
          </c:extLst>
        </c:ser>
        <c:ser>
          <c:idx val="2"/>
          <c:order val="2"/>
          <c:tx>
            <c:v>Enriquecimiento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'Vapor Vivo'!$M$20:$M$21</c:f>
              <c:numCache>
                <c:formatCode>General</c:formatCode>
                <c:ptCount val="2"/>
                <c:pt idx="0">
                  <c:v>0.95</c:v>
                </c:pt>
                <c:pt idx="1">
                  <c:v>0</c:v>
                </c:pt>
              </c:numCache>
            </c:numRef>
          </c:xVal>
          <c:yVal>
            <c:numRef>
              <c:f>'Vapor Vivo'!$N$20:$N$21</c:f>
              <c:numCache>
                <c:formatCode>General</c:formatCode>
                <c:ptCount val="2"/>
                <c:pt idx="0">
                  <c:v>0.95</c:v>
                </c:pt>
                <c:pt idx="1">
                  <c:v>0.6333333333333333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12-714F-B8B3-B086954609F3}"/>
            </c:ext>
          </c:extLst>
        </c:ser>
        <c:ser>
          <c:idx val="3"/>
          <c:order val="3"/>
          <c:tx>
            <c:v>Alimentación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'Vapor Vivo'!$Q$23:$Q$24</c:f>
              <c:numCache>
                <c:formatCode>General</c:formatCode>
                <c:ptCount val="2"/>
                <c:pt idx="0">
                  <c:v>0.4</c:v>
                </c:pt>
                <c:pt idx="1">
                  <c:v>0.4</c:v>
                </c:pt>
              </c:numCache>
            </c:numRef>
          </c:xVal>
          <c:yVal>
            <c:numRef>
              <c:f>'Vapor Vivo'!$R$23:$R$24</c:f>
              <c:numCache>
                <c:formatCode>General</c:formatCode>
                <c:ptCount val="2"/>
                <c:pt idx="0">
                  <c:v>0.4</c:v>
                </c:pt>
                <c:pt idx="1">
                  <c:v>0.76700000000000002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12-714F-B8B3-B086954609F3}"/>
            </c:ext>
          </c:extLst>
        </c:ser>
        <c:ser>
          <c:idx val="4"/>
          <c:order val="4"/>
          <c:tx>
            <c:v>Agotamiento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'Vapor Vivo'!$U$10:$U$11</c:f>
              <c:numCache>
                <c:formatCode>General</c:formatCode>
                <c:ptCount val="2"/>
                <c:pt idx="0">
                  <c:v>0.05</c:v>
                </c:pt>
                <c:pt idx="1">
                  <c:v>0.4</c:v>
                </c:pt>
              </c:numCache>
            </c:numRef>
          </c:xVal>
          <c:yVal>
            <c:numRef>
              <c:f>'Vapor Vivo'!$V$10:$V$11</c:f>
              <c:numCache>
                <c:formatCode>General</c:formatCode>
                <c:ptCount val="2"/>
                <c:pt idx="0">
                  <c:v>0</c:v>
                </c:pt>
                <c:pt idx="1">
                  <c:v>0.76700000000000002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12-714F-B8B3-B086954609F3}"/>
            </c:ext>
          </c:extLst>
        </c:ser>
        <c:ser>
          <c:idx val="5"/>
          <c:order val="5"/>
          <c:tx>
            <c:v>Pasos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'Vapor Vivo'!$AH$2:$AH$30</c:f>
              <c:numCache>
                <c:formatCode>General</c:formatCode>
                <c:ptCount val="29"/>
                <c:pt idx="0">
                  <c:v>0.95</c:v>
                </c:pt>
                <c:pt idx="1">
                  <c:v>0.76900000000000002</c:v>
                </c:pt>
                <c:pt idx="2">
                  <c:v>0.76900000000000002</c:v>
                </c:pt>
                <c:pt idx="3">
                  <c:v>0.48</c:v>
                </c:pt>
                <c:pt idx="4">
                  <c:v>0.48</c:v>
                </c:pt>
                <c:pt idx="5">
                  <c:v>0.24399999999999999</c:v>
                </c:pt>
                <c:pt idx="6">
                  <c:v>0.24399999999999999</c:v>
                </c:pt>
                <c:pt idx="7">
                  <c:v>6.6000000000000003E-2</c:v>
                </c:pt>
                <c:pt idx="8">
                  <c:v>6.6000000000000003E-2</c:v>
                </c:pt>
                <c:pt idx="9">
                  <c:v>5.0000000000000001E-3</c:v>
                </c:pt>
              </c:numCache>
            </c:numRef>
          </c:xVal>
          <c:yVal>
            <c:numRef>
              <c:f>'Vapor Vivo'!$AI$2:$AI$30</c:f>
              <c:numCache>
                <c:formatCode>General</c:formatCode>
                <c:ptCount val="29"/>
                <c:pt idx="0">
                  <c:v>0.95</c:v>
                </c:pt>
                <c:pt idx="1">
                  <c:v>0.95</c:v>
                </c:pt>
                <c:pt idx="2">
                  <c:v>0.89</c:v>
                </c:pt>
                <c:pt idx="3">
                  <c:v>0.89</c:v>
                </c:pt>
                <c:pt idx="4">
                  <c:v>0.79400000000000004</c:v>
                </c:pt>
                <c:pt idx="5">
                  <c:v>0.79400000000000004</c:v>
                </c:pt>
                <c:pt idx="6">
                  <c:v>0.42599999999999999</c:v>
                </c:pt>
                <c:pt idx="7">
                  <c:v>0.42599999999999999</c:v>
                </c:pt>
                <c:pt idx="8">
                  <c:v>3.7999999999999999E-2</c:v>
                </c:pt>
                <c:pt idx="9">
                  <c:v>3.7999999999999999E-2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12-714F-B8B3-B08695460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321472"/>
        <c:axId val="1174068784"/>
      </c:scatterChart>
      <c:valAx>
        <c:axId val="11743214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068784"/>
        <c:crosses val="autoZero"/>
        <c:crossBetween val="midCat"/>
      </c:valAx>
      <c:valAx>
        <c:axId val="1174068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3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chart" Target="../charts/chart1.xml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chart" Target="../charts/chart4.xml"/><Relationship Id="rId4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chart" Target="../charts/chart5.xml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8</xdr:row>
      <xdr:rowOff>38100</xdr:rowOff>
    </xdr:from>
    <xdr:to>
      <xdr:col>4</xdr:col>
      <xdr:colOff>50800</xdr:colOff>
      <xdr:row>23</xdr:row>
      <xdr:rowOff>127000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647292CB-02E9-CB4C-814B-55E0E339A22C}"/>
            </a:ext>
          </a:extLst>
        </xdr:cNvPr>
        <xdr:cNvGrpSpPr/>
      </xdr:nvGrpSpPr>
      <xdr:grpSpPr>
        <a:xfrm>
          <a:off x="2501900" y="1663700"/>
          <a:ext cx="914400" cy="3136900"/>
          <a:chOff x="3187700" y="1168400"/>
          <a:chExt cx="914400" cy="3136900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38E388B0-1D43-114C-9996-9CBF9B9FF4E6}"/>
              </a:ext>
            </a:extLst>
          </xdr:cNvPr>
          <xdr:cNvSpPr/>
        </xdr:nvSpPr>
        <xdr:spPr>
          <a:xfrm>
            <a:off x="3187700" y="1651000"/>
            <a:ext cx="914400" cy="22225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P = 1 atm</a:t>
            </a:r>
          </a:p>
        </xdr:txBody>
      </xdr:sp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68AAF269-F688-C240-9558-9E2E3BE6144E}"/>
              </a:ext>
            </a:extLst>
          </xdr:cNvPr>
          <xdr:cNvSpPr/>
        </xdr:nvSpPr>
        <xdr:spPr>
          <a:xfrm>
            <a:off x="3187700" y="1168400"/>
            <a:ext cx="914400" cy="914400"/>
          </a:xfrm>
          <a:prstGeom prst="ellips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Oval 3">
            <a:extLst>
              <a:ext uri="{FF2B5EF4-FFF2-40B4-BE49-F238E27FC236}">
                <a16:creationId xmlns:a16="http://schemas.microsoft.com/office/drawing/2014/main" id="{CDE89311-8266-D047-AEF4-792FCE056B31}"/>
              </a:ext>
            </a:extLst>
          </xdr:cNvPr>
          <xdr:cNvSpPr/>
        </xdr:nvSpPr>
        <xdr:spPr>
          <a:xfrm>
            <a:off x="3187700" y="3390900"/>
            <a:ext cx="914400" cy="914400"/>
          </a:xfrm>
          <a:prstGeom prst="ellips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16</xdr:row>
      <xdr:rowOff>6350</xdr:rowOff>
    </xdr:from>
    <xdr:to>
      <xdr:col>2</xdr:col>
      <xdr:colOff>850900</xdr:colOff>
      <xdr:row>16</xdr:row>
      <xdr:rowOff>6350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C4D38A1-2385-4742-9382-CA0B2197BD81}"/>
            </a:ext>
          </a:extLst>
        </xdr:cNvPr>
        <xdr:cNvCxnSpPr>
          <a:endCxn id="2" idx="1"/>
        </xdr:cNvCxnSpPr>
      </xdr:nvCxnSpPr>
      <xdr:spPr>
        <a:xfrm flipV="1">
          <a:off x="0" y="3257550"/>
          <a:ext cx="25019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6</xdr:row>
      <xdr:rowOff>25400</xdr:rowOff>
    </xdr:from>
    <xdr:to>
      <xdr:col>4</xdr:col>
      <xdr:colOff>495300</xdr:colOff>
      <xdr:row>8</xdr:row>
      <xdr:rowOff>38100</xdr:rowOff>
    </xdr:to>
    <xdr:cxnSp macro="">
      <xdr:nvCxnSpPr>
        <xdr:cNvPr id="13" name="Elbow Connector 12">
          <a:extLst>
            <a:ext uri="{FF2B5EF4-FFF2-40B4-BE49-F238E27FC236}">
              <a16:creationId xmlns:a16="http://schemas.microsoft.com/office/drawing/2014/main" id="{07C21BA1-C8D7-634E-A325-31A2D4B7DC25}"/>
            </a:ext>
          </a:extLst>
        </xdr:cNvPr>
        <xdr:cNvCxnSpPr>
          <a:stCxn id="3" idx="0"/>
          <a:endCxn id="14" idx="2"/>
        </xdr:cNvCxnSpPr>
      </xdr:nvCxnSpPr>
      <xdr:spPr>
        <a:xfrm rot="5400000" flipH="1" flipV="1">
          <a:off x="3200400" y="1003300"/>
          <a:ext cx="419100" cy="9017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3</xdr:row>
      <xdr:rowOff>177800</xdr:rowOff>
    </xdr:from>
    <xdr:to>
      <xdr:col>5</xdr:col>
      <xdr:colOff>584200</xdr:colOff>
      <xdr:row>8</xdr:row>
      <xdr:rowOff>76200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D65E99B2-2BCA-904B-BE93-644F07BA9574}"/>
            </a:ext>
          </a:extLst>
        </xdr:cNvPr>
        <xdr:cNvSpPr/>
      </xdr:nvSpPr>
      <xdr:spPr>
        <a:xfrm>
          <a:off x="3860800" y="787400"/>
          <a:ext cx="914400" cy="914400"/>
        </a:xfrm>
        <a:prstGeom prst="ellipse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482600</xdr:colOff>
      <xdr:row>3</xdr:row>
      <xdr:rowOff>152400</xdr:rowOff>
    </xdr:from>
    <xdr:to>
      <xdr:col>5</xdr:col>
      <xdr:colOff>635000</xdr:colOff>
      <xdr:row>8</xdr:row>
      <xdr:rowOff>76200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D629B244-DC87-B54E-963E-970B45F0594F}"/>
            </a:ext>
          </a:extLst>
        </xdr:cNvPr>
        <xdr:cNvCxnSpPr/>
      </xdr:nvCxnSpPr>
      <xdr:spPr>
        <a:xfrm flipV="1">
          <a:off x="3848100" y="762000"/>
          <a:ext cx="977900" cy="939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50800</xdr:colOff>
      <xdr:row>8</xdr:row>
      <xdr:rowOff>76200</xdr:rowOff>
    </xdr:from>
    <xdr:to>
      <xdr:col>5</xdr:col>
      <xdr:colOff>127000</xdr:colOff>
      <xdr:row>10</xdr:row>
      <xdr:rowOff>88900</xdr:rowOff>
    </xdr:to>
    <xdr:cxnSp macro="">
      <xdr:nvCxnSpPr>
        <xdr:cNvPr id="21" name="Elbow Connector 20">
          <a:extLst>
            <a:ext uri="{FF2B5EF4-FFF2-40B4-BE49-F238E27FC236}">
              <a16:creationId xmlns:a16="http://schemas.microsoft.com/office/drawing/2014/main" id="{05402F8F-5ADC-BA41-8F4E-D5C72E3C74AB}"/>
            </a:ext>
          </a:extLst>
        </xdr:cNvPr>
        <xdr:cNvCxnSpPr>
          <a:stCxn id="14" idx="4"/>
          <a:endCxn id="3" idx="6"/>
        </xdr:cNvCxnSpPr>
      </xdr:nvCxnSpPr>
      <xdr:spPr>
        <a:xfrm rot="5400000">
          <a:off x="3657600" y="1460500"/>
          <a:ext cx="419100" cy="9017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127000</xdr:colOff>
      <xdr:row>8</xdr:row>
      <xdr:rowOff>76200</xdr:rowOff>
    </xdr:from>
    <xdr:to>
      <xdr:col>9</xdr:col>
      <xdr:colOff>12700</xdr:colOff>
      <xdr:row>10</xdr:row>
      <xdr:rowOff>88900</xdr:rowOff>
    </xdr:to>
    <xdr:cxnSp macro="">
      <xdr:nvCxnSpPr>
        <xdr:cNvPr id="23" name="Elbow Connector 22">
          <a:extLst>
            <a:ext uri="{FF2B5EF4-FFF2-40B4-BE49-F238E27FC236}">
              <a16:creationId xmlns:a16="http://schemas.microsoft.com/office/drawing/2014/main" id="{0EB0BBEC-47CE-664C-8A11-273F1F56C8B9}"/>
            </a:ext>
          </a:extLst>
        </xdr:cNvPr>
        <xdr:cNvCxnSpPr>
          <a:stCxn id="14" idx="4"/>
        </xdr:cNvCxnSpPr>
      </xdr:nvCxnSpPr>
      <xdr:spPr>
        <a:xfrm rot="16200000" flipH="1">
          <a:off x="5702300" y="317500"/>
          <a:ext cx="419100" cy="31877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23</xdr:row>
      <xdr:rowOff>127000</xdr:rowOff>
    </xdr:from>
    <xdr:to>
      <xdr:col>4</xdr:col>
      <xdr:colOff>482600</xdr:colOff>
      <xdr:row>24</xdr:row>
      <xdr:rowOff>165100</xdr:rowOff>
    </xdr:to>
    <xdr:cxnSp macro="">
      <xdr:nvCxnSpPr>
        <xdr:cNvPr id="25" name="Elbow Connector 24">
          <a:extLst>
            <a:ext uri="{FF2B5EF4-FFF2-40B4-BE49-F238E27FC236}">
              <a16:creationId xmlns:a16="http://schemas.microsoft.com/office/drawing/2014/main" id="{2B1E6F5B-87D8-5740-9CE7-F011B34B053E}"/>
            </a:ext>
          </a:extLst>
        </xdr:cNvPr>
        <xdr:cNvCxnSpPr>
          <a:stCxn id="4" idx="4"/>
          <a:endCxn id="26" idx="2"/>
        </xdr:cNvCxnSpPr>
      </xdr:nvCxnSpPr>
      <xdr:spPr>
        <a:xfrm rot="16200000" flipH="1">
          <a:off x="3282950" y="4476750"/>
          <a:ext cx="241300" cy="8890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482600</xdr:colOff>
      <xdr:row>22</xdr:row>
      <xdr:rowOff>114300</xdr:rowOff>
    </xdr:from>
    <xdr:to>
      <xdr:col>5</xdr:col>
      <xdr:colOff>571500</xdr:colOff>
      <xdr:row>27</xdr:row>
      <xdr:rowOff>12700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F7241A1B-BBC3-8643-97C5-D972FC59C1BA}"/>
            </a:ext>
          </a:extLst>
        </xdr:cNvPr>
        <xdr:cNvSpPr/>
      </xdr:nvSpPr>
      <xdr:spPr>
        <a:xfrm>
          <a:off x="3848100" y="4584700"/>
          <a:ext cx="914400" cy="914400"/>
        </a:xfrm>
        <a:prstGeom prst="ellipse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50800</xdr:colOff>
      <xdr:row>21</xdr:row>
      <xdr:rowOff>76200</xdr:rowOff>
    </xdr:from>
    <xdr:to>
      <xdr:col>5</xdr:col>
      <xdr:colOff>114300</xdr:colOff>
      <xdr:row>22</xdr:row>
      <xdr:rowOff>114300</xdr:rowOff>
    </xdr:to>
    <xdr:cxnSp macro="">
      <xdr:nvCxnSpPr>
        <xdr:cNvPr id="30" name="Elbow Connector 29">
          <a:extLst>
            <a:ext uri="{FF2B5EF4-FFF2-40B4-BE49-F238E27FC236}">
              <a16:creationId xmlns:a16="http://schemas.microsoft.com/office/drawing/2014/main" id="{650D5ACA-EF84-DF4C-9028-70D411E61B13}"/>
            </a:ext>
          </a:extLst>
        </xdr:cNvPr>
        <xdr:cNvCxnSpPr>
          <a:stCxn id="26" idx="0"/>
          <a:endCxn id="4" idx="6"/>
        </xdr:cNvCxnSpPr>
      </xdr:nvCxnSpPr>
      <xdr:spPr>
        <a:xfrm rot="16200000" flipV="1">
          <a:off x="3740150" y="4019550"/>
          <a:ext cx="241300" cy="8890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21</xdr:row>
      <xdr:rowOff>76200</xdr:rowOff>
    </xdr:from>
    <xdr:to>
      <xdr:col>8</xdr:col>
      <xdr:colOff>787400</xdr:colOff>
      <xdr:row>22</xdr:row>
      <xdr:rowOff>114300</xdr:rowOff>
    </xdr:to>
    <xdr:cxnSp macro="">
      <xdr:nvCxnSpPr>
        <xdr:cNvPr id="32" name="Elbow Connector 31">
          <a:extLst>
            <a:ext uri="{FF2B5EF4-FFF2-40B4-BE49-F238E27FC236}">
              <a16:creationId xmlns:a16="http://schemas.microsoft.com/office/drawing/2014/main" id="{6A9228C3-293A-BA4F-887F-3BD0AA587CCD}"/>
            </a:ext>
          </a:extLst>
        </xdr:cNvPr>
        <xdr:cNvCxnSpPr>
          <a:stCxn id="26" idx="0"/>
        </xdr:cNvCxnSpPr>
      </xdr:nvCxnSpPr>
      <xdr:spPr>
        <a:xfrm rot="5400000" flipH="1" flipV="1">
          <a:off x="5759450" y="2889250"/>
          <a:ext cx="241300" cy="31496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330200</xdr:colOff>
      <xdr:row>22</xdr:row>
      <xdr:rowOff>38100</xdr:rowOff>
    </xdr:from>
    <xdr:to>
      <xdr:col>5</xdr:col>
      <xdr:colOff>711200</xdr:colOff>
      <xdr:row>27</xdr:row>
      <xdr:rowOff>101600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B13C7F14-6871-F041-AE6F-49010EB5A2DE}"/>
            </a:ext>
          </a:extLst>
        </xdr:cNvPr>
        <xdr:cNvCxnSpPr/>
      </xdr:nvCxnSpPr>
      <xdr:spPr>
        <a:xfrm flipH="1">
          <a:off x="3695700" y="4508500"/>
          <a:ext cx="1206500" cy="1079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50798</xdr:colOff>
      <xdr:row>1</xdr:row>
      <xdr:rowOff>12701</xdr:rowOff>
    </xdr:from>
    <xdr:to>
      <xdr:col>13</xdr:col>
      <xdr:colOff>868678</xdr:colOff>
      <xdr:row>3</xdr:row>
      <xdr:rowOff>123618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580916B8-14BC-2E42-B90D-B0C8A348D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4798" y="215901"/>
          <a:ext cx="2468880" cy="5173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38100</xdr:colOff>
      <xdr:row>4</xdr:row>
      <xdr:rowOff>177800</xdr:rowOff>
    </xdr:from>
    <xdr:to>
      <xdr:col>13</xdr:col>
      <xdr:colOff>855980</xdr:colOff>
      <xdr:row>7</xdr:row>
      <xdr:rowOff>73578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719DA215-8C88-8C4E-ACE1-78BD3AA50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2100" y="990600"/>
          <a:ext cx="2468880" cy="505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50799</xdr:colOff>
      <xdr:row>1</xdr:row>
      <xdr:rowOff>12700</xdr:rowOff>
    </xdr:from>
    <xdr:to>
      <xdr:col>17</xdr:col>
      <xdr:colOff>766816</xdr:colOff>
      <xdr:row>4</xdr:row>
      <xdr:rowOff>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FB9A495-D84A-204D-B549-0C4E5BA8B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7599" y="215900"/>
          <a:ext cx="2367017" cy="59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88900</xdr:colOff>
      <xdr:row>4</xdr:row>
      <xdr:rowOff>177800</xdr:rowOff>
    </xdr:from>
    <xdr:to>
      <xdr:col>17</xdr:col>
      <xdr:colOff>774700</xdr:colOff>
      <xdr:row>8</xdr:row>
      <xdr:rowOff>29384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D39D3DC4-7A80-9B43-BD6E-FAF68F34B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85700" y="990600"/>
          <a:ext cx="2336800" cy="6643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177800</xdr:colOff>
      <xdr:row>0</xdr:row>
      <xdr:rowOff>38100</xdr:rowOff>
    </xdr:from>
    <xdr:to>
      <xdr:col>30</xdr:col>
      <xdr:colOff>546100</xdr:colOff>
      <xdr:row>29</xdr:row>
      <xdr:rowOff>12700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7B317B2F-2FD0-9245-A287-68D878A1D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38100</xdr:rowOff>
    </xdr:from>
    <xdr:to>
      <xdr:col>4</xdr:col>
      <xdr:colOff>50800</xdr:colOff>
      <xdr:row>23</xdr:row>
      <xdr:rowOff>127000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E59562F-9EED-CC47-81AA-0C3EB66A1888}"/>
            </a:ext>
          </a:extLst>
        </xdr:cNvPr>
        <xdr:cNvGrpSpPr/>
      </xdr:nvGrpSpPr>
      <xdr:grpSpPr>
        <a:xfrm>
          <a:off x="2476500" y="1663700"/>
          <a:ext cx="876300" cy="3136900"/>
          <a:chOff x="3187700" y="1168400"/>
          <a:chExt cx="914400" cy="31369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4CF45099-9A23-384E-BD8F-711319B63E63}"/>
              </a:ext>
            </a:extLst>
          </xdr:cNvPr>
          <xdr:cNvSpPr/>
        </xdr:nvSpPr>
        <xdr:spPr>
          <a:xfrm>
            <a:off x="3187700" y="1651000"/>
            <a:ext cx="914400" cy="22225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P = 1 atm</a:t>
            </a:r>
          </a:p>
        </xdr:txBody>
      </xdr:sp>
      <xdr:sp macro="" textlink="">
        <xdr:nvSpPr>
          <xdr:cNvPr id="4" name="Oval 3">
            <a:extLst>
              <a:ext uri="{FF2B5EF4-FFF2-40B4-BE49-F238E27FC236}">
                <a16:creationId xmlns:a16="http://schemas.microsoft.com/office/drawing/2014/main" id="{4096D644-05C4-4F44-BB18-C98B51719AA3}"/>
              </a:ext>
            </a:extLst>
          </xdr:cNvPr>
          <xdr:cNvSpPr/>
        </xdr:nvSpPr>
        <xdr:spPr>
          <a:xfrm>
            <a:off x="3187700" y="1168400"/>
            <a:ext cx="914400" cy="914400"/>
          </a:xfrm>
          <a:prstGeom prst="ellips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Oval 4">
            <a:extLst>
              <a:ext uri="{FF2B5EF4-FFF2-40B4-BE49-F238E27FC236}">
                <a16:creationId xmlns:a16="http://schemas.microsoft.com/office/drawing/2014/main" id="{F4085E7E-0D78-534B-B445-2F49CCE69D03}"/>
              </a:ext>
            </a:extLst>
          </xdr:cNvPr>
          <xdr:cNvSpPr/>
        </xdr:nvSpPr>
        <xdr:spPr>
          <a:xfrm>
            <a:off x="3187700" y="3390900"/>
            <a:ext cx="914400" cy="914400"/>
          </a:xfrm>
          <a:prstGeom prst="ellips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16</xdr:row>
      <xdr:rowOff>6350</xdr:rowOff>
    </xdr:from>
    <xdr:to>
      <xdr:col>2</xdr:col>
      <xdr:colOff>850900</xdr:colOff>
      <xdr:row>16</xdr:row>
      <xdr:rowOff>6350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3989DA2C-AB54-D940-AE83-4B455E489CBA}"/>
            </a:ext>
          </a:extLst>
        </xdr:cNvPr>
        <xdr:cNvCxnSpPr>
          <a:endCxn id="3" idx="1"/>
        </xdr:cNvCxnSpPr>
      </xdr:nvCxnSpPr>
      <xdr:spPr>
        <a:xfrm flipV="1">
          <a:off x="0" y="3257550"/>
          <a:ext cx="25019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6</xdr:row>
      <xdr:rowOff>25400</xdr:rowOff>
    </xdr:from>
    <xdr:to>
      <xdr:col>4</xdr:col>
      <xdr:colOff>495300</xdr:colOff>
      <xdr:row>8</xdr:row>
      <xdr:rowOff>38100</xdr:rowOff>
    </xdr:to>
    <xdr:cxnSp macro="">
      <xdr:nvCxnSpPr>
        <xdr:cNvPr id="7" name="Elbow Connector 6">
          <a:extLst>
            <a:ext uri="{FF2B5EF4-FFF2-40B4-BE49-F238E27FC236}">
              <a16:creationId xmlns:a16="http://schemas.microsoft.com/office/drawing/2014/main" id="{79CF2A96-691F-9A4F-8ACB-14972FA13520}"/>
            </a:ext>
          </a:extLst>
        </xdr:cNvPr>
        <xdr:cNvCxnSpPr>
          <a:stCxn id="4" idx="0"/>
          <a:endCxn id="8" idx="2"/>
        </xdr:cNvCxnSpPr>
      </xdr:nvCxnSpPr>
      <xdr:spPr>
        <a:xfrm rot="5400000" flipH="1" flipV="1">
          <a:off x="3200400" y="1003300"/>
          <a:ext cx="419100" cy="9017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3</xdr:row>
      <xdr:rowOff>177800</xdr:rowOff>
    </xdr:from>
    <xdr:to>
      <xdr:col>5</xdr:col>
      <xdr:colOff>584200</xdr:colOff>
      <xdr:row>8</xdr:row>
      <xdr:rowOff>76200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A83A0959-989E-0A44-B66E-E2B927335CBA}"/>
            </a:ext>
          </a:extLst>
        </xdr:cNvPr>
        <xdr:cNvSpPr/>
      </xdr:nvSpPr>
      <xdr:spPr>
        <a:xfrm>
          <a:off x="3860800" y="787400"/>
          <a:ext cx="914400" cy="914400"/>
        </a:xfrm>
        <a:prstGeom prst="ellipse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482600</xdr:colOff>
      <xdr:row>3</xdr:row>
      <xdr:rowOff>152400</xdr:rowOff>
    </xdr:from>
    <xdr:to>
      <xdr:col>5</xdr:col>
      <xdr:colOff>635000</xdr:colOff>
      <xdr:row>8</xdr:row>
      <xdr:rowOff>76200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610688C1-D755-0B43-BCF5-7B87B43CD8ED}"/>
            </a:ext>
          </a:extLst>
        </xdr:cNvPr>
        <xdr:cNvCxnSpPr/>
      </xdr:nvCxnSpPr>
      <xdr:spPr>
        <a:xfrm flipV="1">
          <a:off x="3848100" y="762000"/>
          <a:ext cx="977900" cy="939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50800</xdr:colOff>
      <xdr:row>8</xdr:row>
      <xdr:rowOff>76200</xdr:rowOff>
    </xdr:from>
    <xdr:to>
      <xdr:col>5</xdr:col>
      <xdr:colOff>127000</xdr:colOff>
      <xdr:row>10</xdr:row>
      <xdr:rowOff>88900</xdr:rowOff>
    </xdr:to>
    <xdr:cxnSp macro="">
      <xdr:nvCxnSpPr>
        <xdr:cNvPr id="10" name="Elbow Connector 9">
          <a:extLst>
            <a:ext uri="{FF2B5EF4-FFF2-40B4-BE49-F238E27FC236}">
              <a16:creationId xmlns:a16="http://schemas.microsoft.com/office/drawing/2014/main" id="{4D2DD75D-11DB-C644-AD5D-43617A0CE376}"/>
            </a:ext>
          </a:extLst>
        </xdr:cNvPr>
        <xdr:cNvCxnSpPr>
          <a:stCxn id="8" idx="4"/>
          <a:endCxn id="4" idx="6"/>
        </xdr:cNvCxnSpPr>
      </xdr:nvCxnSpPr>
      <xdr:spPr>
        <a:xfrm rot="5400000">
          <a:off x="3657600" y="1460500"/>
          <a:ext cx="419100" cy="9017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127000</xdr:colOff>
      <xdr:row>8</xdr:row>
      <xdr:rowOff>76200</xdr:rowOff>
    </xdr:from>
    <xdr:to>
      <xdr:col>9</xdr:col>
      <xdr:colOff>12700</xdr:colOff>
      <xdr:row>10</xdr:row>
      <xdr:rowOff>88900</xdr:rowOff>
    </xdr:to>
    <xdr:cxnSp macro="">
      <xdr:nvCxnSpPr>
        <xdr:cNvPr id="11" name="Elbow Connector 10">
          <a:extLst>
            <a:ext uri="{FF2B5EF4-FFF2-40B4-BE49-F238E27FC236}">
              <a16:creationId xmlns:a16="http://schemas.microsoft.com/office/drawing/2014/main" id="{CCE21028-96CF-F54A-9C41-69568DE036CD}"/>
            </a:ext>
          </a:extLst>
        </xdr:cNvPr>
        <xdr:cNvCxnSpPr>
          <a:stCxn id="8" idx="4"/>
        </xdr:cNvCxnSpPr>
      </xdr:nvCxnSpPr>
      <xdr:spPr>
        <a:xfrm rot="16200000" flipH="1">
          <a:off x="5702300" y="317500"/>
          <a:ext cx="419100" cy="31877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23</xdr:row>
      <xdr:rowOff>127000</xdr:rowOff>
    </xdr:from>
    <xdr:to>
      <xdr:col>4</xdr:col>
      <xdr:colOff>482600</xdr:colOff>
      <xdr:row>24</xdr:row>
      <xdr:rowOff>165100</xdr:rowOff>
    </xdr:to>
    <xdr:cxnSp macro="">
      <xdr:nvCxnSpPr>
        <xdr:cNvPr id="12" name="Elbow Connector 11">
          <a:extLst>
            <a:ext uri="{FF2B5EF4-FFF2-40B4-BE49-F238E27FC236}">
              <a16:creationId xmlns:a16="http://schemas.microsoft.com/office/drawing/2014/main" id="{1569A43A-DE11-6344-B625-5E1C07C7269C}"/>
            </a:ext>
          </a:extLst>
        </xdr:cNvPr>
        <xdr:cNvCxnSpPr>
          <a:stCxn id="5" idx="4"/>
          <a:endCxn id="13" idx="2"/>
        </xdr:cNvCxnSpPr>
      </xdr:nvCxnSpPr>
      <xdr:spPr>
        <a:xfrm rot="16200000" flipH="1">
          <a:off x="3282950" y="4476750"/>
          <a:ext cx="241300" cy="8890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482600</xdr:colOff>
      <xdr:row>22</xdr:row>
      <xdr:rowOff>114300</xdr:rowOff>
    </xdr:from>
    <xdr:to>
      <xdr:col>5</xdr:col>
      <xdr:colOff>571500</xdr:colOff>
      <xdr:row>27</xdr:row>
      <xdr:rowOff>12700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FE20066E-26F1-6941-8AC7-97AC292BDB6C}"/>
            </a:ext>
          </a:extLst>
        </xdr:cNvPr>
        <xdr:cNvSpPr/>
      </xdr:nvSpPr>
      <xdr:spPr>
        <a:xfrm>
          <a:off x="3848100" y="4584700"/>
          <a:ext cx="914400" cy="914400"/>
        </a:xfrm>
        <a:prstGeom prst="ellipse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50800</xdr:colOff>
      <xdr:row>21</xdr:row>
      <xdr:rowOff>76200</xdr:rowOff>
    </xdr:from>
    <xdr:to>
      <xdr:col>5</xdr:col>
      <xdr:colOff>114300</xdr:colOff>
      <xdr:row>22</xdr:row>
      <xdr:rowOff>114300</xdr:rowOff>
    </xdr:to>
    <xdr:cxnSp macro="">
      <xdr:nvCxnSpPr>
        <xdr:cNvPr id="14" name="Elbow Connector 13">
          <a:extLst>
            <a:ext uri="{FF2B5EF4-FFF2-40B4-BE49-F238E27FC236}">
              <a16:creationId xmlns:a16="http://schemas.microsoft.com/office/drawing/2014/main" id="{8E2DD507-D360-F043-987F-05888E9C0B0D}"/>
            </a:ext>
          </a:extLst>
        </xdr:cNvPr>
        <xdr:cNvCxnSpPr>
          <a:stCxn id="13" idx="0"/>
          <a:endCxn id="5" idx="6"/>
        </xdr:cNvCxnSpPr>
      </xdr:nvCxnSpPr>
      <xdr:spPr>
        <a:xfrm rot="16200000" flipV="1">
          <a:off x="3740150" y="4019550"/>
          <a:ext cx="241300" cy="8890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21</xdr:row>
      <xdr:rowOff>76200</xdr:rowOff>
    </xdr:from>
    <xdr:to>
      <xdr:col>8</xdr:col>
      <xdr:colOff>787400</xdr:colOff>
      <xdr:row>22</xdr:row>
      <xdr:rowOff>114300</xdr:rowOff>
    </xdr:to>
    <xdr:cxnSp macro="">
      <xdr:nvCxnSpPr>
        <xdr:cNvPr id="15" name="Elbow Connector 14">
          <a:extLst>
            <a:ext uri="{FF2B5EF4-FFF2-40B4-BE49-F238E27FC236}">
              <a16:creationId xmlns:a16="http://schemas.microsoft.com/office/drawing/2014/main" id="{FFA3A08A-7873-9741-8E84-434FE0EF0ECB}"/>
            </a:ext>
          </a:extLst>
        </xdr:cNvPr>
        <xdr:cNvCxnSpPr>
          <a:stCxn id="13" idx="0"/>
        </xdr:cNvCxnSpPr>
      </xdr:nvCxnSpPr>
      <xdr:spPr>
        <a:xfrm rot="5400000" flipH="1" flipV="1">
          <a:off x="5759450" y="2889250"/>
          <a:ext cx="241300" cy="31496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330200</xdr:colOff>
      <xdr:row>22</xdr:row>
      <xdr:rowOff>38100</xdr:rowOff>
    </xdr:from>
    <xdr:to>
      <xdr:col>5</xdr:col>
      <xdr:colOff>711200</xdr:colOff>
      <xdr:row>27</xdr:row>
      <xdr:rowOff>101600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7A8FD1BB-80E5-A943-8DE5-B3FF22941DB6}"/>
            </a:ext>
          </a:extLst>
        </xdr:cNvPr>
        <xdr:cNvCxnSpPr/>
      </xdr:nvCxnSpPr>
      <xdr:spPr>
        <a:xfrm flipH="1">
          <a:off x="3695700" y="4508500"/>
          <a:ext cx="1206500" cy="1079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50798</xdr:colOff>
      <xdr:row>1</xdr:row>
      <xdr:rowOff>12701</xdr:rowOff>
    </xdr:from>
    <xdr:to>
      <xdr:col>13</xdr:col>
      <xdr:colOff>868678</xdr:colOff>
      <xdr:row>3</xdr:row>
      <xdr:rowOff>123618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DDD951C-1F45-CE4C-A4A0-9F5E21CC5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4798" y="215901"/>
          <a:ext cx="2468880" cy="5173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38100</xdr:colOff>
      <xdr:row>4</xdr:row>
      <xdr:rowOff>177800</xdr:rowOff>
    </xdr:from>
    <xdr:to>
      <xdr:col>13</xdr:col>
      <xdr:colOff>855980</xdr:colOff>
      <xdr:row>7</xdr:row>
      <xdr:rowOff>73578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C930E54-9108-E74F-B8ED-7B4E2D3682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2100" y="990600"/>
          <a:ext cx="2468880" cy="505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50799</xdr:colOff>
      <xdr:row>1</xdr:row>
      <xdr:rowOff>12700</xdr:rowOff>
    </xdr:from>
    <xdr:to>
      <xdr:col>17</xdr:col>
      <xdr:colOff>766816</xdr:colOff>
      <xdr:row>4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F2FCB23-BA2A-A440-9764-E28989A3A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7599" y="215900"/>
          <a:ext cx="2367017" cy="59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88900</xdr:colOff>
      <xdr:row>4</xdr:row>
      <xdr:rowOff>177800</xdr:rowOff>
    </xdr:from>
    <xdr:to>
      <xdr:col>17</xdr:col>
      <xdr:colOff>774700</xdr:colOff>
      <xdr:row>8</xdr:row>
      <xdr:rowOff>29384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32DFF0F-A5B1-104C-91A0-A7F4C307D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85700" y="990600"/>
          <a:ext cx="2336800" cy="6643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177800</xdr:colOff>
      <xdr:row>0</xdr:row>
      <xdr:rowOff>38100</xdr:rowOff>
    </xdr:from>
    <xdr:to>
      <xdr:col>30</xdr:col>
      <xdr:colOff>546100</xdr:colOff>
      <xdr:row>29</xdr:row>
      <xdr:rowOff>12700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629D95A-E3FE-484A-B006-3BA3E37F2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38</xdr:row>
      <xdr:rowOff>38100</xdr:rowOff>
    </xdr:from>
    <xdr:to>
      <xdr:col>4</xdr:col>
      <xdr:colOff>50800</xdr:colOff>
      <xdr:row>53</xdr:row>
      <xdr:rowOff>127000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BA15ADC2-903D-9C41-8BCB-A491956CBB84}"/>
            </a:ext>
          </a:extLst>
        </xdr:cNvPr>
        <xdr:cNvGrpSpPr/>
      </xdr:nvGrpSpPr>
      <xdr:grpSpPr>
        <a:xfrm>
          <a:off x="2476500" y="7759700"/>
          <a:ext cx="876300" cy="3136900"/>
          <a:chOff x="3187700" y="1168400"/>
          <a:chExt cx="914400" cy="3136900"/>
        </a:xfrm>
      </xdr:grpSpPr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D7F222BC-40DD-5346-B113-24EC2FBBC0A8}"/>
              </a:ext>
            </a:extLst>
          </xdr:cNvPr>
          <xdr:cNvSpPr/>
        </xdr:nvSpPr>
        <xdr:spPr>
          <a:xfrm>
            <a:off x="3187700" y="1651000"/>
            <a:ext cx="914400" cy="22225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P = 1 atm</a:t>
            </a:r>
          </a:p>
        </xdr:txBody>
      </xdr:sp>
      <xdr:sp macro="" textlink="">
        <xdr:nvSpPr>
          <xdr:cNvPr id="24" name="Oval 23">
            <a:extLst>
              <a:ext uri="{FF2B5EF4-FFF2-40B4-BE49-F238E27FC236}">
                <a16:creationId xmlns:a16="http://schemas.microsoft.com/office/drawing/2014/main" id="{5C4AF7E1-8143-5947-A8DB-2B7FD9993378}"/>
              </a:ext>
            </a:extLst>
          </xdr:cNvPr>
          <xdr:cNvSpPr/>
        </xdr:nvSpPr>
        <xdr:spPr>
          <a:xfrm>
            <a:off x="3187700" y="1168400"/>
            <a:ext cx="914400" cy="914400"/>
          </a:xfrm>
          <a:prstGeom prst="ellips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" name="Oval 24">
            <a:extLst>
              <a:ext uri="{FF2B5EF4-FFF2-40B4-BE49-F238E27FC236}">
                <a16:creationId xmlns:a16="http://schemas.microsoft.com/office/drawing/2014/main" id="{F788E308-A7DE-3D42-BEE5-5BF2244110D3}"/>
              </a:ext>
            </a:extLst>
          </xdr:cNvPr>
          <xdr:cNvSpPr/>
        </xdr:nvSpPr>
        <xdr:spPr>
          <a:xfrm>
            <a:off x="3187700" y="3390900"/>
            <a:ext cx="914400" cy="914400"/>
          </a:xfrm>
          <a:prstGeom prst="ellips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46</xdr:row>
      <xdr:rowOff>6350</xdr:rowOff>
    </xdr:from>
    <xdr:to>
      <xdr:col>2</xdr:col>
      <xdr:colOff>850900</xdr:colOff>
      <xdr:row>46</xdr:row>
      <xdr:rowOff>6350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37BAAA1C-FF13-A842-98E3-03732ADAB2F9}"/>
            </a:ext>
          </a:extLst>
        </xdr:cNvPr>
        <xdr:cNvCxnSpPr>
          <a:endCxn id="23" idx="1"/>
        </xdr:cNvCxnSpPr>
      </xdr:nvCxnSpPr>
      <xdr:spPr>
        <a:xfrm flipV="1">
          <a:off x="0" y="3257550"/>
          <a:ext cx="2476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36</xdr:row>
      <xdr:rowOff>25400</xdr:rowOff>
    </xdr:from>
    <xdr:to>
      <xdr:col>4</xdr:col>
      <xdr:colOff>495300</xdr:colOff>
      <xdr:row>38</xdr:row>
      <xdr:rowOff>38100</xdr:rowOff>
    </xdr:to>
    <xdr:cxnSp macro="">
      <xdr:nvCxnSpPr>
        <xdr:cNvPr id="27" name="Elbow Connector 26">
          <a:extLst>
            <a:ext uri="{FF2B5EF4-FFF2-40B4-BE49-F238E27FC236}">
              <a16:creationId xmlns:a16="http://schemas.microsoft.com/office/drawing/2014/main" id="{D1C2E34A-5556-D644-A88B-B520CF17B9AC}"/>
            </a:ext>
          </a:extLst>
        </xdr:cNvPr>
        <xdr:cNvCxnSpPr>
          <a:stCxn id="24" idx="0"/>
          <a:endCxn id="28" idx="2"/>
        </xdr:cNvCxnSpPr>
      </xdr:nvCxnSpPr>
      <xdr:spPr>
        <a:xfrm rot="5400000" flipH="1" flipV="1">
          <a:off x="3136900" y="1003300"/>
          <a:ext cx="419100" cy="9017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33</xdr:row>
      <xdr:rowOff>177800</xdr:rowOff>
    </xdr:from>
    <xdr:to>
      <xdr:col>5</xdr:col>
      <xdr:colOff>584200</xdr:colOff>
      <xdr:row>38</xdr:row>
      <xdr:rowOff>76200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499F1B31-188B-2D48-863D-5E9AF1E5C10F}"/>
            </a:ext>
          </a:extLst>
        </xdr:cNvPr>
        <xdr:cNvSpPr/>
      </xdr:nvSpPr>
      <xdr:spPr>
        <a:xfrm>
          <a:off x="3797300" y="787400"/>
          <a:ext cx="914400" cy="914400"/>
        </a:xfrm>
        <a:prstGeom prst="ellipse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482600</xdr:colOff>
      <xdr:row>33</xdr:row>
      <xdr:rowOff>152400</xdr:rowOff>
    </xdr:from>
    <xdr:to>
      <xdr:col>5</xdr:col>
      <xdr:colOff>635000</xdr:colOff>
      <xdr:row>38</xdr:row>
      <xdr:rowOff>76200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B768E95B-7712-E149-A7F3-1071B8629FB2}"/>
            </a:ext>
          </a:extLst>
        </xdr:cNvPr>
        <xdr:cNvCxnSpPr/>
      </xdr:nvCxnSpPr>
      <xdr:spPr>
        <a:xfrm flipV="1">
          <a:off x="3784600" y="762000"/>
          <a:ext cx="977900" cy="939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50800</xdr:colOff>
      <xdr:row>38</xdr:row>
      <xdr:rowOff>76200</xdr:rowOff>
    </xdr:from>
    <xdr:to>
      <xdr:col>5</xdr:col>
      <xdr:colOff>127000</xdr:colOff>
      <xdr:row>40</xdr:row>
      <xdr:rowOff>88900</xdr:rowOff>
    </xdr:to>
    <xdr:cxnSp macro="">
      <xdr:nvCxnSpPr>
        <xdr:cNvPr id="30" name="Elbow Connector 29">
          <a:extLst>
            <a:ext uri="{FF2B5EF4-FFF2-40B4-BE49-F238E27FC236}">
              <a16:creationId xmlns:a16="http://schemas.microsoft.com/office/drawing/2014/main" id="{4A5F0FF7-1068-4542-A50A-00D5FDEB6537}"/>
            </a:ext>
          </a:extLst>
        </xdr:cNvPr>
        <xdr:cNvCxnSpPr>
          <a:stCxn id="28" idx="4"/>
          <a:endCxn id="24" idx="6"/>
        </xdr:cNvCxnSpPr>
      </xdr:nvCxnSpPr>
      <xdr:spPr>
        <a:xfrm rot="5400000">
          <a:off x="3594100" y="1460500"/>
          <a:ext cx="419100" cy="9017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127000</xdr:colOff>
      <xdr:row>38</xdr:row>
      <xdr:rowOff>76200</xdr:rowOff>
    </xdr:from>
    <xdr:to>
      <xdr:col>9</xdr:col>
      <xdr:colOff>12700</xdr:colOff>
      <xdr:row>40</xdr:row>
      <xdr:rowOff>88900</xdr:rowOff>
    </xdr:to>
    <xdr:cxnSp macro="">
      <xdr:nvCxnSpPr>
        <xdr:cNvPr id="31" name="Elbow Connector 30">
          <a:extLst>
            <a:ext uri="{FF2B5EF4-FFF2-40B4-BE49-F238E27FC236}">
              <a16:creationId xmlns:a16="http://schemas.microsoft.com/office/drawing/2014/main" id="{9694C435-CDE0-8F4A-A0FA-B00D88C97F6E}"/>
            </a:ext>
          </a:extLst>
        </xdr:cNvPr>
        <xdr:cNvCxnSpPr>
          <a:stCxn id="28" idx="4"/>
        </xdr:cNvCxnSpPr>
      </xdr:nvCxnSpPr>
      <xdr:spPr>
        <a:xfrm rot="16200000" flipH="1">
          <a:off x="5638800" y="317500"/>
          <a:ext cx="419100" cy="31877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53</xdr:row>
      <xdr:rowOff>127000</xdr:rowOff>
    </xdr:from>
    <xdr:to>
      <xdr:col>4</xdr:col>
      <xdr:colOff>482600</xdr:colOff>
      <xdr:row>54</xdr:row>
      <xdr:rowOff>165100</xdr:rowOff>
    </xdr:to>
    <xdr:cxnSp macro="">
      <xdr:nvCxnSpPr>
        <xdr:cNvPr id="32" name="Elbow Connector 31">
          <a:extLst>
            <a:ext uri="{FF2B5EF4-FFF2-40B4-BE49-F238E27FC236}">
              <a16:creationId xmlns:a16="http://schemas.microsoft.com/office/drawing/2014/main" id="{F03A470B-4EC2-3741-BDC0-DA10A008D1E0}"/>
            </a:ext>
          </a:extLst>
        </xdr:cNvPr>
        <xdr:cNvCxnSpPr>
          <a:stCxn id="25" idx="4"/>
          <a:endCxn id="33" idx="2"/>
        </xdr:cNvCxnSpPr>
      </xdr:nvCxnSpPr>
      <xdr:spPr>
        <a:xfrm rot="16200000" flipH="1">
          <a:off x="3219450" y="4476750"/>
          <a:ext cx="241300" cy="8890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482600</xdr:colOff>
      <xdr:row>52</xdr:row>
      <xdr:rowOff>114300</xdr:rowOff>
    </xdr:from>
    <xdr:to>
      <xdr:col>5</xdr:col>
      <xdr:colOff>571500</xdr:colOff>
      <xdr:row>57</xdr:row>
      <xdr:rowOff>12700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6AA0BCE0-E80E-3945-81B1-A0D3D2E313DC}"/>
            </a:ext>
          </a:extLst>
        </xdr:cNvPr>
        <xdr:cNvSpPr/>
      </xdr:nvSpPr>
      <xdr:spPr>
        <a:xfrm>
          <a:off x="3784600" y="4584700"/>
          <a:ext cx="914400" cy="914400"/>
        </a:xfrm>
        <a:prstGeom prst="ellipse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50800</xdr:colOff>
      <xdr:row>51</xdr:row>
      <xdr:rowOff>76200</xdr:rowOff>
    </xdr:from>
    <xdr:to>
      <xdr:col>5</xdr:col>
      <xdr:colOff>114300</xdr:colOff>
      <xdr:row>52</xdr:row>
      <xdr:rowOff>114300</xdr:rowOff>
    </xdr:to>
    <xdr:cxnSp macro="">
      <xdr:nvCxnSpPr>
        <xdr:cNvPr id="34" name="Elbow Connector 33">
          <a:extLst>
            <a:ext uri="{FF2B5EF4-FFF2-40B4-BE49-F238E27FC236}">
              <a16:creationId xmlns:a16="http://schemas.microsoft.com/office/drawing/2014/main" id="{DCE584B0-AE88-4F4A-969C-19AB67E31DE4}"/>
            </a:ext>
          </a:extLst>
        </xdr:cNvPr>
        <xdr:cNvCxnSpPr>
          <a:stCxn id="33" idx="0"/>
          <a:endCxn id="25" idx="6"/>
        </xdr:cNvCxnSpPr>
      </xdr:nvCxnSpPr>
      <xdr:spPr>
        <a:xfrm rot="16200000" flipV="1">
          <a:off x="3676650" y="4019550"/>
          <a:ext cx="241300" cy="8890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51</xdr:row>
      <xdr:rowOff>76200</xdr:rowOff>
    </xdr:from>
    <xdr:to>
      <xdr:col>8</xdr:col>
      <xdr:colOff>787400</xdr:colOff>
      <xdr:row>52</xdr:row>
      <xdr:rowOff>114300</xdr:rowOff>
    </xdr:to>
    <xdr:cxnSp macro="">
      <xdr:nvCxnSpPr>
        <xdr:cNvPr id="35" name="Elbow Connector 34">
          <a:extLst>
            <a:ext uri="{FF2B5EF4-FFF2-40B4-BE49-F238E27FC236}">
              <a16:creationId xmlns:a16="http://schemas.microsoft.com/office/drawing/2014/main" id="{8078232E-4B2A-6C48-B555-D4106937609C}"/>
            </a:ext>
          </a:extLst>
        </xdr:cNvPr>
        <xdr:cNvCxnSpPr>
          <a:stCxn id="33" idx="0"/>
        </xdr:cNvCxnSpPr>
      </xdr:nvCxnSpPr>
      <xdr:spPr>
        <a:xfrm rot="5400000" flipH="1" flipV="1">
          <a:off x="5695950" y="2889250"/>
          <a:ext cx="241300" cy="31496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330200</xdr:colOff>
      <xdr:row>52</xdr:row>
      <xdr:rowOff>38100</xdr:rowOff>
    </xdr:from>
    <xdr:to>
      <xdr:col>5</xdr:col>
      <xdr:colOff>711200</xdr:colOff>
      <xdr:row>57</xdr:row>
      <xdr:rowOff>101600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9FB90E1A-3912-EC45-AFE5-B43D8AF5A650}"/>
            </a:ext>
          </a:extLst>
        </xdr:cNvPr>
        <xdr:cNvCxnSpPr/>
      </xdr:nvCxnSpPr>
      <xdr:spPr>
        <a:xfrm flipH="1">
          <a:off x="3632200" y="4508500"/>
          <a:ext cx="1206500" cy="1079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50798</xdr:colOff>
      <xdr:row>31</xdr:row>
      <xdr:rowOff>12701</xdr:rowOff>
    </xdr:from>
    <xdr:to>
      <xdr:col>13</xdr:col>
      <xdr:colOff>868678</xdr:colOff>
      <xdr:row>33</xdr:row>
      <xdr:rowOff>123618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BD2C136F-62FB-E542-9CA2-9F24C28A2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1298" y="215901"/>
          <a:ext cx="2430780" cy="5173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38100</xdr:colOff>
      <xdr:row>34</xdr:row>
      <xdr:rowOff>177800</xdr:rowOff>
    </xdr:from>
    <xdr:to>
      <xdr:col>13</xdr:col>
      <xdr:colOff>855980</xdr:colOff>
      <xdr:row>37</xdr:row>
      <xdr:rowOff>73578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FA3291A3-01BE-2A49-8A08-A0355094F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8600" y="990600"/>
          <a:ext cx="2443480" cy="505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50799</xdr:colOff>
      <xdr:row>31</xdr:row>
      <xdr:rowOff>12700</xdr:rowOff>
    </xdr:from>
    <xdr:to>
      <xdr:col>17</xdr:col>
      <xdr:colOff>766816</xdr:colOff>
      <xdr:row>34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2D0D3671-E66F-3C46-8C86-1621A2D43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33299" y="215900"/>
          <a:ext cx="2367017" cy="59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88900</xdr:colOff>
      <xdr:row>34</xdr:row>
      <xdr:rowOff>177800</xdr:rowOff>
    </xdr:from>
    <xdr:to>
      <xdr:col>17</xdr:col>
      <xdr:colOff>774700</xdr:colOff>
      <xdr:row>38</xdr:row>
      <xdr:rowOff>29384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38CB626-30F6-7F4E-BBC1-A9633F5C8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1400" y="990600"/>
          <a:ext cx="2336800" cy="6643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177800</xdr:colOff>
      <xdr:row>30</xdr:row>
      <xdr:rowOff>38100</xdr:rowOff>
    </xdr:from>
    <xdr:to>
      <xdr:col>30</xdr:col>
      <xdr:colOff>546100</xdr:colOff>
      <xdr:row>59</xdr:row>
      <xdr:rowOff>12700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04343E8-1949-4949-8D22-637A54074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38100</xdr:rowOff>
    </xdr:from>
    <xdr:to>
      <xdr:col>4</xdr:col>
      <xdr:colOff>50800</xdr:colOff>
      <xdr:row>23</xdr:row>
      <xdr:rowOff>127000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46276755-96D6-4F4E-A3C9-250B2687E32C}"/>
            </a:ext>
          </a:extLst>
        </xdr:cNvPr>
        <xdr:cNvGrpSpPr/>
      </xdr:nvGrpSpPr>
      <xdr:grpSpPr>
        <a:xfrm>
          <a:off x="2476500" y="1663700"/>
          <a:ext cx="876300" cy="3136900"/>
          <a:chOff x="3187700" y="1168400"/>
          <a:chExt cx="914400" cy="3136900"/>
        </a:xfrm>
      </xdr:grpSpPr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FF33BFF9-0781-1F48-816D-BCE975D5F112}"/>
              </a:ext>
            </a:extLst>
          </xdr:cNvPr>
          <xdr:cNvSpPr/>
        </xdr:nvSpPr>
        <xdr:spPr>
          <a:xfrm>
            <a:off x="3187700" y="1651000"/>
            <a:ext cx="914400" cy="22225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P = 101</a:t>
            </a:r>
            <a:r>
              <a:rPr lang="en-US" sz="1100" baseline="0">
                <a:solidFill>
                  <a:sysClr val="windowText" lastClr="000000"/>
                </a:solidFill>
              </a:rPr>
              <a:t> kPa</a:t>
            </a:r>
          </a:p>
        </xdr:txBody>
      </xdr:sp>
      <xdr:sp macro="" textlink="">
        <xdr:nvSpPr>
          <xdr:cNvPr id="24" name="Oval 23">
            <a:extLst>
              <a:ext uri="{FF2B5EF4-FFF2-40B4-BE49-F238E27FC236}">
                <a16:creationId xmlns:a16="http://schemas.microsoft.com/office/drawing/2014/main" id="{5BBD60E1-1902-C54C-94B6-64AECB018291}"/>
              </a:ext>
            </a:extLst>
          </xdr:cNvPr>
          <xdr:cNvSpPr/>
        </xdr:nvSpPr>
        <xdr:spPr>
          <a:xfrm>
            <a:off x="3187700" y="1168400"/>
            <a:ext cx="914400" cy="914400"/>
          </a:xfrm>
          <a:prstGeom prst="ellips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" name="Oval 24">
            <a:extLst>
              <a:ext uri="{FF2B5EF4-FFF2-40B4-BE49-F238E27FC236}">
                <a16:creationId xmlns:a16="http://schemas.microsoft.com/office/drawing/2014/main" id="{05CA908F-965E-0843-A04C-28BB0E38F177}"/>
              </a:ext>
            </a:extLst>
          </xdr:cNvPr>
          <xdr:cNvSpPr/>
        </xdr:nvSpPr>
        <xdr:spPr>
          <a:xfrm>
            <a:off x="3187700" y="3390900"/>
            <a:ext cx="914400" cy="914400"/>
          </a:xfrm>
          <a:prstGeom prst="ellips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16</xdr:row>
      <xdr:rowOff>6350</xdr:rowOff>
    </xdr:from>
    <xdr:to>
      <xdr:col>2</xdr:col>
      <xdr:colOff>850900</xdr:colOff>
      <xdr:row>16</xdr:row>
      <xdr:rowOff>6350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17BCE9A8-882E-EB47-942D-A1FFC00D9C5D}"/>
            </a:ext>
          </a:extLst>
        </xdr:cNvPr>
        <xdr:cNvCxnSpPr>
          <a:endCxn id="23" idx="1"/>
        </xdr:cNvCxnSpPr>
      </xdr:nvCxnSpPr>
      <xdr:spPr>
        <a:xfrm flipV="1">
          <a:off x="0" y="3257550"/>
          <a:ext cx="25019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6</xdr:row>
      <xdr:rowOff>25400</xdr:rowOff>
    </xdr:from>
    <xdr:to>
      <xdr:col>4</xdr:col>
      <xdr:colOff>495300</xdr:colOff>
      <xdr:row>8</xdr:row>
      <xdr:rowOff>38100</xdr:rowOff>
    </xdr:to>
    <xdr:cxnSp macro="">
      <xdr:nvCxnSpPr>
        <xdr:cNvPr id="27" name="Elbow Connector 26">
          <a:extLst>
            <a:ext uri="{FF2B5EF4-FFF2-40B4-BE49-F238E27FC236}">
              <a16:creationId xmlns:a16="http://schemas.microsoft.com/office/drawing/2014/main" id="{6EB6CD07-05DA-8D4F-B105-F1B7F7B7376C}"/>
            </a:ext>
          </a:extLst>
        </xdr:cNvPr>
        <xdr:cNvCxnSpPr>
          <a:stCxn id="24" idx="0"/>
          <a:endCxn id="28" idx="2"/>
        </xdr:cNvCxnSpPr>
      </xdr:nvCxnSpPr>
      <xdr:spPr>
        <a:xfrm rot="5400000" flipH="1" flipV="1">
          <a:off x="3200400" y="1003300"/>
          <a:ext cx="419100" cy="9017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3</xdr:row>
      <xdr:rowOff>177800</xdr:rowOff>
    </xdr:from>
    <xdr:to>
      <xdr:col>5</xdr:col>
      <xdr:colOff>584200</xdr:colOff>
      <xdr:row>8</xdr:row>
      <xdr:rowOff>76200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8954EC94-D385-DE4A-A7DC-2A0414EF007B}"/>
            </a:ext>
          </a:extLst>
        </xdr:cNvPr>
        <xdr:cNvSpPr/>
      </xdr:nvSpPr>
      <xdr:spPr>
        <a:xfrm>
          <a:off x="3860800" y="787400"/>
          <a:ext cx="914400" cy="914400"/>
        </a:xfrm>
        <a:prstGeom prst="ellipse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482600</xdr:colOff>
      <xdr:row>3</xdr:row>
      <xdr:rowOff>152400</xdr:rowOff>
    </xdr:from>
    <xdr:to>
      <xdr:col>5</xdr:col>
      <xdr:colOff>635000</xdr:colOff>
      <xdr:row>8</xdr:row>
      <xdr:rowOff>76200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3D997C75-06A8-9B45-B7B2-A8F4762485A4}"/>
            </a:ext>
          </a:extLst>
        </xdr:cNvPr>
        <xdr:cNvCxnSpPr/>
      </xdr:nvCxnSpPr>
      <xdr:spPr>
        <a:xfrm flipV="1">
          <a:off x="3848100" y="762000"/>
          <a:ext cx="977900" cy="939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50800</xdr:colOff>
      <xdr:row>8</xdr:row>
      <xdr:rowOff>76200</xdr:rowOff>
    </xdr:from>
    <xdr:to>
      <xdr:col>5</xdr:col>
      <xdr:colOff>127000</xdr:colOff>
      <xdr:row>10</xdr:row>
      <xdr:rowOff>88900</xdr:rowOff>
    </xdr:to>
    <xdr:cxnSp macro="">
      <xdr:nvCxnSpPr>
        <xdr:cNvPr id="30" name="Elbow Connector 29">
          <a:extLst>
            <a:ext uri="{FF2B5EF4-FFF2-40B4-BE49-F238E27FC236}">
              <a16:creationId xmlns:a16="http://schemas.microsoft.com/office/drawing/2014/main" id="{AD890CFD-739C-8B40-BA6D-389DDC8FBFE8}"/>
            </a:ext>
          </a:extLst>
        </xdr:cNvPr>
        <xdr:cNvCxnSpPr>
          <a:stCxn id="28" idx="4"/>
          <a:endCxn id="24" idx="6"/>
        </xdr:cNvCxnSpPr>
      </xdr:nvCxnSpPr>
      <xdr:spPr>
        <a:xfrm rot="5400000">
          <a:off x="3657600" y="1460500"/>
          <a:ext cx="419100" cy="9017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127000</xdr:colOff>
      <xdr:row>8</xdr:row>
      <xdr:rowOff>76200</xdr:rowOff>
    </xdr:from>
    <xdr:to>
      <xdr:col>9</xdr:col>
      <xdr:colOff>12700</xdr:colOff>
      <xdr:row>10</xdr:row>
      <xdr:rowOff>88900</xdr:rowOff>
    </xdr:to>
    <xdr:cxnSp macro="">
      <xdr:nvCxnSpPr>
        <xdr:cNvPr id="31" name="Elbow Connector 30">
          <a:extLst>
            <a:ext uri="{FF2B5EF4-FFF2-40B4-BE49-F238E27FC236}">
              <a16:creationId xmlns:a16="http://schemas.microsoft.com/office/drawing/2014/main" id="{897311EC-B3B5-B94A-823B-5DBBC9691A1B}"/>
            </a:ext>
          </a:extLst>
        </xdr:cNvPr>
        <xdr:cNvCxnSpPr>
          <a:stCxn id="28" idx="4"/>
        </xdr:cNvCxnSpPr>
      </xdr:nvCxnSpPr>
      <xdr:spPr>
        <a:xfrm rot="16200000" flipH="1">
          <a:off x="5702300" y="317500"/>
          <a:ext cx="419100" cy="31877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23</xdr:row>
      <xdr:rowOff>127000</xdr:rowOff>
    </xdr:from>
    <xdr:to>
      <xdr:col>4</xdr:col>
      <xdr:colOff>482600</xdr:colOff>
      <xdr:row>24</xdr:row>
      <xdr:rowOff>165100</xdr:rowOff>
    </xdr:to>
    <xdr:cxnSp macro="">
      <xdr:nvCxnSpPr>
        <xdr:cNvPr id="32" name="Elbow Connector 31">
          <a:extLst>
            <a:ext uri="{FF2B5EF4-FFF2-40B4-BE49-F238E27FC236}">
              <a16:creationId xmlns:a16="http://schemas.microsoft.com/office/drawing/2014/main" id="{963044C5-259C-4947-83C3-14B005B5C4C8}"/>
            </a:ext>
          </a:extLst>
        </xdr:cNvPr>
        <xdr:cNvCxnSpPr>
          <a:stCxn id="25" idx="4"/>
          <a:endCxn id="33" idx="2"/>
        </xdr:cNvCxnSpPr>
      </xdr:nvCxnSpPr>
      <xdr:spPr>
        <a:xfrm rot="16200000" flipH="1">
          <a:off x="3282950" y="4476750"/>
          <a:ext cx="241300" cy="8890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482600</xdr:colOff>
      <xdr:row>22</xdr:row>
      <xdr:rowOff>114300</xdr:rowOff>
    </xdr:from>
    <xdr:to>
      <xdr:col>5</xdr:col>
      <xdr:colOff>571500</xdr:colOff>
      <xdr:row>27</xdr:row>
      <xdr:rowOff>12700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4CF46D34-96F7-654A-A344-05679CAC5B11}"/>
            </a:ext>
          </a:extLst>
        </xdr:cNvPr>
        <xdr:cNvSpPr/>
      </xdr:nvSpPr>
      <xdr:spPr>
        <a:xfrm>
          <a:off x="3848100" y="4584700"/>
          <a:ext cx="914400" cy="914400"/>
        </a:xfrm>
        <a:prstGeom prst="ellipse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50800</xdr:colOff>
      <xdr:row>21</xdr:row>
      <xdr:rowOff>76200</xdr:rowOff>
    </xdr:from>
    <xdr:to>
      <xdr:col>5</xdr:col>
      <xdr:colOff>114300</xdr:colOff>
      <xdr:row>22</xdr:row>
      <xdr:rowOff>114300</xdr:rowOff>
    </xdr:to>
    <xdr:cxnSp macro="">
      <xdr:nvCxnSpPr>
        <xdr:cNvPr id="34" name="Elbow Connector 33">
          <a:extLst>
            <a:ext uri="{FF2B5EF4-FFF2-40B4-BE49-F238E27FC236}">
              <a16:creationId xmlns:a16="http://schemas.microsoft.com/office/drawing/2014/main" id="{3A44CA6B-34D8-0B46-9950-D02724D6A9C8}"/>
            </a:ext>
          </a:extLst>
        </xdr:cNvPr>
        <xdr:cNvCxnSpPr>
          <a:stCxn id="33" idx="0"/>
          <a:endCxn id="25" idx="6"/>
        </xdr:cNvCxnSpPr>
      </xdr:nvCxnSpPr>
      <xdr:spPr>
        <a:xfrm rot="16200000" flipV="1">
          <a:off x="3740150" y="4019550"/>
          <a:ext cx="241300" cy="8890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21</xdr:row>
      <xdr:rowOff>76200</xdr:rowOff>
    </xdr:from>
    <xdr:to>
      <xdr:col>8</xdr:col>
      <xdr:colOff>787400</xdr:colOff>
      <xdr:row>22</xdr:row>
      <xdr:rowOff>114300</xdr:rowOff>
    </xdr:to>
    <xdr:cxnSp macro="">
      <xdr:nvCxnSpPr>
        <xdr:cNvPr id="35" name="Elbow Connector 34">
          <a:extLst>
            <a:ext uri="{FF2B5EF4-FFF2-40B4-BE49-F238E27FC236}">
              <a16:creationId xmlns:a16="http://schemas.microsoft.com/office/drawing/2014/main" id="{C09A0D51-9F70-2641-946C-7005B794D00A}"/>
            </a:ext>
          </a:extLst>
        </xdr:cNvPr>
        <xdr:cNvCxnSpPr>
          <a:stCxn id="33" idx="0"/>
        </xdr:cNvCxnSpPr>
      </xdr:nvCxnSpPr>
      <xdr:spPr>
        <a:xfrm rot="5400000" flipH="1" flipV="1">
          <a:off x="5759450" y="2889250"/>
          <a:ext cx="241300" cy="31496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330200</xdr:colOff>
      <xdr:row>22</xdr:row>
      <xdr:rowOff>38100</xdr:rowOff>
    </xdr:from>
    <xdr:to>
      <xdr:col>5</xdr:col>
      <xdr:colOff>711200</xdr:colOff>
      <xdr:row>27</xdr:row>
      <xdr:rowOff>101600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AEB45682-9985-D846-A70E-4646CB126E4E}"/>
            </a:ext>
          </a:extLst>
        </xdr:cNvPr>
        <xdr:cNvCxnSpPr/>
      </xdr:nvCxnSpPr>
      <xdr:spPr>
        <a:xfrm flipH="1">
          <a:off x="3695700" y="4508500"/>
          <a:ext cx="1206500" cy="1079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50798</xdr:colOff>
      <xdr:row>1</xdr:row>
      <xdr:rowOff>12701</xdr:rowOff>
    </xdr:from>
    <xdr:to>
      <xdr:col>13</xdr:col>
      <xdr:colOff>868678</xdr:colOff>
      <xdr:row>3</xdr:row>
      <xdr:rowOff>123618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8535752-A565-9B4B-B4F9-B881182C2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4798" y="215901"/>
          <a:ext cx="2468880" cy="5173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38100</xdr:colOff>
      <xdr:row>4</xdr:row>
      <xdr:rowOff>177800</xdr:rowOff>
    </xdr:from>
    <xdr:to>
      <xdr:col>13</xdr:col>
      <xdr:colOff>855980</xdr:colOff>
      <xdr:row>7</xdr:row>
      <xdr:rowOff>73578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EA6CDB23-735C-9843-B5CA-71562F0FA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2100" y="990600"/>
          <a:ext cx="2468880" cy="505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50799</xdr:colOff>
      <xdr:row>1</xdr:row>
      <xdr:rowOff>12700</xdr:rowOff>
    </xdr:from>
    <xdr:to>
      <xdr:col>17</xdr:col>
      <xdr:colOff>766816</xdr:colOff>
      <xdr:row>4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7ADA8B9F-914F-0041-A733-310AACBC26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7599" y="215900"/>
          <a:ext cx="2367017" cy="59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88900</xdr:colOff>
      <xdr:row>4</xdr:row>
      <xdr:rowOff>177800</xdr:rowOff>
    </xdr:from>
    <xdr:to>
      <xdr:col>17</xdr:col>
      <xdr:colOff>774700</xdr:colOff>
      <xdr:row>8</xdr:row>
      <xdr:rowOff>29384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D16BD5CF-3170-614D-861D-A67433B11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85700" y="990600"/>
          <a:ext cx="2336800" cy="6643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177800</xdr:colOff>
      <xdr:row>0</xdr:row>
      <xdr:rowOff>38100</xdr:rowOff>
    </xdr:from>
    <xdr:to>
      <xdr:col>30</xdr:col>
      <xdr:colOff>546100</xdr:colOff>
      <xdr:row>29</xdr:row>
      <xdr:rowOff>12700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8436018F-A797-BB41-A64C-DB77397A5F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38100</xdr:rowOff>
    </xdr:from>
    <xdr:to>
      <xdr:col>4</xdr:col>
      <xdr:colOff>50800</xdr:colOff>
      <xdr:row>23</xdr:row>
      <xdr:rowOff>127000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142CFBC8-FDF3-254B-BE2F-B5392824CD9C}"/>
            </a:ext>
          </a:extLst>
        </xdr:cNvPr>
        <xdr:cNvGrpSpPr/>
      </xdr:nvGrpSpPr>
      <xdr:grpSpPr>
        <a:xfrm>
          <a:off x="2476500" y="1663700"/>
          <a:ext cx="876300" cy="3136900"/>
          <a:chOff x="3187700" y="1168400"/>
          <a:chExt cx="914400" cy="31369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4346ACA5-A516-0C47-B385-D73F8E4EDAB8}"/>
              </a:ext>
            </a:extLst>
          </xdr:cNvPr>
          <xdr:cNvSpPr/>
        </xdr:nvSpPr>
        <xdr:spPr>
          <a:xfrm>
            <a:off x="3187700" y="1651000"/>
            <a:ext cx="914400" cy="22225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P = 101</a:t>
            </a:r>
            <a:r>
              <a:rPr lang="en-US" sz="1100" baseline="0">
                <a:solidFill>
                  <a:sysClr val="windowText" lastClr="000000"/>
                </a:solidFill>
              </a:rPr>
              <a:t> kPa</a:t>
            </a:r>
          </a:p>
        </xdr:txBody>
      </xdr:sp>
      <xdr:sp macro="" textlink="">
        <xdr:nvSpPr>
          <xdr:cNvPr id="4" name="Oval 3">
            <a:extLst>
              <a:ext uri="{FF2B5EF4-FFF2-40B4-BE49-F238E27FC236}">
                <a16:creationId xmlns:a16="http://schemas.microsoft.com/office/drawing/2014/main" id="{92E13E6E-7731-CC49-8A77-CF4A077F6DAA}"/>
              </a:ext>
            </a:extLst>
          </xdr:cNvPr>
          <xdr:cNvSpPr/>
        </xdr:nvSpPr>
        <xdr:spPr>
          <a:xfrm>
            <a:off x="3187700" y="1168400"/>
            <a:ext cx="914400" cy="914400"/>
          </a:xfrm>
          <a:prstGeom prst="ellips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Oval 4">
            <a:extLst>
              <a:ext uri="{FF2B5EF4-FFF2-40B4-BE49-F238E27FC236}">
                <a16:creationId xmlns:a16="http://schemas.microsoft.com/office/drawing/2014/main" id="{8FEB2545-6006-1C48-A7CB-E3058E7135D3}"/>
              </a:ext>
            </a:extLst>
          </xdr:cNvPr>
          <xdr:cNvSpPr/>
        </xdr:nvSpPr>
        <xdr:spPr>
          <a:xfrm>
            <a:off x="3187700" y="3390900"/>
            <a:ext cx="914400" cy="914400"/>
          </a:xfrm>
          <a:prstGeom prst="ellips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16</xdr:row>
      <xdr:rowOff>6350</xdr:rowOff>
    </xdr:from>
    <xdr:to>
      <xdr:col>2</xdr:col>
      <xdr:colOff>850900</xdr:colOff>
      <xdr:row>16</xdr:row>
      <xdr:rowOff>6350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BA52724-1352-994F-8BE3-61AB19C7F151}"/>
            </a:ext>
          </a:extLst>
        </xdr:cNvPr>
        <xdr:cNvCxnSpPr>
          <a:endCxn id="3" idx="1"/>
        </xdr:cNvCxnSpPr>
      </xdr:nvCxnSpPr>
      <xdr:spPr>
        <a:xfrm flipV="1">
          <a:off x="0" y="3257550"/>
          <a:ext cx="2476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6</xdr:row>
      <xdr:rowOff>25400</xdr:rowOff>
    </xdr:from>
    <xdr:to>
      <xdr:col>4</xdr:col>
      <xdr:colOff>495300</xdr:colOff>
      <xdr:row>8</xdr:row>
      <xdr:rowOff>38100</xdr:rowOff>
    </xdr:to>
    <xdr:cxnSp macro="">
      <xdr:nvCxnSpPr>
        <xdr:cNvPr id="7" name="Elbow Connector 6">
          <a:extLst>
            <a:ext uri="{FF2B5EF4-FFF2-40B4-BE49-F238E27FC236}">
              <a16:creationId xmlns:a16="http://schemas.microsoft.com/office/drawing/2014/main" id="{189D76A3-5043-4142-B21D-8BEAA44F5337}"/>
            </a:ext>
          </a:extLst>
        </xdr:cNvPr>
        <xdr:cNvCxnSpPr>
          <a:stCxn id="4" idx="0"/>
          <a:endCxn id="8" idx="2"/>
        </xdr:cNvCxnSpPr>
      </xdr:nvCxnSpPr>
      <xdr:spPr>
        <a:xfrm rot="5400000" flipH="1" flipV="1">
          <a:off x="3136900" y="1003300"/>
          <a:ext cx="419100" cy="9017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3</xdr:row>
      <xdr:rowOff>177800</xdr:rowOff>
    </xdr:from>
    <xdr:to>
      <xdr:col>5</xdr:col>
      <xdr:colOff>584200</xdr:colOff>
      <xdr:row>8</xdr:row>
      <xdr:rowOff>76200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B5E83ACE-0786-454D-A289-95934703D7CF}"/>
            </a:ext>
          </a:extLst>
        </xdr:cNvPr>
        <xdr:cNvSpPr/>
      </xdr:nvSpPr>
      <xdr:spPr>
        <a:xfrm>
          <a:off x="3797300" y="787400"/>
          <a:ext cx="914400" cy="914400"/>
        </a:xfrm>
        <a:prstGeom prst="ellipse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482600</xdr:colOff>
      <xdr:row>3</xdr:row>
      <xdr:rowOff>152400</xdr:rowOff>
    </xdr:from>
    <xdr:to>
      <xdr:col>5</xdr:col>
      <xdr:colOff>635000</xdr:colOff>
      <xdr:row>8</xdr:row>
      <xdr:rowOff>76200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AAE22C5-2808-5A48-854C-1D78F351CCFE}"/>
            </a:ext>
          </a:extLst>
        </xdr:cNvPr>
        <xdr:cNvCxnSpPr/>
      </xdr:nvCxnSpPr>
      <xdr:spPr>
        <a:xfrm flipV="1">
          <a:off x="3784600" y="762000"/>
          <a:ext cx="977900" cy="939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50800</xdr:colOff>
      <xdr:row>8</xdr:row>
      <xdr:rowOff>76200</xdr:rowOff>
    </xdr:from>
    <xdr:to>
      <xdr:col>5</xdr:col>
      <xdr:colOff>127000</xdr:colOff>
      <xdr:row>10</xdr:row>
      <xdr:rowOff>88900</xdr:rowOff>
    </xdr:to>
    <xdr:cxnSp macro="">
      <xdr:nvCxnSpPr>
        <xdr:cNvPr id="10" name="Elbow Connector 9">
          <a:extLst>
            <a:ext uri="{FF2B5EF4-FFF2-40B4-BE49-F238E27FC236}">
              <a16:creationId xmlns:a16="http://schemas.microsoft.com/office/drawing/2014/main" id="{D11BF8CA-F939-4B47-BC4A-2AA949F9E456}"/>
            </a:ext>
          </a:extLst>
        </xdr:cNvPr>
        <xdr:cNvCxnSpPr>
          <a:stCxn id="8" idx="4"/>
          <a:endCxn id="4" idx="6"/>
        </xdr:cNvCxnSpPr>
      </xdr:nvCxnSpPr>
      <xdr:spPr>
        <a:xfrm rot="5400000">
          <a:off x="3594100" y="1460500"/>
          <a:ext cx="419100" cy="9017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127000</xdr:colOff>
      <xdr:row>8</xdr:row>
      <xdr:rowOff>76200</xdr:rowOff>
    </xdr:from>
    <xdr:to>
      <xdr:col>9</xdr:col>
      <xdr:colOff>12700</xdr:colOff>
      <xdr:row>10</xdr:row>
      <xdr:rowOff>88900</xdr:rowOff>
    </xdr:to>
    <xdr:cxnSp macro="">
      <xdr:nvCxnSpPr>
        <xdr:cNvPr id="11" name="Elbow Connector 10">
          <a:extLst>
            <a:ext uri="{FF2B5EF4-FFF2-40B4-BE49-F238E27FC236}">
              <a16:creationId xmlns:a16="http://schemas.microsoft.com/office/drawing/2014/main" id="{4A0161BB-A195-6E44-93DA-C2A536BACC36}"/>
            </a:ext>
          </a:extLst>
        </xdr:cNvPr>
        <xdr:cNvCxnSpPr>
          <a:stCxn id="8" idx="4"/>
        </xdr:cNvCxnSpPr>
      </xdr:nvCxnSpPr>
      <xdr:spPr>
        <a:xfrm rot="16200000" flipH="1">
          <a:off x="5638800" y="317500"/>
          <a:ext cx="419100" cy="31877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50798</xdr:colOff>
      <xdr:row>1</xdr:row>
      <xdr:rowOff>12701</xdr:rowOff>
    </xdr:from>
    <xdr:to>
      <xdr:col>13</xdr:col>
      <xdr:colOff>868678</xdr:colOff>
      <xdr:row>3</xdr:row>
      <xdr:rowOff>123618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61DE932-DB43-F54F-9B29-61CDD08EB1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1298" y="215901"/>
          <a:ext cx="2430780" cy="5173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38100</xdr:colOff>
      <xdr:row>4</xdr:row>
      <xdr:rowOff>177800</xdr:rowOff>
    </xdr:from>
    <xdr:to>
      <xdr:col>13</xdr:col>
      <xdr:colOff>855980</xdr:colOff>
      <xdr:row>7</xdr:row>
      <xdr:rowOff>73578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120C78D-B49E-6649-BB68-46930D88B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8600" y="990600"/>
          <a:ext cx="2443480" cy="505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50799</xdr:colOff>
      <xdr:row>1</xdr:row>
      <xdr:rowOff>12700</xdr:rowOff>
    </xdr:from>
    <xdr:to>
      <xdr:col>17</xdr:col>
      <xdr:colOff>766816</xdr:colOff>
      <xdr:row>4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D55484B-70B5-3847-B7BC-56FA28BBE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33299" y="215900"/>
          <a:ext cx="2367017" cy="59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88900</xdr:colOff>
      <xdr:row>4</xdr:row>
      <xdr:rowOff>177800</xdr:rowOff>
    </xdr:from>
    <xdr:to>
      <xdr:col>17</xdr:col>
      <xdr:colOff>774700</xdr:colOff>
      <xdr:row>8</xdr:row>
      <xdr:rowOff>29384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5D5F450-0F4F-2A4E-9B88-D2888CC38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1400" y="990600"/>
          <a:ext cx="2336800" cy="6643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177800</xdr:colOff>
      <xdr:row>0</xdr:row>
      <xdr:rowOff>38100</xdr:rowOff>
    </xdr:from>
    <xdr:to>
      <xdr:col>30</xdr:col>
      <xdr:colOff>546100</xdr:colOff>
      <xdr:row>29</xdr:row>
      <xdr:rowOff>12700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3456A27-1041-144B-88EB-2010ACC42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635000</xdr:colOff>
      <xdr:row>23</xdr:row>
      <xdr:rowOff>50800</xdr:rowOff>
    </xdr:from>
    <xdr:to>
      <xdr:col>3</xdr:col>
      <xdr:colOff>635000</xdr:colOff>
      <xdr:row>29</xdr:row>
      <xdr:rowOff>12700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F1134778-5B3C-3741-9504-F32F3769ED00}"/>
            </a:ext>
          </a:extLst>
        </xdr:cNvPr>
        <xdr:cNvCxnSpPr/>
      </xdr:nvCxnSpPr>
      <xdr:spPr>
        <a:xfrm flipV="1">
          <a:off x="3111500" y="4724400"/>
          <a:ext cx="0" cy="1181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165100</xdr:colOff>
      <xdr:row>23</xdr:row>
      <xdr:rowOff>12700</xdr:rowOff>
    </xdr:from>
    <xdr:to>
      <xdr:col>3</xdr:col>
      <xdr:colOff>165100</xdr:colOff>
      <xdr:row>29</xdr:row>
      <xdr:rowOff>25400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F528DBF0-99C8-EA4D-B126-BBABAB95A47B}"/>
            </a:ext>
          </a:extLst>
        </xdr:cNvPr>
        <xdr:cNvCxnSpPr/>
      </xdr:nvCxnSpPr>
      <xdr:spPr>
        <a:xfrm>
          <a:off x="2641600" y="4686300"/>
          <a:ext cx="0" cy="1231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9FBEB-1799-BA4E-A048-B472F0C45AA0}">
  <dimension ref="A1:AJ30"/>
  <sheetViews>
    <sheetView topLeftCell="T1" workbookViewId="0">
      <selection activeCell="AJ2" sqref="AJ2:AJ30"/>
    </sheetView>
  </sheetViews>
  <sheetFormatPr baseColWidth="10" defaultRowHeight="16" x14ac:dyDescent="0.2"/>
  <cols>
    <col min="3" max="3" width="11.6640625" bestFit="1" customWidth="1"/>
    <col min="14" max="14" width="11.5" bestFit="1" customWidth="1"/>
    <col min="18" max="18" width="12.83203125" bestFit="1" customWidth="1"/>
  </cols>
  <sheetData>
    <row r="1" spans="1:36" x14ac:dyDescent="0.2">
      <c r="A1" s="46" t="s">
        <v>22</v>
      </c>
      <c r="B1" s="47"/>
      <c r="C1" s="47"/>
      <c r="D1" s="47"/>
      <c r="E1" s="47"/>
      <c r="F1" s="47"/>
      <c r="G1" s="47"/>
      <c r="H1" s="47"/>
      <c r="I1" s="48"/>
      <c r="J1" s="41" t="s">
        <v>19</v>
      </c>
      <c r="K1" s="42"/>
      <c r="L1" s="49" t="s">
        <v>23</v>
      </c>
      <c r="M1" s="50"/>
      <c r="N1" s="50"/>
      <c r="O1" s="51"/>
      <c r="P1" s="52" t="s">
        <v>28</v>
      </c>
      <c r="Q1" s="53"/>
      <c r="R1" s="53"/>
      <c r="S1" s="54"/>
      <c r="T1" s="38" t="s">
        <v>37</v>
      </c>
      <c r="U1" s="39"/>
      <c r="V1" s="39"/>
      <c r="W1" s="40"/>
      <c r="AG1" s="33"/>
      <c r="AH1" s="33" t="s">
        <v>20</v>
      </c>
      <c r="AI1" s="33" t="s">
        <v>21</v>
      </c>
    </row>
    <row r="2" spans="1:36" x14ac:dyDescent="0.2">
      <c r="A2" s="1"/>
      <c r="B2" s="2"/>
      <c r="C2" s="2"/>
      <c r="D2" s="2"/>
      <c r="E2" s="2"/>
      <c r="F2" s="2"/>
      <c r="G2" s="2"/>
      <c r="H2" s="2"/>
      <c r="I2" s="3"/>
      <c r="J2" s="10" t="s">
        <v>20</v>
      </c>
      <c r="K2" s="11" t="s">
        <v>21</v>
      </c>
      <c r="L2" s="14"/>
      <c r="M2" s="15"/>
      <c r="N2" s="15"/>
      <c r="O2" s="16"/>
      <c r="P2" s="20"/>
      <c r="Q2" s="21"/>
      <c r="R2" s="21"/>
      <c r="S2" s="22"/>
      <c r="T2" s="26"/>
      <c r="U2" s="27"/>
      <c r="V2" s="27"/>
      <c r="W2" s="28"/>
      <c r="AG2" s="34" t="s">
        <v>39</v>
      </c>
      <c r="AH2" s="32">
        <v>0.8</v>
      </c>
      <c r="AI2" s="32">
        <v>0.8</v>
      </c>
      <c r="AJ2">
        <v>1</v>
      </c>
    </row>
    <row r="3" spans="1:36" x14ac:dyDescent="0.2">
      <c r="A3" s="1" t="s">
        <v>0</v>
      </c>
      <c r="B3" s="2" t="s">
        <v>1</v>
      </c>
      <c r="C3" s="2" t="s">
        <v>4</v>
      </c>
      <c r="D3" s="2"/>
      <c r="E3" s="2"/>
      <c r="F3" s="2"/>
      <c r="G3" s="2"/>
      <c r="H3" s="2"/>
      <c r="I3" s="3"/>
      <c r="J3" s="10">
        <v>0</v>
      </c>
      <c r="K3" s="11">
        <v>0</v>
      </c>
      <c r="L3" s="14"/>
      <c r="M3" s="15"/>
      <c r="N3" s="15"/>
      <c r="O3" s="16"/>
      <c r="P3" s="20"/>
      <c r="Q3" s="21"/>
      <c r="R3" s="21"/>
      <c r="S3" s="22"/>
      <c r="T3" s="58" t="s">
        <v>38</v>
      </c>
      <c r="U3" s="59"/>
      <c r="V3" s="59"/>
      <c r="W3" s="60"/>
      <c r="AG3" s="34" t="s">
        <v>40</v>
      </c>
      <c r="AH3" s="32">
        <v>0.77132544326241148</v>
      </c>
      <c r="AI3" s="32">
        <v>0.8</v>
      </c>
    </row>
    <row r="4" spans="1:36" x14ac:dyDescent="0.2">
      <c r="A4" s="1">
        <v>1</v>
      </c>
      <c r="B4" s="2" t="s">
        <v>2</v>
      </c>
      <c r="C4" s="2">
        <v>46.07</v>
      </c>
      <c r="D4" s="2"/>
      <c r="E4" s="2"/>
      <c r="F4" s="2"/>
      <c r="G4" s="2"/>
      <c r="H4" s="2"/>
      <c r="I4" s="3"/>
      <c r="J4" s="10">
        <v>1.9E-2</v>
      </c>
      <c r="K4" s="11">
        <v>0.17</v>
      </c>
      <c r="L4" s="14"/>
      <c r="M4" s="15"/>
      <c r="N4" s="15"/>
      <c r="O4" s="16"/>
      <c r="P4" s="20"/>
      <c r="Q4" s="21"/>
      <c r="R4" s="21"/>
      <c r="S4" s="22"/>
      <c r="T4" s="26"/>
      <c r="U4" s="27"/>
      <c r="V4" s="27"/>
      <c r="W4" s="28"/>
      <c r="AG4" s="34" t="s">
        <v>39</v>
      </c>
      <c r="AH4" s="32">
        <v>0.77132544326241148</v>
      </c>
      <c r="AI4" s="32">
        <v>0.78206497762105887</v>
      </c>
      <c r="AJ4">
        <v>2</v>
      </c>
    </row>
    <row r="5" spans="1:36" x14ac:dyDescent="0.2">
      <c r="A5" s="1">
        <v>2</v>
      </c>
      <c r="B5" s="2" t="s">
        <v>3</v>
      </c>
      <c r="C5" s="2">
        <v>18.010000000000002</v>
      </c>
      <c r="D5" s="2"/>
      <c r="E5" s="2"/>
      <c r="F5" s="2"/>
      <c r="G5" s="2"/>
      <c r="H5" s="2"/>
      <c r="I5" s="3"/>
      <c r="J5" s="10">
        <v>7.2099999999999997E-2</v>
      </c>
      <c r="K5" s="11">
        <v>0.3891</v>
      </c>
      <c r="L5" s="14"/>
      <c r="M5" s="15"/>
      <c r="N5" s="15"/>
      <c r="O5" s="16"/>
      <c r="P5" s="20"/>
      <c r="Q5" s="21"/>
      <c r="R5" s="21"/>
      <c r="S5" s="22"/>
      <c r="T5" s="26"/>
      <c r="U5" s="27" t="s">
        <v>20</v>
      </c>
      <c r="V5" s="27" t="s">
        <v>21</v>
      </c>
      <c r="W5" s="28"/>
      <c r="AG5" s="34" t="s">
        <v>40</v>
      </c>
      <c r="AH5" s="32">
        <v>0.74793677489412913</v>
      </c>
      <c r="AI5" s="32">
        <v>0.78206497762105887</v>
      </c>
    </row>
    <row r="6" spans="1:36" x14ac:dyDescent="0.2">
      <c r="A6" s="1"/>
      <c r="B6" s="2"/>
      <c r="C6" s="2"/>
      <c r="D6" s="2"/>
      <c r="E6" s="2"/>
      <c r="F6" s="2"/>
      <c r="G6" s="2"/>
      <c r="H6" s="2"/>
      <c r="I6" s="3"/>
      <c r="J6" s="10">
        <v>9.6600000000000005E-2</v>
      </c>
      <c r="K6" s="11">
        <v>0.4375</v>
      </c>
      <c r="L6" s="14"/>
      <c r="M6" s="15"/>
      <c r="N6" s="15"/>
      <c r="O6" s="16"/>
      <c r="P6" s="20"/>
      <c r="Q6" s="21"/>
      <c r="R6" s="21"/>
      <c r="S6" s="22"/>
      <c r="T6" s="26" t="s">
        <v>24</v>
      </c>
      <c r="U6" s="27" t="s">
        <v>18</v>
      </c>
      <c r="V6" s="27" t="s">
        <v>18</v>
      </c>
      <c r="W6" s="28"/>
      <c r="AG6" s="34" t="s">
        <v>39</v>
      </c>
      <c r="AH6" s="32">
        <v>0.74793677489412913</v>
      </c>
      <c r="AI6" s="32">
        <v>0.76743611013977364</v>
      </c>
      <c r="AJ6">
        <v>3</v>
      </c>
    </row>
    <row r="7" spans="1:36" x14ac:dyDescent="0.2">
      <c r="A7" s="1"/>
      <c r="B7" s="2"/>
      <c r="C7" s="2"/>
      <c r="D7" s="2"/>
      <c r="E7" s="2"/>
      <c r="F7" s="2"/>
      <c r="G7" s="2"/>
      <c r="H7" s="2"/>
      <c r="I7" s="3"/>
      <c r="J7" s="10">
        <v>0.12379999999999999</v>
      </c>
      <c r="K7" s="11">
        <v>0.47039999999999998</v>
      </c>
      <c r="L7" s="14"/>
      <c r="M7" s="15"/>
      <c r="N7" s="15"/>
      <c r="O7" s="16"/>
      <c r="P7" s="20"/>
      <c r="Q7" s="21"/>
      <c r="R7" s="21"/>
      <c r="S7" s="22"/>
      <c r="T7" s="26" t="s">
        <v>25</v>
      </c>
      <c r="U7" s="27" t="s">
        <v>20</v>
      </c>
      <c r="V7" s="27" t="s">
        <v>21</v>
      </c>
      <c r="W7" s="28"/>
      <c r="AG7" s="34" t="s">
        <v>40</v>
      </c>
      <c r="AH7" s="32">
        <v>0.72401093509092906</v>
      </c>
      <c r="AI7" s="32">
        <v>0.76743611013977364</v>
      </c>
    </row>
    <row r="8" spans="1:36" x14ac:dyDescent="0.2">
      <c r="A8" s="1"/>
      <c r="B8" s="2"/>
      <c r="C8" s="2"/>
      <c r="D8" s="2"/>
      <c r="E8" s="2"/>
      <c r="F8" s="2"/>
      <c r="G8" s="2" t="s">
        <v>15</v>
      </c>
      <c r="H8" s="2"/>
      <c r="I8" s="3"/>
      <c r="J8" s="10">
        <v>0.1661</v>
      </c>
      <c r="K8" s="11">
        <v>0.50890000000000002</v>
      </c>
      <c r="L8" s="14"/>
      <c r="M8" s="15"/>
      <c r="N8" s="15"/>
      <c r="O8" s="16"/>
      <c r="P8" s="20"/>
      <c r="Q8" s="21"/>
      <c r="R8" s="21"/>
      <c r="S8" s="22"/>
      <c r="T8" s="26"/>
      <c r="U8" s="27"/>
      <c r="V8" s="27"/>
      <c r="W8" s="28"/>
      <c r="AG8" s="34" t="s">
        <v>39</v>
      </c>
      <c r="AH8" s="32">
        <v>0.72401093509092906</v>
      </c>
      <c r="AI8" s="32">
        <v>0.7524712590269107</v>
      </c>
      <c r="AJ8">
        <v>4</v>
      </c>
    </row>
    <row r="9" spans="1:36" x14ac:dyDescent="0.2">
      <c r="A9" s="1"/>
      <c r="B9" s="2"/>
      <c r="C9" s="2"/>
      <c r="D9" s="2"/>
      <c r="E9" s="2"/>
      <c r="F9" s="2"/>
      <c r="G9" s="2" t="s">
        <v>16</v>
      </c>
      <c r="H9" s="2">
        <v>0.8</v>
      </c>
      <c r="I9" s="3"/>
      <c r="J9" s="10">
        <v>0.23369999999999999</v>
      </c>
      <c r="K9" s="11">
        <v>0.54449999999999998</v>
      </c>
      <c r="L9" s="14"/>
      <c r="M9" s="15"/>
      <c r="N9" s="15"/>
      <c r="O9" s="16"/>
      <c r="P9" s="20"/>
      <c r="Q9" s="21"/>
      <c r="R9" s="21"/>
      <c r="S9" s="22"/>
      <c r="T9" s="26"/>
      <c r="U9" s="27" t="s">
        <v>20</v>
      </c>
      <c r="V9" s="27" t="s">
        <v>21</v>
      </c>
      <c r="W9" s="28"/>
      <c r="AG9" s="34" t="s">
        <v>40</v>
      </c>
      <c r="AH9" s="32">
        <v>0.69933633174437126</v>
      </c>
      <c r="AI9" s="32">
        <v>0.7524712590269107</v>
      </c>
    </row>
    <row r="10" spans="1:36" x14ac:dyDescent="0.2">
      <c r="A10" s="1"/>
      <c r="B10" s="2"/>
      <c r="C10" s="2"/>
      <c r="D10" s="2"/>
      <c r="E10" s="2"/>
      <c r="F10" s="2"/>
      <c r="G10" s="2"/>
      <c r="H10" s="2"/>
      <c r="I10" s="3"/>
      <c r="J10" s="10">
        <v>0.26079999999999998</v>
      </c>
      <c r="K10" s="11">
        <v>0.55800000000000005</v>
      </c>
      <c r="L10" s="14"/>
      <c r="M10" s="15"/>
      <c r="N10" s="15"/>
      <c r="O10" s="16"/>
      <c r="P10" s="20"/>
      <c r="Q10" s="21"/>
      <c r="R10" s="21"/>
      <c r="S10" s="22"/>
      <c r="T10" s="26" t="s">
        <v>24</v>
      </c>
      <c r="U10" s="27">
        <f>H24</f>
        <v>0.02</v>
      </c>
      <c r="V10" s="27">
        <f>H24</f>
        <v>0.02</v>
      </c>
      <c r="W10" s="28"/>
      <c r="AG10" s="34" t="s">
        <v>39</v>
      </c>
      <c r="AH10" s="32">
        <v>0.69933633174437126</v>
      </c>
      <c r="AI10" s="32">
        <v>0.73703808015471917</v>
      </c>
      <c r="AJ10">
        <v>5</v>
      </c>
    </row>
    <row r="11" spans="1:36" x14ac:dyDescent="0.2">
      <c r="A11" s="1"/>
      <c r="B11" s="2"/>
      <c r="C11" s="2"/>
      <c r="D11" s="2"/>
      <c r="E11" s="2"/>
      <c r="F11" s="2"/>
      <c r="G11" s="2"/>
      <c r="H11" s="2"/>
      <c r="I11" s="3"/>
      <c r="J11" s="10">
        <v>0.32729999999999998</v>
      </c>
      <c r="K11" s="11">
        <v>0.58260000000000001</v>
      </c>
      <c r="L11" s="14"/>
      <c r="M11" s="15"/>
      <c r="N11" s="15"/>
      <c r="O11" s="16"/>
      <c r="P11" s="55" t="s">
        <v>30</v>
      </c>
      <c r="Q11" s="56"/>
      <c r="R11" s="56"/>
      <c r="S11" s="57"/>
      <c r="T11" s="26" t="s">
        <v>25</v>
      </c>
      <c r="U11" s="27">
        <f>((1 / (F12 + 1)) * H9 - (1 / ( 1- S14)) * B13) / (-F12 / (F12 + 1) + S14 / (S14 - 1))</f>
        <v>0.17053045186640473</v>
      </c>
      <c r="V11" s="27">
        <f>R24</f>
        <v>0.40628683693516709</v>
      </c>
      <c r="W11" s="28"/>
      <c r="AG11" s="34" t="s">
        <v>40</v>
      </c>
      <c r="AH11" s="32">
        <v>0.6735293394108739</v>
      </c>
      <c r="AI11" s="32">
        <v>0.73703808015471917</v>
      </c>
    </row>
    <row r="12" spans="1:36" x14ac:dyDescent="0.2">
      <c r="A12" s="4" t="s">
        <v>5</v>
      </c>
      <c r="B12" s="2">
        <v>1000</v>
      </c>
      <c r="C12" s="2" t="s">
        <v>8</v>
      </c>
      <c r="D12" s="2"/>
      <c r="E12" s="5" t="s">
        <v>10</v>
      </c>
      <c r="F12" s="2">
        <v>1.67</v>
      </c>
      <c r="G12" s="2"/>
      <c r="H12" s="2"/>
      <c r="I12" s="3"/>
      <c r="J12" s="10">
        <v>0.39650000000000002</v>
      </c>
      <c r="K12" s="11">
        <v>0.61219999999999997</v>
      </c>
      <c r="L12" s="14"/>
      <c r="M12" s="15"/>
      <c r="N12" s="15"/>
      <c r="O12" s="16"/>
      <c r="P12" s="20" t="s">
        <v>31</v>
      </c>
      <c r="Q12" s="21">
        <f>(B13 / C5) / (B13 / C5 + (1 - B13) / C4)</f>
        <v>0.39006011345356018</v>
      </c>
      <c r="R12" s="21" t="s">
        <v>32</v>
      </c>
      <c r="S12" s="22">
        <f>(H9 / C4) / (H9 / C4 + (1 - H9) / C5)</f>
        <v>0.60993988654643982</v>
      </c>
      <c r="T12" s="26"/>
      <c r="U12" s="27"/>
      <c r="V12" s="27"/>
      <c r="W12" s="28"/>
      <c r="AG12" s="34" t="s">
        <v>39</v>
      </c>
      <c r="AH12" s="32">
        <v>0.6735293394108739</v>
      </c>
      <c r="AI12" s="32">
        <v>0.72089662802103349</v>
      </c>
      <c r="AJ12">
        <v>6</v>
      </c>
    </row>
    <row r="13" spans="1:36" x14ac:dyDescent="0.2">
      <c r="A13" s="4" t="s">
        <v>6</v>
      </c>
      <c r="B13" s="2">
        <v>0.2</v>
      </c>
      <c r="C13" s="2"/>
      <c r="D13" s="2"/>
      <c r="E13" s="61" t="s">
        <v>12</v>
      </c>
      <c r="F13" s="61"/>
      <c r="G13" s="61"/>
      <c r="H13" s="2"/>
      <c r="I13" s="3"/>
      <c r="J13" s="10">
        <v>0.51980000000000004</v>
      </c>
      <c r="K13" s="11">
        <v>0.65990000000000004</v>
      </c>
      <c r="L13" s="43" t="s">
        <v>27</v>
      </c>
      <c r="M13" s="44"/>
      <c r="N13" s="44"/>
      <c r="O13" s="45"/>
      <c r="P13" s="20" t="s">
        <v>33</v>
      </c>
      <c r="Q13" s="21">
        <v>290</v>
      </c>
      <c r="R13" s="21" t="s">
        <v>35</v>
      </c>
      <c r="S13" s="22">
        <v>80</v>
      </c>
      <c r="T13" s="26"/>
      <c r="U13" s="27"/>
      <c r="V13" s="27"/>
      <c r="W13" s="28"/>
      <c r="AG13" s="34" t="s">
        <v>40</v>
      </c>
      <c r="AH13" s="32">
        <v>0.64293772700309826</v>
      </c>
      <c r="AI13" s="32">
        <v>0.72089662802103349</v>
      </c>
    </row>
    <row r="14" spans="1:36" x14ac:dyDescent="0.2">
      <c r="A14" s="4" t="s">
        <v>7</v>
      </c>
      <c r="B14" s="2">
        <v>80</v>
      </c>
      <c r="C14" s="2" t="s">
        <v>9</v>
      </c>
      <c r="D14" s="2"/>
      <c r="E14" s="61" t="s">
        <v>11</v>
      </c>
      <c r="F14" s="61"/>
      <c r="G14" s="61"/>
      <c r="H14" s="2"/>
      <c r="I14" s="3"/>
      <c r="J14" s="10">
        <v>0.57320000000000004</v>
      </c>
      <c r="K14" s="11">
        <v>0.68410000000000004</v>
      </c>
      <c r="L14" s="14"/>
      <c r="M14" s="15"/>
      <c r="N14" s="15"/>
      <c r="O14" s="16"/>
      <c r="P14" s="20" t="s">
        <v>34</v>
      </c>
      <c r="Q14" s="21">
        <v>50</v>
      </c>
      <c r="R14" s="21" t="s">
        <v>36</v>
      </c>
      <c r="S14" s="22">
        <f>(Q13 - S13) / (Q13 - Q14)</f>
        <v>0.875</v>
      </c>
      <c r="T14" s="26"/>
      <c r="U14" s="27"/>
      <c r="V14" s="27"/>
      <c r="W14" s="28"/>
      <c r="AG14" s="34" t="s">
        <v>39</v>
      </c>
      <c r="AH14" s="32">
        <v>0.64293772700309826</v>
      </c>
      <c r="AI14" s="32">
        <v>0.70176254835025254</v>
      </c>
      <c r="AJ14">
        <v>7</v>
      </c>
    </row>
    <row r="15" spans="1:36" x14ac:dyDescent="0.2">
      <c r="A15" s="1"/>
      <c r="B15" s="2"/>
      <c r="C15" s="2"/>
      <c r="D15" s="2"/>
      <c r="E15" s="61" t="s">
        <v>13</v>
      </c>
      <c r="F15" s="61"/>
      <c r="G15" s="61"/>
      <c r="H15" s="2"/>
      <c r="I15" s="3"/>
      <c r="J15" s="10">
        <v>0.67630000000000001</v>
      </c>
      <c r="K15" s="11">
        <v>0.73850000000000005</v>
      </c>
      <c r="L15" s="14"/>
      <c r="M15" s="15" t="s">
        <v>20</v>
      </c>
      <c r="N15" s="15" t="s">
        <v>21</v>
      </c>
      <c r="O15" s="16"/>
      <c r="P15" s="20"/>
      <c r="Q15" s="21"/>
      <c r="R15" s="21"/>
      <c r="S15" s="22"/>
      <c r="T15" s="26"/>
      <c r="U15" s="27"/>
      <c r="V15" s="27"/>
      <c r="W15" s="28"/>
      <c r="AG15" s="34" t="s">
        <v>40</v>
      </c>
      <c r="AH15" s="32">
        <v>0.60667442527409987</v>
      </c>
      <c r="AI15" s="32">
        <v>0.70176254835025254</v>
      </c>
    </row>
    <row r="16" spans="1:36" x14ac:dyDescent="0.2">
      <c r="A16" s="1"/>
      <c r="B16" s="2"/>
      <c r="C16" s="2"/>
      <c r="D16" s="2"/>
      <c r="E16" s="61" t="s">
        <v>14</v>
      </c>
      <c r="F16" s="61"/>
      <c r="G16" s="61"/>
      <c r="H16" s="2"/>
      <c r="I16" s="3"/>
      <c r="J16" s="10">
        <v>0.74719999999999998</v>
      </c>
      <c r="K16" s="11">
        <v>0.78149999999999997</v>
      </c>
      <c r="L16" s="14" t="s">
        <v>24</v>
      </c>
      <c r="M16" s="15" t="s">
        <v>16</v>
      </c>
      <c r="N16" s="15" t="s">
        <v>16</v>
      </c>
      <c r="O16" s="16"/>
      <c r="P16" s="55" t="s">
        <v>29</v>
      </c>
      <c r="Q16" s="56"/>
      <c r="R16" s="56"/>
      <c r="S16" s="57"/>
      <c r="T16" s="26"/>
      <c r="U16" s="27"/>
      <c r="V16" s="27"/>
      <c r="W16" s="28"/>
      <c r="AG16" s="34" t="s">
        <v>39</v>
      </c>
      <c r="AH16" s="32">
        <v>0.60667442527409987</v>
      </c>
      <c r="AI16" s="32">
        <v>0.67908100756844447</v>
      </c>
      <c r="AJ16">
        <v>8</v>
      </c>
    </row>
    <row r="17" spans="1:36" x14ac:dyDescent="0.2">
      <c r="A17" s="1"/>
      <c r="B17" s="2"/>
      <c r="C17" s="2"/>
      <c r="D17" s="2"/>
      <c r="E17" s="2"/>
      <c r="F17" s="2"/>
      <c r="G17" s="2"/>
      <c r="H17" s="2"/>
      <c r="I17" s="3"/>
      <c r="J17" s="10">
        <v>0.89429999999999998</v>
      </c>
      <c r="K17" s="11">
        <v>0.89429999999999998</v>
      </c>
      <c r="L17" s="14" t="s">
        <v>25</v>
      </c>
      <c r="M17" s="15">
        <v>0</v>
      </c>
      <c r="N17" s="15" t="s">
        <v>26</v>
      </c>
      <c r="O17" s="16"/>
      <c r="P17" s="20"/>
      <c r="Q17" s="21"/>
      <c r="R17" s="21"/>
      <c r="S17" s="22"/>
      <c r="T17" s="26"/>
      <c r="U17" s="27"/>
      <c r="V17" s="27"/>
      <c r="W17" s="28"/>
      <c r="AG17" s="34" t="s">
        <v>40</v>
      </c>
      <c r="AH17" s="32">
        <v>0.56212503322954277</v>
      </c>
      <c r="AI17" s="32">
        <v>0.67908100756844447</v>
      </c>
    </row>
    <row r="18" spans="1:36" x14ac:dyDescent="0.2">
      <c r="A18" s="1"/>
      <c r="B18" s="2"/>
      <c r="C18" s="2"/>
      <c r="D18" s="2"/>
      <c r="E18" s="2"/>
      <c r="F18" s="2"/>
      <c r="G18" s="2"/>
      <c r="H18" s="2"/>
      <c r="I18" s="3"/>
      <c r="J18" s="10">
        <v>1</v>
      </c>
      <c r="K18" s="11">
        <v>1</v>
      </c>
      <c r="L18" s="14"/>
      <c r="M18" s="15"/>
      <c r="N18" s="15"/>
      <c r="O18" s="16"/>
      <c r="P18" s="20"/>
      <c r="Q18" s="21" t="s">
        <v>20</v>
      </c>
      <c r="R18" s="21" t="s">
        <v>21</v>
      </c>
      <c r="S18" s="22"/>
      <c r="T18" s="26"/>
      <c r="U18" s="27"/>
      <c r="V18" s="27"/>
      <c r="W18" s="28"/>
      <c r="AG18" s="34" t="s">
        <v>39</v>
      </c>
      <c r="AH18" s="32">
        <v>0.56212503322954277</v>
      </c>
      <c r="AI18" s="32">
        <v>0.65121678108364667</v>
      </c>
      <c r="AJ18">
        <v>9</v>
      </c>
    </row>
    <row r="19" spans="1:36" x14ac:dyDescent="0.2">
      <c r="A19" s="1"/>
      <c r="B19" s="2"/>
      <c r="C19" s="2"/>
      <c r="D19" s="2"/>
      <c r="E19" s="2"/>
      <c r="F19" s="2"/>
      <c r="G19" s="2"/>
      <c r="H19" s="2"/>
      <c r="I19" s="3"/>
      <c r="J19" s="10"/>
      <c r="K19" s="11"/>
      <c r="L19" s="14"/>
      <c r="M19" s="15" t="s">
        <v>20</v>
      </c>
      <c r="N19" s="15" t="s">
        <v>21</v>
      </c>
      <c r="O19" s="16"/>
      <c r="P19" s="20" t="s">
        <v>24</v>
      </c>
      <c r="Q19" s="21" t="s">
        <v>6</v>
      </c>
      <c r="R19" s="21" t="s">
        <v>6</v>
      </c>
      <c r="S19" s="22"/>
      <c r="T19" s="26"/>
      <c r="U19" s="27"/>
      <c r="V19" s="27"/>
      <c r="W19" s="28"/>
      <c r="AG19" s="34" t="s">
        <v>40</v>
      </c>
      <c r="AH19" s="32">
        <v>0.49735469827282247</v>
      </c>
      <c r="AI19" s="32">
        <v>0.65121678108364667</v>
      </c>
    </row>
    <row r="20" spans="1:36" x14ac:dyDescent="0.2">
      <c r="A20" s="1"/>
      <c r="B20" s="2"/>
      <c r="C20" s="2"/>
      <c r="D20" s="2"/>
      <c r="E20" s="2"/>
      <c r="F20" s="2"/>
      <c r="G20" s="2"/>
      <c r="H20" s="2"/>
      <c r="I20" s="3"/>
      <c r="J20" s="10"/>
      <c r="K20" s="11"/>
      <c r="L20" s="14" t="s">
        <v>24</v>
      </c>
      <c r="M20" s="15">
        <f>H9</f>
        <v>0.8</v>
      </c>
      <c r="N20" s="15">
        <f>H9</f>
        <v>0.8</v>
      </c>
      <c r="O20" s="16"/>
      <c r="P20" s="20" t="s">
        <v>25</v>
      </c>
      <c r="Q20" s="21" t="s">
        <v>20</v>
      </c>
      <c r="R20" s="21" t="s">
        <v>21</v>
      </c>
      <c r="S20" s="22"/>
      <c r="T20" s="26"/>
      <c r="U20" s="27"/>
      <c r="V20" s="27"/>
      <c r="W20" s="28"/>
      <c r="AG20" s="34" t="s">
        <v>39</v>
      </c>
      <c r="AH20" s="32">
        <v>0.49735469827282247</v>
      </c>
      <c r="AI20" s="32">
        <v>0.61070499854517357</v>
      </c>
      <c r="AJ20">
        <v>10</v>
      </c>
    </row>
    <row r="21" spans="1:36" x14ac:dyDescent="0.2">
      <c r="A21" s="1"/>
      <c r="B21" s="2"/>
      <c r="C21" s="2"/>
      <c r="D21" s="2"/>
      <c r="E21" s="2"/>
      <c r="F21" s="2"/>
      <c r="G21" s="2"/>
      <c r="H21" s="2"/>
      <c r="I21" s="3"/>
      <c r="J21" s="10"/>
      <c r="K21" s="11"/>
      <c r="L21" s="14" t="s">
        <v>25</v>
      </c>
      <c r="M21" s="15">
        <v>0</v>
      </c>
      <c r="N21" s="15">
        <f>H9 / (F12 + 1)</f>
        <v>0.29962546816479402</v>
      </c>
      <c r="O21" s="16"/>
      <c r="P21" s="20"/>
      <c r="Q21" s="21"/>
      <c r="R21" s="21"/>
      <c r="S21" s="22"/>
      <c r="T21" s="26"/>
      <c r="U21" s="27"/>
      <c r="V21" s="27"/>
      <c r="W21" s="28"/>
      <c r="AG21" s="34" t="s">
        <v>40</v>
      </c>
      <c r="AH21" s="32">
        <v>0.39300492903128431</v>
      </c>
      <c r="AI21" s="32">
        <v>0.61070499854517357</v>
      </c>
    </row>
    <row r="22" spans="1:36" x14ac:dyDescent="0.2">
      <c r="A22" s="1"/>
      <c r="B22" s="2"/>
      <c r="C22" s="2"/>
      <c r="D22" s="2"/>
      <c r="E22" s="2"/>
      <c r="F22" s="2"/>
      <c r="G22" s="2"/>
      <c r="H22" s="2"/>
      <c r="I22" s="3"/>
      <c r="J22" s="10"/>
      <c r="K22" s="11"/>
      <c r="L22" s="14"/>
      <c r="M22" s="15"/>
      <c r="N22" s="15"/>
      <c r="O22" s="16"/>
      <c r="P22" s="20"/>
      <c r="Q22" s="21" t="s">
        <v>20</v>
      </c>
      <c r="R22" s="21" t="s">
        <v>21</v>
      </c>
      <c r="S22" s="22"/>
      <c r="T22" s="26"/>
      <c r="U22" s="27"/>
      <c r="V22" s="27"/>
      <c r="W22" s="28"/>
      <c r="AG22" s="34" t="s">
        <v>39</v>
      </c>
      <c r="AH22" s="32">
        <v>0.39300492903128431</v>
      </c>
      <c r="AI22" s="32">
        <v>0.54543753988099053</v>
      </c>
      <c r="AJ22">
        <v>11</v>
      </c>
    </row>
    <row r="23" spans="1:36" x14ac:dyDescent="0.2">
      <c r="A23" s="1"/>
      <c r="B23" s="2"/>
      <c r="C23" s="2"/>
      <c r="D23" s="2"/>
      <c r="E23" s="2"/>
      <c r="F23" s="2"/>
      <c r="G23" s="2" t="s">
        <v>17</v>
      </c>
      <c r="H23" s="2"/>
      <c r="I23" s="3"/>
      <c r="J23" s="10"/>
      <c r="K23" s="11"/>
      <c r="L23" s="14"/>
      <c r="M23" s="15"/>
      <c r="N23" s="15"/>
      <c r="O23" s="16"/>
      <c r="P23" s="20" t="s">
        <v>24</v>
      </c>
      <c r="Q23" s="21">
        <f>B13</f>
        <v>0.2</v>
      </c>
      <c r="R23" s="21">
        <f>B13</f>
        <v>0.2</v>
      </c>
      <c r="S23" s="22"/>
      <c r="T23" s="26"/>
      <c r="U23" s="27"/>
      <c r="V23" s="27"/>
      <c r="W23" s="28"/>
      <c r="AG23" s="34" t="s">
        <v>40</v>
      </c>
      <c r="AH23" s="32">
        <v>0.23558202450184026</v>
      </c>
      <c r="AI23" s="32">
        <v>0.54543753988099053</v>
      </c>
    </row>
    <row r="24" spans="1:36" x14ac:dyDescent="0.2">
      <c r="A24" s="1"/>
      <c r="B24" s="2"/>
      <c r="C24" s="2"/>
      <c r="D24" s="2"/>
      <c r="E24" s="2"/>
      <c r="F24" s="2"/>
      <c r="G24" s="2" t="s">
        <v>18</v>
      </c>
      <c r="H24" s="2">
        <v>0.02</v>
      </c>
      <c r="I24" s="3"/>
      <c r="J24" s="10"/>
      <c r="K24" s="11"/>
      <c r="L24" s="14"/>
      <c r="M24" s="15"/>
      <c r="N24" s="15"/>
      <c r="O24" s="16"/>
      <c r="P24" s="20" t="s">
        <v>25</v>
      </c>
      <c r="Q24" s="21">
        <f>U11</f>
        <v>0.17053045186640473</v>
      </c>
      <c r="R24" s="21">
        <f>S14 / (S14 - 1) * Q24 + 1 / (1 - S14) * B13</f>
        <v>0.40628683693516709</v>
      </c>
      <c r="S24" s="22"/>
      <c r="T24" s="26"/>
      <c r="U24" s="27"/>
      <c r="V24" s="27"/>
      <c r="W24" s="28"/>
      <c r="AG24" s="34" t="s">
        <v>39</v>
      </c>
      <c r="AH24" s="32">
        <v>0.23558202450184026</v>
      </c>
      <c r="AI24" s="32">
        <v>0.44697452468841692</v>
      </c>
      <c r="AJ24">
        <v>12</v>
      </c>
    </row>
    <row r="25" spans="1:36" x14ac:dyDescent="0.2">
      <c r="A25" s="1"/>
      <c r="B25" s="2"/>
      <c r="C25" s="2"/>
      <c r="D25" s="2"/>
      <c r="E25" s="2"/>
      <c r="F25" s="2"/>
      <c r="G25" s="2"/>
      <c r="H25" s="2"/>
      <c r="I25" s="3"/>
      <c r="J25" s="10"/>
      <c r="K25" s="11"/>
      <c r="L25" s="14"/>
      <c r="M25" s="15"/>
      <c r="N25" s="15"/>
      <c r="O25" s="16"/>
      <c r="P25" s="20"/>
      <c r="Q25" s="21"/>
      <c r="R25" s="21"/>
      <c r="S25" s="22"/>
      <c r="T25" s="26"/>
      <c r="U25" s="27"/>
      <c r="V25" s="27"/>
      <c r="W25" s="28"/>
      <c r="AG25" s="34" t="s">
        <v>40</v>
      </c>
      <c r="AH25" s="32">
        <v>0.10443304168768816</v>
      </c>
      <c r="AI25" s="32">
        <v>0.44697452468841692</v>
      </c>
    </row>
    <row r="26" spans="1:36" x14ac:dyDescent="0.2">
      <c r="A26" s="1"/>
      <c r="B26" s="2"/>
      <c r="C26" s="2"/>
      <c r="D26" s="2"/>
      <c r="E26" s="2"/>
      <c r="F26" s="2"/>
      <c r="G26" s="2"/>
      <c r="H26" s="2"/>
      <c r="I26" s="3"/>
      <c r="J26" s="10"/>
      <c r="K26" s="11"/>
      <c r="L26" s="14"/>
      <c r="M26" s="15"/>
      <c r="N26" s="15"/>
      <c r="O26" s="16"/>
      <c r="P26" s="20"/>
      <c r="Q26" s="21"/>
      <c r="R26" s="21"/>
      <c r="S26" s="22"/>
      <c r="T26" s="26"/>
      <c r="U26" s="27"/>
      <c r="V26" s="27"/>
      <c r="W26" s="28"/>
      <c r="AG26" s="34" t="s">
        <v>39</v>
      </c>
      <c r="AH26" s="32">
        <v>0.10443304168768816</v>
      </c>
      <c r="AI26" s="32">
        <v>0.44697452468841692</v>
      </c>
      <c r="AJ26">
        <v>13</v>
      </c>
    </row>
    <row r="27" spans="1:36" x14ac:dyDescent="0.2">
      <c r="A27" s="1"/>
      <c r="B27" s="2"/>
      <c r="C27" s="2"/>
      <c r="D27" s="2"/>
      <c r="E27" s="2"/>
      <c r="F27" s="2"/>
      <c r="G27" s="2"/>
      <c r="H27" s="2"/>
      <c r="I27" s="3"/>
      <c r="J27" s="10"/>
      <c r="K27" s="11"/>
      <c r="L27" s="14"/>
      <c r="M27" s="15"/>
      <c r="N27" s="15"/>
      <c r="O27" s="16"/>
      <c r="P27" s="20"/>
      <c r="Q27" s="21"/>
      <c r="R27" s="21"/>
      <c r="S27" s="22"/>
      <c r="T27" s="26"/>
      <c r="U27" s="27"/>
      <c r="V27" s="27"/>
      <c r="W27" s="28"/>
      <c r="AG27" s="34" t="s">
        <v>40</v>
      </c>
      <c r="AH27" s="32">
        <v>0.10443304168768816</v>
      </c>
      <c r="AI27" s="32">
        <v>0.23666959875532817</v>
      </c>
    </row>
    <row r="28" spans="1:36" x14ac:dyDescent="0.2">
      <c r="A28" s="1"/>
      <c r="B28" s="2"/>
      <c r="C28" s="2"/>
      <c r="D28" s="2"/>
      <c r="E28" s="2"/>
      <c r="F28" s="2"/>
      <c r="G28" s="2"/>
      <c r="H28" s="2"/>
      <c r="I28" s="3"/>
      <c r="J28" s="10"/>
      <c r="K28" s="11"/>
      <c r="L28" s="14"/>
      <c r="M28" s="15"/>
      <c r="N28" s="15"/>
      <c r="O28" s="16"/>
      <c r="P28" s="20"/>
      <c r="Q28" s="21"/>
      <c r="R28" s="21"/>
      <c r="S28" s="22"/>
      <c r="T28" s="26"/>
      <c r="U28" s="27"/>
      <c r="V28" s="27"/>
      <c r="W28" s="28"/>
      <c r="AG28" s="34" t="s">
        <v>39</v>
      </c>
      <c r="AH28" s="32">
        <v>3.5157716539972274E-2</v>
      </c>
      <c r="AI28" s="32">
        <v>0.23666959875532817</v>
      </c>
      <c r="AJ28">
        <v>14</v>
      </c>
    </row>
    <row r="29" spans="1:36" x14ac:dyDescent="0.2">
      <c r="A29" s="7"/>
      <c r="B29" s="8"/>
      <c r="C29" s="8"/>
      <c r="D29" s="8"/>
      <c r="E29" s="8"/>
      <c r="F29" s="8"/>
      <c r="G29" s="8"/>
      <c r="H29" s="8"/>
      <c r="I29" s="9"/>
      <c r="J29" s="12"/>
      <c r="K29" s="13"/>
      <c r="L29" s="17"/>
      <c r="M29" s="18"/>
      <c r="N29" s="18"/>
      <c r="O29" s="19"/>
      <c r="P29" s="23"/>
      <c r="Q29" s="24"/>
      <c r="R29" s="24"/>
      <c r="S29" s="25"/>
      <c r="T29" s="29"/>
      <c r="U29" s="30"/>
      <c r="V29" s="30"/>
      <c r="W29" s="31"/>
      <c r="AG29" s="34" t="s">
        <v>40</v>
      </c>
      <c r="AH29" s="32">
        <v>3.5157716539972274E-2</v>
      </c>
      <c r="AI29" s="32">
        <v>5.8897288254885785E-2</v>
      </c>
    </row>
    <row r="30" spans="1:36" x14ac:dyDescent="0.2">
      <c r="AG30" s="34" t="s">
        <v>39</v>
      </c>
      <c r="AH30" s="32">
        <v>6.5826380990754701E-3</v>
      </c>
      <c r="AI30" s="32">
        <v>5.8897288254885785E-2</v>
      </c>
      <c r="AJ30">
        <v>15</v>
      </c>
    </row>
  </sheetData>
  <mergeCells count="13">
    <mergeCell ref="P16:S16"/>
    <mergeCell ref="T3:W3"/>
    <mergeCell ref="E13:G13"/>
    <mergeCell ref="E14:G14"/>
    <mergeCell ref="E15:G15"/>
    <mergeCell ref="E16:G16"/>
    <mergeCell ref="T1:W1"/>
    <mergeCell ref="J1:K1"/>
    <mergeCell ref="L13:O13"/>
    <mergeCell ref="A1:I1"/>
    <mergeCell ref="L1:O1"/>
    <mergeCell ref="P1:S1"/>
    <mergeCell ref="P11:S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395F9-489A-AD43-B494-D29F1E698795}">
  <dimension ref="A1:AJ59"/>
  <sheetViews>
    <sheetView topLeftCell="B1" workbookViewId="0">
      <selection activeCell="AJ20" sqref="AJ20:AJ30"/>
    </sheetView>
  </sheetViews>
  <sheetFormatPr baseColWidth="10" defaultRowHeight="16" x14ac:dyDescent="0.2"/>
  <sheetData>
    <row r="1" spans="1:36" x14ac:dyDescent="0.2">
      <c r="A1" s="46" t="s">
        <v>22</v>
      </c>
      <c r="B1" s="47"/>
      <c r="C1" s="47"/>
      <c r="D1" s="47"/>
      <c r="E1" s="47"/>
      <c r="F1" s="47"/>
      <c r="G1" s="47"/>
      <c r="H1" s="47"/>
      <c r="I1" s="48"/>
      <c r="J1" s="41" t="s">
        <v>19</v>
      </c>
      <c r="K1" s="42"/>
      <c r="L1" s="49" t="s">
        <v>23</v>
      </c>
      <c r="M1" s="50"/>
      <c r="N1" s="50"/>
      <c r="O1" s="51"/>
      <c r="P1" s="52" t="s">
        <v>28</v>
      </c>
      <c r="Q1" s="53"/>
      <c r="R1" s="53"/>
      <c r="S1" s="54"/>
      <c r="T1" s="38" t="s">
        <v>37</v>
      </c>
      <c r="U1" s="39"/>
      <c r="V1" s="39"/>
      <c r="W1" s="40"/>
      <c r="AG1" s="33"/>
      <c r="AH1" s="33" t="s">
        <v>20</v>
      </c>
      <c r="AI1" s="33" t="s">
        <v>21</v>
      </c>
    </row>
    <row r="2" spans="1:36" x14ac:dyDescent="0.2">
      <c r="A2" s="1"/>
      <c r="B2" s="2"/>
      <c r="C2" s="2"/>
      <c r="D2" s="2"/>
      <c r="E2" s="2"/>
      <c r="F2" s="2"/>
      <c r="G2" s="2"/>
      <c r="H2" s="2"/>
      <c r="I2" s="3"/>
      <c r="J2" s="10" t="s">
        <v>20</v>
      </c>
      <c r="K2" s="11" t="s">
        <v>21</v>
      </c>
      <c r="L2" s="14"/>
      <c r="M2" s="15"/>
      <c r="N2" s="15"/>
      <c r="O2" s="16"/>
      <c r="P2" s="20"/>
      <c r="Q2" s="21"/>
      <c r="R2" s="21"/>
      <c r="S2" s="22"/>
      <c r="T2" s="26"/>
      <c r="U2" s="27"/>
      <c r="V2" s="27"/>
      <c r="W2" s="28"/>
      <c r="AG2" s="34" t="s">
        <v>39</v>
      </c>
      <c r="AH2" s="35">
        <v>0.96</v>
      </c>
      <c r="AI2" s="35">
        <v>0.96</v>
      </c>
      <c r="AJ2">
        <v>1</v>
      </c>
    </row>
    <row r="3" spans="1:36" x14ac:dyDescent="0.2">
      <c r="A3" s="1" t="s">
        <v>0</v>
      </c>
      <c r="B3" s="2" t="s">
        <v>1</v>
      </c>
      <c r="C3" s="2"/>
      <c r="D3" s="2"/>
      <c r="E3" s="2"/>
      <c r="F3" s="2"/>
      <c r="G3" s="2"/>
      <c r="H3" s="2"/>
      <c r="I3" s="3"/>
      <c r="J3" s="10">
        <v>0</v>
      </c>
      <c r="K3" s="11">
        <v>0</v>
      </c>
      <c r="L3" s="14"/>
      <c r="M3" s="15"/>
      <c r="N3" s="15"/>
      <c r="O3" s="16"/>
      <c r="P3" s="20"/>
      <c r="Q3" s="21"/>
      <c r="R3" s="21"/>
      <c r="S3" s="22"/>
      <c r="T3" s="58" t="s">
        <v>38</v>
      </c>
      <c r="U3" s="59"/>
      <c r="V3" s="59"/>
      <c r="W3" s="60"/>
      <c r="AG3" s="34" t="s">
        <v>40</v>
      </c>
      <c r="AH3" s="35">
        <v>0.9</v>
      </c>
      <c r="AI3" s="35">
        <v>0.96</v>
      </c>
    </row>
    <row r="4" spans="1:36" x14ac:dyDescent="0.2">
      <c r="A4" s="1">
        <v>1</v>
      </c>
      <c r="B4" s="2" t="s">
        <v>41</v>
      </c>
      <c r="C4" s="2"/>
      <c r="D4" s="2"/>
      <c r="E4" s="2"/>
      <c r="F4" s="2"/>
      <c r="G4" s="2"/>
      <c r="H4" s="2"/>
      <c r="I4" s="3"/>
      <c r="J4" s="10">
        <v>0.1</v>
      </c>
      <c r="K4" s="11">
        <v>0.21</v>
      </c>
      <c r="L4" s="14"/>
      <c r="M4" s="15"/>
      <c r="N4" s="15"/>
      <c r="O4" s="16"/>
      <c r="P4" s="20"/>
      <c r="Q4" s="21"/>
      <c r="R4" s="21"/>
      <c r="S4" s="22"/>
      <c r="T4" s="26"/>
      <c r="U4" s="27"/>
      <c r="V4" s="27"/>
      <c r="W4" s="28"/>
      <c r="AG4" s="34" t="s">
        <v>39</v>
      </c>
      <c r="AH4" s="35">
        <v>0.9</v>
      </c>
      <c r="AI4" s="35">
        <v>0.91885714285714293</v>
      </c>
      <c r="AJ4">
        <v>2</v>
      </c>
    </row>
    <row r="5" spans="1:36" x14ac:dyDescent="0.2">
      <c r="A5" s="1">
        <v>2</v>
      </c>
      <c r="B5" s="2" t="s">
        <v>42</v>
      </c>
      <c r="C5" s="2"/>
      <c r="D5" s="2"/>
      <c r="E5" s="2"/>
      <c r="F5" s="2"/>
      <c r="G5" s="2"/>
      <c r="H5" s="2"/>
      <c r="I5" s="3"/>
      <c r="J5" s="10">
        <v>0.2</v>
      </c>
      <c r="K5" s="11">
        <v>0.37</v>
      </c>
      <c r="L5" s="14"/>
      <c r="M5" s="15"/>
      <c r="N5" s="15"/>
      <c r="O5" s="16"/>
      <c r="P5" s="20"/>
      <c r="Q5" s="21"/>
      <c r="R5" s="21"/>
      <c r="S5" s="22"/>
      <c r="T5" s="26"/>
      <c r="U5" s="27" t="s">
        <v>20</v>
      </c>
      <c r="V5" s="27" t="s">
        <v>21</v>
      </c>
      <c r="W5" s="28"/>
      <c r="AG5" s="34" t="s">
        <v>40</v>
      </c>
      <c r="AH5" s="35">
        <v>0.81771428571428584</v>
      </c>
      <c r="AI5" s="35">
        <v>0.91885714285714293</v>
      </c>
    </row>
    <row r="6" spans="1:36" x14ac:dyDescent="0.2">
      <c r="A6" s="1"/>
      <c r="B6" s="2"/>
      <c r="C6" s="2"/>
      <c r="D6" s="2"/>
      <c r="E6" s="2"/>
      <c r="F6" s="2"/>
      <c r="G6" s="2"/>
      <c r="H6" s="2"/>
      <c r="I6" s="3"/>
      <c r="J6" s="10">
        <v>0.3</v>
      </c>
      <c r="K6" s="11">
        <v>0.51</v>
      </c>
      <c r="L6" s="14"/>
      <c r="M6" s="15"/>
      <c r="N6" s="15"/>
      <c r="O6" s="16"/>
      <c r="P6" s="20"/>
      <c r="Q6" s="21"/>
      <c r="R6" s="21"/>
      <c r="S6" s="22"/>
      <c r="T6" s="26" t="s">
        <v>24</v>
      </c>
      <c r="U6" s="27" t="s">
        <v>18</v>
      </c>
      <c r="V6" s="27" t="s">
        <v>18</v>
      </c>
      <c r="W6" s="28"/>
      <c r="AG6" s="34" t="s">
        <v>39</v>
      </c>
      <c r="AH6" s="35">
        <v>0.81771428571428584</v>
      </c>
      <c r="AI6" s="35">
        <v>0.86243265306122463</v>
      </c>
      <c r="AJ6">
        <v>3</v>
      </c>
    </row>
    <row r="7" spans="1:36" x14ac:dyDescent="0.2">
      <c r="A7" s="1"/>
      <c r="B7" s="2"/>
      <c r="C7" s="2"/>
      <c r="D7" s="2"/>
      <c r="E7" s="2"/>
      <c r="F7" s="2"/>
      <c r="G7" s="2"/>
      <c r="H7" s="2"/>
      <c r="I7" s="3"/>
      <c r="J7" s="10">
        <v>0.4</v>
      </c>
      <c r="K7" s="11">
        <v>0.65</v>
      </c>
      <c r="L7" s="14"/>
      <c r="M7" s="15"/>
      <c r="N7" s="15"/>
      <c r="O7" s="16"/>
      <c r="P7" s="20"/>
      <c r="Q7" s="21"/>
      <c r="R7" s="21"/>
      <c r="S7" s="22"/>
      <c r="T7" s="26" t="s">
        <v>25</v>
      </c>
      <c r="U7" s="27" t="s">
        <v>20</v>
      </c>
      <c r="V7" s="27" t="s">
        <v>21</v>
      </c>
      <c r="W7" s="28"/>
      <c r="AG7" s="34" t="s">
        <v>40</v>
      </c>
      <c r="AH7" s="35">
        <v>0.70486530612244924</v>
      </c>
      <c r="AI7" s="35">
        <v>0.86243265306122463</v>
      </c>
    </row>
    <row r="8" spans="1:36" x14ac:dyDescent="0.2">
      <c r="A8" s="1"/>
      <c r="B8" s="2"/>
      <c r="C8" s="2"/>
      <c r="D8" s="2"/>
      <c r="E8" s="2"/>
      <c r="F8" s="2"/>
      <c r="G8" s="2" t="s">
        <v>15</v>
      </c>
      <c r="H8" s="2">
        <v>46.51</v>
      </c>
      <c r="I8" s="3" t="s">
        <v>43</v>
      </c>
      <c r="J8" s="10">
        <v>0.5</v>
      </c>
      <c r="K8" s="11">
        <v>0.72</v>
      </c>
      <c r="L8" s="14"/>
      <c r="M8" s="15"/>
      <c r="N8" s="15"/>
      <c r="O8" s="16"/>
      <c r="P8" s="20"/>
      <c r="Q8" s="21"/>
      <c r="R8" s="21"/>
      <c r="S8" s="22"/>
      <c r="T8" s="26"/>
      <c r="U8" s="27"/>
      <c r="V8" s="27"/>
      <c r="W8" s="28"/>
      <c r="AG8" s="34" t="s">
        <v>39</v>
      </c>
      <c r="AH8" s="35">
        <v>0.70486530612244924</v>
      </c>
      <c r="AI8" s="35">
        <v>0.78505049562682228</v>
      </c>
      <c r="AJ8">
        <v>4</v>
      </c>
    </row>
    <row r="9" spans="1:36" x14ac:dyDescent="0.2">
      <c r="A9" s="1"/>
      <c r="B9" s="2"/>
      <c r="C9" s="2"/>
      <c r="D9" s="2"/>
      <c r="E9" s="2"/>
      <c r="F9" s="2"/>
      <c r="G9" s="2" t="s">
        <v>16</v>
      </c>
      <c r="H9" s="2">
        <v>0.96</v>
      </c>
      <c r="I9" s="3"/>
      <c r="J9" s="10">
        <v>0.6</v>
      </c>
      <c r="K9" s="11">
        <v>0.79</v>
      </c>
      <c r="L9" s="14"/>
      <c r="M9" s="15"/>
      <c r="N9" s="15"/>
      <c r="O9" s="16"/>
      <c r="P9" s="20"/>
      <c r="Q9" s="21"/>
      <c r="R9" s="21"/>
      <c r="S9" s="22"/>
      <c r="T9" s="26"/>
      <c r="U9" s="27" t="s">
        <v>20</v>
      </c>
      <c r="V9" s="27" t="s">
        <v>21</v>
      </c>
      <c r="W9" s="28"/>
      <c r="AG9" s="34" t="s">
        <v>40</v>
      </c>
      <c r="AH9" s="35">
        <v>0.59292927946688889</v>
      </c>
      <c r="AI9" s="35">
        <v>0.78505049562682228</v>
      </c>
    </row>
    <row r="10" spans="1:36" x14ac:dyDescent="0.2">
      <c r="A10" s="1"/>
      <c r="B10" s="2"/>
      <c r="C10" s="2"/>
      <c r="D10" s="2"/>
      <c r="E10" s="2"/>
      <c r="F10" s="2"/>
      <c r="G10" s="2"/>
      <c r="H10" s="2"/>
      <c r="I10" s="3"/>
      <c r="J10" s="10">
        <v>0.7</v>
      </c>
      <c r="K10" s="11">
        <v>0.86</v>
      </c>
      <c r="L10" s="14"/>
      <c r="M10" s="15"/>
      <c r="N10" s="15"/>
      <c r="O10" s="16"/>
      <c r="P10" s="20"/>
      <c r="Q10" s="21"/>
      <c r="R10" s="21"/>
      <c r="S10" s="22"/>
      <c r="T10" s="26" t="s">
        <v>24</v>
      </c>
      <c r="U10" s="27">
        <f>H24</f>
        <v>0.16729726614346113</v>
      </c>
      <c r="V10" s="27">
        <f>H24</f>
        <v>0.16729726614346113</v>
      </c>
      <c r="W10" s="28"/>
      <c r="AG10" s="34" t="s">
        <v>39</v>
      </c>
      <c r="AH10" s="35">
        <v>0.59292927946688889</v>
      </c>
      <c r="AI10" s="35">
        <v>0.70829436306300952</v>
      </c>
      <c r="AJ10">
        <v>5</v>
      </c>
    </row>
    <row r="11" spans="1:36" x14ac:dyDescent="0.2">
      <c r="A11" s="1"/>
      <c r="B11" s="2"/>
      <c r="C11" s="2"/>
      <c r="D11" s="2"/>
      <c r="E11" s="2"/>
      <c r="F11" s="2"/>
      <c r="G11" s="2"/>
      <c r="H11" s="2"/>
      <c r="I11" s="3"/>
      <c r="J11" s="10">
        <v>0.8</v>
      </c>
      <c r="K11" s="11">
        <v>0.91</v>
      </c>
      <c r="L11" s="14"/>
      <c r="M11" s="15"/>
      <c r="N11" s="15"/>
      <c r="O11" s="16"/>
      <c r="P11" s="55"/>
      <c r="Q11" s="56"/>
      <c r="R11" s="56"/>
      <c r="S11" s="57"/>
      <c r="T11" s="26" t="s">
        <v>25</v>
      </c>
      <c r="U11" s="27">
        <f>Q23</f>
        <v>0.5</v>
      </c>
      <c r="V11" s="27">
        <f>F12 / (F12 + 1 ) * U11 + (1 / (F12 + 1)) * H9</f>
        <v>0.64457142857142857</v>
      </c>
      <c r="W11" s="28"/>
      <c r="AG11" s="34" t="s">
        <v>40</v>
      </c>
      <c r="AH11" s="35">
        <v>0.48327766151858509</v>
      </c>
      <c r="AI11" s="35">
        <v>0.70829436306300952</v>
      </c>
    </row>
    <row r="12" spans="1:36" x14ac:dyDescent="0.2">
      <c r="A12" s="4" t="s">
        <v>5</v>
      </c>
      <c r="B12" s="2">
        <v>100</v>
      </c>
      <c r="C12" s="2" t="s">
        <v>8</v>
      </c>
      <c r="D12" s="2"/>
      <c r="E12" s="5" t="s">
        <v>10</v>
      </c>
      <c r="F12" s="2">
        <f>M55 * 2</f>
        <v>2.1818181818181817</v>
      </c>
      <c r="G12" s="2"/>
      <c r="H12" s="2"/>
      <c r="I12" s="3"/>
      <c r="J12" s="10">
        <v>0.9</v>
      </c>
      <c r="K12" s="11">
        <v>0.96</v>
      </c>
      <c r="L12" s="14"/>
      <c r="M12" s="15"/>
      <c r="N12" s="15"/>
      <c r="O12" s="16"/>
      <c r="P12" s="20"/>
      <c r="Q12" s="21"/>
      <c r="R12" s="21"/>
      <c r="S12" s="22"/>
      <c r="T12" s="26"/>
      <c r="U12" s="27"/>
      <c r="V12" s="27"/>
      <c r="W12" s="28"/>
      <c r="AG12" s="34" t="s">
        <v>39</v>
      </c>
      <c r="AH12" s="35">
        <v>0.48327766151858509</v>
      </c>
      <c r="AI12" s="35">
        <v>0.70829436306300952</v>
      </c>
      <c r="AJ12">
        <v>6</v>
      </c>
    </row>
    <row r="13" spans="1:36" x14ac:dyDescent="0.2">
      <c r="A13" s="4" t="s">
        <v>6</v>
      </c>
      <c r="B13" s="2">
        <v>0.5</v>
      </c>
      <c r="C13" s="2"/>
      <c r="D13" s="2"/>
      <c r="E13" s="61" t="s">
        <v>12</v>
      </c>
      <c r="F13" s="61"/>
      <c r="G13" s="61"/>
      <c r="H13" s="2"/>
      <c r="I13" s="3"/>
      <c r="J13" s="10">
        <v>0.95</v>
      </c>
      <c r="K13" s="11">
        <v>0.98</v>
      </c>
      <c r="L13" s="43" t="s">
        <v>27</v>
      </c>
      <c r="M13" s="44"/>
      <c r="N13" s="44"/>
      <c r="O13" s="45"/>
      <c r="P13" s="20"/>
      <c r="Q13" s="21"/>
      <c r="R13" s="21"/>
      <c r="S13" s="22"/>
      <c r="T13" s="26"/>
      <c r="U13" s="27"/>
      <c r="V13" s="27"/>
      <c r="W13" s="28"/>
      <c r="AG13" s="34" t="s">
        <v>40</v>
      </c>
      <c r="AH13" s="35">
        <v>0.48327766151858509</v>
      </c>
      <c r="AI13" s="35">
        <v>0.62058260112835262</v>
      </c>
    </row>
    <row r="14" spans="1:36" x14ac:dyDescent="0.2">
      <c r="A14" s="4" t="s">
        <v>7</v>
      </c>
      <c r="B14" s="2"/>
      <c r="C14" s="2" t="s">
        <v>9</v>
      </c>
      <c r="D14" s="2"/>
      <c r="E14" s="61" t="s">
        <v>11</v>
      </c>
      <c r="F14" s="61"/>
      <c r="G14" s="61"/>
      <c r="H14" s="2"/>
      <c r="I14" s="3"/>
      <c r="J14" s="10">
        <v>1</v>
      </c>
      <c r="K14" s="11">
        <v>1</v>
      </c>
      <c r="L14" s="14"/>
      <c r="M14" s="15"/>
      <c r="N14" s="15"/>
      <c r="O14" s="16"/>
      <c r="P14" s="20"/>
      <c r="Q14" s="21"/>
      <c r="R14" s="21" t="s">
        <v>36</v>
      </c>
      <c r="S14" s="22">
        <f xml:space="preserve"> 0</f>
        <v>0</v>
      </c>
      <c r="T14" s="26"/>
      <c r="U14" s="27"/>
      <c r="V14" s="27"/>
      <c r="W14" s="28"/>
      <c r="AG14" s="34" t="s">
        <v>39</v>
      </c>
      <c r="AH14" s="35">
        <v>0.37898757223453761</v>
      </c>
      <c r="AI14" s="35">
        <v>0.62058260112835262</v>
      </c>
      <c r="AJ14">
        <v>7</v>
      </c>
    </row>
    <row r="15" spans="1:36" x14ac:dyDescent="0.2">
      <c r="A15" s="1"/>
      <c r="B15" s="2"/>
      <c r="C15" s="2"/>
      <c r="D15" s="2"/>
      <c r="E15" s="61" t="s">
        <v>13</v>
      </c>
      <c r="F15" s="61"/>
      <c r="G15" s="61"/>
      <c r="H15" s="2"/>
      <c r="I15" s="3"/>
      <c r="J15" s="10"/>
      <c r="K15" s="11"/>
      <c r="L15" s="14"/>
      <c r="M15" s="15" t="s">
        <v>20</v>
      </c>
      <c r="N15" s="15" t="s">
        <v>21</v>
      </c>
      <c r="O15" s="16"/>
      <c r="P15" s="20"/>
      <c r="Q15" s="21"/>
      <c r="R15" s="21"/>
      <c r="S15" s="22"/>
      <c r="T15" s="26"/>
      <c r="U15" s="27"/>
      <c r="V15" s="27"/>
      <c r="W15" s="28"/>
      <c r="AG15" s="34" t="s">
        <v>40</v>
      </c>
      <c r="AH15" s="35">
        <v>0.37898757223453761</v>
      </c>
      <c r="AI15" s="35">
        <v>0.47097452097625658</v>
      </c>
    </row>
    <row r="16" spans="1:36" x14ac:dyDescent="0.2">
      <c r="A16" s="1"/>
      <c r="B16" s="2"/>
      <c r="C16" s="2"/>
      <c r="D16" s="2"/>
      <c r="E16" s="61" t="s">
        <v>14</v>
      </c>
      <c r="F16" s="61"/>
      <c r="G16" s="61"/>
      <c r="H16" s="2"/>
      <c r="I16" s="3"/>
      <c r="J16" s="10"/>
      <c r="K16" s="11"/>
      <c r="L16" s="14" t="s">
        <v>24</v>
      </c>
      <c r="M16" s="15" t="s">
        <v>16</v>
      </c>
      <c r="N16" s="15" t="s">
        <v>16</v>
      </c>
      <c r="O16" s="16"/>
      <c r="P16" s="55" t="s">
        <v>29</v>
      </c>
      <c r="Q16" s="56"/>
      <c r="R16" s="56"/>
      <c r="S16" s="57"/>
      <c r="T16" s="26"/>
      <c r="U16" s="27"/>
      <c r="V16" s="27"/>
      <c r="W16" s="28"/>
      <c r="AG16" s="34" t="s">
        <v>39</v>
      </c>
      <c r="AH16" s="35">
        <v>0.27212465784018325</v>
      </c>
      <c r="AI16" s="35">
        <v>0.47097452097625658</v>
      </c>
      <c r="AJ16">
        <v>8</v>
      </c>
    </row>
    <row r="17" spans="1:36" x14ac:dyDescent="0.2">
      <c r="A17" s="1"/>
      <c r="B17" s="2"/>
      <c r="C17" s="2"/>
      <c r="D17" s="2"/>
      <c r="E17" s="2"/>
      <c r="F17" s="2"/>
      <c r="G17" s="2"/>
      <c r="H17" s="2"/>
      <c r="I17" s="3"/>
      <c r="J17" s="10"/>
      <c r="K17" s="11"/>
      <c r="L17" s="14" t="s">
        <v>25</v>
      </c>
      <c r="M17" s="15">
        <v>0</v>
      </c>
      <c r="N17" s="15" t="s">
        <v>26</v>
      </c>
      <c r="O17" s="16"/>
      <c r="P17" s="20"/>
      <c r="Q17" s="21"/>
      <c r="R17" s="21"/>
      <c r="S17" s="22"/>
      <c r="T17" s="26"/>
      <c r="U17" s="27"/>
      <c r="V17" s="27"/>
      <c r="W17" s="28"/>
      <c r="AG17" s="34" t="s">
        <v>40</v>
      </c>
      <c r="AH17" s="35">
        <v>0.27212465784018325</v>
      </c>
      <c r="AI17" s="35">
        <v>0.31767562582953779</v>
      </c>
    </row>
    <row r="18" spans="1:36" x14ac:dyDescent="0.2">
      <c r="A18" s="1"/>
      <c r="B18" s="2"/>
      <c r="C18" s="2"/>
      <c r="D18" s="2"/>
      <c r="E18" s="2"/>
      <c r="F18" s="2"/>
      <c r="G18" s="2"/>
      <c r="H18" s="2"/>
      <c r="I18" s="3"/>
      <c r="J18" s="10"/>
      <c r="K18" s="11"/>
      <c r="L18" s="14"/>
      <c r="M18" s="15"/>
      <c r="N18" s="15"/>
      <c r="O18" s="16"/>
      <c r="P18" s="20"/>
      <c r="Q18" s="21" t="s">
        <v>20</v>
      </c>
      <c r="R18" s="21" t="s">
        <v>21</v>
      </c>
      <c r="S18" s="22"/>
      <c r="T18" s="26"/>
      <c r="U18" s="27"/>
      <c r="V18" s="27"/>
      <c r="W18" s="28"/>
      <c r="AG18" s="34" t="s">
        <v>39</v>
      </c>
      <c r="AH18" s="35">
        <v>0.16729726614346113</v>
      </c>
      <c r="AI18" s="35">
        <v>0.31767562582953779</v>
      </c>
      <c r="AJ18">
        <v>9</v>
      </c>
    </row>
    <row r="19" spans="1:36" x14ac:dyDescent="0.2">
      <c r="A19" s="1"/>
      <c r="B19" s="2"/>
      <c r="C19" s="2"/>
      <c r="D19" s="2"/>
      <c r="E19" s="2"/>
      <c r="F19" s="2"/>
      <c r="G19" s="2"/>
      <c r="H19" s="2"/>
      <c r="I19" s="3"/>
      <c r="J19" s="10"/>
      <c r="K19" s="11"/>
      <c r="L19" s="14"/>
      <c r="M19" s="15" t="s">
        <v>20</v>
      </c>
      <c r="N19" s="15" t="s">
        <v>21</v>
      </c>
      <c r="O19" s="16"/>
      <c r="P19" s="20" t="s">
        <v>24</v>
      </c>
      <c r="Q19" s="21" t="s">
        <v>6</v>
      </c>
      <c r="R19" s="21" t="s">
        <v>6</v>
      </c>
      <c r="S19" s="22"/>
      <c r="T19" s="26"/>
      <c r="U19" s="27"/>
      <c r="V19" s="27"/>
      <c r="W19" s="28"/>
      <c r="AG19" s="34" t="s">
        <v>40</v>
      </c>
      <c r="AH19" s="35">
        <v>0.16729726614346113</v>
      </c>
      <c r="AI19" s="35">
        <v>0.16729676503113894</v>
      </c>
    </row>
    <row r="20" spans="1:36" x14ac:dyDescent="0.2">
      <c r="A20" s="1"/>
      <c r="B20" s="2"/>
      <c r="C20" s="2"/>
      <c r="D20" s="2"/>
      <c r="E20" s="2"/>
      <c r="F20" s="2"/>
      <c r="G20" s="2"/>
      <c r="H20" s="2"/>
      <c r="I20" s="3"/>
      <c r="J20" s="10"/>
      <c r="K20" s="11"/>
      <c r="L20" s="14" t="s">
        <v>24</v>
      </c>
      <c r="M20" s="15">
        <f>H9</f>
        <v>0.96</v>
      </c>
      <c r="N20" s="15">
        <f>H9</f>
        <v>0.96</v>
      </c>
      <c r="O20" s="16"/>
      <c r="P20" s="20" t="s">
        <v>25</v>
      </c>
      <c r="Q20" s="21" t="s">
        <v>20</v>
      </c>
      <c r="R20" s="21" t="s">
        <v>21</v>
      </c>
      <c r="S20" s="22"/>
      <c r="T20" s="26"/>
      <c r="U20" s="27"/>
      <c r="V20" s="27"/>
      <c r="W20" s="28"/>
      <c r="AG20" s="34" t="s">
        <v>39</v>
      </c>
      <c r="AH20" s="32"/>
      <c r="AI20" s="32"/>
    </row>
    <row r="21" spans="1:36" x14ac:dyDescent="0.2">
      <c r="A21" s="1"/>
      <c r="B21" s="2"/>
      <c r="C21" s="2"/>
      <c r="D21" s="2"/>
      <c r="E21" s="2"/>
      <c r="F21" s="2"/>
      <c r="G21" s="2"/>
      <c r="H21" s="2"/>
      <c r="I21" s="3"/>
      <c r="J21" s="10"/>
      <c r="K21" s="11"/>
      <c r="L21" s="14" t="s">
        <v>25</v>
      </c>
      <c r="M21" s="15">
        <v>0</v>
      </c>
      <c r="N21" s="15">
        <f>H9 / (F12 + 1)</f>
        <v>0.30171428571428571</v>
      </c>
      <c r="O21" s="16"/>
      <c r="P21" s="20"/>
      <c r="Q21" s="21"/>
      <c r="R21" s="21"/>
      <c r="S21" s="22"/>
      <c r="T21" s="26"/>
      <c r="U21" s="27"/>
      <c r="V21" s="27"/>
      <c r="W21" s="28"/>
      <c r="AG21" s="34" t="s">
        <v>40</v>
      </c>
      <c r="AH21" s="32"/>
      <c r="AI21" s="32"/>
    </row>
    <row r="22" spans="1:36" x14ac:dyDescent="0.2">
      <c r="A22" s="1"/>
      <c r="B22" s="2"/>
      <c r="C22" s="2"/>
      <c r="D22" s="2"/>
      <c r="E22" s="2"/>
      <c r="F22" s="2"/>
      <c r="G22" s="2"/>
      <c r="H22" s="2"/>
      <c r="I22" s="3"/>
      <c r="J22" s="10"/>
      <c r="K22" s="11"/>
      <c r="L22" s="14"/>
      <c r="M22" s="15"/>
      <c r="N22" s="15"/>
      <c r="O22" s="16"/>
      <c r="P22" s="20"/>
      <c r="Q22" s="21" t="s">
        <v>20</v>
      </c>
      <c r="R22" s="21" t="s">
        <v>21</v>
      </c>
      <c r="S22" s="22"/>
      <c r="T22" s="26"/>
      <c r="U22" s="27"/>
      <c r="V22" s="27"/>
      <c r="W22" s="28"/>
      <c r="AG22" s="34" t="s">
        <v>39</v>
      </c>
      <c r="AH22" s="32"/>
      <c r="AI22" s="32"/>
    </row>
    <row r="23" spans="1:36" x14ac:dyDescent="0.2">
      <c r="A23" s="1"/>
      <c r="B23" s="2"/>
      <c r="C23" s="2"/>
      <c r="D23" s="2"/>
      <c r="E23" s="2"/>
      <c r="F23" s="2"/>
      <c r="G23" s="2" t="s">
        <v>17</v>
      </c>
      <c r="H23" s="2">
        <v>53.48</v>
      </c>
      <c r="I23" s="3" t="s">
        <v>43</v>
      </c>
      <c r="J23" s="10"/>
      <c r="K23" s="11"/>
      <c r="L23" s="14"/>
      <c r="M23" s="15"/>
      <c r="N23" s="15"/>
      <c r="O23" s="16"/>
      <c r="P23" s="20" t="s">
        <v>24</v>
      </c>
      <c r="Q23" s="21">
        <f>B13</f>
        <v>0.5</v>
      </c>
      <c r="R23" s="21">
        <f>B13</f>
        <v>0.5</v>
      </c>
      <c r="S23" s="22"/>
      <c r="T23" s="26"/>
      <c r="U23" s="27"/>
      <c r="V23" s="27"/>
      <c r="W23" s="28"/>
      <c r="AG23" s="34" t="s">
        <v>40</v>
      </c>
      <c r="AH23" s="32"/>
      <c r="AI23" s="32"/>
    </row>
    <row r="24" spans="1:36" x14ac:dyDescent="0.2">
      <c r="A24" s="1"/>
      <c r="B24" s="2"/>
      <c r="C24" s="2"/>
      <c r="D24" s="2"/>
      <c r="E24" s="2"/>
      <c r="F24" s="2"/>
      <c r="G24" s="2" t="s">
        <v>18</v>
      </c>
      <c r="H24" s="2">
        <f>AH19</f>
        <v>0.16729726614346113</v>
      </c>
      <c r="I24" s="3"/>
      <c r="J24" s="10"/>
      <c r="K24" s="11"/>
      <c r="L24" s="14"/>
      <c r="M24" s="15"/>
      <c r="N24" s="15"/>
      <c r="O24" s="16"/>
      <c r="P24" s="20" t="s">
        <v>25</v>
      </c>
      <c r="Q24" s="21">
        <f>U11</f>
        <v>0.5</v>
      </c>
      <c r="R24" s="21">
        <f>V11</f>
        <v>0.64457142857142857</v>
      </c>
      <c r="S24" s="22"/>
      <c r="T24" s="26"/>
      <c r="U24" s="27"/>
      <c r="V24" s="27"/>
      <c r="W24" s="28"/>
      <c r="AG24" s="34" t="s">
        <v>39</v>
      </c>
      <c r="AH24" s="32"/>
      <c r="AI24" s="32"/>
    </row>
    <row r="25" spans="1:36" x14ac:dyDescent="0.2">
      <c r="A25" s="1"/>
      <c r="B25" s="2"/>
      <c r="C25" s="2"/>
      <c r="D25" s="2"/>
      <c r="E25" s="2"/>
      <c r="F25" s="2"/>
      <c r="G25" s="2"/>
      <c r="H25" s="2"/>
      <c r="I25" s="3"/>
      <c r="J25" s="10"/>
      <c r="K25" s="11"/>
      <c r="L25" s="14"/>
      <c r="M25" s="15"/>
      <c r="N25" s="15"/>
      <c r="O25" s="16"/>
      <c r="P25" s="20"/>
      <c r="Q25" s="21"/>
      <c r="R25" s="21"/>
      <c r="S25" s="22"/>
      <c r="T25" s="26"/>
      <c r="U25" s="27"/>
      <c r="V25" s="27"/>
      <c r="W25" s="28"/>
      <c r="AG25" s="34" t="s">
        <v>40</v>
      </c>
      <c r="AH25" s="32"/>
      <c r="AI25" s="32"/>
    </row>
    <row r="26" spans="1:36" x14ac:dyDescent="0.2">
      <c r="A26" s="1"/>
      <c r="B26" s="2"/>
      <c r="C26" s="2"/>
      <c r="D26" s="2"/>
      <c r="E26" s="2"/>
      <c r="F26" s="2"/>
      <c r="G26" s="2"/>
      <c r="H26" s="2"/>
      <c r="I26" s="3"/>
      <c r="J26" s="10"/>
      <c r="K26" s="11"/>
      <c r="L26" s="14"/>
      <c r="M26" s="15"/>
      <c r="N26" s="15"/>
      <c r="O26" s="16"/>
      <c r="P26" s="20"/>
      <c r="Q26" s="21"/>
      <c r="R26" s="21"/>
      <c r="S26" s="22"/>
      <c r="T26" s="26"/>
      <c r="U26" s="27"/>
      <c r="V26" s="27"/>
      <c r="W26" s="28"/>
      <c r="AG26" s="34" t="s">
        <v>39</v>
      </c>
      <c r="AH26" s="32"/>
      <c r="AI26" s="32"/>
    </row>
    <row r="27" spans="1:36" x14ac:dyDescent="0.2">
      <c r="A27" s="1"/>
      <c r="B27" s="2"/>
      <c r="C27" s="2"/>
      <c r="D27" s="2"/>
      <c r="E27" s="2"/>
      <c r="F27" s="2"/>
      <c r="G27" s="2"/>
      <c r="H27" s="2"/>
      <c r="I27" s="3"/>
      <c r="J27" s="10"/>
      <c r="K27" s="11"/>
      <c r="L27" s="14"/>
      <c r="M27" s="15"/>
      <c r="N27" s="15"/>
      <c r="O27" s="16"/>
      <c r="P27" s="20"/>
      <c r="Q27" s="21"/>
      <c r="R27" s="21"/>
      <c r="S27" s="22"/>
      <c r="T27" s="26"/>
      <c r="U27" s="27"/>
      <c r="V27" s="27"/>
      <c r="W27" s="28"/>
      <c r="AG27" s="34" t="s">
        <v>40</v>
      </c>
      <c r="AH27" s="32"/>
      <c r="AI27" s="32"/>
    </row>
    <row r="28" spans="1:36" x14ac:dyDescent="0.2">
      <c r="A28" s="1"/>
      <c r="B28" s="2"/>
      <c r="C28" s="2"/>
      <c r="D28" s="2"/>
      <c r="E28" s="2"/>
      <c r="F28" s="2"/>
      <c r="G28" s="2"/>
      <c r="H28" s="2"/>
      <c r="I28" s="3"/>
      <c r="J28" s="10"/>
      <c r="K28" s="11"/>
      <c r="L28" s="14"/>
      <c r="M28" s="15"/>
      <c r="N28" s="15"/>
      <c r="O28" s="16"/>
      <c r="P28" s="20"/>
      <c r="Q28" s="21"/>
      <c r="R28" s="21"/>
      <c r="S28" s="22"/>
      <c r="T28" s="26"/>
      <c r="U28" s="27"/>
      <c r="V28" s="27"/>
      <c r="W28" s="28"/>
      <c r="AG28" s="34" t="s">
        <v>39</v>
      </c>
      <c r="AH28" s="32"/>
      <c r="AI28" s="32"/>
    </row>
    <row r="29" spans="1:36" x14ac:dyDescent="0.2">
      <c r="A29" s="7"/>
      <c r="B29" s="8"/>
      <c r="C29" s="8"/>
      <c r="D29" s="8"/>
      <c r="E29" s="8"/>
      <c r="F29" s="8"/>
      <c r="G29" s="8"/>
      <c r="H29" s="8"/>
      <c r="I29" s="9"/>
      <c r="J29" s="12"/>
      <c r="K29" s="13"/>
      <c r="L29" s="17"/>
      <c r="M29" s="18"/>
      <c r="N29" s="18"/>
      <c r="O29" s="19"/>
      <c r="P29" s="23"/>
      <c r="Q29" s="24"/>
      <c r="R29" s="24"/>
      <c r="S29" s="25"/>
      <c r="T29" s="29"/>
      <c r="U29" s="30"/>
      <c r="V29" s="30"/>
      <c r="W29" s="31"/>
      <c r="AG29" s="34" t="s">
        <v>40</v>
      </c>
      <c r="AH29" s="32"/>
      <c r="AI29" s="32"/>
    </row>
    <row r="31" spans="1:36" x14ac:dyDescent="0.2">
      <c r="A31" s="46" t="s">
        <v>22</v>
      </c>
      <c r="B31" s="47"/>
      <c r="C31" s="47"/>
      <c r="D31" s="47"/>
      <c r="E31" s="47"/>
      <c r="F31" s="47"/>
      <c r="G31" s="47"/>
      <c r="H31" s="47"/>
      <c r="I31" s="48"/>
      <c r="J31" s="41" t="s">
        <v>19</v>
      </c>
      <c r="K31" s="42"/>
      <c r="L31" s="49" t="s">
        <v>23</v>
      </c>
      <c r="M31" s="50"/>
      <c r="N31" s="50"/>
      <c r="O31" s="51"/>
      <c r="P31" s="52" t="s">
        <v>28</v>
      </c>
      <c r="Q31" s="53"/>
      <c r="R31" s="53"/>
      <c r="S31" s="54"/>
      <c r="T31" s="38" t="s">
        <v>37</v>
      </c>
      <c r="U31" s="39"/>
      <c r="V31" s="39"/>
      <c r="W31" s="40"/>
      <c r="AG31" s="33"/>
      <c r="AH31" s="33" t="s">
        <v>20</v>
      </c>
      <c r="AI31" s="33" t="s">
        <v>21</v>
      </c>
    </row>
    <row r="32" spans="1:36" x14ac:dyDescent="0.2">
      <c r="A32" s="1"/>
      <c r="B32" s="2"/>
      <c r="C32" s="2"/>
      <c r="D32" s="2"/>
      <c r="E32" s="2"/>
      <c r="F32" s="2"/>
      <c r="G32" s="2"/>
      <c r="H32" s="2"/>
      <c r="I32" s="3"/>
      <c r="J32" s="10" t="s">
        <v>20</v>
      </c>
      <c r="K32" s="11" t="s">
        <v>21</v>
      </c>
      <c r="L32" s="14"/>
      <c r="M32" s="15"/>
      <c r="N32" s="15"/>
      <c r="O32" s="16"/>
      <c r="P32" s="20"/>
      <c r="Q32" s="21"/>
      <c r="R32" s="21"/>
      <c r="S32" s="22"/>
      <c r="T32" s="26"/>
      <c r="U32" s="27"/>
      <c r="V32" s="27"/>
      <c r="W32" s="28"/>
      <c r="AG32" s="34" t="s">
        <v>39</v>
      </c>
      <c r="AH32" s="35"/>
      <c r="AI32" s="35"/>
    </row>
    <row r="33" spans="1:35" x14ac:dyDescent="0.2">
      <c r="A33" s="1" t="s">
        <v>0</v>
      </c>
      <c r="B33" s="2" t="s">
        <v>1</v>
      </c>
      <c r="C33" s="2"/>
      <c r="D33" s="2"/>
      <c r="E33" s="2"/>
      <c r="F33" s="2"/>
      <c r="G33" s="2"/>
      <c r="H33" s="2"/>
      <c r="I33" s="3"/>
      <c r="J33" s="10">
        <v>0</v>
      </c>
      <c r="K33" s="11">
        <v>0</v>
      </c>
      <c r="L33" s="14"/>
      <c r="M33" s="15"/>
      <c r="N33" s="15"/>
      <c r="O33" s="16"/>
      <c r="P33" s="20"/>
      <c r="Q33" s="21"/>
      <c r="R33" s="21"/>
      <c r="S33" s="22"/>
      <c r="T33" s="58" t="s">
        <v>38</v>
      </c>
      <c r="U33" s="59"/>
      <c r="V33" s="59"/>
      <c r="W33" s="60"/>
      <c r="AG33" s="34" t="s">
        <v>40</v>
      </c>
      <c r="AH33" s="35"/>
      <c r="AI33" s="35"/>
    </row>
    <row r="34" spans="1:35" x14ac:dyDescent="0.2">
      <c r="A34" s="1">
        <v>1</v>
      </c>
      <c r="B34" s="2" t="s">
        <v>41</v>
      </c>
      <c r="C34" s="2"/>
      <c r="D34" s="2"/>
      <c r="E34" s="2"/>
      <c r="F34" s="2"/>
      <c r="G34" s="2"/>
      <c r="H34" s="2"/>
      <c r="I34" s="3"/>
      <c r="J34" s="10">
        <v>0.1</v>
      </c>
      <c r="K34" s="11">
        <v>0.21</v>
      </c>
      <c r="L34" s="14"/>
      <c r="M34" s="15"/>
      <c r="N34" s="15"/>
      <c r="O34" s="16"/>
      <c r="P34" s="20"/>
      <c r="Q34" s="21"/>
      <c r="R34" s="21"/>
      <c r="S34" s="22"/>
      <c r="T34" s="26"/>
      <c r="U34" s="27"/>
      <c r="V34" s="27"/>
      <c r="W34" s="28"/>
      <c r="AG34" s="34" t="s">
        <v>39</v>
      </c>
      <c r="AH34" s="35"/>
      <c r="AI34" s="35"/>
    </row>
    <row r="35" spans="1:35" x14ac:dyDescent="0.2">
      <c r="A35" s="1">
        <v>2</v>
      </c>
      <c r="B35" s="2" t="s">
        <v>42</v>
      </c>
      <c r="C35" s="2"/>
      <c r="D35" s="2"/>
      <c r="E35" s="2"/>
      <c r="F35" s="2"/>
      <c r="G35" s="2"/>
      <c r="H35" s="2"/>
      <c r="I35" s="3"/>
      <c r="J35" s="10">
        <v>0.2</v>
      </c>
      <c r="K35" s="11">
        <v>0.37</v>
      </c>
      <c r="L35" s="14"/>
      <c r="M35" s="15"/>
      <c r="N35" s="15"/>
      <c r="O35" s="16"/>
      <c r="P35" s="20"/>
      <c r="Q35" s="21"/>
      <c r="R35" s="21"/>
      <c r="S35" s="22"/>
      <c r="T35" s="26"/>
      <c r="U35" s="27" t="s">
        <v>20</v>
      </c>
      <c r="V35" s="27" t="s">
        <v>21</v>
      </c>
      <c r="W35" s="28"/>
      <c r="AG35" s="34" t="s">
        <v>40</v>
      </c>
      <c r="AH35" s="35"/>
      <c r="AI35" s="35"/>
    </row>
    <row r="36" spans="1:35" x14ac:dyDescent="0.2">
      <c r="A36" s="1"/>
      <c r="B36" s="2"/>
      <c r="C36" s="2"/>
      <c r="D36" s="2"/>
      <c r="E36" s="2"/>
      <c r="F36" s="2"/>
      <c r="G36" s="2"/>
      <c r="H36" s="2"/>
      <c r="I36" s="3"/>
      <c r="J36" s="10">
        <v>0.3</v>
      </c>
      <c r="K36" s="11">
        <v>0.51</v>
      </c>
      <c r="L36" s="14"/>
      <c r="M36" s="15"/>
      <c r="N36" s="15"/>
      <c r="O36" s="16"/>
      <c r="P36" s="20"/>
      <c r="Q36" s="21"/>
      <c r="R36" s="21"/>
      <c r="S36" s="22"/>
      <c r="T36" s="26" t="s">
        <v>24</v>
      </c>
      <c r="U36" s="27" t="s">
        <v>18</v>
      </c>
      <c r="V36" s="27" t="s">
        <v>18</v>
      </c>
      <c r="W36" s="28"/>
      <c r="AG36" s="34" t="s">
        <v>39</v>
      </c>
      <c r="AH36" s="35"/>
      <c r="AI36" s="35"/>
    </row>
    <row r="37" spans="1:35" x14ac:dyDescent="0.2">
      <c r="A37" s="1"/>
      <c r="B37" s="2"/>
      <c r="C37" s="2"/>
      <c r="D37" s="2"/>
      <c r="E37" s="2"/>
      <c r="F37" s="2"/>
      <c r="G37" s="2"/>
      <c r="H37" s="2"/>
      <c r="I37" s="3"/>
      <c r="J37" s="10">
        <v>0.4</v>
      </c>
      <c r="K37" s="11">
        <v>0.65</v>
      </c>
      <c r="L37" s="14"/>
      <c r="M37" s="15"/>
      <c r="N37" s="15"/>
      <c r="O37" s="16"/>
      <c r="P37" s="20"/>
      <c r="Q37" s="21"/>
      <c r="R37" s="21"/>
      <c r="S37" s="22"/>
      <c r="T37" s="26" t="s">
        <v>25</v>
      </c>
      <c r="U37" s="27" t="s">
        <v>20</v>
      </c>
      <c r="V37" s="27" t="s">
        <v>21</v>
      </c>
      <c r="W37" s="28"/>
      <c r="AG37" s="34" t="s">
        <v>40</v>
      </c>
      <c r="AH37" s="35"/>
      <c r="AI37" s="35"/>
    </row>
    <row r="38" spans="1:35" x14ac:dyDescent="0.2">
      <c r="A38" s="1"/>
      <c r="B38" s="2"/>
      <c r="C38" s="2"/>
      <c r="D38" s="2"/>
      <c r="E38" s="2"/>
      <c r="F38" s="2"/>
      <c r="G38" s="2" t="s">
        <v>15</v>
      </c>
      <c r="H38" s="2">
        <v>46.51</v>
      </c>
      <c r="I38" s="3" t="s">
        <v>43</v>
      </c>
      <c r="J38" s="10">
        <v>0.5</v>
      </c>
      <c r="K38" s="11">
        <v>0.72</v>
      </c>
      <c r="L38" s="14"/>
      <c r="M38" s="15"/>
      <c r="N38" s="15"/>
      <c r="O38" s="16"/>
      <c r="P38" s="20"/>
      <c r="Q38" s="21"/>
      <c r="R38" s="21"/>
      <c r="S38" s="22"/>
      <c r="T38" s="26"/>
      <c r="U38" s="27"/>
      <c r="V38" s="27"/>
      <c r="W38" s="28"/>
      <c r="AG38" s="34" t="s">
        <v>39</v>
      </c>
      <c r="AH38" s="35"/>
      <c r="AI38" s="35"/>
    </row>
    <row r="39" spans="1:35" x14ac:dyDescent="0.2">
      <c r="A39" s="1"/>
      <c r="B39" s="2"/>
      <c r="C39" s="2"/>
      <c r="D39" s="2"/>
      <c r="E39" s="2"/>
      <c r="F39" s="2"/>
      <c r="G39" s="2" t="s">
        <v>16</v>
      </c>
      <c r="H39" s="2">
        <v>0.96</v>
      </c>
      <c r="I39" s="3"/>
      <c r="J39" s="10">
        <v>0.6</v>
      </c>
      <c r="K39" s="11">
        <v>0.79</v>
      </c>
      <c r="L39" s="14"/>
      <c r="M39" s="15"/>
      <c r="N39" s="15"/>
      <c r="O39" s="16"/>
      <c r="P39" s="20"/>
      <c r="Q39" s="21"/>
      <c r="R39" s="21"/>
      <c r="S39" s="22"/>
      <c r="T39" s="26"/>
      <c r="U39" s="27" t="s">
        <v>20</v>
      </c>
      <c r="V39" s="27" t="s">
        <v>21</v>
      </c>
      <c r="W39" s="28"/>
      <c r="AG39" s="34" t="s">
        <v>40</v>
      </c>
      <c r="AH39" s="35"/>
      <c r="AI39" s="35"/>
    </row>
    <row r="40" spans="1:35" x14ac:dyDescent="0.2">
      <c r="A40" s="1"/>
      <c r="B40" s="2"/>
      <c r="C40" s="2"/>
      <c r="D40" s="2"/>
      <c r="E40" s="2"/>
      <c r="F40" s="2"/>
      <c r="G40" s="2"/>
      <c r="H40" s="2"/>
      <c r="I40" s="3"/>
      <c r="J40" s="10">
        <v>0.7</v>
      </c>
      <c r="K40" s="11">
        <v>0.86</v>
      </c>
      <c r="L40" s="14"/>
      <c r="M40" s="15"/>
      <c r="N40" s="15"/>
      <c r="O40" s="16"/>
      <c r="P40" s="20"/>
      <c r="Q40" s="21"/>
      <c r="R40" s="21"/>
      <c r="S40" s="22"/>
      <c r="T40" s="26" t="s">
        <v>24</v>
      </c>
      <c r="U40" s="27"/>
      <c r="V40" s="27"/>
      <c r="W40" s="28"/>
      <c r="AG40" s="34" t="s">
        <v>39</v>
      </c>
      <c r="AH40" s="35"/>
      <c r="AI40" s="35"/>
    </row>
    <row r="41" spans="1:35" x14ac:dyDescent="0.2">
      <c r="A41" s="1"/>
      <c r="B41" s="2"/>
      <c r="C41" s="2"/>
      <c r="D41" s="2"/>
      <c r="E41" s="2"/>
      <c r="F41" s="2"/>
      <c r="G41" s="2"/>
      <c r="H41" s="2"/>
      <c r="I41" s="3"/>
      <c r="J41" s="10">
        <v>0.8</v>
      </c>
      <c r="K41" s="11">
        <v>0.91</v>
      </c>
      <c r="L41" s="14"/>
      <c r="M41" s="15"/>
      <c r="N41" s="15"/>
      <c r="O41" s="16"/>
      <c r="P41" s="55"/>
      <c r="Q41" s="56"/>
      <c r="R41" s="56"/>
      <c r="S41" s="57"/>
      <c r="T41" s="26" t="s">
        <v>25</v>
      </c>
      <c r="U41" s="27"/>
      <c r="V41" s="27"/>
      <c r="W41" s="28"/>
      <c r="AG41" s="34" t="s">
        <v>40</v>
      </c>
      <c r="AH41" s="35"/>
      <c r="AI41" s="35"/>
    </row>
    <row r="42" spans="1:35" x14ac:dyDescent="0.2">
      <c r="A42" s="4" t="s">
        <v>5</v>
      </c>
      <c r="B42" s="2">
        <v>100</v>
      </c>
      <c r="C42" s="2" t="s">
        <v>8</v>
      </c>
      <c r="D42" s="2"/>
      <c r="E42" s="5" t="s">
        <v>10</v>
      </c>
      <c r="F42" s="2">
        <f>M55</f>
        <v>1.0909090909090908</v>
      </c>
      <c r="G42" s="2"/>
      <c r="H42" s="2"/>
      <c r="I42" s="3"/>
      <c r="J42" s="10">
        <v>0.9</v>
      </c>
      <c r="K42" s="11">
        <v>0.96</v>
      </c>
      <c r="L42" s="14"/>
      <c r="M42" s="15"/>
      <c r="N42" s="15"/>
      <c r="O42" s="16"/>
      <c r="P42" s="20"/>
      <c r="Q42" s="21"/>
      <c r="R42" s="21"/>
      <c r="S42" s="22"/>
      <c r="T42" s="26"/>
      <c r="U42" s="27"/>
      <c r="V42" s="27"/>
      <c r="W42" s="28"/>
      <c r="AG42" s="34" t="s">
        <v>39</v>
      </c>
      <c r="AH42" s="35"/>
      <c r="AI42" s="35"/>
    </row>
    <row r="43" spans="1:35" x14ac:dyDescent="0.2">
      <c r="A43" s="4" t="s">
        <v>6</v>
      </c>
      <c r="B43" s="2">
        <v>0.5</v>
      </c>
      <c r="C43" s="2"/>
      <c r="D43" s="2"/>
      <c r="E43" s="61" t="s">
        <v>12</v>
      </c>
      <c r="F43" s="61"/>
      <c r="G43" s="61"/>
      <c r="H43" s="2"/>
      <c r="I43" s="3"/>
      <c r="J43" s="10">
        <v>0.95</v>
      </c>
      <c r="K43" s="11">
        <v>0.98</v>
      </c>
      <c r="L43" s="43" t="s">
        <v>27</v>
      </c>
      <c r="M43" s="44"/>
      <c r="N43" s="44"/>
      <c r="O43" s="45"/>
      <c r="P43" s="20"/>
      <c r="Q43" s="21"/>
      <c r="R43" s="21"/>
      <c r="S43" s="22"/>
      <c r="T43" s="26"/>
      <c r="U43" s="27"/>
      <c r="V43" s="27"/>
      <c r="W43" s="28"/>
      <c r="AG43" s="34" t="s">
        <v>40</v>
      </c>
      <c r="AH43" s="35"/>
      <c r="AI43" s="35"/>
    </row>
    <row r="44" spans="1:35" x14ac:dyDescent="0.2">
      <c r="A44" s="4" t="s">
        <v>7</v>
      </c>
      <c r="B44" s="2"/>
      <c r="C44" s="2" t="s">
        <v>9</v>
      </c>
      <c r="D44" s="2"/>
      <c r="E44" s="61" t="s">
        <v>11</v>
      </c>
      <c r="F44" s="61"/>
      <c r="G44" s="61"/>
      <c r="H44" s="2"/>
      <c r="I44" s="3"/>
      <c r="J44" s="10">
        <v>1</v>
      </c>
      <c r="K44" s="11">
        <v>1</v>
      </c>
      <c r="L44" s="14"/>
      <c r="M44" s="15"/>
      <c r="N44" s="15"/>
      <c r="O44" s="16"/>
      <c r="P44" s="20"/>
      <c r="Q44" s="21"/>
      <c r="R44" s="21" t="s">
        <v>36</v>
      </c>
      <c r="S44" s="22">
        <f xml:space="preserve"> 0</f>
        <v>0</v>
      </c>
      <c r="T44" s="26"/>
      <c r="U44" s="27"/>
      <c r="V44" s="27"/>
      <c r="W44" s="28"/>
      <c r="AG44" s="34" t="s">
        <v>39</v>
      </c>
      <c r="AH44" s="35"/>
      <c r="AI44" s="35"/>
    </row>
    <row r="45" spans="1:35" x14ac:dyDescent="0.2">
      <c r="A45" s="1"/>
      <c r="B45" s="2"/>
      <c r="C45" s="2"/>
      <c r="D45" s="2"/>
      <c r="E45" s="61" t="s">
        <v>13</v>
      </c>
      <c r="F45" s="61"/>
      <c r="G45" s="61"/>
      <c r="H45" s="2"/>
      <c r="I45" s="3"/>
      <c r="J45" s="10"/>
      <c r="K45" s="11"/>
      <c r="L45" s="14"/>
      <c r="M45" s="15" t="s">
        <v>20</v>
      </c>
      <c r="N45" s="15" t="s">
        <v>21</v>
      </c>
      <c r="O45" s="16"/>
      <c r="P45" s="20"/>
      <c r="Q45" s="21"/>
      <c r="R45" s="21"/>
      <c r="S45" s="22"/>
      <c r="T45" s="26"/>
      <c r="U45" s="27"/>
      <c r="V45" s="27"/>
      <c r="W45" s="28"/>
      <c r="AG45" s="34" t="s">
        <v>40</v>
      </c>
      <c r="AH45" s="35"/>
      <c r="AI45" s="35"/>
    </row>
    <row r="46" spans="1:35" x14ac:dyDescent="0.2">
      <c r="A46" s="1"/>
      <c r="B46" s="2"/>
      <c r="C46" s="2"/>
      <c r="D46" s="2"/>
      <c r="E46" s="61" t="s">
        <v>14</v>
      </c>
      <c r="F46" s="61"/>
      <c r="G46" s="61"/>
      <c r="H46" s="2"/>
      <c r="I46" s="3"/>
      <c r="J46" s="10"/>
      <c r="K46" s="11"/>
      <c r="L46" s="14" t="s">
        <v>24</v>
      </c>
      <c r="M46" s="15" t="s">
        <v>16</v>
      </c>
      <c r="N46" s="15" t="s">
        <v>16</v>
      </c>
      <c r="O46" s="16"/>
      <c r="P46" s="55" t="s">
        <v>29</v>
      </c>
      <c r="Q46" s="56"/>
      <c r="R46" s="56"/>
      <c r="S46" s="57"/>
      <c r="T46" s="26"/>
      <c r="U46" s="27"/>
      <c r="V46" s="27"/>
      <c r="W46" s="28"/>
      <c r="AG46" s="34" t="s">
        <v>39</v>
      </c>
      <c r="AH46" s="35"/>
      <c r="AI46" s="35"/>
    </row>
    <row r="47" spans="1:35" x14ac:dyDescent="0.2">
      <c r="A47" s="1"/>
      <c r="B47" s="2"/>
      <c r="C47" s="2"/>
      <c r="D47" s="2"/>
      <c r="E47" s="2"/>
      <c r="F47" s="2"/>
      <c r="G47" s="2"/>
      <c r="H47" s="2"/>
      <c r="I47" s="3"/>
      <c r="J47" s="10"/>
      <c r="K47" s="11"/>
      <c r="L47" s="14" t="s">
        <v>25</v>
      </c>
      <c r="M47" s="15">
        <v>0</v>
      </c>
      <c r="N47" s="15" t="s">
        <v>26</v>
      </c>
      <c r="O47" s="16"/>
      <c r="P47" s="20"/>
      <c r="Q47" s="21"/>
      <c r="R47" s="21"/>
      <c r="S47" s="22"/>
      <c r="T47" s="26"/>
      <c r="U47" s="27"/>
      <c r="V47" s="27"/>
      <c r="W47" s="28"/>
      <c r="AG47" s="34" t="s">
        <v>40</v>
      </c>
      <c r="AH47" s="35"/>
      <c r="AI47" s="35"/>
    </row>
    <row r="48" spans="1:35" x14ac:dyDescent="0.2">
      <c r="A48" s="1"/>
      <c r="B48" s="2"/>
      <c r="C48" s="2"/>
      <c r="D48" s="2"/>
      <c r="E48" s="2"/>
      <c r="F48" s="2"/>
      <c r="G48" s="2"/>
      <c r="H48" s="2"/>
      <c r="I48" s="3"/>
      <c r="J48" s="10"/>
      <c r="K48" s="11"/>
      <c r="L48" s="14"/>
      <c r="M48" s="15"/>
      <c r="N48" s="15"/>
      <c r="O48" s="16"/>
      <c r="P48" s="20"/>
      <c r="Q48" s="21" t="s">
        <v>20</v>
      </c>
      <c r="R48" s="21" t="s">
        <v>21</v>
      </c>
      <c r="S48" s="22"/>
      <c r="T48" s="26"/>
      <c r="U48" s="27"/>
      <c r="V48" s="27"/>
      <c r="W48" s="28"/>
      <c r="AG48" s="34" t="s">
        <v>39</v>
      </c>
      <c r="AH48" s="35"/>
      <c r="AI48" s="35"/>
    </row>
    <row r="49" spans="1:35" x14ac:dyDescent="0.2">
      <c r="A49" s="1"/>
      <c r="B49" s="2"/>
      <c r="C49" s="2"/>
      <c r="D49" s="2"/>
      <c r="E49" s="2"/>
      <c r="F49" s="2"/>
      <c r="G49" s="2"/>
      <c r="H49" s="2"/>
      <c r="I49" s="3"/>
      <c r="J49" s="10"/>
      <c r="K49" s="11"/>
      <c r="L49" s="14"/>
      <c r="M49" s="15" t="s">
        <v>20</v>
      </c>
      <c r="N49" s="15" t="s">
        <v>21</v>
      </c>
      <c r="O49" s="16"/>
      <c r="P49" s="20" t="s">
        <v>24</v>
      </c>
      <c r="Q49" s="21" t="s">
        <v>6</v>
      </c>
      <c r="R49" s="21" t="s">
        <v>6</v>
      </c>
      <c r="S49" s="22"/>
      <c r="T49" s="26"/>
      <c r="U49" s="27"/>
      <c r="V49" s="27"/>
      <c r="W49" s="28"/>
      <c r="AG49" s="34" t="s">
        <v>40</v>
      </c>
      <c r="AH49" s="35"/>
      <c r="AI49" s="35"/>
    </row>
    <row r="50" spans="1:35" x14ac:dyDescent="0.2">
      <c r="A50" s="1"/>
      <c r="B50" s="2"/>
      <c r="C50" s="2"/>
      <c r="D50" s="2"/>
      <c r="E50" s="2"/>
      <c r="F50" s="2"/>
      <c r="G50" s="2"/>
      <c r="H50" s="2"/>
      <c r="I50" s="3"/>
      <c r="J50" s="10"/>
      <c r="K50" s="11"/>
      <c r="L50" s="14" t="s">
        <v>24</v>
      </c>
      <c r="M50" s="15">
        <f>H39</f>
        <v>0.96</v>
      </c>
      <c r="N50" s="15">
        <f>H39</f>
        <v>0.96</v>
      </c>
      <c r="O50" s="16"/>
      <c r="P50" s="20" t="s">
        <v>25</v>
      </c>
      <c r="Q50" s="21" t="s">
        <v>20</v>
      </c>
      <c r="R50" s="21" t="s">
        <v>21</v>
      </c>
      <c r="S50" s="22"/>
      <c r="T50" s="26"/>
      <c r="U50" s="27"/>
      <c r="V50" s="27"/>
      <c r="W50" s="28"/>
      <c r="AG50" s="34" t="s">
        <v>39</v>
      </c>
      <c r="AH50" s="32"/>
      <c r="AI50" s="32"/>
    </row>
    <row r="51" spans="1:35" x14ac:dyDescent="0.2">
      <c r="A51" s="1"/>
      <c r="B51" s="2"/>
      <c r="C51" s="2"/>
      <c r="D51" s="2"/>
      <c r="E51" s="2"/>
      <c r="F51" s="2"/>
      <c r="G51" s="2"/>
      <c r="H51" s="2"/>
      <c r="I51" s="3"/>
      <c r="J51" s="10"/>
      <c r="K51" s="11"/>
      <c r="L51" s="14" t="s">
        <v>25</v>
      </c>
      <c r="M51" s="15">
        <v>0</v>
      </c>
      <c r="N51" s="15">
        <f>H39 / (F42 + 1)</f>
        <v>0.45913043478260868</v>
      </c>
      <c r="O51" s="16"/>
      <c r="P51" s="20"/>
      <c r="Q51" s="21"/>
      <c r="R51" s="21"/>
      <c r="S51" s="22"/>
      <c r="T51" s="26"/>
      <c r="U51" s="27"/>
      <c r="V51" s="27"/>
      <c r="W51" s="28"/>
      <c r="AG51" s="34" t="s">
        <v>40</v>
      </c>
      <c r="AH51" s="32"/>
      <c r="AI51" s="32"/>
    </row>
    <row r="52" spans="1:35" x14ac:dyDescent="0.2">
      <c r="A52" s="1"/>
      <c r="B52" s="2"/>
      <c r="C52" s="2"/>
      <c r="D52" s="2"/>
      <c r="E52" s="2"/>
      <c r="F52" s="2"/>
      <c r="G52" s="2"/>
      <c r="H52" s="2"/>
      <c r="I52" s="3"/>
      <c r="J52" s="10"/>
      <c r="K52" s="11"/>
      <c r="L52" s="14"/>
      <c r="M52" s="15"/>
      <c r="N52" s="15"/>
      <c r="O52" s="16"/>
      <c r="P52" s="20"/>
      <c r="Q52" s="21" t="s">
        <v>20</v>
      </c>
      <c r="R52" s="21" t="s">
        <v>21</v>
      </c>
      <c r="S52" s="22"/>
      <c r="T52" s="26"/>
      <c r="U52" s="27"/>
      <c r="V52" s="27"/>
      <c r="W52" s="28"/>
      <c r="AG52" s="34" t="s">
        <v>39</v>
      </c>
      <c r="AH52" s="32"/>
      <c r="AI52" s="32"/>
    </row>
    <row r="53" spans="1:35" x14ac:dyDescent="0.2">
      <c r="A53" s="1"/>
      <c r="B53" s="2"/>
      <c r="C53" s="2"/>
      <c r="D53" s="2"/>
      <c r="E53" s="2"/>
      <c r="F53" s="2"/>
      <c r="G53" s="2" t="s">
        <v>17</v>
      </c>
      <c r="H53" s="2">
        <v>53.48</v>
      </c>
      <c r="I53" s="3" t="s">
        <v>43</v>
      </c>
      <c r="J53" s="10"/>
      <c r="K53" s="11"/>
      <c r="L53" s="14" t="s">
        <v>45</v>
      </c>
      <c r="M53" s="15">
        <f>(R54 - N50) / (Q54 - M50)</f>
        <v>0.52173913043478259</v>
      </c>
      <c r="N53" s="15"/>
      <c r="O53" s="16"/>
      <c r="P53" s="20" t="s">
        <v>24</v>
      </c>
      <c r="Q53" s="21">
        <f>B43</f>
        <v>0.5</v>
      </c>
      <c r="R53" s="21">
        <f>B43</f>
        <v>0.5</v>
      </c>
      <c r="S53" s="22"/>
      <c r="T53" s="26"/>
      <c r="U53" s="27"/>
      <c r="V53" s="27"/>
      <c r="W53" s="28"/>
      <c r="AG53" s="34" t="s">
        <v>40</v>
      </c>
      <c r="AH53" s="32"/>
      <c r="AI53" s="32"/>
    </row>
    <row r="54" spans="1:35" x14ac:dyDescent="0.2">
      <c r="A54" s="1"/>
      <c r="B54" s="2"/>
      <c r="C54" s="2"/>
      <c r="D54" s="2"/>
      <c r="E54" s="2"/>
      <c r="F54" s="2"/>
      <c r="G54" s="2" t="s">
        <v>18</v>
      </c>
      <c r="H54" s="2">
        <v>0.1</v>
      </c>
      <c r="I54" s="3"/>
      <c r="J54" s="10"/>
      <c r="K54" s="11"/>
      <c r="L54" s="14" t="s">
        <v>46</v>
      </c>
      <c r="M54" s="15">
        <f>R54 - M53 * Q54</f>
        <v>0.45913043478260868</v>
      </c>
      <c r="N54" s="15"/>
      <c r="O54" s="16"/>
      <c r="P54" s="20" t="s">
        <v>25</v>
      </c>
      <c r="Q54" s="21">
        <v>0.5</v>
      </c>
      <c r="R54" s="21">
        <f>K38</f>
        <v>0.72</v>
      </c>
      <c r="S54" s="22"/>
      <c r="T54" s="26"/>
      <c r="U54" s="27"/>
      <c r="V54" s="27"/>
      <c r="W54" s="28"/>
      <c r="AG54" s="34" t="s">
        <v>39</v>
      </c>
      <c r="AH54" s="32"/>
      <c r="AI54" s="32"/>
    </row>
    <row r="55" spans="1:35" x14ac:dyDescent="0.2">
      <c r="A55" s="1"/>
      <c r="B55" s="2"/>
      <c r="C55" s="2"/>
      <c r="D55" s="2"/>
      <c r="E55" s="2"/>
      <c r="F55" s="2"/>
      <c r="G55" s="2"/>
      <c r="H55" s="2"/>
      <c r="I55" s="3"/>
      <c r="J55" s="10"/>
      <c r="K55" s="11"/>
      <c r="L55" s="14" t="s">
        <v>44</v>
      </c>
      <c r="M55" s="15">
        <f>H39 / M54 - 1</f>
        <v>1.0909090909090908</v>
      </c>
      <c r="N55" s="15"/>
      <c r="O55" s="16"/>
      <c r="P55" s="20"/>
      <c r="Q55" s="21"/>
      <c r="R55" s="21"/>
      <c r="S55" s="22"/>
      <c r="T55" s="26"/>
      <c r="U55" s="27"/>
      <c r="V55" s="27"/>
      <c r="W55" s="28"/>
      <c r="AG55" s="34" t="s">
        <v>40</v>
      </c>
      <c r="AH55" s="32"/>
      <c r="AI55" s="32"/>
    </row>
    <row r="56" spans="1:35" x14ac:dyDescent="0.2">
      <c r="A56" s="1"/>
      <c r="B56" s="2"/>
      <c r="C56" s="2"/>
      <c r="D56" s="2"/>
      <c r="E56" s="2"/>
      <c r="F56" s="2"/>
      <c r="G56" s="2"/>
      <c r="H56" s="2"/>
      <c r="I56" s="3"/>
      <c r="J56" s="10"/>
      <c r="K56" s="11"/>
      <c r="L56" s="14"/>
      <c r="M56" s="15"/>
      <c r="N56" s="15"/>
      <c r="O56" s="16"/>
      <c r="P56" s="20"/>
      <c r="Q56" s="21"/>
      <c r="R56" s="21"/>
      <c r="S56" s="22"/>
      <c r="T56" s="26"/>
      <c r="U56" s="27"/>
      <c r="V56" s="27"/>
      <c r="W56" s="28"/>
      <c r="AG56" s="34" t="s">
        <v>39</v>
      </c>
      <c r="AH56" s="32"/>
      <c r="AI56" s="32"/>
    </row>
    <row r="57" spans="1:35" x14ac:dyDescent="0.2">
      <c r="A57" s="1"/>
      <c r="B57" s="2"/>
      <c r="C57" s="2"/>
      <c r="D57" s="2"/>
      <c r="E57" s="2"/>
      <c r="F57" s="2"/>
      <c r="G57" s="2"/>
      <c r="H57" s="2"/>
      <c r="I57" s="3"/>
      <c r="J57" s="10"/>
      <c r="K57" s="11"/>
      <c r="L57" s="14"/>
      <c r="M57" s="15"/>
      <c r="N57" s="15"/>
      <c r="O57" s="16"/>
      <c r="P57" s="20"/>
      <c r="Q57" s="21"/>
      <c r="R57" s="21"/>
      <c r="S57" s="22"/>
      <c r="T57" s="26"/>
      <c r="U57" s="27"/>
      <c r="V57" s="27"/>
      <c r="W57" s="28"/>
      <c r="AG57" s="34" t="s">
        <v>40</v>
      </c>
      <c r="AH57" s="32"/>
      <c r="AI57" s="32"/>
    </row>
    <row r="58" spans="1:35" x14ac:dyDescent="0.2">
      <c r="A58" s="1"/>
      <c r="B58" s="2"/>
      <c r="C58" s="2"/>
      <c r="D58" s="2"/>
      <c r="E58" s="2"/>
      <c r="F58" s="2"/>
      <c r="G58" s="2"/>
      <c r="H58" s="2"/>
      <c r="I58" s="3"/>
      <c r="J58" s="10"/>
      <c r="K58" s="11"/>
      <c r="L58" s="14"/>
      <c r="M58" s="15"/>
      <c r="N58" s="15"/>
      <c r="O58" s="16"/>
      <c r="P58" s="20"/>
      <c r="Q58" s="21"/>
      <c r="R58" s="21"/>
      <c r="S58" s="22"/>
      <c r="T58" s="26"/>
      <c r="U58" s="27"/>
      <c r="V58" s="27"/>
      <c r="W58" s="28"/>
      <c r="AG58" s="34" t="s">
        <v>39</v>
      </c>
      <c r="AH58" s="32"/>
      <c r="AI58" s="32"/>
    </row>
    <row r="59" spans="1:35" x14ac:dyDescent="0.2">
      <c r="A59" s="7"/>
      <c r="B59" s="8"/>
      <c r="C59" s="8"/>
      <c r="D59" s="8"/>
      <c r="E59" s="8"/>
      <c r="F59" s="8"/>
      <c r="G59" s="8"/>
      <c r="H59" s="8"/>
      <c r="I59" s="9"/>
      <c r="J59" s="12"/>
      <c r="K59" s="13"/>
      <c r="L59" s="17"/>
      <c r="M59" s="18"/>
      <c r="N59" s="18"/>
      <c r="O59" s="19"/>
      <c r="P59" s="23"/>
      <c r="Q59" s="24"/>
      <c r="R59" s="24"/>
      <c r="S59" s="25"/>
      <c r="T59" s="29"/>
      <c r="U59" s="30"/>
      <c r="V59" s="30"/>
      <c r="W59" s="31"/>
      <c r="AG59" s="34" t="s">
        <v>40</v>
      </c>
      <c r="AH59" s="32"/>
      <c r="AI59" s="32"/>
    </row>
  </sheetData>
  <mergeCells count="26">
    <mergeCell ref="T3:W3"/>
    <mergeCell ref="A1:I1"/>
    <mergeCell ref="J1:K1"/>
    <mergeCell ref="L1:O1"/>
    <mergeCell ref="P1:S1"/>
    <mergeCell ref="T1:W1"/>
    <mergeCell ref="T31:W31"/>
    <mergeCell ref="T33:W33"/>
    <mergeCell ref="P11:S11"/>
    <mergeCell ref="E13:G13"/>
    <mergeCell ref="L13:O13"/>
    <mergeCell ref="E14:G14"/>
    <mergeCell ref="E15:G15"/>
    <mergeCell ref="E16:G16"/>
    <mergeCell ref="P16:S16"/>
    <mergeCell ref="E46:G46"/>
    <mergeCell ref="P46:S46"/>
    <mergeCell ref="A31:I31"/>
    <mergeCell ref="J31:K31"/>
    <mergeCell ref="L31:O31"/>
    <mergeCell ref="P31:S31"/>
    <mergeCell ref="P41:S41"/>
    <mergeCell ref="E43:G43"/>
    <mergeCell ref="L43:O43"/>
    <mergeCell ref="E44:G44"/>
    <mergeCell ref="E45:G4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33945-7B64-FA4D-9B50-A5C74E3C2E51}">
  <dimension ref="A1:AJ29"/>
  <sheetViews>
    <sheetView topLeftCell="I1" zoomScaleNormal="100" workbookViewId="0">
      <selection activeCell="G32" sqref="G32"/>
    </sheetView>
  </sheetViews>
  <sheetFormatPr baseColWidth="10" defaultRowHeight="16" x14ac:dyDescent="0.2"/>
  <sheetData>
    <row r="1" spans="1:36" x14ac:dyDescent="0.2">
      <c r="A1" s="46" t="s">
        <v>22</v>
      </c>
      <c r="B1" s="47"/>
      <c r="C1" s="47"/>
      <c r="D1" s="47"/>
      <c r="E1" s="47"/>
      <c r="F1" s="47"/>
      <c r="G1" s="47"/>
      <c r="H1" s="47"/>
      <c r="I1" s="48"/>
      <c r="J1" s="41" t="s">
        <v>19</v>
      </c>
      <c r="K1" s="42"/>
      <c r="L1" s="49" t="s">
        <v>23</v>
      </c>
      <c r="M1" s="50"/>
      <c r="N1" s="50"/>
      <c r="O1" s="51"/>
      <c r="P1" s="52" t="s">
        <v>28</v>
      </c>
      <c r="Q1" s="53"/>
      <c r="R1" s="53"/>
      <c r="S1" s="54"/>
      <c r="T1" s="38" t="s">
        <v>37</v>
      </c>
      <c r="U1" s="39"/>
      <c r="V1" s="39"/>
      <c r="W1" s="40"/>
      <c r="AG1" s="33"/>
      <c r="AH1" s="33" t="s">
        <v>20</v>
      </c>
      <c r="AI1" s="33" t="s">
        <v>21</v>
      </c>
    </row>
    <row r="2" spans="1:36" x14ac:dyDescent="0.2">
      <c r="A2" s="1"/>
      <c r="B2" s="2"/>
      <c r="C2" s="2"/>
      <c r="D2" s="2"/>
      <c r="E2" s="2"/>
      <c r="F2" s="2"/>
      <c r="G2" s="2"/>
      <c r="H2" s="2"/>
      <c r="I2" s="3"/>
      <c r="J2" s="10" t="s">
        <v>20</v>
      </c>
      <c r="K2" s="11" t="s">
        <v>21</v>
      </c>
      <c r="L2" s="14"/>
      <c r="M2" s="15"/>
      <c r="N2" s="15"/>
      <c r="O2" s="16"/>
      <c r="P2" s="20"/>
      <c r="Q2" s="21"/>
      <c r="R2" s="21"/>
      <c r="S2" s="22"/>
      <c r="T2" s="26"/>
      <c r="U2" s="27"/>
      <c r="V2" s="27"/>
      <c r="W2" s="28"/>
      <c r="AG2" s="34" t="s">
        <v>39</v>
      </c>
      <c r="AH2" s="32">
        <f>H9</f>
        <v>0.97445134110561482</v>
      </c>
      <c r="AI2" s="32">
        <f>H9</f>
        <v>0.97445134110561482</v>
      </c>
      <c r="AJ2">
        <v>1</v>
      </c>
    </row>
    <row r="3" spans="1:36" x14ac:dyDescent="0.2">
      <c r="A3" s="1" t="s">
        <v>48</v>
      </c>
      <c r="B3" s="2" t="s">
        <v>1</v>
      </c>
      <c r="C3" s="2" t="s">
        <v>4</v>
      </c>
      <c r="D3" s="5" t="s">
        <v>47</v>
      </c>
      <c r="E3" s="2"/>
      <c r="F3" s="2"/>
      <c r="G3" s="2"/>
      <c r="H3" s="2"/>
      <c r="I3" s="3"/>
      <c r="J3" s="10">
        <v>0</v>
      </c>
      <c r="K3" s="11">
        <v>0</v>
      </c>
      <c r="L3" s="14"/>
      <c r="M3" s="15"/>
      <c r="N3" s="15"/>
      <c r="O3" s="16"/>
      <c r="P3" s="20"/>
      <c r="Q3" s="21"/>
      <c r="R3" s="21"/>
      <c r="S3" s="22"/>
      <c r="T3" s="58" t="s">
        <v>38</v>
      </c>
      <c r="U3" s="59"/>
      <c r="V3" s="59"/>
      <c r="W3" s="60"/>
      <c r="AG3" s="34" t="s">
        <v>40</v>
      </c>
      <c r="AH3" s="32">
        <f>0.9341</f>
        <v>0.93410000000000004</v>
      </c>
      <c r="AI3" s="32">
        <f>AI2</f>
        <v>0.97445134110561482</v>
      </c>
    </row>
    <row r="4" spans="1:36" x14ac:dyDescent="0.2">
      <c r="A4" s="1">
        <v>1</v>
      </c>
      <c r="B4" s="2" t="s">
        <v>41</v>
      </c>
      <c r="C4" s="2">
        <v>78.11</v>
      </c>
      <c r="D4" s="2">
        <f>1 - D5</f>
        <v>0.4</v>
      </c>
      <c r="E4" s="2">
        <f>(D4 / C4) / (D4 / C4 + D5 / C5)</f>
        <v>0.44021881942619628</v>
      </c>
      <c r="F4" s="2"/>
      <c r="G4" s="2"/>
      <c r="H4" s="2"/>
      <c r="I4" s="3"/>
      <c r="J4" s="10">
        <v>0.1</v>
      </c>
      <c r="K4" s="11">
        <v>0.21</v>
      </c>
      <c r="L4" s="14"/>
      <c r="M4" s="15"/>
      <c r="N4" s="15"/>
      <c r="O4" s="16"/>
      <c r="P4" s="20"/>
      <c r="Q4" s="21"/>
      <c r="R4" s="21"/>
      <c r="S4" s="22"/>
      <c r="T4" s="26"/>
      <c r="U4" s="27"/>
      <c r="V4" s="27"/>
      <c r="W4" s="28"/>
      <c r="AG4" s="34" t="s">
        <v>39</v>
      </c>
      <c r="AH4" s="32">
        <f>AH3</f>
        <v>0.93410000000000004</v>
      </c>
      <c r="AI4" s="32">
        <v>0.94520000000000004</v>
      </c>
      <c r="AJ4">
        <v>2</v>
      </c>
    </row>
    <row r="5" spans="1:36" x14ac:dyDescent="0.2">
      <c r="A5" s="1">
        <v>2</v>
      </c>
      <c r="B5" s="2" t="s">
        <v>42</v>
      </c>
      <c r="C5" s="2">
        <v>92.14</v>
      </c>
      <c r="D5" s="2">
        <v>0.6</v>
      </c>
      <c r="E5" s="2">
        <f>(D5 / C5) / (D5 / C5 +  D4 / C4)</f>
        <v>0.55978118057380377</v>
      </c>
      <c r="F5" s="2"/>
      <c r="G5" s="2"/>
      <c r="H5" s="2"/>
      <c r="I5" s="3"/>
      <c r="J5" s="10">
        <v>0.2</v>
      </c>
      <c r="K5" s="11">
        <v>0.37</v>
      </c>
      <c r="L5" s="14"/>
      <c r="M5" s="15"/>
      <c r="N5" s="15"/>
      <c r="O5" s="16"/>
      <c r="P5" s="20"/>
      <c r="Q5" s="21"/>
      <c r="R5" s="21"/>
      <c r="S5" s="22"/>
      <c r="T5" s="26"/>
      <c r="U5" s="27" t="s">
        <v>20</v>
      </c>
      <c r="V5" s="27" t="s">
        <v>21</v>
      </c>
      <c r="W5" s="28"/>
      <c r="AG5" s="34" t="s">
        <v>40</v>
      </c>
      <c r="AH5" s="32">
        <f>0.8712</f>
        <v>0.87119999999999997</v>
      </c>
      <c r="AI5" s="32">
        <f>AI4</f>
        <v>0.94520000000000004</v>
      </c>
    </row>
    <row r="6" spans="1:36" x14ac:dyDescent="0.2">
      <c r="A6" s="1"/>
      <c r="B6" s="2"/>
      <c r="C6" s="2"/>
      <c r="D6" s="2"/>
      <c r="E6" s="2"/>
      <c r="F6" s="2"/>
      <c r="G6" s="2"/>
      <c r="H6" s="2"/>
      <c r="I6" s="3"/>
      <c r="J6" s="10">
        <v>0.3</v>
      </c>
      <c r="K6" s="11">
        <v>0.51</v>
      </c>
      <c r="L6" s="14"/>
      <c r="M6" s="15"/>
      <c r="N6" s="15"/>
      <c r="O6" s="16"/>
      <c r="P6" s="20"/>
      <c r="Q6" s="21"/>
      <c r="R6" s="21"/>
      <c r="S6" s="22"/>
      <c r="T6" s="26" t="s">
        <v>24</v>
      </c>
      <c r="U6" s="27" t="s">
        <v>18</v>
      </c>
      <c r="V6" s="27" t="s">
        <v>18</v>
      </c>
      <c r="W6" s="28"/>
      <c r="AG6" s="34" t="s">
        <v>39</v>
      </c>
      <c r="AH6" s="32">
        <f>AH5</f>
        <v>0.87119999999999997</v>
      </c>
      <c r="AI6" s="32">
        <f>0.8949</f>
        <v>0.89490000000000003</v>
      </c>
      <c r="AJ6">
        <v>3</v>
      </c>
    </row>
    <row r="7" spans="1:36" x14ac:dyDescent="0.2">
      <c r="A7" s="1"/>
      <c r="B7" s="2"/>
      <c r="C7" s="2"/>
      <c r="D7" s="2"/>
      <c r="E7" s="2"/>
      <c r="F7" s="2"/>
      <c r="G7" s="2"/>
      <c r="H7" s="2"/>
      <c r="I7" s="3"/>
      <c r="J7" s="10">
        <v>0.4</v>
      </c>
      <c r="K7" s="11">
        <v>0.65</v>
      </c>
      <c r="L7" s="14"/>
      <c r="M7" s="15"/>
      <c r="N7" s="15"/>
      <c r="O7" s="16"/>
      <c r="P7" s="20"/>
      <c r="Q7" s="21"/>
      <c r="R7" s="21"/>
      <c r="S7" s="22"/>
      <c r="T7" s="26" t="s">
        <v>25</v>
      </c>
      <c r="U7" s="27" t="s">
        <v>20</v>
      </c>
      <c r="V7" s="27" t="s">
        <v>21</v>
      </c>
      <c r="W7" s="28"/>
      <c r="AG7" s="34" t="s">
        <v>40</v>
      </c>
      <c r="AH7" s="32">
        <v>0.76800000000000002</v>
      </c>
      <c r="AI7" s="32">
        <f>AI6</f>
        <v>0.89490000000000003</v>
      </c>
    </row>
    <row r="8" spans="1:36" x14ac:dyDescent="0.2">
      <c r="A8" s="1"/>
      <c r="B8" s="2"/>
      <c r="C8" s="2"/>
      <c r="D8" s="2"/>
      <c r="E8" s="2"/>
      <c r="F8" s="2"/>
      <c r="G8" s="2" t="s">
        <v>15</v>
      </c>
      <c r="H8" s="2">
        <f>(B13 - H24) * B12 / (H9 - H24)</f>
        <v>152.9277098520042</v>
      </c>
      <c r="I8" s="3"/>
      <c r="J8" s="10">
        <v>0.5</v>
      </c>
      <c r="K8" s="11">
        <v>0.72</v>
      </c>
      <c r="L8" s="14"/>
      <c r="M8" s="15"/>
      <c r="N8" s="15"/>
      <c r="O8" s="16"/>
      <c r="P8" s="20"/>
      <c r="Q8" s="21"/>
      <c r="R8" s="21"/>
      <c r="S8" s="22"/>
      <c r="T8" s="26"/>
      <c r="U8" s="27"/>
      <c r="V8" s="27"/>
      <c r="W8" s="28"/>
      <c r="AG8" s="34" t="s">
        <v>39</v>
      </c>
      <c r="AH8" s="32">
        <f>AH7</f>
        <v>0.76800000000000002</v>
      </c>
      <c r="AI8" s="32">
        <f>0.815</f>
        <v>0.81499999999999995</v>
      </c>
      <c r="AJ8">
        <v>4</v>
      </c>
    </row>
    <row r="9" spans="1:36" x14ac:dyDescent="0.2">
      <c r="A9" s="1"/>
      <c r="B9" s="2"/>
      <c r="C9" s="2"/>
      <c r="D9" s="2"/>
      <c r="E9" s="2"/>
      <c r="F9" s="2"/>
      <c r="G9" s="2" t="s">
        <v>16</v>
      </c>
      <c r="H9" s="2">
        <f>(H10 / C4) / (H10 / C4 + (1 - H10) / C5)</f>
        <v>0.97445134110561482</v>
      </c>
      <c r="I9" s="3"/>
      <c r="J9" s="10">
        <v>0.6</v>
      </c>
      <c r="K9" s="11">
        <v>0.79</v>
      </c>
      <c r="L9" s="14"/>
      <c r="M9" s="15"/>
      <c r="N9" s="15"/>
      <c r="O9" s="16"/>
      <c r="P9" s="20"/>
      <c r="Q9" s="21"/>
      <c r="R9" s="21"/>
      <c r="S9" s="22"/>
      <c r="T9" s="26"/>
      <c r="U9" s="27" t="s">
        <v>20</v>
      </c>
      <c r="V9" s="27" t="s">
        <v>21</v>
      </c>
      <c r="W9" s="28"/>
      <c r="AG9" s="34" t="s">
        <v>40</v>
      </c>
      <c r="AH9" s="32">
        <v>0.63500000000000001</v>
      </c>
      <c r="AI9" s="32">
        <f>AI8</f>
        <v>0.81499999999999995</v>
      </c>
    </row>
    <row r="10" spans="1:36" x14ac:dyDescent="0.2">
      <c r="A10" s="1"/>
      <c r="B10" s="2"/>
      <c r="C10" s="2"/>
      <c r="D10" s="2"/>
      <c r="E10" s="2"/>
      <c r="F10" s="2"/>
      <c r="G10" s="2" t="s">
        <v>32</v>
      </c>
      <c r="H10" s="2">
        <f xml:space="preserve"> 0.97</f>
        <v>0.97</v>
      </c>
      <c r="I10" s="3"/>
      <c r="J10" s="10">
        <v>0.7</v>
      </c>
      <c r="K10" s="11">
        <v>0.86</v>
      </c>
      <c r="L10" s="14"/>
      <c r="M10" s="15"/>
      <c r="N10" s="15"/>
      <c r="O10" s="16"/>
      <c r="P10" s="20"/>
      <c r="Q10" s="21"/>
      <c r="R10" s="21"/>
      <c r="S10" s="22"/>
      <c r="T10" s="26" t="s">
        <v>24</v>
      </c>
      <c r="U10" s="27">
        <f>H24</f>
        <v>2.3507920592520042E-2</v>
      </c>
      <c r="V10" s="27">
        <f>H24</f>
        <v>2.3507920592520042E-2</v>
      </c>
      <c r="W10" s="28"/>
      <c r="AG10" s="34" t="s">
        <v>39</v>
      </c>
      <c r="AH10" s="32">
        <f>AH9</f>
        <v>0.63500000000000001</v>
      </c>
      <c r="AI10" s="32">
        <f>0.712</f>
        <v>0.71199999999999997</v>
      </c>
      <c r="AJ10">
        <v>5</v>
      </c>
    </row>
    <row r="11" spans="1:36" x14ac:dyDescent="0.2">
      <c r="A11" s="1"/>
      <c r="B11" s="2"/>
      <c r="C11" s="2"/>
      <c r="D11" s="2"/>
      <c r="E11" s="2"/>
      <c r="F11" s="2"/>
      <c r="G11" s="2"/>
      <c r="H11" s="2"/>
      <c r="I11" s="3"/>
      <c r="J11" s="10">
        <v>0.8</v>
      </c>
      <c r="K11" s="11">
        <v>0.91</v>
      </c>
      <c r="L11" s="14"/>
      <c r="M11" s="15"/>
      <c r="N11" s="15"/>
      <c r="O11" s="16"/>
      <c r="P11" s="55"/>
      <c r="Q11" s="56"/>
      <c r="R11" s="56"/>
      <c r="S11" s="57"/>
      <c r="T11" s="26" t="s">
        <v>25</v>
      </c>
      <c r="U11" s="27">
        <f>Q24</f>
        <v>0.44021881942619628</v>
      </c>
      <c r="V11" s="27">
        <v>0.56000000000000005</v>
      </c>
      <c r="W11" s="28"/>
      <c r="AG11" s="34" t="s">
        <v>40</v>
      </c>
      <c r="AH11" s="32">
        <f>0.487</f>
        <v>0.48699999999999999</v>
      </c>
      <c r="AI11" s="32">
        <f>AI10</f>
        <v>0.71199999999999997</v>
      </c>
    </row>
    <row r="12" spans="1:36" x14ac:dyDescent="0.2">
      <c r="A12" s="4" t="s">
        <v>5</v>
      </c>
      <c r="B12" s="2">
        <f xml:space="preserve"> 30 * 1000 * D4 / C4 + 30 * 1000 * D5 / C5</f>
        <v>348.98439158881558</v>
      </c>
      <c r="C12" s="2" t="s">
        <v>8</v>
      </c>
      <c r="D12" s="2"/>
      <c r="E12" s="5" t="s">
        <v>10</v>
      </c>
      <c r="F12" s="2">
        <v>3.5</v>
      </c>
      <c r="G12" s="2"/>
      <c r="H12" s="2"/>
      <c r="I12" s="3"/>
      <c r="J12" s="10">
        <v>0.9</v>
      </c>
      <c r="K12" s="11">
        <v>0.96</v>
      </c>
      <c r="L12" s="14"/>
      <c r="M12" s="15"/>
      <c r="N12" s="15"/>
      <c r="O12" s="16"/>
      <c r="P12" s="20"/>
      <c r="Q12" s="21"/>
      <c r="R12" s="21"/>
      <c r="S12" s="22"/>
      <c r="T12" s="26"/>
      <c r="U12" s="27"/>
      <c r="V12" s="27"/>
      <c r="W12" s="28"/>
      <c r="AG12" s="34" t="s">
        <v>39</v>
      </c>
      <c r="AH12" s="32">
        <f>AH11</f>
        <v>0.48699999999999999</v>
      </c>
      <c r="AI12" s="32">
        <f>0.5961</f>
        <v>0.59609999999999996</v>
      </c>
      <c r="AJ12">
        <v>6</v>
      </c>
    </row>
    <row r="13" spans="1:36" x14ac:dyDescent="0.2">
      <c r="A13" s="4" t="s">
        <v>6</v>
      </c>
      <c r="B13" s="2">
        <f>E4</f>
        <v>0.44021881942619628</v>
      </c>
      <c r="C13" s="2"/>
      <c r="D13" s="2"/>
      <c r="E13" s="61" t="s">
        <v>12</v>
      </c>
      <c r="F13" s="61"/>
      <c r="G13" s="61"/>
      <c r="H13" s="2"/>
      <c r="I13" s="3"/>
      <c r="J13" s="10">
        <v>0.95</v>
      </c>
      <c r="K13" s="11">
        <v>0.98</v>
      </c>
      <c r="L13" s="43" t="s">
        <v>27</v>
      </c>
      <c r="M13" s="44"/>
      <c r="N13" s="44"/>
      <c r="O13" s="45"/>
      <c r="P13" s="20"/>
      <c r="Q13" s="21"/>
      <c r="R13" s="56" t="s">
        <v>51</v>
      </c>
      <c r="S13" s="57"/>
      <c r="T13" s="26"/>
      <c r="U13" s="27"/>
      <c r="V13" s="27"/>
      <c r="W13" s="28"/>
      <c r="AG13" s="34" t="s">
        <v>40</v>
      </c>
      <c r="AH13" s="32">
        <v>0.36199999999999999</v>
      </c>
      <c r="AI13" s="32">
        <f>AI12</f>
        <v>0.59609999999999996</v>
      </c>
    </row>
    <row r="14" spans="1:36" x14ac:dyDescent="0.2">
      <c r="A14" s="4" t="s">
        <v>7</v>
      </c>
      <c r="B14" s="2"/>
      <c r="C14" s="2" t="s">
        <v>9</v>
      </c>
      <c r="D14" s="2"/>
      <c r="E14" s="61" t="s">
        <v>11</v>
      </c>
      <c r="F14" s="61"/>
      <c r="G14" s="61"/>
      <c r="H14" s="2"/>
      <c r="I14" s="3"/>
      <c r="J14" s="10">
        <v>1</v>
      </c>
      <c r="K14" s="11">
        <v>1</v>
      </c>
      <c r="L14" s="14"/>
      <c r="M14" s="15"/>
      <c r="N14" s="15"/>
      <c r="O14" s="16"/>
      <c r="P14" s="20"/>
      <c r="Q14" s="21"/>
      <c r="R14" s="21" t="s">
        <v>36</v>
      </c>
      <c r="S14" s="22">
        <v>1</v>
      </c>
      <c r="T14" s="26"/>
      <c r="U14" s="27"/>
      <c r="V14" s="27"/>
      <c r="W14" s="28"/>
      <c r="AG14" s="34" t="s">
        <v>39</v>
      </c>
      <c r="AH14" s="32">
        <f>AH13</f>
        <v>0.36199999999999999</v>
      </c>
      <c r="AI14" s="32">
        <v>0.45800000000000002</v>
      </c>
      <c r="AJ14">
        <v>7</v>
      </c>
    </row>
    <row r="15" spans="1:36" x14ac:dyDescent="0.2">
      <c r="A15" s="62" t="s">
        <v>50</v>
      </c>
      <c r="B15" s="61"/>
      <c r="C15" s="61"/>
      <c r="D15" s="2"/>
      <c r="E15" s="61" t="s">
        <v>13</v>
      </c>
      <c r="F15" s="61"/>
      <c r="G15" s="61"/>
      <c r="H15" s="2"/>
      <c r="I15" s="3"/>
      <c r="J15" s="37"/>
      <c r="K15" s="37"/>
      <c r="L15" s="14"/>
      <c r="M15" s="15" t="s">
        <v>20</v>
      </c>
      <c r="N15" s="15" t="s">
        <v>21</v>
      </c>
      <c r="O15" s="16"/>
      <c r="P15" s="20"/>
      <c r="Q15" s="21"/>
      <c r="R15" s="21"/>
      <c r="S15" s="22"/>
      <c r="T15" s="26"/>
      <c r="U15" s="27"/>
      <c r="V15" s="27"/>
      <c r="W15" s="28"/>
      <c r="AG15" s="34" t="s">
        <v>40</v>
      </c>
      <c r="AH15" s="32">
        <f>0.263</f>
        <v>0.26300000000000001</v>
      </c>
      <c r="AI15" s="32">
        <f>AI14</f>
        <v>0.45800000000000002</v>
      </c>
    </row>
    <row r="16" spans="1:36" x14ac:dyDescent="0.2">
      <c r="A16" s="1"/>
      <c r="B16" s="2"/>
      <c r="C16" s="2"/>
      <c r="D16" s="2"/>
      <c r="E16" s="61" t="s">
        <v>14</v>
      </c>
      <c r="F16" s="61"/>
      <c r="G16" s="61"/>
      <c r="H16" s="2"/>
      <c r="I16" s="3"/>
      <c r="J16" s="10"/>
      <c r="K16" s="11"/>
      <c r="L16" s="14" t="s">
        <v>24</v>
      </c>
      <c r="M16" s="15" t="s">
        <v>16</v>
      </c>
      <c r="N16" s="15" t="s">
        <v>16</v>
      </c>
      <c r="O16" s="16"/>
      <c r="P16" s="55" t="s">
        <v>29</v>
      </c>
      <c r="Q16" s="56"/>
      <c r="R16" s="56"/>
      <c r="S16" s="57"/>
      <c r="T16" s="26"/>
      <c r="U16" s="27"/>
      <c r="V16" s="27"/>
      <c r="W16" s="28"/>
      <c r="AG16" s="34" t="s">
        <v>39</v>
      </c>
      <c r="AH16" s="32">
        <f>AH15</f>
        <v>0.26300000000000001</v>
      </c>
      <c r="AI16" s="32">
        <f>0.335</f>
        <v>0.33500000000000002</v>
      </c>
      <c r="AJ16">
        <v>8</v>
      </c>
    </row>
    <row r="17" spans="1:36" x14ac:dyDescent="0.2">
      <c r="A17" s="1"/>
      <c r="B17" s="2"/>
      <c r="C17" s="2"/>
      <c r="D17" s="2"/>
      <c r="E17" s="2"/>
      <c r="F17" s="2"/>
      <c r="G17" s="2"/>
      <c r="H17" s="2"/>
      <c r="I17" s="3"/>
      <c r="J17" s="10"/>
      <c r="K17" s="11"/>
      <c r="L17" s="14" t="s">
        <v>25</v>
      </c>
      <c r="M17" s="15">
        <v>0</v>
      </c>
      <c r="N17" s="15" t="s">
        <v>26</v>
      </c>
      <c r="O17" s="16"/>
      <c r="P17" s="20"/>
      <c r="Q17" s="21"/>
      <c r="R17" s="21"/>
      <c r="S17" s="22"/>
      <c r="T17" s="26"/>
      <c r="U17" s="27"/>
      <c r="V17" s="27"/>
      <c r="W17" s="28"/>
      <c r="AG17" s="34" t="s">
        <v>40</v>
      </c>
      <c r="AH17" s="32">
        <f>0.177</f>
        <v>0.17699999999999999</v>
      </c>
      <c r="AI17" s="32">
        <f>AI16</f>
        <v>0.33500000000000002</v>
      </c>
    </row>
    <row r="18" spans="1:36" x14ac:dyDescent="0.2">
      <c r="A18" s="1"/>
      <c r="B18" s="2"/>
      <c r="C18" s="2"/>
      <c r="D18" s="2"/>
      <c r="E18" s="2"/>
      <c r="F18" s="2"/>
      <c r="G18" s="2"/>
      <c r="H18" s="2"/>
      <c r="I18" s="3"/>
      <c r="J18" s="10"/>
      <c r="K18" s="11"/>
      <c r="L18" s="14"/>
      <c r="M18" s="15"/>
      <c r="N18" s="15"/>
      <c r="O18" s="16"/>
      <c r="P18" s="20"/>
      <c r="Q18" s="21" t="s">
        <v>20</v>
      </c>
      <c r="R18" s="21" t="s">
        <v>21</v>
      </c>
      <c r="S18" s="22"/>
      <c r="T18" s="26"/>
      <c r="U18" s="27"/>
      <c r="V18" s="27"/>
      <c r="W18" s="28"/>
      <c r="AG18" s="34" t="s">
        <v>39</v>
      </c>
      <c r="AH18" s="32">
        <f>AH17</f>
        <v>0.17699999999999999</v>
      </c>
      <c r="AI18" s="32">
        <v>0.223</v>
      </c>
      <c r="AJ18">
        <v>9</v>
      </c>
    </row>
    <row r="19" spans="1:36" x14ac:dyDescent="0.2">
      <c r="A19" s="1"/>
      <c r="B19" s="2"/>
      <c r="C19" s="2"/>
      <c r="D19" s="2"/>
      <c r="E19" s="2"/>
      <c r="F19" s="2"/>
      <c r="G19" s="2"/>
      <c r="H19" s="2"/>
      <c r="I19" s="3"/>
      <c r="J19" s="10"/>
      <c r="K19" s="11"/>
      <c r="L19" s="14"/>
      <c r="M19" s="15" t="s">
        <v>20</v>
      </c>
      <c r="N19" s="15" t="s">
        <v>21</v>
      </c>
      <c r="O19" s="16"/>
      <c r="P19" s="20" t="s">
        <v>24</v>
      </c>
      <c r="Q19" s="21" t="s">
        <v>6</v>
      </c>
      <c r="R19" s="21" t="s">
        <v>6</v>
      </c>
      <c r="S19" s="22"/>
      <c r="T19" s="26"/>
      <c r="U19" s="27"/>
      <c r="V19" s="27"/>
      <c r="W19" s="28"/>
      <c r="AG19" s="34" t="s">
        <v>40</v>
      </c>
      <c r="AH19" s="32">
        <f>0.109</f>
        <v>0.109</v>
      </c>
      <c r="AI19" s="32">
        <f>AI18</f>
        <v>0.223</v>
      </c>
    </row>
    <row r="20" spans="1:36" x14ac:dyDescent="0.2">
      <c r="A20" s="1"/>
      <c r="B20" s="2"/>
      <c r="C20" s="2"/>
      <c r="D20" s="2"/>
      <c r="E20" s="2"/>
      <c r="F20" s="2"/>
      <c r="G20" s="2"/>
      <c r="H20" s="2"/>
      <c r="I20" s="3"/>
      <c r="J20" s="10"/>
      <c r="K20" s="11"/>
      <c r="L20" s="14" t="s">
        <v>24</v>
      </c>
      <c r="M20" s="15">
        <f>H9</f>
        <v>0.97445134110561482</v>
      </c>
      <c r="N20" s="15">
        <f>H9</f>
        <v>0.97445134110561482</v>
      </c>
      <c r="O20" s="16"/>
      <c r="P20" s="20" t="s">
        <v>25</v>
      </c>
      <c r="Q20" s="21" t="s">
        <v>20</v>
      </c>
      <c r="R20" s="21" t="s">
        <v>21</v>
      </c>
      <c r="S20" s="22"/>
      <c r="T20" s="26"/>
      <c r="U20" s="27"/>
      <c r="V20" s="27"/>
      <c r="W20" s="28"/>
      <c r="AG20" s="34" t="s">
        <v>39</v>
      </c>
      <c r="AH20" s="32">
        <f>AH19</f>
        <v>0.109</v>
      </c>
      <c r="AI20" s="32">
        <f>0.135</f>
        <v>0.13500000000000001</v>
      </c>
      <c r="AJ20">
        <v>10</v>
      </c>
    </row>
    <row r="21" spans="1:36" x14ac:dyDescent="0.2">
      <c r="A21" s="1"/>
      <c r="B21" s="2"/>
      <c r="C21" s="2"/>
      <c r="D21" s="2"/>
      <c r="E21" s="2"/>
      <c r="F21" s="2"/>
      <c r="G21" s="2"/>
      <c r="H21" s="2"/>
      <c r="I21" s="3"/>
      <c r="J21" s="10"/>
      <c r="K21" s="11"/>
      <c r="L21" s="14" t="s">
        <v>25</v>
      </c>
      <c r="M21" s="15">
        <v>0</v>
      </c>
      <c r="N21" s="15">
        <f>H9 / (F12 + 1)</f>
        <v>0.21654474246791441</v>
      </c>
      <c r="O21" s="16"/>
      <c r="P21" s="20"/>
      <c r="Q21" s="21"/>
      <c r="R21" s="21"/>
      <c r="S21" s="22"/>
      <c r="T21" s="26"/>
      <c r="U21" s="27"/>
      <c r="V21" s="27"/>
      <c r="W21" s="28"/>
      <c r="AG21" s="34" t="s">
        <v>40</v>
      </c>
      <c r="AH21" s="32">
        <v>6.4000000000000001E-2</v>
      </c>
      <c r="AI21" s="32">
        <f>AI20</f>
        <v>0.13500000000000001</v>
      </c>
    </row>
    <row r="22" spans="1:36" x14ac:dyDescent="0.2">
      <c r="A22" s="1"/>
      <c r="B22" s="2"/>
      <c r="C22" s="2"/>
      <c r="D22" s="2"/>
      <c r="E22" s="2"/>
      <c r="F22" s="2"/>
      <c r="G22" s="2"/>
      <c r="H22" s="2"/>
      <c r="I22" s="3"/>
      <c r="J22" s="10"/>
      <c r="K22" s="11"/>
      <c r="L22" s="14"/>
      <c r="M22" s="15"/>
      <c r="N22" s="15"/>
      <c r="O22" s="16"/>
      <c r="P22" s="20"/>
      <c r="Q22" s="21" t="s">
        <v>20</v>
      </c>
      <c r="R22" s="21" t="s">
        <v>21</v>
      </c>
      <c r="S22" s="22"/>
      <c r="T22" s="26"/>
      <c r="U22" s="27"/>
      <c r="V22" s="27"/>
      <c r="W22" s="28"/>
      <c r="AG22" s="34" t="s">
        <v>39</v>
      </c>
      <c r="AH22" s="32">
        <f>AH21</f>
        <v>6.4000000000000001E-2</v>
      </c>
      <c r="AI22" s="32">
        <f>0.077</f>
        <v>7.6999999999999999E-2</v>
      </c>
      <c r="AJ22">
        <v>11</v>
      </c>
    </row>
    <row r="23" spans="1:36" x14ac:dyDescent="0.2">
      <c r="A23" s="1"/>
      <c r="B23" s="2"/>
      <c r="C23" s="2"/>
      <c r="D23" s="2"/>
      <c r="E23" s="2"/>
      <c r="F23" s="2"/>
      <c r="G23" s="2" t="s">
        <v>17</v>
      </c>
      <c r="H23" s="2">
        <f>(B13 - H9) * B12 / (H24 - H9)</f>
        <v>196.05668173681138</v>
      </c>
      <c r="I23" s="3"/>
      <c r="J23" s="10"/>
      <c r="K23" s="11"/>
      <c r="L23" s="14"/>
      <c r="M23" s="15"/>
      <c r="N23" s="15"/>
      <c r="O23" s="16"/>
      <c r="P23" s="20" t="s">
        <v>24</v>
      </c>
      <c r="Q23" s="21">
        <f>B13</f>
        <v>0.44021881942619628</v>
      </c>
      <c r="R23" s="21">
        <f>B13</f>
        <v>0.44021881942619628</v>
      </c>
      <c r="S23" s="22"/>
      <c r="T23" s="26"/>
      <c r="U23" s="27"/>
      <c r="V23" s="27"/>
      <c r="W23" s="28"/>
      <c r="AG23" s="34" t="s">
        <v>40</v>
      </c>
      <c r="AH23" s="32">
        <v>3.6999999999999998E-2</v>
      </c>
      <c r="AI23" s="32">
        <f>AI22</f>
        <v>7.6999999999999999E-2</v>
      </c>
    </row>
    <row r="24" spans="1:36" x14ac:dyDescent="0.2">
      <c r="A24" s="1"/>
      <c r="B24" s="2"/>
      <c r="C24" s="2"/>
      <c r="D24" s="2"/>
      <c r="E24" s="2"/>
      <c r="F24" s="2"/>
      <c r="G24" s="2" t="s">
        <v>18</v>
      </c>
      <c r="H24" s="2">
        <f>(H25 / C4) / (H25 / C4 + (1 - H25) / C5)</f>
        <v>2.3507920592520042E-2</v>
      </c>
      <c r="I24" s="3"/>
      <c r="J24" s="10"/>
      <c r="K24" s="11"/>
      <c r="L24" s="14"/>
      <c r="M24" s="15"/>
      <c r="N24" s="15"/>
      <c r="O24" s="16"/>
      <c r="P24" s="20" t="s">
        <v>25</v>
      </c>
      <c r="Q24" s="21">
        <f>Q23</f>
        <v>0.44021881942619628</v>
      </c>
      <c r="R24" s="21">
        <v>0.67800000000000005</v>
      </c>
      <c r="S24" s="22"/>
      <c r="T24" s="26"/>
      <c r="U24" s="27"/>
      <c r="V24" s="27"/>
      <c r="W24" s="28"/>
      <c r="AG24" s="34" t="s">
        <v>39</v>
      </c>
      <c r="AH24" s="32">
        <f>AH23</f>
        <v>3.6999999999999998E-2</v>
      </c>
      <c r="AI24" s="32">
        <f>0.041</f>
        <v>4.1000000000000002E-2</v>
      </c>
      <c r="AJ24">
        <v>12</v>
      </c>
    </row>
    <row r="25" spans="1:36" x14ac:dyDescent="0.2">
      <c r="A25" s="1"/>
      <c r="B25" s="2"/>
      <c r="C25" s="2"/>
      <c r="D25" s="2"/>
      <c r="E25" s="2"/>
      <c r="F25" s="2"/>
      <c r="G25" s="2" t="s">
        <v>49</v>
      </c>
      <c r="H25" s="2">
        <f>1 - 0.98</f>
        <v>2.0000000000000018E-2</v>
      </c>
      <c r="I25" s="3"/>
      <c r="J25" s="10"/>
      <c r="K25" s="11"/>
      <c r="L25" s="14"/>
      <c r="M25" s="15"/>
      <c r="N25" s="15"/>
      <c r="O25" s="16"/>
      <c r="P25" s="20"/>
      <c r="Q25" s="21"/>
      <c r="R25" s="21"/>
      <c r="S25" s="22"/>
      <c r="T25" s="26"/>
      <c r="U25" s="27"/>
      <c r="V25" s="27"/>
      <c r="W25" s="28"/>
      <c r="AG25" s="34" t="s">
        <v>40</v>
      </c>
      <c r="AH25" s="32">
        <f>0.019</f>
        <v>1.9E-2</v>
      </c>
      <c r="AI25" s="32">
        <f>AI24</f>
        <v>4.1000000000000002E-2</v>
      </c>
    </row>
    <row r="26" spans="1:36" x14ac:dyDescent="0.2">
      <c r="A26" s="1"/>
      <c r="B26" s="2"/>
      <c r="C26" s="2"/>
      <c r="D26" s="2"/>
      <c r="E26" s="2"/>
      <c r="F26" s="2"/>
      <c r="G26" s="2"/>
      <c r="H26" s="2"/>
      <c r="I26" s="3"/>
      <c r="J26" s="10"/>
      <c r="K26" s="11"/>
      <c r="L26" s="14"/>
      <c r="M26" s="15"/>
      <c r="N26" s="15"/>
      <c r="O26" s="16"/>
      <c r="P26" s="20"/>
      <c r="Q26" s="21"/>
      <c r="R26" s="21"/>
      <c r="S26" s="22"/>
      <c r="T26" s="26"/>
      <c r="U26" s="27"/>
      <c r="V26" s="27"/>
      <c r="W26" s="28"/>
      <c r="AG26" s="34" t="s">
        <v>39</v>
      </c>
      <c r="AH26" s="32"/>
      <c r="AI26" s="32"/>
    </row>
    <row r="27" spans="1:36" x14ac:dyDescent="0.2">
      <c r="A27" s="1"/>
      <c r="B27" s="2"/>
      <c r="C27" s="2"/>
      <c r="D27" s="2"/>
      <c r="E27" s="2"/>
      <c r="F27" s="2"/>
      <c r="G27" s="2"/>
      <c r="H27" s="2"/>
      <c r="I27" s="3"/>
      <c r="J27" s="10"/>
      <c r="K27" s="11"/>
      <c r="L27" s="14"/>
      <c r="M27" s="15"/>
      <c r="N27" s="15"/>
      <c r="O27" s="16"/>
      <c r="P27" s="20"/>
      <c r="Q27" s="21"/>
      <c r="R27" s="21"/>
      <c r="S27" s="22"/>
      <c r="T27" s="26"/>
      <c r="U27" s="27"/>
      <c r="V27" s="27"/>
      <c r="W27" s="28"/>
      <c r="AG27" s="34" t="s">
        <v>40</v>
      </c>
      <c r="AH27" s="32"/>
      <c r="AI27" s="32"/>
    </row>
    <row r="28" spans="1:36" x14ac:dyDescent="0.2">
      <c r="A28" s="1"/>
      <c r="B28" s="2"/>
      <c r="C28" s="2"/>
      <c r="D28" s="2"/>
      <c r="E28" s="2"/>
      <c r="F28" s="2"/>
      <c r="G28" s="2"/>
      <c r="H28" s="2"/>
      <c r="I28" s="3"/>
      <c r="J28" s="10"/>
      <c r="K28" s="11"/>
      <c r="L28" s="14"/>
      <c r="M28" s="15"/>
      <c r="N28" s="15"/>
      <c r="O28" s="16"/>
      <c r="P28" s="20"/>
      <c r="Q28" s="21"/>
      <c r="R28" s="21"/>
      <c r="S28" s="22"/>
      <c r="T28" s="26"/>
      <c r="U28" s="27"/>
      <c r="V28" s="27"/>
      <c r="W28" s="28"/>
      <c r="AG28" s="34" t="s">
        <v>39</v>
      </c>
      <c r="AH28" s="32"/>
      <c r="AI28" s="32"/>
    </row>
    <row r="29" spans="1:36" x14ac:dyDescent="0.2">
      <c r="A29" s="7"/>
      <c r="B29" s="8"/>
      <c r="C29" s="8"/>
      <c r="D29" s="8"/>
      <c r="E29" s="8"/>
      <c r="F29" s="8"/>
      <c r="G29" s="8"/>
      <c r="H29" s="8"/>
      <c r="I29" s="9"/>
      <c r="J29" s="12"/>
      <c r="K29" s="13"/>
      <c r="L29" s="17"/>
      <c r="M29" s="18"/>
      <c r="N29" s="18"/>
      <c r="O29" s="19"/>
      <c r="P29" s="23"/>
      <c r="Q29" s="24"/>
      <c r="R29" s="24"/>
      <c r="S29" s="25"/>
      <c r="T29" s="29"/>
      <c r="U29" s="30"/>
      <c r="V29" s="30"/>
      <c r="W29" s="31"/>
      <c r="AG29" s="34" t="s">
        <v>40</v>
      </c>
      <c r="AH29" s="32"/>
      <c r="AI29" s="32"/>
    </row>
  </sheetData>
  <mergeCells count="15">
    <mergeCell ref="T1:W1"/>
    <mergeCell ref="P11:S11"/>
    <mergeCell ref="E15:G15"/>
    <mergeCell ref="E16:G16"/>
    <mergeCell ref="E13:G13"/>
    <mergeCell ref="L13:O13"/>
    <mergeCell ref="E14:G14"/>
    <mergeCell ref="T3:W3"/>
    <mergeCell ref="P16:S16"/>
    <mergeCell ref="A15:C15"/>
    <mergeCell ref="R13:S13"/>
    <mergeCell ref="A1:I1"/>
    <mergeCell ref="J1:K1"/>
    <mergeCell ref="L1:O1"/>
    <mergeCell ref="P1:S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1B701-7D7A-5D4C-9B0D-3F95BC4C312A}">
  <dimension ref="A1:AM29"/>
  <sheetViews>
    <sheetView tabSelected="1" topLeftCell="Y1" zoomScaleNormal="100" workbookViewId="0">
      <selection activeCell="AM4" sqref="AM4"/>
    </sheetView>
  </sheetViews>
  <sheetFormatPr baseColWidth="10" defaultRowHeight="16" x14ac:dyDescent="0.2"/>
  <cols>
    <col min="38" max="38" width="14" bestFit="1" customWidth="1"/>
  </cols>
  <sheetData>
    <row r="1" spans="1:39" x14ac:dyDescent="0.2">
      <c r="A1" s="46" t="s">
        <v>22</v>
      </c>
      <c r="B1" s="47"/>
      <c r="C1" s="47"/>
      <c r="D1" s="47"/>
      <c r="E1" s="47"/>
      <c r="F1" s="47"/>
      <c r="G1" s="47"/>
      <c r="H1" s="47"/>
      <c r="I1" s="48"/>
      <c r="J1" s="41" t="s">
        <v>19</v>
      </c>
      <c r="K1" s="42"/>
      <c r="L1" s="49" t="s">
        <v>23</v>
      </c>
      <c r="M1" s="50"/>
      <c r="N1" s="50"/>
      <c r="O1" s="51"/>
      <c r="P1" s="52" t="s">
        <v>28</v>
      </c>
      <c r="Q1" s="53"/>
      <c r="R1" s="53"/>
      <c r="S1" s="54"/>
      <c r="T1" s="38" t="s">
        <v>37</v>
      </c>
      <c r="U1" s="39"/>
      <c r="V1" s="39"/>
      <c r="W1" s="40"/>
      <c r="AG1" s="33"/>
      <c r="AH1" s="33" t="s">
        <v>20</v>
      </c>
      <c r="AI1" s="33" t="s">
        <v>21</v>
      </c>
    </row>
    <row r="2" spans="1:39" x14ac:dyDescent="0.2">
      <c r="A2" s="1"/>
      <c r="B2" s="2"/>
      <c r="C2" s="2"/>
      <c r="D2" s="2"/>
      <c r="E2" s="2"/>
      <c r="F2" s="2"/>
      <c r="G2" s="2"/>
      <c r="H2" s="2"/>
      <c r="I2" s="3"/>
      <c r="J2" s="10" t="s">
        <v>20</v>
      </c>
      <c r="K2" s="11" t="s">
        <v>21</v>
      </c>
      <c r="L2" s="14"/>
      <c r="M2" s="15"/>
      <c r="N2" s="15"/>
      <c r="O2" s="16"/>
      <c r="P2" s="20"/>
      <c r="Q2" s="21"/>
      <c r="R2" s="21"/>
      <c r="S2" s="22"/>
      <c r="T2" s="26"/>
      <c r="U2" s="27"/>
      <c r="V2" s="27"/>
      <c r="W2" s="28"/>
      <c r="AG2" s="34" t="s">
        <v>39</v>
      </c>
      <c r="AH2" s="32">
        <f>$H$9</f>
        <v>0.95</v>
      </c>
      <c r="AI2" s="32">
        <f>$H$9</f>
        <v>0.95</v>
      </c>
      <c r="AL2" t="s">
        <v>56</v>
      </c>
      <c r="AM2">
        <f>(AH10 - B26) / (AH10 - AH11)</f>
        <v>0.26229508196721307</v>
      </c>
    </row>
    <row r="3" spans="1:39" x14ac:dyDescent="0.2">
      <c r="A3" s="1" t="s">
        <v>48</v>
      </c>
      <c r="B3" s="2" t="s">
        <v>1</v>
      </c>
      <c r="C3" s="2" t="s">
        <v>4</v>
      </c>
      <c r="D3" s="6"/>
      <c r="E3" s="2"/>
      <c r="F3" s="2"/>
      <c r="G3" s="2"/>
      <c r="H3" s="2"/>
      <c r="I3" s="3"/>
      <c r="J3" s="10">
        <v>0</v>
      </c>
      <c r="K3" s="37">
        <v>0</v>
      </c>
      <c r="L3" s="14"/>
      <c r="M3" s="15"/>
      <c r="N3" s="15"/>
      <c r="O3" s="16"/>
      <c r="P3" s="20"/>
      <c r="Q3" s="21"/>
      <c r="R3" s="21"/>
      <c r="S3" s="22"/>
      <c r="T3" s="58" t="s">
        <v>38</v>
      </c>
      <c r="U3" s="59"/>
      <c r="V3" s="59"/>
      <c r="W3" s="60"/>
      <c r="AG3" s="34" t="s">
        <v>40</v>
      </c>
      <c r="AH3" s="32">
        <v>0.76900000000000002</v>
      </c>
      <c r="AI3" s="32">
        <f>AI2</f>
        <v>0.95</v>
      </c>
      <c r="AJ3">
        <v>1</v>
      </c>
      <c r="AL3" t="s">
        <v>57</v>
      </c>
      <c r="AM3">
        <f>4 + AM2</f>
        <v>4.2622950819672134</v>
      </c>
    </row>
    <row r="4" spans="1:39" x14ac:dyDescent="0.2">
      <c r="A4" s="1">
        <v>1</v>
      </c>
      <c r="B4" s="2" t="s">
        <v>52</v>
      </c>
      <c r="C4" s="2"/>
      <c r="D4" s="2"/>
      <c r="E4" s="2"/>
      <c r="F4" s="2"/>
      <c r="G4" s="2"/>
      <c r="H4" s="2"/>
      <c r="I4" s="3"/>
      <c r="J4" s="10">
        <v>4.3499999999999997E-2</v>
      </c>
      <c r="K4" s="11">
        <v>0.34100000000000003</v>
      </c>
      <c r="L4" s="14"/>
      <c r="M4" s="15"/>
      <c r="N4" s="15"/>
      <c r="O4" s="16"/>
      <c r="P4" s="20"/>
      <c r="Q4" s="21"/>
      <c r="R4" s="21"/>
      <c r="S4" s="22"/>
      <c r="T4" s="26"/>
      <c r="U4" s="27"/>
      <c r="V4" s="27"/>
      <c r="W4" s="28"/>
      <c r="AG4" s="34" t="s">
        <v>39</v>
      </c>
      <c r="AH4" s="32">
        <f>AH3</f>
        <v>0.76900000000000002</v>
      </c>
      <c r="AI4" s="32">
        <v>0.89</v>
      </c>
    </row>
    <row r="5" spans="1:39" x14ac:dyDescent="0.2">
      <c r="A5" s="1">
        <v>2</v>
      </c>
      <c r="B5" s="2" t="s">
        <v>53</v>
      </c>
      <c r="C5" s="2"/>
      <c r="D5" s="2"/>
      <c r="E5" s="2"/>
      <c r="F5" s="2"/>
      <c r="G5" s="2"/>
      <c r="H5" s="2"/>
      <c r="I5" s="3"/>
      <c r="J5" s="10">
        <v>8.72E-2</v>
      </c>
      <c r="K5" s="11">
        <v>0.51200000000000001</v>
      </c>
      <c r="L5" s="14"/>
      <c r="M5" s="15"/>
      <c r="N5" s="15"/>
      <c r="O5" s="16"/>
      <c r="P5" s="20"/>
      <c r="Q5" s="21"/>
      <c r="R5" s="21"/>
      <c r="S5" s="22"/>
      <c r="T5" s="26"/>
      <c r="U5" s="27" t="s">
        <v>20</v>
      </c>
      <c r="V5" s="27" t="s">
        <v>21</v>
      </c>
      <c r="W5" s="28"/>
      <c r="AG5" s="34" t="s">
        <v>40</v>
      </c>
      <c r="AH5" s="32">
        <v>0.48</v>
      </c>
      <c r="AI5" s="32">
        <f>AI4</f>
        <v>0.89</v>
      </c>
      <c r="AJ5">
        <v>2</v>
      </c>
    </row>
    <row r="6" spans="1:39" x14ac:dyDescent="0.2">
      <c r="A6" s="1"/>
      <c r="B6" s="2"/>
      <c r="C6" s="2"/>
      <c r="D6" s="2"/>
      <c r="E6" s="2"/>
      <c r="F6" s="2"/>
      <c r="G6" s="2"/>
      <c r="H6" s="2"/>
      <c r="I6" s="3"/>
      <c r="J6" s="10">
        <v>0.12479999999999999</v>
      </c>
      <c r="K6" s="11">
        <v>0.625</v>
      </c>
      <c r="L6" s="14"/>
      <c r="M6" s="15"/>
      <c r="N6" s="15"/>
      <c r="O6" s="16"/>
      <c r="P6" s="20"/>
      <c r="Q6" s="21"/>
      <c r="R6" s="21"/>
      <c r="S6" s="22"/>
      <c r="T6" s="26" t="s">
        <v>24</v>
      </c>
      <c r="U6" s="27" t="s">
        <v>18</v>
      </c>
      <c r="V6" s="27" t="s">
        <v>18</v>
      </c>
      <c r="W6" s="28"/>
      <c r="AG6" s="34" t="s">
        <v>39</v>
      </c>
      <c r="AH6" s="32">
        <f>AH5</f>
        <v>0.48</v>
      </c>
      <c r="AI6" s="32">
        <v>0.79400000000000004</v>
      </c>
    </row>
    <row r="7" spans="1:39" x14ac:dyDescent="0.2">
      <c r="A7" s="1"/>
      <c r="B7" s="2"/>
      <c r="C7" s="2"/>
      <c r="D7" s="2"/>
      <c r="E7" s="2"/>
      <c r="F7" s="2"/>
      <c r="G7" s="2"/>
      <c r="H7" s="2"/>
      <c r="I7" s="3"/>
      <c r="J7" s="10">
        <v>0.219</v>
      </c>
      <c r="K7" s="11">
        <v>0.78500000000000003</v>
      </c>
      <c r="L7" s="14"/>
      <c r="M7" s="15"/>
      <c r="N7" s="15"/>
      <c r="O7" s="16"/>
      <c r="P7" s="20"/>
      <c r="Q7" s="21"/>
      <c r="R7" s="21"/>
      <c r="S7" s="22"/>
      <c r="T7" s="26" t="s">
        <v>25</v>
      </c>
      <c r="U7" s="27" t="s">
        <v>20</v>
      </c>
      <c r="V7" s="27" t="s">
        <v>21</v>
      </c>
      <c r="W7" s="28"/>
      <c r="AG7" s="34" t="s">
        <v>40</v>
      </c>
      <c r="AH7" s="32">
        <f>0.244</f>
        <v>0.24399999999999999</v>
      </c>
      <c r="AI7" s="32">
        <f>AI6</f>
        <v>0.79400000000000004</v>
      </c>
      <c r="AJ7">
        <v>3</v>
      </c>
    </row>
    <row r="8" spans="1:39" x14ac:dyDescent="0.2">
      <c r="A8" s="1"/>
      <c r="B8" s="2"/>
      <c r="C8" s="2"/>
      <c r="D8" s="2"/>
      <c r="E8" s="2"/>
      <c r="F8" s="2"/>
      <c r="G8" s="6" t="s">
        <v>15</v>
      </c>
      <c r="H8" s="2"/>
      <c r="I8" s="3"/>
      <c r="J8" s="10">
        <v>0.27500000000000002</v>
      </c>
      <c r="K8" s="11">
        <v>0.80700000000000005</v>
      </c>
      <c r="L8" s="14"/>
      <c r="M8" s="15"/>
      <c r="N8" s="15"/>
      <c r="O8" s="16"/>
      <c r="P8" s="20"/>
      <c r="Q8" s="21"/>
      <c r="R8" s="21"/>
      <c r="S8" s="22"/>
      <c r="T8" s="26"/>
      <c r="U8" s="27"/>
      <c r="V8" s="27"/>
      <c r="W8" s="28"/>
      <c r="AG8" s="34" t="s">
        <v>39</v>
      </c>
      <c r="AH8" s="32">
        <f>AH7</f>
        <v>0.24399999999999999</v>
      </c>
      <c r="AI8" s="32">
        <v>0.42599999999999999</v>
      </c>
    </row>
    <row r="9" spans="1:39" x14ac:dyDescent="0.2">
      <c r="A9" s="1"/>
      <c r="B9" s="2"/>
      <c r="C9" s="2"/>
      <c r="D9" s="2"/>
      <c r="E9" s="2"/>
      <c r="F9" s="2"/>
      <c r="G9" s="6" t="s">
        <v>16</v>
      </c>
      <c r="H9" s="2">
        <v>0.95</v>
      </c>
      <c r="I9" s="3"/>
      <c r="J9" s="10">
        <v>0.40799999999999997</v>
      </c>
      <c r="K9" s="11">
        <v>0.87250000000000005</v>
      </c>
      <c r="L9" s="14"/>
      <c r="M9" s="15"/>
      <c r="N9" s="15"/>
      <c r="O9" s="16"/>
      <c r="P9" s="20"/>
      <c r="Q9" s="21"/>
      <c r="R9" s="21"/>
      <c r="S9" s="22"/>
      <c r="T9" s="26"/>
      <c r="U9" s="27" t="s">
        <v>20</v>
      </c>
      <c r="V9" s="27" t="s">
        <v>21</v>
      </c>
      <c r="W9" s="28"/>
      <c r="AG9" s="34" t="s">
        <v>40</v>
      </c>
      <c r="AH9" s="32">
        <v>6.6000000000000003E-2</v>
      </c>
      <c r="AI9" s="32">
        <f>AI8</f>
        <v>0.42599999999999999</v>
      </c>
      <c r="AJ9">
        <v>4</v>
      </c>
    </row>
    <row r="10" spans="1:39" x14ac:dyDescent="0.2">
      <c r="A10" s="1"/>
      <c r="B10" s="2"/>
      <c r="C10" s="2"/>
      <c r="D10" s="2"/>
      <c r="E10" s="2"/>
      <c r="F10" s="2"/>
      <c r="G10" s="2"/>
      <c r="H10" s="2"/>
      <c r="I10" s="3"/>
      <c r="J10" s="10">
        <v>0.48</v>
      </c>
      <c r="K10" s="11">
        <v>0.8901</v>
      </c>
      <c r="L10" s="14" t="s">
        <v>55</v>
      </c>
      <c r="M10" s="15">
        <f>F12 / (F12 + 1)</f>
        <v>0.33333333333333331</v>
      </c>
      <c r="N10" s="15"/>
      <c r="O10" s="16"/>
      <c r="P10" s="20"/>
      <c r="Q10" s="21"/>
      <c r="R10" s="21"/>
      <c r="S10" s="22"/>
      <c r="T10" s="26" t="s">
        <v>24</v>
      </c>
      <c r="U10" s="27">
        <f>B26</f>
        <v>0.05</v>
      </c>
      <c r="V10" s="27">
        <v>0</v>
      </c>
      <c r="W10" s="28"/>
      <c r="AG10" s="34" t="s">
        <v>39</v>
      </c>
      <c r="AH10" s="32">
        <f>AH9</f>
        <v>6.6000000000000003E-2</v>
      </c>
      <c r="AI10" s="32">
        <v>3.7999999999999999E-2</v>
      </c>
    </row>
    <row r="11" spans="1:39" x14ac:dyDescent="0.2">
      <c r="A11" s="1"/>
      <c r="B11" s="2"/>
      <c r="C11" s="2"/>
      <c r="D11" s="2"/>
      <c r="E11" s="2"/>
      <c r="F11" s="2"/>
      <c r="G11" s="2"/>
      <c r="H11" s="2"/>
      <c r="I11" s="3"/>
      <c r="J11" s="10">
        <v>0.58979999999999999</v>
      </c>
      <c r="K11" s="11">
        <v>0.91590000000000005</v>
      </c>
      <c r="L11" s="14" t="s">
        <v>26</v>
      </c>
      <c r="M11" s="15">
        <f>H9 / (F12 + 1)</f>
        <v>0.6333333333333333</v>
      </c>
      <c r="N11" s="15"/>
      <c r="O11" s="16"/>
      <c r="P11" s="55"/>
      <c r="Q11" s="56"/>
      <c r="R11" s="56"/>
      <c r="S11" s="57"/>
      <c r="T11" s="26" t="s">
        <v>25</v>
      </c>
      <c r="U11" s="27">
        <f>Q24</f>
        <v>0.4</v>
      </c>
      <c r="V11" s="27">
        <v>0.76700000000000002</v>
      </c>
      <c r="W11" s="28"/>
      <c r="AG11" s="34" t="s">
        <v>40</v>
      </c>
      <c r="AH11" s="32">
        <v>5.0000000000000001E-3</v>
      </c>
      <c r="AI11" s="32">
        <f>AI10</f>
        <v>3.7999999999999999E-2</v>
      </c>
      <c r="AJ11">
        <v>5</v>
      </c>
    </row>
    <row r="12" spans="1:39" x14ac:dyDescent="0.2">
      <c r="A12" s="36" t="s">
        <v>5</v>
      </c>
      <c r="B12" s="63">
        <v>100</v>
      </c>
      <c r="C12" s="2" t="s">
        <v>8</v>
      </c>
      <c r="D12" s="2"/>
      <c r="E12" s="63" t="s">
        <v>10</v>
      </c>
      <c r="F12" s="2">
        <v>0.5</v>
      </c>
      <c r="G12" s="2"/>
      <c r="H12" s="2"/>
      <c r="I12" s="3"/>
      <c r="J12" s="10">
        <v>0.6512</v>
      </c>
      <c r="K12" s="11">
        <v>0.92600000000000005</v>
      </c>
      <c r="L12" s="14"/>
      <c r="M12" s="15"/>
      <c r="N12" s="15"/>
      <c r="O12" s="16"/>
      <c r="P12" s="20"/>
      <c r="Q12" s="21"/>
      <c r="R12" s="21"/>
      <c r="S12" s="22"/>
      <c r="T12" s="26"/>
      <c r="U12" s="27"/>
      <c r="V12" s="27"/>
      <c r="W12" s="28"/>
      <c r="AG12" s="34" t="s">
        <v>39</v>
      </c>
      <c r="AH12" s="32"/>
      <c r="AI12" s="32"/>
    </row>
    <row r="13" spans="1:39" x14ac:dyDescent="0.2">
      <c r="A13" s="36" t="s">
        <v>6</v>
      </c>
      <c r="B13" s="63">
        <v>0.4</v>
      </c>
      <c r="C13" s="2"/>
      <c r="D13" s="2"/>
      <c r="E13" s="61" t="s">
        <v>12</v>
      </c>
      <c r="F13" s="61"/>
      <c r="G13" s="61"/>
      <c r="H13" s="2"/>
      <c r="I13" s="3"/>
      <c r="J13" s="10">
        <v>0.74</v>
      </c>
      <c r="K13" s="11">
        <v>0.94630000000000003</v>
      </c>
      <c r="L13" s="43" t="s">
        <v>27</v>
      </c>
      <c r="M13" s="44"/>
      <c r="N13" s="44"/>
      <c r="O13" s="45"/>
      <c r="P13" s="20"/>
      <c r="Q13" s="21"/>
      <c r="R13" s="56" t="s">
        <v>51</v>
      </c>
      <c r="S13" s="57"/>
      <c r="T13" s="26"/>
      <c r="U13" s="27"/>
      <c r="V13" s="27"/>
      <c r="W13" s="28"/>
      <c r="AG13" s="34" t="s">
        <v>40</v>
      </c>
      <c r="AH13" s="32"/>
      <c r="AI13" s="32"/>
    </row>
    <row r="14" spans="1:39" x14ac:dyDescent="0.2">
      <c r="A14" s="36" t="s">
        <v>7</v>
      </c>
      <c r="B14" s="2"/>
      <c r="C14" s="2" t="s">
        <v>9</v>
      </c>
      <c r="D14" s="2"/>
      <c r="E14" s="61" t="s">
        <v>11</v>
      </c>
      <c r="F14" s="61"/>
      <c r="G14" s="61"/>
      <c r="H14" s="2"/>
      <c r="I14" s="3"/>
      <c r="J14" s="10">
        <v>0.80120000000000002</v>
      </c>
      <c r="K14" s="11">
        <v>0.95450000000000002</v>
      </c>
      <c r="L14" s="14"/>
      <c r="M14" s="15"/>
      <c r="N14" s="15"/>
      <c r="O14" s="16"/>
      <c r="P14" s="20"/>
      <c r="Q14" s="21"/>
      <c r="R14" s="21" t="s">
        <v>36</v>
      </c>
      <c r="S14" s="22">
        <v>1</v>
      </c>
      <c r="T14" s="26"/>
      <c r="U14" s="27"/>
      <c r="V14" s="27"/>
      <c r="W14" s="28"/>
      <c r="AG14" s="34" t="s">
        <v>39</v>
      </c>
      <c r="AH14" s="32"/>
      <c r="AI14" s="32"/>
    </row>
    <row r="15" spans="1:39" x14ac:dyDescent="0.2">
      <c r="A15" s="62" t="s">
        <v>50</v>
      </c>
      <c r="B15" s="61"/>
      <c r="C15" s="61"/>
      <c r="D15" s="2"/>
      <c r="E15" s="61" t="s">
        <v>13</v>
      </c>
      <c r="F15" s="61"/>
      <c r="G15" s="61"/>
      <c r="H15" s="2"/>
      <c r="I15" s="3"/>
      <c r="J15" s="37">
        <v>0.88400000000000001</v>
      </c>
      <c r="K15" s="37">
        <v>0.97499999999999998</v>
      </c>
      <c r="L15" s="14"/>
      <c r="M15" s="15" t="s">
        <v>20</v>
      </c>
      <c r="N15" s="15" t="s">
        <v>21</v>
      </c>
      <c r="O15" s="16"/>
      <c r="P15" s="20"/>
      <c r="Q15" s="21"/>
      <c r="R15" s="21"/>
      <c r="S15" s="22"/>
      <c r="T15" s="26"/>
      <c r="U15" s="27"/>
      <c r="V15" s="27"/>
      <c r="W15" s="28"/>
      <c r="AG15" s="34" t="s">
        <v>40</v>
      </c>
      <c r="AH15" s="32"/>
      <c r="AI15" s="32"/>
    </row>
    <row r="16" spans="1:39" x14ac:dyDescent="0.2">
      <c r="A16" s="1"/>
      <c r="B16" s="2"/>
      <c r="C16" s="2"/>
      <c r="D16" s="2"/>
      <c r="E16" s="61" t="s">
        <v>14</v>
      </c>
      <c r="F16" s="61"/>
      <c r="G16" s="61"/>
      <c r="H16" s="2"/>
      <c r="I16" s="3"/>
      <c r="J16" s="10">
        <v>0.93940000000000001</v>
      </c>
      <c r="K16" s="11">
        <v>0.98609999999999998</v>
      </c>
      <c r="L16" s="14" t="s">
        <v>24</v>
      </c>
      <c r="M16" s="15" t="s">
        <v>16</v>
      </c>
      <c r="N16" s="15" t="s">
        <v>16</v>
      </c>
      <c r="O16" s="16"/>
      <c r="P16" s="55" t="s">
        <v>29</v>
      </c>
      <c r="Q16" s="56"/>
      <c r="R16" s="56"/>
      <c r="S16" s="57"/>
      <c r="T16" s="26"/>
      <c r="U16" s="27"/>
      <c r="V16" s="27"/>
      <c r="W16" s="28"/>
      <c r="AG16" s="34" t="s">
        <v>39</v>
      </c>
      <c r="AH16" s="32"/>
      <c r="AI16" s="32"/>
    </row>
    <row r="17" spans="1:35" x14ac:dyDescent="0.2">
      <c r="A17" s="1"/>
      <c r="B17" s="2"/>
      <c r="C17" s="2"/>
      <c r="D17" s="2"/>
      <c r="E17" s="2"/>
      <c r="F17" s="2"/>
      <c r="G17" s="2"/>
      <c r="H17" s="2"/>
      <c r="I17" s="3"/>
      <c r="J17" s="10">
        <v>0.97699999999999998</v>
      </c>
      <c r="K17" s="11">
        <v>0.99480000000000002</v>
      </c>
      <c r="L17" s="14" t="s">
        <v>25</v>
      </c>
      <c r="M17" s="15">
        <v>0</v>
      </c>
      <c r="N17" s="15" t="s">
        <v>26</v>
      </c>
      <c r="O17" s="16"/>
      <c r="P17" s="20"/>
      <c r="Q17" s="21"/>
      <c r="R17" s="21"/>
      <c r="S17" s="22"/>
      <c r="T17" s="26"/>
      <c r="U17" s="27"/>
      <c r="V17" s="27"/>
      <c r="W17" s="28"/>
      <c r="AG17" s="34" t="s">
        <v>40</v>
      </c>
      <c r="AH17" s="32"/>
      <c r="AI17" s="32"/>
    </row>
    <row r="18" spans="1:35" x14ac:dyDescent="0.2">
      <c r="A18" s="1"/>
      <c r="B18" s="2"/>
      <c r="C18" s="2"/>
      <c r="D18" s="2"/>
      <c r="E18" s="2"/>
      <c r="F18" s="2"/>
      <c r="G18" s="2"/>
      <c r="H18" s="2"/>
      <c r="I18" s="3"/>
      <c r="J18" s="10">
        <v>0.99099999999999999</v>
      </c>
      <c r="K18" s="11">
        <v>0.998</v>
      </c>
      <c r="L18" s="14"/>
      <c r="M18" s="15"/>
      <c r="N18" s="15"/>
      <c r="O18" s="16"/>
      <c r="P18" s="20"/>
      <c r="Q18" s="21" t="s">
        <v>20</v>
      </c>
      <c r="R18" s="21" t="s">
        <v>21</v>
      </c>
      <c r="S18" s="22"/>
      <c r="T18" s="26"/>
      <c r="U18" s="27"/>
      <c r="V18" s="27"/>
      <c r="W18" s="28"/>
      <c r="AG18" s="34" t="s">
        <v>39</v>
      </c>
      <c r="AH18" s="32"/>
      <c r="AI18" s="32"/>
    </row>
    <row r="19" spans="1:35" x14ac:dyDescent="0.2">
      <c r="A19" s="1"/>
      <c r="B19" s="2"/>
      <c r="C19" s="2"/>
      <c r="D19" s="2"/>
      <c r="E19" s="2"/>
      <c r="F19" s="2"/>
      <c r="G19" s="2"/>
      <c r="H19" s="2"/>
      <c r="I19" s="3"/>
      <c r="J19" s="10">
        <v>0.99729999999999996</v>
      </c>
      <c r="K19" s="11">
        <v>0.99929999999999997</v>
      </c>
      <c r="L19" s="14"/>
      <c r="M19" s="15" t="s">
        <v>20</v>
      </c>
      <c r="N19" s="15" t="s">
        <v>21</v>
      </c>
      <c r="O19" s="16"/>
      <c r="P19" s="20" t="s">
        <v>24</v>
      </c>
      <c r="Q19" s="21" t="s">
        <v>6</v>
      </c>
      <c r="R19" s="21" t="s">
        <v>6</v>
      </c>
      <c r="S19" s="22"/>
      <c r="T19" s="26"/>
      <c r="U19" s="27"/>
      <c r="V19" s="27"/>
      <c r="W19" s="28"/>
      <c r="AG19" s="34" t="s">
        <v>40</v>
      </c>
      <c r="AH19" s="32"/>
      <c r="AI19" s="32"/>
    </row>
    <row r="20" spans="1:35" x14ac:dyDescent="0.2">
      <c r="A20" s="1"/>
      <c r="B20" s="2"/>
      <c r="C20" s="2"/>
      <c r="D20" s="2"/>
      <c r="E20" s="2"/>
      <c r="F20" s="2"/>
      <c r="G20" s="2"/>
      <c r="H20" s="2"/>
      <c r="I20" s="3"/>
      <c r="J20" s="10">
        <v>1</v>
      </c>
      <c r="K20" s="11">
        <v>1</v>
      </c>
      <c r="L20" s="14" t="s">
        <v>24</v>
      </c>
      <c r="M20" s="15">
        <f>H9</f>
        <v>0.95</v>
      </c>
      <c r="N20" s="15">
        <f>H9</f>
        <v>0.95</v>
      </c>
      <c r="O20" s="16"/>
      <c r="P20" s="20" t="s">
        <v>25</v>
      </c>
      <c r="Q20" s="21" t="s">
        <v>20</v>
      </c>
      <c r="R20" s="21" t="s">
        <v>21</v>
      </c>
      <c r="S20" s="22"/>
      <c r="T20" s="26"/>
      <c r="U20" s="27"/>
      <c r="V20" s="27"/>
      <c r="W20" s="28"/>
      <c r="AG20" s="34" t="s">
        <v>39</v>
      </c>
      <c r="AH20" s="32"/>
      <c r="AI20" s="32"/>
    </row>
    <row r="21" spans="1:35" x14ac:dyDescent="0.2">
      <c r="A21" s="1"/>
      <c r="B21" s="2"/>
      <c r="C21" s="2"/>
      <c r="D21" s="2"/>
      <c r="E21" s="2"/>
      <c r="F21" s="2"/>
      <c r="G21" s="2"/>
      <c r="H21" s="2"/>
      <c r="I21" s="3"/>
      <c r="J21" s="10"/>
      <c r="K21" s="11"/>
      <c r="L21" s="14" t="s">
        <v>25</v>
      </c>
      <c r="M21" s="15">
        <v>0</v>
      </c>
      <c r="N21" s="15">
        <f>M21 * M10 + M11</f>
        <v>0.6333333333333333</v>
      </c>
      <c r="O21" s="16"/>
      <c r="P21" s="20"/>
      <c r="Q21" s="21"/>
      <c r="R21" s="21"/>
      <c r="S21" s="22"/>
      <c r="T21" s="26"/>
      <c r="U21" s="27"/>
      <c r="V21" s="27"/>
      <c r="W21" s="28"/>
      <c r="AG21" s="34" t="s">
        <v>40</v>
      </c>
      <c r="AH21" s="32"/>
      <c r="AI21" s="32"/>
    </row>
    <row r="22" spans="1:35" x14ac:dyDescent="0.2">
      <c r="A22" s="1"/>
      <c r="B22" s="2"/>
      <c r="C22" s="2"/>
      <c r="D22" s="2"/>
      <c r="E22" s="2"/>
      <c r="F22" s="2"/>
      <c r="G22" s="2"/>
      <c r="H22" s="2"/>
      <c r="I22" s="3"/>
      <c r="J22" s="10"/>
      <c r="K22" s="11"/>
      <c r="L22" s="14"/>
      <c r="M22" s="15"/>
      <c r="N22" s="15"/>
      <c r="O22" s="16"/>
      <c r="P22" s="20"/>
      <c r="Q22" s="21" t="s">
        <v>20</v>
      </c>
      <c r="R22" s="21" t="s">
        <v>21</v>
      </c>
      <c r="S22" s="22"/>
      <c r="T22" s="26"/>
      <c r="U22" s="27"/>
      <c r="V22" s="27"/>
      <c r="W22" s="28"/>
      <c r="AG22" s="34" t="s">
        <v>39</v>
      </c>
      <c r="AH22" s="32"/>
      <c r="AI22" s="32"/>
    </row>
    <row r="23" spans="1:35" x14ac:dyDescent="0.2">
      <c r="A23" s="1"/>
      <c r="B23" s="2"/>
      <c r="C23" s="2"/>
      <c r="D23" s="2"/>
      <c r="E23" s="2"/>
      <c r="F23" s="2"/>
      <c r="G23" s="2"/>
      <c r="H23" s="2"/>
      <c r="I23" s="3"/>
      <c r="J23" s="10"/>
      <c r="K23" s="11"/>
      <c r="L23" s="14"/>
      <c r="M23" s="15"/>
      <c r="N23" s="15"/>
      <c r="O23" s="16"/>
      <c r="P23" s="20" t="s">
        <v>24</v>
      </c>
      <c r="Q23" s="21">
        <f>B13</f>
        <v>0.4</v>
      </c>
      <c r="R23" s="21">
        <f>B13</f>
        <v>0.4</v>
      </c>
      <c r="S23" s="22"/>
      <c r="T23" s="26"/>
      <c r="U23" s="27"/>
      <c r="V23" s="27"/>
      <c r="W23" s="28"/>
      <c r="AG23" s="34" t="s">
        <v>40</v>
      </c>
      <c r="AH23" s="32"/>
      <c r="AI23" s="32"/>
    </row>
    <row r="24" spans="1:35" x14ac:dyDescent="0.2">
      <c r="A24" s="1"/>
      <c r="B24" s="2"/>
      <c r="C24" s="2"/>
      <c r="D24" s="2"/>
      <c r="E24" s="2"/>
      <c r="F24" s="2"/>
      <c r="G24" s="2"/>
      <c r="H24" s="2"/>
      <c r="I24" s="3"/>
      <c r="J24" s="10"/>
      <c r="K24" s="11"/>
      <c r="L24" s="14"/>
      <c r="M24" s="15"/>
      <c r="N24" s="15"/>
      <c r="O24" s="16"/>
      <c r="P24" s="20" t="s">
        <v>25</v>
      </c>
      <c r="Q24" s="21">
        <f>Q23</f>
        <v>0.4</v>
      </c>
      <c r="R24" s="21">
        <v>0.76700000000000002</v>
      </c>
      <c r="S24" s="22"/>
      <c r="T24" s="26"/>
      <c r="U24" s="27"/>
      <c r="V24" s="27"/>
      <c r="W24" s="28"/>
      <c r="AG24" s="34" t="s">
        <v>39</v>
      </c>
      <c r="AH24" s="32"/>
      <c r="AI24" s="32"/>
    </row>
    <row r="25" spans="1:35" x14ac:dyDescent="0.2">
      <c r="A25" s="1" t="s">
        <v>17</v>
      </c>
      <c r="B25" s="2"/>
      <c r="C25" s="2"/>
      <c r="D25" s="2"/>
      <c r="E25" s="2" t="s">
        <v>54</v>
      </c>
      <c r="F25" s="2"/>
      <c r="G25" s="2"/>
      <c r="H25" s="2"/>
      <c r="I25" s="3"/>
      <c r="J25" s="10"/>
      <c r="K25" s="11"/>
      <c r="L25" s="14"/>
      <c r="M25" s="15"/>
      <c r="N25" s="15"/>
      <c r="O25" s="16"/>
      <c r="P25" s="20"/>
      <c r="Q25" s="21"/>
      <c r="R25" s="21"/>
      <c r="S25" s="22"/>
      <c r="T25" s="26"/>
      <c r="U25" s="27"/>
      <c r="V25" s="27"/>
      <c r="W25" s="28"/>
      <c r="AG25" s="34" t="s">
        <v>40</v>
      </c>
      <c r="AH25" s="32"/>
      <c r="AI25" s="32"/>
    </row>
    <row r="26" spans="1:35" x14ac:dyDescent="0.2">
      <c r="A26" s="1" t="s">
        <v>18</v>
      </c>
      <c r="B26" s="2">
        <v>0.05</v>
      </c>
      <c r="C26" s="2"/>
      <c r="D26" s="2"/>
      <c r="E26" s="2"/>
      <c r="F26" s="2"/>
      <c r="G26" s="2"/>
      <c r="H26" s="2"/>
      <c r="I26" s="3"/>
      <c r="J26" s="10"/>
      <c r="K26" s="11"/>
      <c r="L26" s="14"/>
      <c r="M26" s="15"/>
      <c r="N26" s="15"/>
      <c r="O26" s="16"/>
      <c r="P26" s="20"/>
      <c r="Q26" s="21"/>
      <c r="R26" s="21"/>
      <c r="S26" s="22"/>
      <c r="T26" s="26"/>
      <c r="U26" s="27"/>
      <c r="V26" s="27"/>
      <c r="W26" s="28"/>
      <c r="AG26" s="34" t="s">
        <v>39</v>
      </c>
      <c r="AH26" s="32"/>
      <c r="AI26" s="32"/>
    </row>
    <row r="27" spans="1:35" x14ac:dyDescent="0.2">
      <c r="A27" s="1"/>
      <c r="B27" s="2"/>
      <c r="C27" s="2"/>
      <c r="D27" s="2"/>
      <c r="E27" s="2"/>
      <c r="F27" s="2"/>
      <c r="G27" s="2"/>
      <c r="H27" s="2"/>
      <c r="I27" s="3"/>
      <c r="J27" s="10"/>
      <c r="K27" s="11"/>
      <c r="L27" s="14"/>
      <c r="M27" s="15"/>
      <c r="N27" s="15"/>
      <c r="O27" s="16"/>
      <c r="P27" s="20"/>
      <c r="Q27" s="21"/>
      <c r="R27" s="21"/>
      <c r="S27" s="22"/>
      <c r="T27" s="26"/>
      <c r="U27" s="27"/>
      <c r="V27" s="27"/>
      <c r="W27" s="28"/>
      <c r="AG27" s="34" t="s">
        <v>40</v>
      </c>
      <c r="AH27" s="32"/>
      <c r="AI27" s="32"/>
    </row>
    <row r="28" spans="1:35" x14ac:dyDescent="0.2">
      <c r="A28" s="1"/>
      <c r="B28" s="2"/>
      <c r="C28" s="2"/>
      <c r="D28" s="2"/>
      <c r="E28" s="2"/>
      <c r="F28" s="2"/>
      <c r="G28" s="2"/>
      <c r="H28" s="2"/>
      <c r="I28" s="3"/>
      <c r="J28" s="10"/>
      <c r="K28" s="11"/>
      <c r="L28" s="14"/>
      <c r="M28" s="15"/>
      <c r="N28" s="15"/>
      <c r="O28" s="16"/>
      <c r="P28" s="20"/>
      <c r="Q28" s="21"/>
      <c r="R28" s="21"/>
      <c r="S28" s="22"/>
      <c r="T28" s="26"/>
      <c r="U28" s="27"/>
      <c r="V28" s="27"/>
      <c r="W28" s="28"/>
      <c r="AG28" s="34" t="s">
        <v>39</v>
      </c>
      <c r="AH28" s="32"/>
      <c r="AI28" s="32"/>
    </row>
    <row r="29" spans="1:35" x14ac:dyDescent="0.2">
      <c r="A29" s="7"/>
      <c r="B29" s="8"/>
      <c r="C29" s="8"/>
      <c r="D29" s="8"/>
      <c r="E29" s="8"/>
      <c r="F29" s="8"/>
      <c r="G29" s="8"/>
      <c r="H29" s="8"/>
      <c r="I29" s="9"/>
      <c r="J29" s="12"/>
      <c r="K29" s="13"/>
      <c r="L29" s="17"/>
      <c r="M29" s="18"/>
      <c r="N29" s="18"/>
      <c r="O29" s="19"/>
      <c r="P29" s="23"/>
      <c r="Q29" s="24"/>
      <c r="R29" s="24"/>
      <c r="S29" s="25"/>
      <c r="T29" s="29"/>
      <c r="U29" s="30"/>
      <c r="V29" s="30"/>
      <c r="W29" s="31"/>
      <c r="AG29" s="34" t="s">
        <v>40</v>
      </c>
      <c r="AH29" s="32"/>
      <c r="AI29" s="32"/>
    </row>
  </sheetData>
  <mergeCells count="15">
    <mergeCell ref="E16:G16"/>
    <mergeCell ref="P16:S16"/>
    <mergeCell ref="P11:S11"/>
    <mergeCell ref="E13:G13"/>
    <mergeCell ref="L13:O13"/>
    <mergeCell ref="R13:S13"/>
    <mergeCell ref="E14:G14"/>
    <mergeCell ref="A15:C15"/>
    <mergeCell ref="E15:G15"/>
    <mergeCell ref="A1:I1"/>
    <mergeCell ref="J1:K1"/>
    <mergeCell ref="L1:O1"/>
    <mergeCell ref="P1:S1"/>
    <mergeCell ref="T1:W1"/>
    <mergeCell ref="T3:W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69C94-AF8A-D24F-8A09-BC188032F6A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mccabe-thiele</vt:lpstr>
      <vt:lpstr>240121</vt:lpstr>
      <vt:lpstr>713</vt:lpstr>
      <vt:lpstr>Vapor Vivo</vt:lpstr>
      <vt:lpstr>732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Saldaña</dc:creator>
  <cp:lastModifiedBy>SERGIO SAMUEL SALDAÑA FLORES</cp:lastModifiedBy>
  <dcterms:created xsi:type="dcterms:W3CDTF">2022-01-24T00:08:18Z</dcterms:created>
  <dcterms:modified xsi:type="dcterms:W3CDTF">2022-02-05T01:06:24Z</dcterms:modified>
</cp:coreProperties>
</file>