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msal/Code/sci7/cincat/"/>
    </mc:Choice>
  </mc:AlternateContent>
  <xr:revisionPtr revIDLastSave="0" documentId="13_ncr:1_{87DB0604-1AF9-7348-8C85-6074354135FC}" xr6:coauthVersionLast="47" xr6:coauthVersionMax="47" xr10:uidLastSave="{00000000-0000-0000-0000-000000000000}"/>
  <bookViews>
    <workbookView xWindow="340" yWindow="500" windowWidth="27640" windowHeight="17460" activeTab="4" xr2:uid="{3A959D1E-22BC-654A-8C36-29E9D72E3279}"/>
  </bookViews>
  <sheets>
    <sheet name="Sheet1" sheetId="1" r:id="rId1"/>
    <sheet name="1321" sheetId="2" r:id="rId2"/>
    <sheet name="240222" sheetId="3" r:id="rId3"/>
    <sheet name="240222(2)" sheetId="4" r:id="rId4"/>
    <sheet name="250222" sheetId="6" r:id="rId5"/>
  </sheets>
  <definedNames>
    <definedName name="solver_adj" localSheetId="3" hidden="1">'240222(2)'!$J$30:$J$32</definedName>
    <definedName name="solver_adj" localSheetId="0" hidden="1">Sheet1!$E$23:$E$24</definedName>
    <definedName name="solver_cvg" localSheetId="3" hidden="1">0.0001</definedName>
    <definedName name="solver_cvg" localSheetId="0" hidden="1">0.0001</definedName>
    <definedName name="solver_drv" localSheetId="3" hidden="1">1</definedName>
    <definedName name="solver_drv" localSheetId="0" hidden="1">1</definedName>
    <definedName name="solver_eng" localSheetId="3" hidden="1">1</definedName>
    <definedName name="solver_eng" localSheetId="0" hidden="1">1</definedName>
    <definedName name="solver_itr" localSheetId="3" hidden="1">2147483647</definedName>
    <definedName name="solver_itr" localSheetId="0" hidden="1">2147483647</definedName>
    <definedName name="solver_lhs1" localSheetId="0" hidden="1">Sheet1!$E$26:$E$30</definedName>
    <definedName name="solver_lhs2" localSheetId="0" hidden="1">Sheet1!$E$26:$E$30</definedName>
    <definedName name="solver_lhs3" localSheetId="0" hidden="1">Sheet1!$E$24</definedName>
    <definedName name="solver_lhs4" localSheetId="0" hidden="1">Sheet1!$E$24</definedName>
    <definedName name="solver_lin" localSheetId="3" hidden="1">2</definedName>
    <definedName name="solver_lin" localSheetId="0" hidden="1">2</definedName>
    <definedName name="solver_mip" localSheetId="3" hidden="1">2147483647</definedName>
    <definedName name="solver_mip" localSheetId="0" hidden="1">2147483647</definedName>
    <definedName name="solver_mni" localSheetId="3" hidden="1">30</definedName>
    <definedName name="solver_mni" localSheetId="0" hidden="1">30</definedName>
    <definedName name="solver_mrt" localSheetId="3" hidden="1">0.075</definedName>
    <definedName name="solver_mrt" localSheetId="0" hidden="1">0.075</definedName>
    <definedName name="solver_msl" localSheetId="3" hidden="1">2</definedName>
    <definedName name="solver_msl" localSheetId="0" hidden="1">2</definedName>
    <definedName name="solver_neg" localSheetId="3" hidden="1">1</definedName>
    <definedName name="solver_neg" localSheetId="0" hidden="1">1</definedName>
    <definedName name="solver_nod" localSheetId="3" hidden="1">2147483647</definedName>
    <definedName name="solver_nod" localSheetId="0" hidden="1">2147483647</definedName>
    <definedName name="solver_num" localSheetId="3" hidden="1">0</definedName>
    <definedName name="solver_num" localSheetId="0" hidden="1">1</definedName>
    <definedName name="solver_opt" localSheetId="3" hidden="1">'240222(2)'!$N$27</definedName>
    <definedName name="solver_opt" localSheetId="0" hidden="1">Sheet1!$H$29</definedName>
    <definedName name="solver_pre" localSheetId="3" hidden="1">0.000001</definedName>
    <definedName name="solver_pre" localSheetId="0" hidden="1">0.000001</definedName>
    <definedName name="solver_rbv" localSheetId="3" hidden="1">1</definedName>
    <definedName name="solver_rbv" localSheetId="0" hidden="1">1</definedName>
    <definedName name="solver_rel1" localSheetId="0" hidden="1">3</definedName>
    <definedName name="solver_rel2" localSheetId="0" hidden="1">3</definedName>
    <definedName name="solver_rel3" localSheetId="0" hidden="1">1</definedName>
    <definedName name="solver_rel4" localSheetId="0" hidden="1">3</definedName>
    <definedName name="solver_rhs1" localSheetId="0" hidden="1">0.000001</definedName>
    <definedName name="solver_rhs2" localSheetId="0" hidden="1">0.000001</definedName>
    <definedName name="solver_rhs3" localSheetId="0" hidden="1">1</definedName>
    <definedName name="solver_rhs4" localSheetId="0" hidden="1">0</definedName>
    <definedName name="solver_rlx" localSheetId="3" hidden="1">2</definedName>
    <definedName name="solver_rlx" localSheetId="0" hidden="1">2</definedName>
    <definedName name="solver_rsd" localSheetId="3" hidden="1">0</definedName>
    <definedName name="solver_rsd" localSheetId="0" hidden="1">0</definedName>
    <definedName name="solver_scl" localSheetId="3" hidden="1">1</definedName>
    <definedName name="solver_scl" localSheetId="0" hidden="1">1</definedName>
    <definedName name="solver_sho" localSheetId="3" hidden="1">2</definedName>
    <definedName name="solver_sho" localSheetId="0" hidden="1">2</definedName>
    <definedName name="solver_ssz" localSheetId="3" hidden="1">100</definedName>
    <definedName name="solver_ssz" localSheetId="0" hidden="1">100</definedName>
    <definedName name="solver_tim" localSheetId="3" hidden="1">2147483647</definedName>
    <definedName name="solver_tim" localSheetId="0" hidden="1">2147483647</definedName>
    <definedName name="solver_tol" localSheetId="3" hidden="1">0.01</definedName>
    <definedName name="solver_tol" localSheetId="0" hidden="1">0.01</definedName>
    <definedName name="solver_typ" localSheetId="3" hidden="1">2</definedName>
    <definedName name="solver_typ" localSheetId="0" hidden="1">2</definedName>
    <definedName name="solver_val" localSheetId="3" hidden="1">0</definedName>
    <definedName name="solver_val" localSheetId="0" hidden="1">0</definedName>
    <definedName name="solver_ver" localSheetId="3" hidden="1">2</definedName>
    <definedName name="solver_ver" localSheetId="0" hidden="1">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6" i="4" l="1"/>
  <c r="E22" i="4"/>
  <c r="L22" i="4"/>
  <c r="M22" i="4" s="1"/>
  <c r="N22" i="4" s="1"/>
  <c r="L23" i="4"/>
  <c r="M23" i="4" s="1"/>
  <c r="N23" i="4" s="1"/>
  <c r="L24" i="4"/>
  <c r="M24" i="4" s="1"/>
  <c r="N24" i="4" s="1"/>
  <c r="L25" i="4"/>
  <c r="M25" i="4" s="1"/>
  <c r="N25" i="4" s="1"/>
  <c r="L26" i="4"/>
  <c r="M26" i="4" s="1"/>
  <c r="N26" i="4" s="1"/>
  <c r="L21" i="4"/>
  <c r="M21" i="4" s="1"/>
  <c r="N21" i="4" s="1"/>
  <c r="J22" i="4"/>
  <c r="J23" i="4"/>
  <c r="J24" i="4"/>
  <c r="J25" i="4"/>
  <c r="J26" i="4"/>
  <c r="J21" i="4"/>
  <c r="I22" i="4"/>
  <c r="I23" i="4"/>
  <c r="I24" i="4"/>
  <c r="I25" i="4"/>
  <c r="I26" i="4"/>
  <c r="I21" i="4"/>
  <c r="H22" i="4"/>
  <c r="H23" i="4"/>
  <c r="H24" i="4"/>
  <c r="H25" i="4"/>
  <c r="H26" i="4"/>
  <c r="H21" i="4"/>
  <c r="F26" i="4"/>
  <c r="F21" i="4"/>
  <c r="F23" i="4"/>
  <c r="F24" i="4"/>
  <c r="F25" i="4"/>
  <c r="F22" i="4"/>
  <c r="E23" i="4"/>
  <c r="E24" i="4"/>
  <c r="E25" i="4"/>
  <c r="E26" i="4"/>
  <c r="N27" i="4" l="1"/>
  <c r="H9" i="3" l="1"/>
  <c r="H10" i="3"/>
  <c r="H11" i="3"/>
  <c r="H12" i="3"/>
  <c r="H8" i="3"/>
  <c r="G9" i="3"/>
  <c r="G10" i="3"/>
  <c r="G11" i="3"/>
  <c r="G12" i="3"/>
  <c r="G8" i="3"/>
  <c r="F9" i="3"/>
  <c r="F10" i="3"/>
  <c r="F11" i="3"/>
  <c r="F12" i="3"/>
  <c r="F8" i="3"/>
  <c r="E10" i="3"/>
  <c r="E11" i="3"/>
  <c r="E12" i="3"/>
  <c r="E13" i="3"/>
  <c r="E9" i="3"/>
  <c r="E8" i="3"/>
  <c r="D3" i="3"/>
  <c r="D13" i="3"/>
  <c r="D9" i="3"/>
  <c r="D10" i="3"/>
  <c r="D11" i="3"/>
  <c r="D12" i="3"/>
  <c r="D8" i="3"/>
  <c r="G15" i="2"/>
  <c r="H15" i="2" s="1"/>
  <c r="H20" i="2"/>
  <c r="G16" i="2"/>
  <c r="G17" i="2"/>
  <c r="H17" i="2" s="1"/>
  <c r="G18" i="2"/>
  <c r="G19" i="2"/>
  <c r="G20" i="2"/>
  <c r="H19" i="2"/>
  <c r="H16" i="2"/>
  <c r="F16" i="2"/>
  <c r="F17" i="2"/>
  <c r="F18" i="2"/>
  <c r="F19" i="2"/>
  <c r="F20" i="2"/>
  <c r="F15" i="2"/>
  <c r="H18" i="2"/>
  <c r="E15" i="2" a="1"/>
  <c r="E15" i="2" s="1"/>
  <c r="D20" i="2"/>
  <c r="D19" i="2"/>
  <c r="D18" i="2"/>
  <c r="D17" i="2"/>
  <c r="D16" i="2"/>
  <c r="D15" i="2"/>
  <c r="H12" i="2"/>
  <c r="H7" i="2"/>
  <c r="H8" i="2"/>
  <c r="H9" i="2"/>
  <c r="H10" i="2"/>
  <c r="H11" i="2"/>
  <c r="H6" i="2"/>
  <c r="I8" i="2"/>
  <c r="I9" i="2"/>
  <c r="I10" i="2"/>
  <c r="I11" i="2"/>
  <c r="I7" i="2"/>
  <c r="G7" i="2"/>
  <c r="I6" i="2"/>
  <c r="G6" i="2"/>
  <c r="G8" i="2"/>
  <c r="G9" i="2"/>
  <c r="G10" i="2"/>
  <c r="G11" i="2"/>
  <c r="N7" i="2"/>
  <c r="N8" i="2"/>
  <c r="F7" i="2"/>
  <c r="F8" i="2"/>
  <c r="F9" i="2"/>
  <c r="F10" i="2"/>
  <c r="F11" i="2"/>
  <c r="F6" i="2"/>
  <c r="E6" i="2" a="1"/>
  <c r="E6" i="2" s="1"/>
  <c r="D7" i="2"/>
  <c r="D8" i="2"/>
  <c r="D9" i="2"/>
  <c r="D10" i="2"/>
  <c r="D11" i="2"/>
  <c r="D6" i="2"/>
  <c r="C3" i="2"/>
  <c r="C1" i="2"/>
  <c r="E29" i="1"/>
  <c r="E26" i="1"/>
  <c r="E30" i="1"/>
  <c r="E28" i="1"/>
  <c r="E27" i="1"/>
  <c r="E20" i="1"/>
  <c r="E11" i="1"/>
  <c r="F18" i="1"/>
  <c r="F17" i="1"/>
  <c r="F19" i="1" s="1"/>
  <c r="F20" i="1" s="1"/>
  <c r="E19" i="1"/>
  <c r="E18" i="1"/>
  <c r="E17" i="1"/>
  <c r="E10" i="1"/>
  <c r="E9" i="1"/>
  <c r="E8" i="1"/>
  <c r="F14" i="1"/>
  <c r="F9" i="1"/>
  <c r="F8" i="1"/>
  <c r="F10" i="1" s="1"/>
  <c r="F11" i="1" s="1"/>
  <c r="F5" i="1"/>
  <c r="H21" i="2" l="1"/>
  <c r="H23" i="1"/>
  <c r="H26" i="1" s="1"/>
  <c r="B24" i="1"/>
  <c r="H24" i="1"/>
  <c r="H27" i="1" s="1"/>
  <c r="B23" i="1"/>
  <c r="H29" i="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<sst xmlns="http://schemas.openxmlformats.org/spreadsheetml/2006/main" count="97" uniqueCount="61">
  <si>
    <t>F_H2_0</t>
  </si>
  <si>
    <t>F_CO_0</t>
  </si>
  <si>
    <t>F_CO2_0</t>
  </si>
  <si>
    <t>F_N2_0</t>
  </si>
  <si>
    <t>E_1</t>
  </si>
  <si>
    <t>E_2</t>
  </si>
  <si>
    <t>T_ref (˚K)</t>
  </si>
  <si>
    <t>R (J / mol ˚K)</t>
  </si>
  <si>
    <t>Reacción 1</t>
  </si>
  <si>
    <t>H2</t>
  </si>
  <si>
    <t>+</t>
  </si>
  <si>
    <t>CO</t>
  </si>
  <si>
    <t>CH3OH</t>
  </si>
  <si>
    <t>Especie</t>
  </si>
  <si>
    <t>G</t>
  </si>
  <si>
    <t>Hf</t>
  </si>
  <si>
    <t>T (˚K)</t>
  </si>
  <si>
    <t>P (bar)</t>
  </si>
  <si>
    <t>Reacción 2</t>
  </si>
  <si>
    <t>CO2</t>
  </si>
  <si>
    <t>H2O</t>
  </si>
  <si>
    <t>H2O (g)</t>
  </si>
  <si>
    <t>K_1</t>
  </si>
  <si>
    <t>K_2</t>
  </si>
  <si>
    <t>F_H2</t>
  </si>
  <si>
    <t>F_CO</t>
  </si>
  <si>
    <t>F_CH3OH</t>
  </si>
  <si>
    <t>F_CO2</t>
  </si>
  <si>
    <t>F_H2O</t>
  </si>
  <si>
    <t>FOBJ_K_1</t>
  </si>
  <si>
    <t>FOBJ_K_2</t>
  </si>
  <si>
    <t>F_K_1</t>
  </si>
  <si>
    <t>F_K_2</t>
  </si>
  <si>
    <t>FOBJ</t>
  </si>
  <si>
    <t>T</t>
  </si>
  <si>
    <t>R</t>
  </si>
  <si>
    <t>mm Hg L / (mol ˚K)</t>
  </si>
  <si>
    <t>CA0</t>
  </si>
  <si>
    <t>P (mm Hg)</t>
  </si>
  <si>
    <t>t (min)</t>
  </si>
  <si>
    <t>CA</t>
  </si>
  <si>
    <t>alfa</t>
  </si>
  <si>
    <t>x</t>
  </si>
  <si>
    <t>y</t>
  </si>
  <si>
    <t>k</t>
  </si>
  <si>
    <t>CA modelo</t>
  </si>
  <si>
    <t>error</t>
  </si>
  <si>
    <t>residual</t>
  </si>
  <si>
    <t>ARE</t>
  </si>
  <si>
    <t>t</t>
  </si>
  <si>
    <t>P</t>
  </si>
  <si>
    <t>inf</t>
  </si>
  <si>
    <t>XA</t>
  </si>
  <si>
    <t>mmHg L / (mol ˚K)</t>
  </si>
  <si>
    <t>CB</t>
  </si>
  <si>
    <t>dCb / dt</t>
  </si>
  <si>
    <t>x1</t>
  </si>
  <si>
    <t>x2</t>
  </si>
  <si>
    <t>beta</t>
  </si>
  <si>
    <t>y_mod</t>
  </si>
  <si>
    <t>C_A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</si>
</sst>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/>
    <xf numFmtId="0" fontId="0" fillId="3" borderId="0" xfId="0" applyFill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'1321'!$F$5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'1321'!$E$6:$E$11</c:f>
              <c:numCache>
                <c:formatCode>General</c:formatCode>
                <c:ptCount val="6"/>
                <c:pt idx="0">
                  <c:v>0</c:v>
                </c:pt>
                <c:pt idx="1">
                  <c:v>2.5</c:v>
                </c:pt>
                <c:pt idx="2">
                  <c:v>5</c:v>
                </c:pt>
                <c:pt idx="3">
                  <c:v>10</c:v>
                </c:pt>
                <c:pt idx="4">
                  <c:v>15</c:v>
                </c:pt>
                <c:pt idx="5">
                  <c:v>20</c:v>
                </c:pt>
              </c:numCache>
            </c:numRef>
          </c:xVal>
          <c:yVal>
            <c:numRef>
              <c:f>'1321'!$F$6:$F$11</c:f>
              <c:numCache>
                <c:formatCode>General</c:formatCode>
                <c:ptCount val="6"/>
                <c:pt idx="0">
                  <c:v>-2.2204460492503131E-16</c:v>
                </c:pt>
                <c:pt idx="1">
                  <c:v>-0.22314355131420999</c:v>
                </c:pt>
                <c:pt idx="2">
                  <c:v>-0.40546510810816461</c:v>
                </c:pt>
                <c:pt idx="3">
                  <c:v>-0.80594267470528991</c:v>
                </c:pt>
                <c:pt idx="4">
                  <c:v>-1.1819938976071611</c:v>
                </c:pt>
                <c:pt idx="5">
                  <c:v>-1.5766480896111101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EE-DB4E-BA46-7A32EA09BE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731311"/>
        <c:axId val="484373551"/>
      </c:scatterChart>
      <c:valAx>
        <c:axId val="483731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373551"/>
        <c:crosses val="autoZero"/>
        <c:crossBetween val="midCat"/>
      </c:valAx>
      <c:valAx>
        <c:axId val="484373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731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'1321'!$F$14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0"/>
            <c:dispEq val="1"/>
            <c:trendlineLbl>
              <c:layout>
                <c:manualLayout>
                  <c:x val="-6.7505030621172357E-2"/>
                  <c:y val="3.8316564596092154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'1321'!$E$15:$E$20</c:f>
              <c:numCache>
                <c:formatCode>General</c:formatCode>
                <c:ptCount val="6"/>
                <c:pt idx="0">
                  <c:v>0</c:v>
                </c:pt>
                <c:pt idx="1">
                  <c:v>2.5</c:v>
                </c:pt>
                <c:pt idx="2">
                  <c:v>5</c:v>
                </c:pt>
                <c:pt idx="3">
                  <c:v>10</c:v>
                </c:pt>
                <c:pt idx="4">
                  <c:v>15</c:v>
                </c:pt>
                <c:pt idx="5">
                  <c:v>20</c:v>
                </c:pt>
              </c:numCache>
            </c:numRef>
          </c:xVal>
          <c:yVal>
            <c:numRef>
              <c:f>'1321'!$F$15:$F$20</c:f>
              <c:numCache>
                <c:formatCode>General</c:formatCode>
                <c:ptCount val="6"/>
                <c:pt idx="0">
                  <c:v>0</c:v>
                </c:pt>
                <c:pt idx="1">
                  <c:v>-14.3300403421689</c:v>
                </c:pt>
                <c:pt idx="2">
                  <c:v>-27.285387097789652</c:v>
                </c:pt>
                <c:pt idx="3">
                  <c:v>-60.249452512094109</c:v>
                </c:pt>
                <c:pt idx="4">
                  <c:v>-97.827513501052863</c:v>
                </c:pt>
                <c:pt idx="5">
                  <c:v>-145.6516547029471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07-0F4D-8F70-B065BA8CBC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509279"/>
        <c:axId val="478892079"/>
      </c:scatterChart>
      <c:valAx>
        <c:axId val="483509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892079"/>
        <c:crosses val="autoZero"/>
        <c:crossBetween val="midCat"/>
      </c:valAx>
      <c:valAx>
        <c:axId val="47889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509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'240222'!$F$8:$F$12</c:f>
              <c:numCache>
                <c:formatCode>General</c:formatCode>
                <c:ptCount val="5"/>
                <c:pt idx="0">
                  <c:v>0</c:v>
                </c:pt>
                <c:pt idx="1">
                  <c:v>390</c:v>
                </c:pt>
                <c:pt idx="2">
                  <c:v>777</c:v>
                </c:pt>
                <c:pt idx="3">
                  <c:v>1195</c:v>
                </c:pt>
                <c:pt idx="4">
                  <c:v>3155</c:v>
                </c:pt>
              </c:numCache>
            </c:numRef>
          </c:xVal>
          <c:yVal>
            <c:numRef>
              <c:f>'240222'!$G$8:$G$12</c:f>
              <c:numCache>
                <c:formatCode>General</c:formatCode>
                <c:ptCount val="5"/>
                <c:pt idx="0">
                  <c:v>0</c:v>
                </c:pt>
                <c:pt idx="1">
                  <c:v>-0.16954183014755569</c:v>
                </c:pt>
                <c:pt idx="2">
                  <c:v>-0.33486581057293913</c:v>
                </c:pt>
                <c:pt idx="3">
                  <c:v>-0.51673803013174424</c:v>
                </c:pt>
                <c:pt idx="4">
                  <c:v>-1.5351002927882678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9D-9344-B997-C33613938E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488143"/>
        <c:axId val="541398895"/>
      </c:scatterChart>
      <c:valAx>
        <c:axId val="5314881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398895"/>
        <c:crosses val="autoZero"/>
        <c:crossBetween val="midCat"/>
      </c:valAx>
      <c:valAx>
        <c:axId val="541398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4881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431800</xdr:colOff>
      <xdr:row>0</xdr:row>
      <xdr:rowOff>0</xdr:rowOff>
    </xdr:from>
    <xdr:to>
      <xdr:col>22</xdr:col>
      <xdr:colOff>138979</xdr:colOff>
      <xdr:row>17</xdr:row>
      <xdr:rowOff>101594</xdr:rowOff>
    </xdr:to>
    <xdr:pic>
      <xdr:nvPicPr>
        <xdr:cNvPr id="2" name="Imagen 4">
          <a:extLst>
            <a:ext uri="{FF2B5EF4-FFF2-40B4-BE49-F238E27FC236}">
              <a16:creationId xmlns:a16="http://schemas.microsoft.com/office/drawing/2014/main" id="{ADDF6FC8-3043-F64F-A1CD-C6456F43C7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1231" t="40405" r="37115" b="30041"/>
        <a:stretch/>
      </xdr:blipFill>
      <xdr:spPr>
        <a:xfrm>
          <a:off x="9296400" y="0"/>
          <a:ext cx="9613179" cy="355599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565150</xdr:colOff>
      <xdr:row>3</xdr:row>
      <xdr:rowOff>82550</xdr:rowOff>
    </xdr:from>
    <xdr:to>
      <xdr:col>15</xdr:col>
      <xdr:colOff>444500</xdr:colOff>
      <xdr:row>22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53F764-215D-174D-9F75-D69043AEB9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323850</xdr:colOff>
      <xdr:row>21</xdr:row>
      <xdr:rowOff>196850</xdr:rowOff>
    </xdr:from>
    <xdr:to>
      <xdr:col>15</xdr:col>
      <xdr:colOff>768350</xdr:colOff>
      <xdr:row>35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466E80-7C60-F141-94A0-6AE11833F9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615950</xdr:colOff>
      <xdr:row>23</xdr:row>
      <xdr:rowOff>158750</xdr:rowOff>
    </xdr:from>
    <xdr:to>
      <xdr:col>12</xdr:col>
      <xdr:colOff>234950</xdr:colOff>
      <xdr:row>37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44FF73-4BC3-4044-8239-28C3345185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292101</xdr:colOff>
      <xdr:row>3</xdr:row>
      <xdr:rowOff>152400</xdr:rowOff>
    </xdr:from>
    <xdr:to>
      <xdr:col>7</xdr:col>
      <xdr:colOff>355601</xdr:colOff>
      <xdr:row>17</xdr:row>
      <xdr:rowOff>180557</xdr:rowOff>
    </xdr:to>
    <xdr:pic>
      <xdr:nvPicPr>
        <xdr:cNvPr id="3" name="Imagen 1">
          <a:extLst>
            <a:ext uri="{FF2B5EF4-FFF2-40B4-BE49-F238E27FC236}">
              <a16:creationId xmlns:a16="http://schemas.microsoft.com/office/drawing/2014/main" id="{6BBAADFE-676B-1047-B6EC-DCA3115BD3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1086" t="27868" r="29127" b="19521"/>
        <a:stretch/>
      </xdr:blipFill>
      <xdr:spPr>
        <a:xfrm>
          <a:off x="1117601" y="762000"/>
          <a:ext cx="5016500" cy="2872957"/>
        </a:xfrm>
        <a:prstGeom prst="rect">
          <a:avLst/>
        </a:prstGeom>
      </xdr:spPr>
    </xdr:pic>
    <xdr:clientData/>
  </xdr:twoCellAnchor>
  <xdr:twoCellAnchor editAs="oneCell">
    <xdr:from>
      <xdr:col>9</xdr:col>
      <xdr:colOff>152400</xdr:colOff>
      <xdr:row>8</xdr:row>
      <xdr:rowOff>190500</xdr:rowOff>
    </xdr:from>
    <xdr:to>
      <xdr:col>14</xdr:col>
      <xdr:colOff>695965</xdr:colOff>
      <xdr:row>14</xdr:row>
      <xdr:rowOff>32348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6AEAA6C-F177-7E43-AC47-A2C662EB02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8236" t="51440" r="24771" b="20563"/>
        <a:stretch/>
      </xdr:blipFill>
      <xdr:spPr>
        <a:xfrm>
          <a:off x="7581900" y="1816100"/>
          <a:ext cx="4671065" cy="1061048"/>
        </a:xfrm>
        <a:prstGeom prst="rect">
          <a:avLst/>
        </a:prstGeom>
      </xdr:spPr>
    </xdr:pic>
    <xdr:clientData/>
  </xdr:twoCellAnchor>
  <xdr:twoCellAnchor editAs="oneCell">
    <xdr:from>
      <xdr:col>12</xdr:col>
      <xdr:colOff>165101</xdr:colOff>
      <xdr:row>13</xdr:row>
      <xdr:rowOff>165100</xdr:rowOff>
    </xdr:from>
    <xdr:to>
      <xdr:col>17</xdr:col>
      <xdr:colOff>63501</xdr:colOff>
      <xdr:row>18</xdr:row>
      <xdr:rowOff>63597</xdr:rowOff>
    </xdr:to>
    <xdr:pic>
      <xdr:nvPicPr>
        <xdr:cNvPr id="5" name="Imagen 3">
          <a:extLst>
            <a:ext uri="{FF2B5EF4-FFF2-40B4-BE49-F238E27FC236}">
              <a16:creationId xmlns:a16="http://schemas.microsoft.com/office/drawing/2014/main" id="{E3C4F637-8BCC-2345-93E3-15EF7D53CD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8236" t="51440" r="24771" b="20563"/>
        <a:stretch/>
      </xdr:blipFill>
      <xdr:spPr>
        <a:xfrm>
          <a:off x="10071101" y="2806700"/>
          <a:ext cx="4025900" cy="914497"/>
        </a:xfrm>
        <a:prstGeom prst="rect">
          <a:avLst/>
        </a:prstGeom>
      </xdr:spPr>
    </xdr:pic>
    <xdr:clientData/>
  </xdr:twoCellAnchor>
  <xdr:twoCellAnchor editAs="oneCell">
    <xdr:from>
      <xdr:col>20</xdr:col>
      <xdr:colOff>393700</xdr:colOff>
      <xdr:row>23</xdr:row>
      <xdr:rowOff>165100</xdr:rowOff>
    </xdr:from>
    <xdr:to>
      <xdr:col>29</xdr:col>
      <xdr:colOff>520700</xdr:colOff>
      <xdr:row>45</xdr:row>
      <xdr:rowOff>127000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54754F2-73D9-0E45-B387-5F61104B1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903700" y="4838700"/>
          <a:ext cx="7556500" cy="4432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114300</xdr:colOff>
      <xdr:row>18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33A3CAF-A461-7C4D-8B4A-6B61EDFD7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718300" cy="3822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51CF2-ED1A-E94B-AD84-F5E0B203D746}">
  <dimension ref="A1:K30"/>
  <sheetViews>
    <sheetView workbookViewId="0">
      <selection activeCell="E26" sqref="E26"/>
    </sheetView>
  </sheetViews>
  <sheetFormatPr baseColWidth="10" defaultRowHeight="16" x14ac:dyDescent="0.2"/>
  <cols>
    <col min="1" max="1" width="11.5" bestFit="1" customWidth="1"/>
    <col min="2" max="2" width="12.1640625" bestFit="1" customWidth="1"/>
    <col min="5" max="7" width="12.1640625" bestFit="1" customWidth="1"/>
    <col min="8" max="8" width="12.83203125" bestFit="1" customWidth="1"/>
  </cols>
  <sheetData>
    <row r="1" spans="1:11" x14ac:dyDescent="0.2">
      <c r="A1" t="s">
        <v>6</v>
      </c>
      <c r="B1">
        <v>298</v>
      </c>
      <c r="C1" t="s">
        <v>16</v>
      </c>
      <c r="D1">
        <v>550</v>
      </c>
    </row>
    <row r="2" spans="1:11" x14ac:dyDescent="0.2">
      <c r="A2" t="s">
        <v>7</v>
      </c>
      <c r="B2">
        <v>8.3140000000000001</v>
      </c>
      <c r="C2" t="s">
        <v>17</v>
      </c>
      <c r="D2">
        <v>100</v>
      </c>
    </row>
    <row r="4" spans="1:11" x14ac:dyDescent="0.2">
      <c r="A4" s="4" t="s">
        <v>8</v>
      </c>
      <c r="B4" s="4"/>
      <c r="C4" s="4"/>
      <c r="D4" s="4"/>
      <c r="E4" s="4"/>
      <c r="F4" s="4"/>
      <c r="G4" s="4"/>
      <c r="H4" s="4"/>
    </row>
    <row r="5" spans="1:11" x14ac:dyDescent="0.2">
      <c r="A5">
        <v>2</v>
      </c>
      <c r="B5" t="s">
        <v>9</v>
      </c>
      <c r="C5" s="1" t="s">
        <v>10</v>
      </c>
      <c r="D5">
        <v>1</v>
      </c>
      <c r="E5" t="s">
        <v>11</v>
      </c>
      <c r="F5" s="1" t="str">
        <f>"-&gt;"</f>
        <v>-&gt;</v>
      </c>
      <c r="G5">
        <v>1</v>
      </c>
      <c r="H5" t="s">
        <v>12</v>
      </c>
    </row>
    <row r="7" spans="1:11" x14ac:dyDescent="0.2">
      <c r="A7" t="s">
        <v>13</v>
      </c>
      <c r="B7" t="s">
        <v>14</v>
      </c>
      <c r="C7" t="s">
        <v>15</v>
      </c>
    </row>
    <row r="8" spans="1:11" x14ac:dyDescent="0.2">
      <c r="A8" t="s">
        <v>9</v>
      </c>
      <c r="B8">
        <v>0</v>
      </c>
      <c r="C8">
        <v>0</v>
      </c>
      <c r="E8" t="str">
        <f>"dG (" &amp; $B$1 &amp; " ˚K)"</f>
        <v>dG (298 ˚K)</v>
      </c>
      <c r="F8">
        <f>G5 * B10 - (D5 * B9 + A5 * B8)</f>
        <v>-24791</v>
      </c>
    </row>
    <row r="9" spans="1:11" x14ac:dyDescent="0.2">
      <c r="A9" t="s">
        <v>11</v>
      </c>
      <c r="B9">
        <v>-137169</v>
      </c>
      <c r="C9">
        <v>-110525</v>
      </c>
      <c r="E9" t="str">
        <f>"dH (" &amp; $B$1 &amp; " ˚K)"</f>
        <v>dH (298 ˚K)</v>
      </c>
      <c r="F9">
        <f>G5 * C10 - (D5 * C9 + C8 * A5)</f>
        <v>-90135</v>
      </c>
    </row>
    <row r="10" spans="1:11" x14ac:dyDescent="0.2">
      <c r="A10" t="s">
        <v>12</v>
      </c>
      <c r="B10">
        <v>-161960</v>
      </c>
      <c r="C10">
        <v>-200660</v>
      </c>
      <c r="E10" t="str">
        <f>"K_eq (" &amp; $B$1 &amp; " ˚K)"</f>
        <v>K_eq (298 ˚K)</v>
      </c>
      <c r="F10">
        <f>EXP(-F8 / ( B2 *B1))</f>
        <v>22162.730002588018</v>
      </c>
    </row>
    <row r="11" spans="1:11" x14ac:dyDescent="0.2">
      <c r="E11" t="str">
        <f>"K_eq ("&amp; D1 &amp; " ˚K)"</f>
        <v>K_eq (550 ˚K)</v>
      </c>
      <c r="F11">
        <f>F10 * EXP(-F9 /B2 * (1 / D1 - 1 / B1))</f>
        <v>1.2777439157251641E-3</v>
      </c>
    </row>
    <row r="13" spans="1:11" x14ac:dyDescent="0.2">
      <c r="A13" s="4" t="s">
        <v>18</v>
      </c>
      <c r="B13" s="4"/>
      <c r="C13" s="4"/>
      <c r="D13" s="4"/>
      <c r="E13" s="4"/>
      <c r="F13" s="4"/>
      <c r="G13" s="4"/>
      <c r="H13" s="4"/>
      <c r="I13" s="4"/>
      <c r="J13" s="4"/>
      <c r="K13" s="4"/>
    </row>
    <row r="14" spans="1:11" x14ac:dyDescent="0.2">
      <c r="A14">
        <v>1</v>
      </c>
      <c r="B14" t="s">
        <v>9</v>
      </c>
      <c r="C14" t="s">
        <v>10</v>
      </c>
      <c r="D14">
        <v>1</v>
      </c>
      <c r="E14" t="s">
        <v>19</v>
      </c>
      <c r="F14" t="str">
        <f>"-&gt;"</f>
        <v>-&gt;</v>
      </c>
      <c r="G14">
        <v>1</v>
      </c>
      <c r="H14" t="s">
        <v>11</v>
      </c>
      <c r="I14" t="s">
        <v>10</v>
      </c>
      <c r="J14">
        <v>1</v>
      </c>
      <c r="K14" t="s">
        <v>20</v>
      </c>
    </row>
    <row r="16" spans="1:11" x14ac:dyDescent="0.2">
      <c r="A16" t="s">
        <v>13</v>
      </c>
      <c r="B16" t="s">
        <v>14</v>
      </c>
      <c r="C16" t="s">
        <v>15</v>
      </c>
    </row>
    <row r="17" spans="1:8" x14ac:dyDescent="0.2">
      <c r="A17" t="s">
        <v>9</v>
      </c>
      <c r="B17">
        <v>0</v>
      </c>
      <c r="C17">
        <v>0</v>
      </c>
      <c r="E17" t="str">
        <f>"dG (" &amp; $B$1 &amp; " ˚K)"</f>
        <v>dG (298 ˚K)</v>
      </c>
      <c r="F17">
        <f>J14 * B20 + G14 * B19 - (D14 * B18 + A14 * B17)</f>
        <v>28618</v>
      </c>
    </row>
    <row r="18" spans="1:8" x14ac:dyDescent="0.2">
      <c r="A18" t="s">
        <v>19</v>
      </c>
      <c r="B18">
        <v>-394359</v>
      </c>
      <c r="C18">
        <v>-393509</v>
      </c>
      <c r="E18" t="str">
        <f>"dH (" &amp; $B$1 &amp; " ˚K)"</f>
        <v>dH (298 ˚K)</v>
      </c>
      <c r="F18">
        <f>J14 * C20 + G14 * C19 - (D14 * C18 + A14 * C17)</f>
        <v>41166</v>
      </c>
    </row>
    <row r="19" spans="1:8" x14ac:dyDescent="0.2">
      <c r="A19" t="s">
        <v>11</v>
      </c>
      <c r="B19">
        <v>-137169</v>
      </c>
      <c r="C19">
        <v>-110525</v>
      </c>
      <c r="E19" t="str">
        <f>"K_eq (" &amp; $B$1 &amp; " ˚K)"</f>
        <v>K_eq (298 ˚K)</v>
      </c>
      <c r="F19">
        <f>EXP(-F17 / ( B2 *B1))</f>
        <v>9.6280989663817578E-6</v>
      </c>
    </row>
    <row r="20" spans="1:8" x14ac:dyDescent="0.2">
      <c r="A20" t="s">
        <v>21</v>
      </c>
      <c r="B20">
        <v>-228572</v>
      </c>
      <c r="C20">
        <v>-241818</v>
      </c>
      <c r="E20" t="str">
        <f>"K_eq ("&amp; D1 &amp; " ˚K)"</f>
        <v>K_eq (550 ˚K)</v>
      </c>
      <c r="F20">
        <f>F19 * EXP(-F18 /B2 * (1 / D1 - 1 / B1))</f>
        <v>1.9488654521731475E-2</v>
      </c>
    </row>
    <row r="23" spans="1:8" x14ac:dyDescent="0.2">
      <c r="A23" t="s">
        <v>22</v>
      </c>
      <c r="B23">
        <f>F11</f>
        <v>1.2777439157251641E-3</v>
      </c>
      <c r="D23" t="s">
        <v>4</v>
      </c>
      <c r="E23" s="3">
        <v>1.0953086304078535E-4</v>
      </c>
      <c r="G23" t="s">
        <v>31</v>
      </c>
      <c r="H23">
        <f>E28^G5 / (E27^D5 * E26^A5)</f>
        <v>1.2781948531748045E-3</v>
      </c>
    </row>
    <row r="24" spans="1:8" x14ac:dyDescent="0.2">
      <c r="A24" t="s">
        <v>23</v>
      </c>
      <c r="B24">
        <f>F20</f>
        <v>1.9488654521731475E-2</v>
      </c>
      <c r="D24" t="s">
        <v>5</v>
      </c>
      <c r="E24" s="3">
        <v>4.3053463672110522E-3</v>
      </c>
      <c r="G24" t="s">
        <v>32</v>
      </c>
      <c r="H24">
        <f>(E30^J14 * E27^G14) / (E29^D14 * E26^A14)</f>
        <v>1.9488654948008589E-2</v>
      </c>
    </row>
    <row r="26" spans="1:8" x14ac:dyDescent="0.2">
      <c r="A26" t="s">
        <v>0</v>
      </c>
      <c r="B26">
        <v>0.75</v>
      </c>
      <c r="D26" t="s">
        <v>24</v>
      </c>
      <c r="E26">
        <f>B26 -A5 * E23 - A14 * E24</f>
        <v>0.74547559190670742</v>
      </c>
      <c r="G26" t="s">
        <v>29</v>
      </c>
      <c r="H26" s="2">
        <f>(H23 - F11)^2</f>
        <v>2.033445834882006E-13</v>
      </c>
    </row>
    <row r="27" spans="1:8" x14ac:dyDescent="0.2">
      <c r="A27" t="s">
        <v>1</v>
      </c>
      <c r="B27">
        <v>0.15</v>
      </c>
      <c r="D27" t="s">
        <v>25</v>
      </c>
      <c r="E27">
        <f>B27 - D5 * E23 + G14 * E24</f>
        <v>0.15419581550417027</v>
      </c>
      <c r="G27" t="s">
        <v>30</v>
      </c>
      <c r="H27" s="2">
        <f>(H24 - F20)^2</f>
        <v>1.8171217817725086E-19</v>
      </c>
    </row>
    <row r="28" spans="1:8" x14ac:dyDescent="0.2">
      <c r="A28" t="s">
        <v>2</v>
      </c>
      <c r="B28">
        <v>0.05</v>
      </c>
      <c r="D28" t="s">
        <v>26</v>
      </c>
      <c r="E28">
        <f>G5 * E23</f>
        <v>1.0953086304078535E-4</v>
      </c>
    </row>
    <row r="29" spans="1:8" x14ac:dyDescent="0.2">
      <c r="A29" t="s">
        <v>3</v>
      </c>
      <c r="B29">
        <v>0.05</v>
      </c>
      <c r="D29" t="s">
        <v>27</v>
      </c>
      <c r="E29">
        <f>B28 - D14 * E24</f>
        <v>4.5694653632788948E-2</v>
      </c>
      <c r="G29" t="s">
        <v>33</v>
      </c>
      <c r="H29">
        <f>H26 + H27</f>
        <v>2.0334476520037879E-13</v>
      </c>
    </row>
    <row r="30" spans="1:8" x14ac:dyDescent="0.2">
      <c r="D30" t="s">
        <v>28</v>
      </c>
      <c r="E30">
        <f>J14 * E24</f>
        <v>4.3053463672110522E-3</v>
      </c>
    </row>
  </sheetData>
  <mergeCells count="2">
    <mergeCell ref="A4:H4"/>
    <mergeCell ref="A13:K1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8251D-3769-5A48-8A62-B74FC389AF3F}">
  <dimension ref="B1:N21"/>
  <sheetViews>
    <sheetView workbookViewId="0">
      <selection activeCell="G15" sqref="G15"/>
    </sheetView>
  </sheetViews>
  <sheetFormatPr baseColWidth="10" defaultRowHeight="16" x14ac:dyDescent="0.2"/>
  <cols>
    <col min="6" max="6" width="12.83203125" bestFit="1" customWidth="1"/>
    <col min="8" max="8" width="12.1640625" bestFit="1" customWidth="1"/>
  </cols>
  <sheetData>
    <row r="1" spans="2:14" x14ac:dyDescent="0.2">
      <c r="B1" t="s">
        <v>34</v>
      </c>
      <c r="C1">
        <f>443.15</f>
        <v>443.15</v>
      </c>
    </row>
    <row r="2" spans="2:14" x14ac:dyDescent="0.2">
      <c r="B2" t="s">
        <v>35</v>
      </c>
      <c r="C2">
        <v>62.363599999999998</v>
      </c>
      <c r="D2" t="s">
        <v>36</v>
      </c>
    </row>
    <row r="3" spans="2:14" x14ac:dyDescent="0.2">
      <c r="B3" t="s">
        <v>37</v>
      </c>
      <c r="C3">
        <f>C6 / (C2 * C1)</f>
        <v>2.7138093375705241E-4</v>
      </c>
    </row>
    <row r="5" spans="2:14" x14ac:dyDescent="0.2">
      <c r="B5" t="s">
        <v>39</v>
      </c>
      <c r="C5" t="s">
        <v>38</v>
      </c>
      <c r="D5" t="s">
        <v>40</v>
      </c>
      <c r="E5" t="s">
        <v>42</v>
      </c>
      <c r="F5" t="s">
        <v>43</v>
      </c>
      <c r="G5" t="s">
        <v>45</v>
      </c>
      <c r="H5" t="s">
        <v>46</v>
      </c>
      <c r="I5" t="s">
        <v>47</v>
      </c>
    </row>
    <row r="6" spans="2:14" x14ac:dyDescent="0.2">
      <c r="B6">
        <v>0</v>
      </c>
      <c r="C6">
        <v>7.5</v>
      </c>
      <c r="D6">
        <f>(C6 / ($C$1 * $C$2) - 3 * $C$3) / -2</f>
        <v>2.7138093375705236E-4</v>
      </c>
      <c r="E6" cm="1">
        <f t="array" ref="E6:E11">B6:B11</f>
        <v>0</v>
      </c>
      <c r="F6">
        <f>LN(D6 / $C$3)</f>
        <v>-2.2204460492503131E-16</v>
      </c>
      <c r="G6">
        <f t="shared" ref="G6:G11" si="0">$C$3 * EXP(-$N$7 * B6)</f>
        <v>2.7138093375705241E-4</v>
      </c>
      <c r="H6">
        <f>ABS((G6 - D6) / D6) * 100</f>
        <v>1.997565115344676E-14</v>
      </c>
      <c r="I6">
        <f>G6 - D6</f>
        <v>0</v>
      </c>
      <c r="M6" t="s">
        <v>41</v>
      </c>
      <c r="N6">
        <v>1</v>
      </c>
    </row>
    <row r="7" spans="2:14" x14ac:dyDescent="0.2">
      <c r="B7">
        <v>2.5</v>
      </c>
      <c r="C7">
        <v>10.5</v>
      </c>
      <c r="D7">
        <f t="shared" ref="D7:D11" si="1">(C7 / ($C$1 * $C$2) - 3 * $C$3) / -2</f>
        <v>2.1710474700564189E-4</v>
      </c>
      <c r="E7">
        <v>2.5</v>
      </c>
      <c r="F7">
        <f t="shared" ref="F7:F11" si="2">LN(D7 / $C$3)</f>
        <v>-0.22314355131420999</v>
      </c>
      <c r="G7">
        <f t="shared" si="0"/>
        <v>2.2263273677068055E-4</v>
      </c>
      <c r="H7">
        <f t="shared" ref="H7:H11" si="3">ABS((G7 - D7) / D7) * 100</f>
        <v>2.546231642228904</v>
      </c>
      <c r="I7">
        <f>G7 - D7</f>
        <v>5.5279897650386623E-6</v>
      </c>
      <c r="M7" t="s">
        <v>44</v>
      </c>
      <c r="N7">
        <f>0.0792</f>
        <v>7.9200000000000007E-2</v>
      </c>
    </row>
    <row r="8" spans="2:14" x14ac:dyDescent="0.2">
      <c r="B8">
        <v>5</v>
      </c>
      <c r="C8">
        <v>12.5</v>
      </c>
      <c r="D8">
        <f t="shared" si="1"/>
        <v>1.8092062250470156E-4</v>
      </c>
      <c r="E8">
        <v>5</v>
      </c>
      <c r="F8">
        <f t="shared" si="2"/>
        <v>-0.40546510810816461</v>
      </c>
      <c r="G8">
        <f t="shared" si="0"/>
        <v>1.8264118556823657E-4</v>
      </c>
      <c r="H8">
        <f t="shared" si="3"/>
        <v>0.95100439060798514</v>
      </c>
      <c r="I8">
        <f t="shared" ref="I8:I11" si="4">G8 - D8</f>
        <v>1.7205630635350102E-6</v>
      </c>
      <c r="N8">
        <f>INTERCEPT(F6:F11,_xlfn.ANCHORARRAY( E6))</f>
        <v>-1.4573852408083288E-2</v>
      </c>
    </row>
    <row r="9" spans="2:14" x14ac:dyDescent="0.2">
      <c r="B9">
        <v>10</v>
      </c>
      <c r="C9">
        <v>15.8</v>
      </c>
      <c r="D9">
        <f t="shared" si="1"/>
        <v>1.2121681707815004E-4</v>
      </c>
      <c r="E9">
        <v>10</v>
      </c>
      <c r="F9">
        <f t="shared" si="2"/>
        <v>-0.80594267470528991</v>
      </c>
      <c r="G9">
        <f t="shared" si="0"/>
        <v>1.2291874084136597E-4</v>
      </c>
      <c r="H9">
        <f t="shared" si="3"/>
        <v>1.4040327111696742</v>
      </c>
      <c r="I9">
        <f t="shared" si="4"/>
        <v>1.7019237632159346E-6</v>
      </c>
    </row>
    <row r="10" spans="2:14" x14ac:dyDescent="0.2">
      <c r="B10">
        <v>15</v>
      </c>
      <c r="C10">
        <v>17.899999999999999</v>
      </c>
      <c r="D10">
        <f t="shared" si="1"/>
        <v>8.3223486352162698E-5</v>
      </c>
      <c r="E10">
        <v>15</v>
      </c>
      <c r="F10">
        <f t="shared" si="2"/>
        <v>-1.1819938976071611</v>
      </c>
      <c r="G10">
        <f t="shared" si="0"/>
        <v>8.2725135642431577E-5</v>
      </c>
      <c r="H10">
        <f t="shared" si="3"/>
        <v>0.59881018156621624</v>
      </c>
      <c r="I10">
        <f t="shared" si="4"/>
        <v>-4.9835070973112071E-7</v>
      </c>
    </row>
    <row r="11" spans="2:14" x14ac:dyDescent="0.2">
      <c r="B11">
        <v>20</v>
      </c>
      <c r="C11">
        <v>19.399999999999999</v>
      </c>
      <c r="D11">
        <f t="shared" si="1"/>
        <v>5.6085392976457462E-5</v>
      </c>
      <c r="E11">
        <v>20</v>
      </c>
      <c r="F11">
        <f t="shared" si="2"/>
        <v>-1.5766480896111101</v>
      </c>
      <c r="G11">
        <f t="shared" si="0"/>
        <v>5.5674570209685007E-5</v>
      </c>
      <c r="H11">
        <f t="shared" si="3"/>
        <v>0.73249512033356556</v>
      </c>
      <c r="I11">
        <f t="shared" si="4"/>
        <v>-4.1082276677245524E-7</v>
      </c>
    </row>
    <row r="12" spans="2:14" x14ac:dyDescent="0.2">
      <c r="G12" t="s">
        <v>48</v>
      </c>
      <c r="H12">
        <f>SUM(H6:H11)</f>
        <v>6.2325740459063654</v>
      </c>
    </row>
    <row r="14" spans="2:14" x14ac:dyDescent="0.2">
      <c r="B14" t="s">
        <v>39</v>
      </c>
      <c r="C14" t="s">
        <v>38</v>
      </c>
      <c r="D14" t="s">
        <v>40</v>
      </c>
      <c r="E14" t="s">
        <v>42</v>
      </c>
      <c r="F14" t="s">
        <v>43</v>
      </c>
      <c r="G14" t="s">
        <v>45</v>
      </c>
      <c r="H14" t="s">
        <v>46</v>
      </c>
    </row>
    <row r="15" spans="2:14" x14ac:dyDescent="0.2">
      <c r="B15">
        <v>0</v>
      </c>
      <c r="C15">
        <v>7.5</v>
      </c>
      <c r="D15">
        <f>(C15 / ($C$1 * $C$2) - 3 * $C$3) / -2</f>
        <v>2.7138093375705236E-4</v>
      </c>
      <c r="E15" cm="1">
        <f t="array" ref="E15:E20">B15:B20</f>
        <v>0</v>
      </c>
      <c r="F15">
        <f>-2 * (D15^(-0.5)- $C$3^(-0.5))</f>
        <v>0</v>
      </c>
      <c r="G15">
        <f>((6.8168 / 2 * B15 + $C$3^(-0.5)))^(-2)</f>
        <v>2.7138093375705236E-4</v>
      </c>
      <c r="H15">
        <f>ABS((G15 - D15) / D15) * 100</f>
        <v>0</v>
      </c>
    </row>
    <row r="16" spans="2:14" x14ac:dyDescent="0.2">
      <c r="B16">
        <v>2.5</v>
      </c>
      <c r="C16">
        <v>10.5</v>
      </c>
      <c r="D16">
        <f t="shared" ref="D16:D20" si="5">(C16 / ($C$1 * $C$2) - 3 * $C$3) / -2</f>
        <v>2.1710474700564189E-4</v>
      </c>
      <c r="E16">
        <v>2.5</v>
      </c>
      <c r="F16">
        <f t="shared" ref="F16:F20" si="6">-2 * (D16^(-0.5)- $C$3^(-0.5))</f>
        <v>-14.3300403421689</v>
      </c>
      <c r="G16">
        <f t="shared" ref="G16:G20" si="7">((6.8168 / 2 * B16 + $C$3^(-0.5)))^(-2)</f>
        <v>2.0868263160224261E-4</v>
      </c>
      <c r="H16">
        <f t="shared" ref="H16:H19" si="8">ABS((G16 - D16) / D16) * 100</f>
        <v>3.8792866206561616</v>
      </c>
    </row>
    <row r="17" spans="2:8" x14ac:dyDescent="0.2">
      <c r="B17">
        <v>5</v>
      </c>
      <c r="C17">
        <v>12.5</v>
      </c>
      <c r="D17">
        <f t="shared" si="5"/>
        <v>1.8092062250470156E-4</v>
      </c>
      <c r="E17">
        <v>5</v>
      </c>
      <c r="F17">
        <f t="shared" si="6"/>
        <v>-27.285387097789652</v>
      </c>
      <c r="G17">
        <f t="shared" si="7"/>
        <v>1.654454335765754E-4</v>
      </c>
      <c r="H17">
        <f t="shared" si="8"/>
        <v>8.5535793067061849</v>
      </c>
    </row>
    <row r="18" spans="2:8" x14ac:dyDescent="0.2">
      <c r="B18">
        <v>10</v>
      </c>
      <c r="C18">
        <v>15.8</v>
      </c>
      <c r="D18">
        <f t="shared" si="5"/>
        <v>1.2121681707815004E-4</v>
      </c>
      <c r="E18">
        <v>10</v>
      </c>
      <c r="F18">
        <f t="shared" si="6"/>
        <v>-60.249452512094109</v>
      </c>
      <c r="G18">
        <f t="shared" si="7"/>
        <v>1.1130180684404044E-4</v>
      </c>
      <c r="H18">
        <f t="shared" si="8"/>
        <v>8.1795665594133364</v>
      </c>
    </row>
    <row r="19" spans="2:8" x14ac:dyDescent="0.2">
      <c r="B19">
        <v>15</v>
      </c>
      <c r="C19">
        <v>17.899999999999999</v>
      </c>
      <c r="D19">
        <f t="shared" si="5"/>
        <v>8.3223486352162698E-5</v>
      </c>
      <c r="E19">
        <v>15</v>
      </c>
      <c r="F19">
        <f t="shared" si="6"/>
        <v>-97.827513501052863</v>
      </c>
      <c r="G19">
        <f t="shared" si="7"/>
        <v>7.996333946600814E-5</v>
      </c>
      <c r="H19">
        <f t="shared" si="8"/>
        <v>3.9173399590100666</v>
      </c>
    </row>
    <row r="20" spans="2:8" x14ac:dyDescent="0.2">
      <c r="B20">
        <v>20</v>
      </c>
      <c r="C20">
        <v>19.399999999999999</v>
      </c>
      <c r="D20">
        <f t="shared" si="5"/>
        <v>5.6085392976457462E-5</v>
      </c>
      <c r="E20">
        <v>20</v>
      </c>
      <c r="F20">
        <f t="shared" si="6"/>
        <v>-145.6516547029471</v>
      </c>
      <c r="G20">
        <f t="shared" si="7"/>
        <v>6.0212884748008599E-5</v>
      </c>
      <c r="H20">
        <f>ABS((G20 - D20) / D20) * 100</f>
        <v>7.3592990126389992</v>
      </c>
    </row>
    <row r="21" spans="2:8" x14ac:dyDescent="0.2">
      <c r="H21">
        <f>SUM(H15:H20)</f>
        <v>31.889071458424748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88F2F-2891-294B-A185-B1627E946C3E}">
  <dimension ref="B2:H15"/>
  <sheetViews>
    <sheetView workbookViewId="0">
      <selection activeCell="J11" sqref="J11"/>
    </sheetView>
  </sheetViews>
  <sheetFormatPr baseColWidth="10" defaultRowHeight="16" x14ac:dyDescent="0.2"/>
  <sheetData>
    <row r="2" spans="2:8" x14ac:dyDescent="0.2">
      <c r="C2" t="s">
        <v>35</v>
      </c>
      <c r="D2">
        <v>62.363599999999998</v>
      </c>
      <c r="E2" t="s">
        <v>53</v>
      </c>
    </row>
    <row r="3" spans="2:8" x14ac:dyDescent="0.2">
      <c r="C3" t="s">
        <v>37</v>
      </c>
      <c r="D3">
        <f>C8 / (D2 * (501 + 273.15))</f>
        <v>6.4417533737337988E-3</v>
      </c>
    </row>
    <row r="7" spans="2:8" x14ac:dyDescent="0.2">
      <c r="B7" t="s">
        <v>49</v>
      </c>
      <c r="C7" t="s">
        <v>50</v>
      </c>
      <c r="D7" t="s">
        <v>52</v>
      </c>
      <c r="E7" t="s">
        <v>40</v>
      </c>
      <c r="F7" t="s">
        <v>42</v>
      </c>
      <c r="G7" t="s">
        <v>43</v>
      </c>
      <c r="H7" t="s">
        <v>45</v>
      </c>
    </row>
    <row r="8" spans="2:8" x14ac:dyDescent="0.2">
      <c r="B8">
        <v>0</v>
      </c>
      <c r="C8">
        <v>311</v>
      </c>
      <c r="D8">
        <f t="shared" ref="D8:D13" si="0">(C8 / $C$8 - 1) / 2</f>
        <v>0</v>
      </c>
      <c r="E8">
        <f>$D$3* (1 - 2 * D8)</f>
        <v>6.4417533737337988E-3</v>
      </c>
      <c r="F8">
        <f>B8</f>
        <v>0</v>
      </c>
      <c r="G8">
        <f>LN(E8 /$D$3)</f>
        <v>0</v>
      </c>
      <c r="H8">
        <f>$D$3 * EXP($H$15 * B8)</f>
        <v>6.4417533737337988E-3</v>
      </c>
    </row>
    <row r="9" spans="2:8" x14ac:dyDescent="0.2">
      <c r="B9">
        <v>390</v>
      </c>
      <c r="C9">
        <v>408</v>
      </c>
      <c r="D9">
        <f t="shared" si="0"/>
        <v>0.15594855305466238</v>
      </c>
      <c r="E9">
        <f>$D$3* (1 -  D9)</f>
        <v>5.4371712559650228E-3</v>
      </c>
      <c r="F9">
        <f t="shared" ref="F9:F12" si="1">B9</f>
        <v>390</v>
      </c>
      <c r="G9">
        <f t="shared" ref="G9:G12" si="2">LN(E9 /$D$3)</f>
        <v>-0.16954183014755569</v>
      </c>
      <c r="H9">
        <f t="shared" ref="H9:H12" si="3">$D$3 * EXP($H$15 * B9)</f>
        <v>5.3004979345574535E-3</v>
      </c>
    </row>
    <row r="10" spans="2:8" x14ac:dyDescent="0.2">
      <c r="B10">
        <v>777</v>
      </c>
      <c r="C10">
        <v>488</v>
      </c>
      <c r="D10">
        <f t="shared" si="0"/>
        <v>0.28456591639871387</v>
      </c>
      <c r="E10">
        <f t="shared" ref="E10:E13" si="4">$D$3* (1 -  D10)</f>
        <v>4.608649921722734E-3</v>
      </c>
      <c r="F10">
        <f t="shared" si="1"/>
        <v>777</v>
      </c>
      <c r="G10">
        <f t="shared" si="2"/>
        <v>-0.33486581057293913</v>
      </c>
      <c r="H10">
        <f t="shared" si="3"/>
        <v>4.3679804646832836E-3</v>
      </c>
    </row>
    <row r="11" spans="2:8" x14ac:dyDescent="0.2">
      <c r="B11">
        <v>1195</v>
      </c>
      <c r="C11">
        <v>562</v>
      </c>
      <c r="D11">
        <f t="shared" si="0"/>
        <v>0.40353697749196138</v>
      </c>
      <c r="E11">
        <f t="shared" si="4"/>
        <v>3.8422676875486165E-3</v>
      </c>
      <c r="F11">
        <f t="shared" si="1"/>
        <v>1195</v>
      </c>
      <c r="G11">
        <f t="shared" si="2"/>
        <v>-0.51673803013174424</v>
      </c>
      <c r="H11">
        <f t="shared" si="3"/>
        <v>3.5441585384275109E-3</v>
      </c>
    </row>
    <row r="12" spans="2:8" x14ac:dyDescent="0.2">
      <c r="B12">
        <v>3155</v>
      </c>
      <c r="C12">
        <v>799</v>
      </c>
      <c r="D12">
        <f t="shared" si="0"/>
        <v>0.78456591639871376</v>
      </c>
      <c r="E12">
        <f t="shared" si="4"/>
        <v>1.387773234855835E-3</v>
      </c>
      <c r="F12">
        <f t="shared" si="1"/>
        <v>3155</v>
      </c>
      <c r="G12">
        <f t="shared" si="2"/>
        <v>-1.5351002927882678</v>
      </c>
      <c r="H12">
        <f t="shared" si="3"/>
        <v>1.3301620355607991E-3</v>
      </c>
    </row>
    <row r="13" spans="2:8" x14ac:dyDescent="0.2">
      <c r="B13" t="s">
        <v>51</v>
      </c>
      <c r="C13">
        <v>933</v>
      </c>
      <c r="D13">
        <f t="shared" si="0"/>
        <v>1</v>
      </c>
      <c r="E13">
        <f t="shared" si="4"/>
        <v>0</v>
      </c>
    </row>
    <row r="15" spans="2:8" x14ac:dyDescent="0.2">
      <c r="G15" t="s">
        <v>44</v>
      </c>
      <c r="H15">
        <v>-5.0000000000000001E-4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868BD-B935-E844-A4F3-BAEEBB4A0D29}">
  <dimension ref="C20:N36"/>
  <sheetViews>
    <sheetView topLeftCell="B3" workbookViewId="0">
      <selection activeCell="I37" sqref="I37"/>
    </sheetView>
  </sheetViews>
  <sheetFormatPr baseColWidth="10" defaultRowHeight="16" x14ac:dyDescent="0.2"/>
  <sheetData>
    <row r="20" spans="3:14" x14ac:dyDescent="0.2">
      <c r="C20" t="s">
        <v>49</v>
      </c>
      <c r="D20" t="s">
        <v>40</v>
      </c>
      <c r="E20" t="s">
        <v>54</v>
      </c>
      <c r="F20" t="s">
        <v>55</v>
      </c>
      <c r="H20" t="s">
        <v>56</v>
      </c>
      <c r="I20" t="s">
        <v>57</v>
      </c>
      <c r="J20" t="s">
        <v>43</v>
      </c>
      <c r="L20" t="s">
        <v>59</v>
      </c>
      <c r="M20" t="s">
        <v>55</v>
      </c>
      <c r="N20" t="s">
        <v>46</v>
      </c>
    </row>
    <row r="21" spans="3:14" x14ac:dyDescent="0.2">
      <c r="C21">
        <v>0</v>
      </c>
      <c r="D21">
        <v>2</v>
      </c>
      <c r="E21">
        <v>1</v>
      </c>
      <c r="F21">
        <f>(-E23 + 4 * E22 - 3 * E21) / (2 * 10)</f>
        <v>-1.8499999999999982E-2</v>
      </c>
      <c r="H21">
        <f>LN(D21)</f>
        <v>0.69314718055994529</v>
      </c>
      <c r="I21">
        <f>LN(E21)</f>
        <v>0</v>
      </c>
      <c r="J21">
        <f>LN(-F21)</f>
        <v>-3.9899845468978588</v>
      </c>
      <c r="L21">
        <f>LN($J$30) + $J$31*LN(D21)+$J$32*LN(E21)</f>
        <v>-3.989984542627516</v>
      </c>
      <c r="M21">
        <f>-EXP(L21)</f>
        <v>-1.8500000079001325E-2</v>
      </c>
      <c r="N21">
        <f>ABS((F21 - M21) / F21) * 100</f>
        <v>4.2703429006132252E-7</v>
      </c>
    </row>
    <row r="22" spans="3:14" x14ac:dyDescent="0.2">
      <c r="C22">
        <v>10</v>
      </c>
      <c r="D22">
        <v>1.83</v>
      </c>
      <c r="E22">
        <f>$E$21 + (-1) / (-1) * (D22 - $D$21)</f>
        <v>0.83000000000000007</v>
      </c>
      <c r="F22">
        <f>(E23 - E21) / (2 * 10)</f>
        <v>-1.5500000000000003E-2</v>
      </c>
      <c r="H22">
        <f>LN(D22)</f>
        <v>0.60431596685332956</v>
      </c>
      <c r="I22">
        <f>LN(E22)</f>
        <v>-0.18632957819149337</v>
      </c>
      <c r="J22">
        <f>LN(-F22)</f>
        <v>-4.1669152550569359</v>
      </c>
      <c r="L22">
        <f>LN($J$30) + $J$31*LN(D22)+$J$32*LN(E22)</f>
        <v>-4.2255470005712317</v>
      </c>
      <c r="M22">
        <f t="shared" ref="M22:M26" si="0">-EXP(L22)</f>
        <v>-1.4617336830775176E-2</v>
      </c>
      <c r="N22">
        <f t="shared" ref="N22:N26" si="1">ABS((F22 - M22) / F22) * 100</f>
        <v>5.6946010917730785</v>
      </c>
    </row>
    <row r="23" spans="3:14" x14ac:dyDescent="0.2">
      <c r="C23">
        <v>20</v>
      </c>
      <c r="D23">
        <v>1.69</v>
      </c>
      <c r="E23">
        <f t="shared" ref="E23:E26" si="2">$E$21 + (-1) / (-1) * (D23 - $D$21)</f>
        <v>0.69</v>
      </c>
      <c r="F23">
        <f t="shared" ref="F23:F25" si="3">(E24 - E22) / (2 * 10)</f>
        <v>-1.2E-2</v>
      </c>
      <c r="H23">
        <f>LN(D23)</f>
        <v>0.52472852893498212</v>
      </c>
      <c r="I23">
        <f>LN(E23)</f>
        <v>-0.37106368139083207</v>
      </c>
      <c r="J23">
        <f>LN(-F23)</f>
        <v>-4.4228486291941369</v>
      </c>
      <c r="L23">
        <f>LN($J$30) + $J$31*LN(D23)+$J$32*LN(E23)</f>
        <v>-4.4521719734881007</v>
      </c>
      <c r="M23">
        <f t="shared" si="0"/>
        <v>-1.1653228959261889E-2</v>
      </c>
      <c r="N23">
        <f t="shared" si="1"/>
        <v>2.8897586728175977</v>
      </c>
    </row>
    <row r="24" spans="3:14" x14ac:dyDescent="0.2">
      <c r="C24">
        <v>30</v>
      </c>
      <c r="D24">
        <v>1.59</v>
      </c>
      <c r="E24">
        <f t="shared" si="2"/>
        <v>0.59000000000000008</v>
      </c>
      <c r="F24">
        <f t="shared" si="3"/>
        <v>-8.9999999999999976E-3</v>
      </c>
      <c r="H24">
        <f>LN(D24)</f>
        <v>0.46373401623214022</v>
      </c>
      <c r="I24">
        <f>LN(E24)</f>
        <v>-0.52763274208237176</v>
      </c>
      <c r="J24">
        <f>LN(-F24)</f>
        <v>-4.7105307016459177</v>
      </c>
      <c r="L24">
        <f>LN($J$30) + $J$31*LN(D24)+$J$32*LN(E24)</f>
        <v>-4.6389760887450082</v>
      </c>
      <c r="M24">
        <f t="shared" si="0"/>
        <v>-9.6675913171015929E-3</v>
      </c>
      <c r="N24">
        <f t="shared" si="1"/>
        <v>7.4176813011288392</v>
      </c>
    </row>
    <row r="25" spans="3:14" x14ac:dyDescent="0.2">
      <c r="C25">
        <v>40</v>
      </c>
      <c r="D25">
        <v>1.51</v>
      </c>
      <c r="E25">
        <f t="shared" si="2"/>
        <v>0.51</v>
      </c>
      <c r="F25">
        <f t="shared" si="3"/>
        <v>-8.0000000000000071E-3</v>
      </c>
      <c r="H25">
        <f>LN(D25)</f>
        <v>0.41210965082683298</v>
      </c>
      <c r="I25">
        <f>LN(E25)</f>
        <v>-0.67334455326376563</v>
      </c>
      <c r="J25">
        <f>LN(-F25)</f>
        <v>-4.8283137373023006</v>
      </c>
      <c r="L25">
        <f>LN($J$30) + $J$31*LN(D25)+$J$32*LN(E25)</f>
        <v>-4.8086327576194305</v>
      </c>
      <c r="M25">
        <f t="shared" si="0"/>
        <v>-8.1590074158493682E-3</v>
      </c>
      <c r="N25">
        <f t="shared" si="1"/>
        <v>1.987592698117012</v>
      </c>
    </row>
    <row r="26" spans="3:14" x14ac:dyDescent="0.2">
      <c r="C26">
        <v>50</v>
      </c>
      <c r="D26">
        <v>1.43</v>
      </c>
      <c r="E26">
        <f t="shared" si="2"/>
        <v>0.42999999999999994</v>
      </c>
      <c r="F26">
        <f xml:space="preserve"> (3 * E26 - 4 * E25 + E24) / (2 * 10)</f>
        <v>-8.0000000000000071E-3</v>
      </c>
      <c r="H26">
        <f>LN(D26)</f>
        <v>0.35767444427181588</v>
      </c>
      <c r="I26">
        <f>LN(E26)</f>
        <v>-0.84397007029452908</v>
      </c>
      <c r="J26">
        <f>LN(-F26)</f>
        <v>-4.8283137373023006</v>
      </c>
      <c r="L26">
        <f>LN($J$30) + $J$31*LN(D26)+$J$32*LN(E26)</f>
        <v>-5.0023895447111277</v>
      </c>
      <c r="M26">
        <f t="shared" si="0"/>
        <v>-6.7218655947392601E-3</v>
      </c>
      <c r="N26">
        <f t="shared" si="1"/>
        <v>15.976680065759325</v>
      </c>
    </row>
    <row r="27" spans="3:14" x14ac:dyDescent="0.2">
      <c r="M27" s="3" t="s">
        <v>48</v>
      </c>
      <c r="N27">
        <f>AVERAGE(N21:N26)</f>
        <v>5.6610523761050233</v>
      </c>
    </row>
    <row r="30" spans="3:14" x14ac:dyDescent="0.2">
      <c r="I30" t="s">
        <v>44</v>
      </c>
      <c r="J30">
        <v>1.0509816678362758E-2</v>
      </c>
    </row>
    <row r="31" spans="3:14" x14ac:dyDescent="0.2">
      <c r="I31" t="s">
        <v>41</v>
      </c>
      <c r="J31">
        <v>0.81578777216210219</v>
      </c>
    </row>
    <row r="32" spans="3:14" x14ac:dyDescent="0.2">
      <c r="I32" t="s">
        <v>58</v>
      </c>
      <c r="J32">
        <v>0.87530407999917803</v>
      </c>
    </row>
    <row r="36" spans="9:9" x14ac:dyDescent="0.2">
      <c r="I36">
        <f>1.2413 / J30</f>
        <v>118.10862529653299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7B71A-70CF-6C46-BF9B-CD85E6F882B3}">
  <dimension ref="K2:L12"/>
  <sheetViews>
    <sheetView tabSelected="1" workbookViewId="0">
      <selection activeCell="L13" sqref="L13"/>
    </sheetView>
  </sheetViews>
  <sheetFormatPr baseColWidth="10" defaultRowHeight="16" x14ac:dyDescent="0.2"/>
  <sheetData>
    <row r="2" spans="11:12" x14ac:dyDescent="0.2">
      <c r="K2" t="s">
        <v>49</v>
      </c>
      <c r="L2" t="s">
        <v>60</v>
      </c>
    </row>
    <row r="3" spans="11:12" x14ac:dyDescent="0.2">
      <c r="K3">
        <v>1</v>
      </c>
      <c r="L3">
        <v>0.84</v>
      </c>
    </row>
    <row r="4" spans="11:12" x14ac:dyDescent="0.2">
      <c r="K4">
        <v>2</v>
      </c>
      <c r="L4">
        <v>0.68</v>
      </c>
    </row>
    <row r="5" spans="11:12" x14ac:dyDescent="0.2">
      <c r="K5">
        <v>3</v>
      </c>
      <c r="L5">
        <v>0.53</v>
      </c>
    </row>
    <row r="6" spans="11:12" x14ac:dyDescent="0.2">
      <c r="K6">
        <v>4</v>
      </c>
      <c r="L6">
        <v>0.38</v>
      </c>
    </row>
    <row r="7" spans="11:12" x14ac:dyDescent="0.2">
      <c r="K7">
        <v>5</v>
      </c>
      <c r="L7">
        <v>0.27</v>
      </c>
    </row>
    <row r="8" spans="11:12" x14ac:dyDescent="0.2">
      <c r="K8">
        <v>6</v>
      </c>
      <c r="L8">
        <v>0.16</v>
      </c>
    </row>
    <row r="9" spans="11:12" x14ac:dyDescent="0.2">
      <c r="K9">
        <v>7</v>
      </c>
      <c r="L9">
        <v>0.09</v>
      </c>
    </row>
    <row r="10" spans="11:12" x14ac:dyDescent="0.2">
      <c r="K10">
        <v>8</v>
      </c>
      <c r="L10">
        <v>0.04</v>
      </c>
    </row>
    <row r="11" spans="11:12" x14ac:dyDescent="0.2">
      <c r="K11">
        <v>9</v>
      </c>
      <c r="L11">
        <v>1.7999999999999999E-2</v>
      </c>
    </row>
    <row r="12" spans="11:12" x14ac:dyDescent="0.2">
      <c r="K12">
        <v>10</v>
      </c>
      <c r="L12">
        <v>6.0000000000000001E-3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1321</vt:lpstr>
      <vt:lpstr>240222</vt:lpstr>
      <vt:lpstr>240222(2)</vt:lpstr>
      <vt:lpstr>250222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SERGIO SAMUEL SALDAÑA FLORES</dc:creator>
  <cp:lastModifiedBy>SERGIO SAMUEL SALDAÑA FLORES</cp:lastModifiedBy>
  <dcterms:created xsi:type="dcterms:W3CDTF">2022-02-03T21:26:25Z</dcterms:created>
  <dcterms:modified xsi:type="dcterms:W3CDTF">2022-02-25T22:14:22Z</dcterms:modified>
</cp:coreProperties>
</file>