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"/>
    </mc:Choice>
  </mc:AlternateContent>
  <xr:revisionPtr revIDLastSave="0" documentId="13_ncr:1_{9D3F19A4-20D7-4B44-966C-2797C54F4E9F}" xr6:coauthVersionLast="47" xr6:coauthVersionMax="47" xr10:uidLastSave="{00000000-0000-0000-0000-000000000000}"/>
  <bookViews>
    <workbookView xWindow="0" yWindow="500" windowWidth="28800" windowHeight="17500" activeTab="1" xr2:uid="{5F7EA7FF-F31A-1245-9C7F-605A818AE95E}"/>
  </bookViews>
  <sheets>
    <sheet name="Problema 1" sheetId="1" r:id="rId1"/>
    <sheet name="Problema 2" sheetId="2" r:id="rId2"/>
  </sheets>
  <definedNames>
    <definedName name="_xlchart.v1.0" hidden="1">'Problema 2'!$AG$3:$AG$102</definedName>
    <definedName name="_xlchart.v1.1" hidden="1">'Problema 2'!$AH$3:$AH$102</definedName>
    <definedName name="_xlchart.v1.10" hidden="1">'Problema 2'!$T$18:$T$20</definedName>
    <definedName name="_xlchart.v1.11" hidden="1">'Problema 2'!$T$25:$T$27</definedName>
    <definedName name="_xlchart.v1.12" hidden="1">'Problema 2'!$U$18:$U$20</definedName>
    <definedName name="_xlchart.v1.13" hidden="1">'Problema 2'!$U$25:$U$27</definedName>
    <definedName name="_xlchart.v1.14" hidden="1">'Problema 2'!$U$3:$U$15</definedName>
    <definedName name="_xlchart.v1.15" hidden="1">'Problema 2'!$P$18</definedName>
    <definedName name="_xlchart.v1.16" hidden="1">'Problema 2'!$P$3:$P$15</definedName>
    <definedName name="_xlchart.v1.17" hidden="1">'Problema 2'!$Q$18</definedName>
    <definedName name="_xlchart.v1.18" hidden="1">'Problema 2'!$R$3:$R$15</definedName>
    <definedName name="_xlchart.v1.19" hidden="1">'Problema 2'!$T$3:$T$15</definedName>
    <definedName name="_xlchart.v1.2" hidden="1">'Problema 2'!$Q$18</definedName>
    <definedName name="_xlchart.v1.20" hidden="1">'Problema 2'!$M$3:$M$19</definedName>
    <definedName name="_xlchart.v1.21" hidden="1">'Problema 2'!$N$3:$N$19</definedName>
    <definedName name="_xlchart.v1.22" hidden="1">'Problema 2'!$W$23</definedName>
    <definedName name="_xlchart.v1.23" hidden="1">'Problema 2'!$X$23</definedName>
    <definedName name="_xlchart.v1.24" hidden="1">'Problema 2'!$AG$3:$AG$102</definedName>
    <definedName name="_xlchart.v1.25" hidden="1">'Problema 2'!$AH$3:$AH$102</definedName>
    <definedName name="_xlchart.v1.26" hidden="1">'Problema 2'!$Q$18</definedName>
    <definedName name="_xlchart.v1.27" hidden="1">'Problema 2'!$Q$19:$Q$20</definedName>
    <definedName name="_xlchart.v1.28" hidden="1">'Problema 2'!$Q$21:$Q$22</definedName>
    <definedName name="_xlchart.v1.29" hidden="1">'Problema 2'!$Q$3:$Q$15</definedName>
    <definedName name="_xlchart.v1.3" hidden="1">'Problema 2'!$Q$19:$Q$20</definedName>
    <definedName name="_xlchart.v1.30" hidden="1">'Problema 2'!$R$18</definedName>
    <definedName name="_xlchart.v1.31" hidden="1">'Problema 2'!$R$19:$R$20</definedName>
    <definedName name="_xlchart.v1.32" hidden="1">'Problema 2'!$R$21:$R$22</definedName>
    <definedName name="_xlchart.v1.33" hidden="1">'Problema 2'!$S$3:$S$15</definedName>
    <definedName name="_xlchart.v1.34" hidden="1">'Problema 2'!$T$18:$T$20</definedName>
    <definedName name="_xlchart.v1.35" hidden="1">'Problema 2'!$T$25:$T$27</definedName>
    <definedName name="_xlchart.v1.36" hidden="1">'Problema 2'!$U$18:$U$20</definedName>
    <definedName name="_xlchart.v1.37" hidden="1">'Problema 2'!$U$25:$U$27</definedName>
    <definedName name="_xlchart.v1.38" hidden="1">'Problema 2'!$U$3:$U$15</definedName>
    <definedName name="_xlchart.v1.4" hidden="1">'Problema 2'!$Q$21:$Q$22</definedName>
    <definedName name="_xlchart.v1.5" hidden="1">'Problema 2'!$Q$3:$Q$15</definedName>
    <definedName name="_xlchart.v1.6" hidden="1">'Problema 2'!$R$18</definedName>
    <definedName name="_xlchart.v1.7" hidden="1">'Problema 2'!$R$19:$R$20</definedName>
    <definedName name="_xlchart.v1.8" hidden="1">'Problema 2'!$R$21:$R$22</definedName>
    <definedName name="_xlchart.v1.9" hidden="1">'Problema 2'!$S$3:$S$15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1" i="2" l="1"/>
  <c r="H23" i="2"/>
  <c r="H8" i="2"/>
  <c r="H19" i="2" a="1"/>
  <c r="H19" i="2" s="1"/>
  <c r="I17" i="2"/>
  <c r="I16" i="2"/>
  <c r="H17" i="2"/>
  <c r="G17" i="2"/>
  <c r="U29" i="2"/>
  <c r="T29" i="2"/>
  <c r="T28" i="2"/>
  <c r="AH34" i="2"/>
  <c r="X23" i="2"/>
  <c r="AG33" i="2"/>
  <c r="AG32" i="2"/>
  <c r="AH31" i="2"/>
  <c r="AG30" i="2"/>
  <c r="AG29" i="2"/>
  <c r="AG27" i="2"/>
  <c r="AG26" i="2"/>
  <c r="AG24" i="2"/>
  <c r="AG23" i="2"/>
  <c r="AG21" i="2"/>
  <c r="AH21" i="2"/>
  <c r="AG20" i="2"/>
  <c r="AG19" i="2"/>
  <c r="AG18" i="2"/>
  <c r="AG17" i="2"/>
  <c r="AG14" i="2"/>
  <c r="AG11" i="2"/>
  <c r="AG8" i="2"/>
  <c r="AG4" i="2"/>
  <c r="AG5" i="2"/>
  <c r="AH3" i="2"/>
  <c r="AG3" i="2"/>
  <c r="T27" i="2"/>
  <c r="U26" i="2"/>
  <c r="U25" i="2"/>
  <c r="T26" i="2"/>
  <c r="T25" i="2"/>
  <c r="T20" i="2"/>
  <c r="U19" i="2"/>
  <c r="T19" i="2"/>
  <c r="T18" i="2" l="1"/>
  <c r="Q27" i="2"/>
  <c r="Q28" i="2" s="1"/>
  <c r="U18" i="2" s="1"/>
  <c r="R26" i="2"/>
  <c r="Q26" i="2"/>
  <c r="R25" i="2"/>
  <c r="Q25" i="2"/>
  <c r="R22" i="2"/>
  <c r="Q22" i="2"/>
  <c r="Q21" i="2"/>
  <c r="R20" i="2"/>
  <c r="Q4" i="2"/>
  <c r="Q5" i="2"/>
  <c r="Q6" i="2"/>
  <c r="Q7" i="2"/>
  <c r="Q8" i="2"/>
  <c r="Q9" i="2"/>
  <c r="Q10" i="2"/>
  <c r="Q11" i="2"/>
  <c r="Q12" i="2"/>
  <c r="Q13" i="2"/>
  <c r="Q14" i="2"/>
  <c r="Q15" i="2"/>
  <c r="Q3" i="2"/>
  <c r="Q1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3" i="2"/>
  <c r="F12" i="2"/>
  <c r="U20" i="2" l="1"/>
  <c r="U27" i="2"/>
  <c r="AH52" i="1"/>
  <c r="AI52" i="1" s="1"/>
  <c r="AH49" i="1"/>
  <c r="AH50" i="1" s="1"/>
  <c r="AH48" i="1"/>
  <c r="AH46" i="1"/>
  <c r="AH43" i="1"/>
  <c r="AH44" i="1" s="1"/>
  <c r="AH41" i="1"/>
  <c r="AH42" i="1" s="1"/>
  <c r="AH39" i="1"/>
  <c r="AH40" i="1" s="1"/>
  <c r="AH37" i="1"/>
  <c r="AH38" i="1" s="1"/>
  <c r="AH36" i="1"/>
  <c r="AH34" i="1"/>
  <c r="AH73" i="1"/>
  <c r="AH74" i="1" s="1"/>
  <c r="AH80" i="1"/>
  <c r="AH78" i="1"/>
  <c r="AH76" i="1"/>
  <c r="AH71" i="1"/>
  <c r="AH72" i="1" s="1"/>
  <c r="AH69" i="1"/>
  <c r="AH70" i="1" s="1"/>
  <c r="AH67" i="1"/>
  <c r="AH68" i="1" s="1"/>
  <c r="AH66" i="1"/>
  <c r="AH64" i="1"/>
  <c r="V71" i="1"/>
  <c r="AI74" i="1" s="1"/>
  <c r="AI75" i="1" s="1"/>
  <c r="U71" i="1"/>
  <c r="B73" i="1"/>
  <c r="V70" i="1"/>
  <c r="Q84" i="1"/>
  <c r="H84" i="1"/>
  <c r="U70" i="1" s="1"/>
  <c r="R83" i="1"/>
  <c r="Q83" i="1"/>
  <c r="K83" i="1"/>
  <c r="K82" i="1"/>
  <c r="K81" i="1"/>
  <c r="K80" i="1"/>
  <c r="K79" i="1"/>
  <c r="B79" i="1"/>
  <c r="N78" i="1"/>
  <c r="M78" i="1"/>
  <c r="K78" i="1"/>
  <c r="K77" i="1"/>
  <c r="K76" i="1"/>
  <c r="K75" i="1"/>
  <c r="K74" i="1"/>
  <c r="K73" i="1"/>
  <c r="K72" i="1"/>
  <c r="F72" i="1"/>
  <c r="N82" i="1" s="1"/>
  <c r="B72" i="1"/>
  <c r="Q74" i="1" s="1"/>
  <c r="R84" i="1" s="1"/>
  <c r="K71" i="1"/>
  <c r="K70" i="1"/>
  <c r="K69" i="1"/>
  <c r="H69" i="1"/>
  <c r="F73" i="1" s="1"/>
  <c r="K68" i="1"/>
  <c r="K67" i="1"/>
  <c r="K66" i="1"/>
  <c r="K65" i="1"/>
  <c r="J64" i="1"/>
  <c r="K64" i="1" s="1"/>
  <c r="K63" i="1"/>
  <c r="Q54" i="1"/>
  <c r="H54" i="1"/>
  <c r="R53" i="1"/>
  <c r="Q53" i="1"/>
  <c r="K53" i="1"/>
  <c r="K52" i="1"/>
  <c r="K51" i="1"/>
  <c r="K50" i="1"/>
  <c r="K49" i="1"/>
  <c r="B49" i="1"/>
  <c r="N48" i="1"/>
  <c r="M48" i="1"/>
  <c r="K48" i="1"/>
  <c r="K47" i="1"/>
  <c r="K46" i="1"/>
  <c r="K45" i="1"/>
  <c r="K44" i="1"/>
  <c r="K43" i="1"/>
  <c r="K42" i="1"/>
  <c r="F42" i="1"/>
  <c r="N52" i="1" s="1"/>
  <c r="B42" i="1"/>
  <c r="Q44" i="1" s="1"/>
  <c r="K41" i="1"/>
  <c r="V40" i="1"/>
  <c r="U40" i="1"/>
  <c r="K40" i="1"/>
  <c r="K39" i="1"/>
  <c r="H39" i="1"/>
  <c r="N51" i="1" s="1"/>
  <c r="K38" i="1"/>
  <c r="K37" i="1"/>
  <c r="K36" i="1"/>
  <c r="K35" i="1"/>
  <c r="J34" i="1"/>
  <c r="K34" i="1" s="1"/>
  <c r="K33" i="1"/>
  <c r="AH19" i="1"/>
  <c r="AH20" i="1" s="1"/>
  <c r="AH11" i="1"/>
  <c r="AH9" i="1"/>
  <c r="AH22" i="1"/>
  <c r="AI22" i="1" s="1"/>
  <c r="AH18" i="1"/>
  <c r="AH16" i="1"/>
  <c r="AH14" i="1"/>
  <c r="AH13" i="1"/>
  <c r="AH12" i="1"/>
  <c r="AH10" i="1"/>
  <c r="AH7" i="1"/>
  <c r="AH8" i="1" s="1"/>
  <c r="AH6" i="1"/>
  <c r="AH4" i="1"/>
  <c r="F12" i="1"/>
  <c r="N18" i="1"/>
  <c r="H24" i="1"/>
  <c r="U10" i="1" s="1"/>
  <c r="H9" i="1"/>
  <c r="AH2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3" i="1"/>
  <c r="J4" i="1"/>
  <c r="K4" i="1" s="1"/>
  <c r="Q24" i="1"/>
  <c r="R23" i="1"/>
  <c r="Q23" i="1"/>
  <c r="B19" i="1"/>
  <c r="M18" i="1"/>
  <c r="B12" i="1"/>
  <c r="U28" i="2" l="1"/>
  <c r="AH26" i="2"/>
  <c r="AH29" i="2" s="1"/>
  <c r="AH32" i="2" s="1"/>
  <c r="AL5" i="2"/>
  <c r="AH5" i="2"/>
  <c r="AH8" i="2" s="1"/>
  <c r="AH11" i="2" s="1"/>
  <c r="AH14" i="2" s="1"/>
  <c r="AH17" i="2" s="1"/>
  <c r="AH20" i="2" s="1"/>
  <c r="AH23" i="2" s="1"/>
  <c r="AI76" i="1"/>
  <c r="AI77" i="1" s="1"/>
  <c r="F43" i="1"/>
  <c r="AH62" i="1"/>
  <c r="AI78" i="1"/>
  <c r="AI79" i="1" s="1"/>
  <c r="AH32" i="1"/>
  <c r="H38" i="1"/>
  <c r="R54" i="1"/>
  <c r="N81" i="1"/>
  <c r="AI62" i="1"/>
  <c r="AI63" i="1" s="1"/>
  <c r="AN5" i="1"/>
  <c r="AI32" i="1"/>
  <c r="AI33" i="1" s="1"/>
  <c r="AN4" i="1"/>
  <c r="M77" i="1"/>
  <c r="N77" i="1"/>
  <c r="M81" i="1"/>
  <c r="H83" i="1"/>
  <c r="H68" i="1"/>
  <c r="H53" i="1"/>
  <c r="M47" i="1"/>
  <c r="M51" i="1"/>
  <c r="N47" i="1"/>
  <c r="AN3" i="1"/>
  <c r="AN6" i="1" s="1"/>
  <c r="V10" i="1"/>
  <c r="F13" i="1"/>
  <c r="AN2" i="1" s="1"/>
  <c r="Q14" i="1"/>
  <c r="R24" i="1" s="1"/>
  <c r="H23" i="1"/>
  <c r="AI2" i="1"/>
  <c r="AI3" i="1" s="1"/>
  <c r="M21" i="1"/>
  <c r="M17" i="1"/>
  <c r="N21" i="1"/>
  <c r="H8" i="1"/>
  <c r="N17" i="1"/>
  <c r="AI14" i="1" l="1"/>
  <c r="AI15" i="1" s="1"/>
  <c r="AI48" i="1"/>
  <c r="AI49" i="1" s="1"/>
  <c r="V41" i="1"/>
  <c r="AI46" i="1"/>
  <c r="AI47" i="1" s="1"/>
  <c r="AI50" i="1"/>
  <c r="AI51" i="1" s="1"/>
  <c r="AI18" i="1"/>
  <c r="AI19" i="1" s="1"/>
  <c r="AI16" i="1"/>
  <c r="AI17" i="1" s="1"/>
  <c r="AI44" i="1"/>
  <c r="AI45" i="1" s="1"/>
  <c r="AI20" i="1"/>
  <c r="AI21" i="1" s="1"/>
  <c r="N22" i="1"/>
  <c r="AI40" i="1" l="1"/>
  <c r="AI41" i="1" s="1"/>
  <c r="AI64" i="1"/>
  <c r="AI65" i="1" s="1"/>
  <c r="AI36" i="1"/>
  <c r="AI37" i="1" s="1"/>
  <c r="AI38" i="1"/>
  <c r="AI39" i="1" s="1"/>
  <c r="AI66" i="1"/>
  <c r="AI67" i="1" s="1"/>
  <c r="AI72" i="1"/>
  <c r="AI73" i="1" s="1"/>
  <c r="AI70" i="1"/>
  <c r="AI71" i="1" s="1"/>
  <c r="AI42" i="1"/>
  <c r="AI43" i="1" s="1"/>
  <c r="AI34" i="1"/>
  <c r="AI35" i="1" s="1"/>
  <c r="AI68" i="1"/>
  <c r="AI69" i="1" s="1"/>
  <c r="AI4" i="1"/>
  <c r="AI5" i="1" s="1"/>
  <c r="AI10" i="1"/>
  <c r="AI11" i="1" s="1"/>
  <c r="AI6" i="1"/>
  <c r="AI7" i="1" s="1"/>
  <c r="AI12" i="1"/>
  <c r="AI13" i="1" s="1"/>
  <c r="AI8" i="1"/>
  <c r="A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<sst xmlns="http://schemas.openxmlformats.org/spreadsheetml/2006/main" count="374" uniqueCount="77">
  <si>
    <t>Diagrama</t>
  </si>
  <si>
    <t>Datos ELV</t>
  </si>
  <si>
    <t>Enriquecimiento</t>
  </si>
  <si>
    <t>Alimentación</t>
  </si>
  <si>
    <t>Agotamiento</t>
  </si>
  <si>
    <t>x</t>
  </si>
  <si>
    <t>y</t>
  </si>
  <si>
    <t>OP</t>
  </si>
  <si>
    <t>a)</t>
  </si>
  <si>
    <t>Sub</t>
  </si>
  <si>
    <t>Nombre</t>
  </si>
  <si>
    <t>Coordenadas para linea de agotamiento</t>
  </si>
  <si>
    <t>EQ</t>
  </si>
  <si>
    <t>b)</t>
  </si>
  <si>
    <t>c)</t>
  </si>
  <si>
    <t>d)</t>
  </si>
  <si>
    <t>P_1</t>
  </si>
  <si>
    <t>x_B</t>
  </si>
  <si>
    <t>P_2</t>
  </si>
  <si>
    <t>D</t>
  </si>
  <si>
    <t>x_D</t>
  </si>
  <si>
    <t>Coordenadas para linea de enriquecimiento</t>
  </si>
  <si>
    <t>Datos</t>
  </si>
  <si>
    <t>F</t>
  </si>
  <si>
    <t>kmol / h</t>
  </si>
  <si>
    <t>z</t>
  </si>
  <si>
    <t>R_min</t>
  </si>
  <si>
    <t>x_D / (R + 1)</t>
  </si>
  <si>
    <t>q</t>
  </si>
  <si>
    <t>Supociciones</t>
  </si>
  <si>
    <t>Minimo</t>
  </si>
  <si>
    <t>Super flujo molar cte.</t>
  </si>
  <si>
    <t>Coordenadas para linea de alimentación</t>
  </si>
  <si>
    <t>V / L</t>
  </si>
  <si>
    <t>B</t>
  </si>
  <si>
    <t>A</t>
  </si>
  <si>
    <t>alfa</t>
  </si>
  <si>
    <t>deltaL</t>
  </si>
  <si>
    <t>2.3 * Minimo</t>
  </si>
  <si>
    <t>Etapas 2.3</t>
  </si>
  <si>
    <t>Alim 3</t>
  </si>
  <si>
    <t>Vapor Vivo</t>
  </si>
  <si>
    <t>e)</t>
  </si>
  <si>
    <t>R</t>
  </si>
  <si>
    <t>T</t>
  </si>
  <si>
    <t>˚F</t>
  </si>
  <si>
    <t>Liq Sat.</t>
  </si>
  <si>
    <t>EVL</t>
  </si>
  <si>
    <t>T (˚C)</t>
  </si>
  <si>
    <t>T, °C</t>
  </si>
  <si>
    <r>
      <t>H</t>
    </r>
    <r>
      <rPr>
        <b/>
        <vertAlign val="subscript"/>
        <sz val="11"/>
        <color rgb="FF000000"/>
        <rFont val="Arial"/>
        <family val="2"/>
      </rPr>
      <t>v</t>
    </r>
  </si>
  <si>
    <r>
      <t>h</t>
    </r>
    <r>
      <rPr>
        <b/>
        <vertAlign val="subscript"/>
        <sz val="11"/>
        <color rgb="FF000000"/>
        <rFont val="Arial"/>
        <family val="2"/>
      </rPr>
      <t>L</t>
    </r>
  </si>
  <si>
    <t>Entalpia</t>
  </si>
  <si>
    <t>x %</t>
  </si>
  <si>
    <t>y %</t>
  </si>
  <si>
    <t>lbmol / h</t>
  </si>
  <si>
    <t>H</t>
  </si>
  <si>
    <t>y or x (%)</t>
  </si>
  <si>
    <t>y o x</t>
  </si>
  <si>
    <t>Eq Vap Reparto</t>
  </si>
  <si>
    <t>Eq Liq Reparto</t>
  </si>
  <si>
    <t>Q'_min</t>
  </si>
  <si>
    <t>Q''_min</t>
  </si>
  <si>
    <t>Calculo de Q'_min</t>
  </si>
  <si>
    <t>H_V1</t>
  </si>
  <si>
    <t>H_L0</t>
  </si>
  <si>
    <t>Calculo R</t>
  </si>
  <si>
    <t>Q'</t>
  </si>
  <si>
    <t>Q''</t>
  </si>
  <si>
    <t>Calculo de Q' y Q''</t>
  </si>
  <si>
    <t>y_D</t>
  </si>
  <si>
    <t>Trazado</t>
  </si>
  <si>
    <t>Etapas</t>
  </si>
  <si>
    <t>x o y</t>
  </si>
  <si>
    <t>y_B</t>
  </si>
  <si>
    <t>Solución Balance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</si>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</sst>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3" borderId="4" xfId="0" applyFill="1" applyBorder="1"/>
    <xf numFmtId="0" fontId="0" fillId="2" borderId="5" xfId="0" applyFill="1" applyBorder="1"/>
    <xf numFmtId="0" fontId="0" fillId="2" borderId="0" xfId="0" applyFill="1"/>
    <xf numFmtId="0" fontId="0" fillId="4" borderId="0" xfId="0" applyFill="1"/>
    <xf numFmtId="0" fontId="0" fillId="4" borderId="6" xfId="0" applyFill="1" applyBorder="1"/>
    <xf numFmtId="0" fontId="0" fillId="5" borderId="5" xfId="0" applyFill="1" applyBorder="1"/>
    <xf numFmtId="0" fontId="0" fillId="5" borderId="0" xfId="0" applyFill="1"/>
    <xf numFmtId="0" fontId="0" fillId="5" borderId="6" xfId="0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2" borderId="4" xfId="0" applyFill="1" applyBorder="1"/>
    <xf numFmtId="0" fontId="1" fillId="0" borderId="4" xfId="0" applyFont="1" applyBorder="1"/>
    <xf numFmtId="0" fontId="0" fillId="4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2" borderId="5" xfId="0" applyFont="1" applyFill="1" applyBorder="1"/>
    <xf numFmtId="0" fontId="0" fillId="2" borderId="0" xfId="0" applyFont="1" applyFill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0" xfId="0" applyFont="1" applyFill="1"/>
    <xf numFmtId="0" fontId="0" fillId="4" borderId="6" xfId="0" applyFont="1" applyFill="1" applyBorder="1"/>
    <xf numFmtId="0" fontId="0" fillId="5" borderId="5" xfId="0" applyFont="1" applyFill="1" applyBorder="1"/>
    <xf numFmtId="0" fontId="0" fillId="5" borderId="0" xfId="0" applyFont="1" applyFill="1"/>
    <xf numFmtId="0" fontId="0" fillId="5" borderId="6" xfId="0" applyFont="1" applyFill="1" applyBorder="1"/>
    <xf numFmtId="0" fontId="0" fillId="6" borderId="5" xfId="0" applyFont="1" applyFill="1" applyBorder="1"/>
    <xf numFmtId="0" fontId="0" fillId="6" borderId="0" xfId="0" applyFont="1" applyFill="1"/>
    <xf numFmtId="0" fontId="0" fillId="6" borderId="6" xfId="0" applyFont="1" applyFill="1" applyBorder="1"/>
    <xf numFmtId="0" fontId="0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/>
    </xf>
    <xf numFmtId="0" fontId="0" fillId="4" borderId="5" xfId="0" applyFont="1" applyFill="1" applyBorder="1"/>
    <xf numFmtId="2" fontId="0" fillId="5" borderId="0" xfId="0" applyNumberFormat="1" applyFont="1" applyFill="1"/>
    <xf numFmtId="0" fontId="0" fillId="2" borderId="6" xfId="0" applyFont="1" applyFill="1" applyBorder="1"/>
    <xf numFmtId="0" fontId="0" fillId="3" borderId="5" xfId="0" applyFont="1" applyFill="1" applyBorder="1"/>
    <xf numFmtId="0" fontId="3" fillId="3" borderId="5" xfId="0" applyFont="1" applyFill="1" applyBorder="1" applyAlignment="1">
      <alignment vertical="center" wrapText="1"/>
    </xf>
    <xf numFmtId="0" fontId="0" fillId="3" borderId="5" xfId="0" applyFont="1" applyFill="1" applyBorder="1" applyAlignment="1"/>
    <xf numFmtId="0" fontId="0" fillId="3" borderId="0" xfId="0" applyFont="1" applyFill="1" applyAlignment="1"/>
    <xf numFmtId="0" fontId="0" fillId="4" borderId="5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5" xfId="0" applyFill="1" applyBorder="1" applyAlignment="1"/>
    <xf numFmtId="0" fontId="0" fillId="7" borderId="0" xfId="0" applyFill="1"/>
    <xf numFmtId="0" fontId="0" fillId="7" borderId="11" xfId="0" applyFill="1" applyBorder="1"/>
    <xf numFmtId="0" fontId="0" fillId="7" borderId="12" xfId="0" applyFill="1" applyBorder="1"/>
    <xf numFmtId="0" fontId="0" fillId="7" borderId="10" xfId="0" applyFill="1" applyBorder="1"/>
    <xf numFmtId="0" fontId="0" fillId="7" borderId="4" xfId="0" applyFill="1" applyBorder="1"/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4" borderId="11" xfId="0" applyFill="1" applyBorder="1"/>
    <xf numFmtId="0" fontId="0" fillId="0" borderId="0" xfId="0" applyFill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4" xfId="0" applyFill="1" applyBorder="1" applyAlignment="1">
      <alignment horizontal="center"/>
    </xf>
    <xf numFmtId="0" fontId="0" fillId="4" borderId="13" xfId="0" applyFill="1" applyBorder="1"/>
    <xf numFmtId="0" fontId="0" fillId="4" borderId="15" xfId="0" applyFill="1" applyBorder="1"/>
    <xf numFmtId="0" fontId="0" fillId="4" borderId="4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'Problema 1'!$J$3:$J$23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'Problema 1'!$K$3:$K$23</c:f>
              <c:numCache>
                <c:formatCode>General</c:formatCode>
                <c:ptCount val="21"/>
                <c:pt idx="0">
                  <c:v>0</c:v>
                </c:pt>
                <c:pt idx="1">
                  <c:v>9.5238095238095233E-2</c:v>
                </c:pt>
                <c:pt idx="2">
                  <c:v>0.18181818181818182</c:v>
                </c:pt>
                <c:pt idx="3">
                  <c:v>0.2608695652173913</c:v>
                </c:pt>
                <c:pt idx="4">
                  <c:v>0.33333333333333337</c:v>
                </c:pt>
                <c:pt idx="5">
                  <c:v>0.4</c:v>
                </c:pt>
                <c:pt idx="6">
                  <c:v>0.46153846153846151</c:v>
                </c:pt>
                <c:pt idx="7">
                  <c:v>0.51851851851851849</c:v>
                </c:pt>
                <c:pt idx="8">
                  <c:v>0.57142857142857151</c:v>
                </c:pt>
                <c:pt idx="9">
                  <c:v>0.62068965517241381</c:v>
                </c:pt>
                <c:pt idx="10">
                  <c:v>0.66666666666666663</c:v>
                </c:pt>
                <c:pt idx="11">
                  <c:v>0.70967741935483875</c:v>
                </c:pt>
                <c:pt idx="12">
                  <c:v>0.74999999999999989</c:v>
                </c:pt>
                <c:pt idx="13">
                  <c:v>0.78787878787878796</c:v>
                </c:pt>
                <c:pt idx="14">
                  <c:v>0.82352941176470584</c:v>
                </c:pt>
                <c:pt idx="15">
                  <c:v>0.8571428571428571</c:v>
                </c:pt>
                <c:pt idx="16">
                  <c:v>0.88888888888888895</c:v>
                </c:pt>
                <c:pt idx="17">
                  <c:v>0.91891891891891886</c:v>
                </c:pt>
                <c:pt idx="18">
                  <c:v>0.94736842105263164</c:v>
                </c:pt>
                <c:pt idx="19">
                  <c:v>0.97435897435897434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2-984B-B7E1-A956D8AFAFD1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DF2-984B-B7E1-A956D8AFAFD1}"/>
            </c:ext>
          </c:extLst>
        </c:ser>
        <c:ser>
          <c:idx val="2"/>
          <c:order val="2"/>
          <c:tx>
            <c:v>Alimentación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'Problema 1'!$Q$23:$Q$24</c:f>
              <c:numCache>
                <c:formatCode>General</c:formatCode>
                <c:ptCount val="2"/>
                <c:pt idx="0">
                  <c:v>0.46</c:v>
                </c:pt>
                <c:pt idx="1">
                  <c:v>0</c:v>
                </c:pt>
              </c:numCache>
            </c:numRef>
          </c:xVal>
          <c:yVal>
            <c:numRef>
              <c:f>'Problema 1'!$R$23:$R$24</c:f>
              <c:numCache>
                <c:formatCode>General</c:formatCode>
                <c:ptCount val="2"/>
                <c:pt idx="0">
                  <c:v>0.46</c:v>
                </c:pt>
                <c:pt idx="1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F2-984B-B7E1-A956D8AFAFD1}"/>
            </c:ext>
          </c:extLst>
        </c:ser>
        <c:ser>
          <c:idx val="3"/>
          <c:order val="3"/>
          <c:tx>
            <c:v>Enriquecimiento R_min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'Problema 1'!$M$17:$M$18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'Problema 1'!$N$17:$N$18</c:f>
              <c:numCache>
                <c:formatCode>General</c:formatCode>
                <c:ptCount val="2"/>
                <c:pt idx="0">
                  <c:v>0.85</c:v>
                </c:pt>
                <c:pt idx="1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F2-984B-B7E1-A956D8AFAFD1}"/>
            </c:ext>
          </c:extLst>
        </c:ser>
        <c:ser>
          <c:idx val="4"/>
          <c:order val="4"/>
          <c:tx>
            <c:v>Enriquecimiento 2.3R_min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'Problema 1'!$M$21:$M$22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'Problema 1'!$N$21:$N$22</c:f>
              <c:numCache>
                <c:formatCode>General</c:formatCode>
                <c:ptCount val="2"/>
                <c:pt idx="0">
                  <c:v>0.85</c:v>
                </c:pt>
                <c:pt idx="1">
                  <c:v>0.25757575757575757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F2-984B-B7E1-A956D8AFAFD1}"/>
            </c:ext>
          </c:extLst>
        </c:ser>
        <c:ser>
          <c:idx val="5"/>
          <c:order val="5"/>
          <c:tx>
            <c:v>Agotamiento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'Problema 1'!$U$10:$U$11</c:f>
              <c:numCache>
                <c:formatCode>General</c:formatCode>
                <c:ptCount val="2"/>
                <c:pt idx="0">
                  <c:v>0.17000000000000004</c:v>
                </c:pt>
                <c:pt idx="1">
                  <c:v>0.39</c:v>
                </c:pt>
              </c:numCache>
            </c:numRef>
          </c:xVal>
          <c:yVal>
            <c:numRef>
              <c:f>'Problema 1'!$V$10:$V$11</c:f>
              <c:numCache>
                <c:formatCode>General</c:formatCode>
                <c:ptCount val="2"/>
                <c:pt idx="0">
                  <c:v>0.17000000000000004</c:v>
                </c:pt>
                <c:pt idx="1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F2-984B-B7E1-A956D8AFAFD1}"/>
            </c:ext>
          </c:extLst>
        </c:ser>
        <c:ser>
          <c:idx val="6"/>
          <c:order val="6"/>
          <c:tx>
            <c:v>Etapas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'Problema 1'!$AH$2:$AH$29</c:f>
              <c:numCache>
                <c:formatCode>General</c:formatCode>
                <c:ptCount val="28"/>
                <c:pt idx="0">
                  <c:v>0.85</c:v>
                </c:pt>
                <c:pt idx="1">
                  <c:v>0.74</c:v>
                </c:pt>
                <c:pt idx="2">
                  <c:v>0.74</c:v>
                </c:pt>
                <c:pt idx="3">
                  <c:v>0.63</c:v>
                </c:pt>
                <c:pt idx="4">
                  <c:v>0.63</c:v>
                </c:pt>
                <c:pt idx="5">
                  <c:v>0.53500000000000003</c:v>
                </c:pt>
                <c:pt idx="6">
                  <c:v>0.53500000000000003</c:v>
                </c:pt>
                <c:pt idx="7">
                  <c:v>0.46100000000000002</c:v>
                </c:pt>
                <c:pt idx="8">
                  <c:v>0.46100000000000002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0.372</c:v>
                </c:pt>
                <c:pt idx="12">
                  <c:v>0.372</c:v>
                </c:pt>
                <c:pt idx="13">
                  <c:v>0.33400000000000002</c:v>
                </c:pt>
                <c:pt idx="14">
                  <c:v>0.33400000000000002</c:v>
                </c:pt>
                <c:pt idx="15">
                  <c:v>0.28100000000000003</c:v>
                </c:pt>
                <c:pt idx="16">
                  <c:v>0.28100000000000003</c:v>
                </c:pt>
                <c:pt idx="17">
                  <c:v>0.21299999999999999</c:v>
                </c:pt>
                <c:pt idx="18">
                  <c:v>0.21299999999999999</c:v>
                </c:pt>
                <c:pt idx="19">
                  <c:v>0.13700000000000001</c:v>
                </c:pt>
                <c:pt idx="20">
                  <c:v>0.13700000000000001</c:v>
                </c:pt>
              </c:numCache>
            </c:numRef>
          </c:xVal>
          <c:yVal>
            <c:numRef>
              <c:f>'Problema 1'!$AI$2:$AI$29</c:f>
              <c:numCache>
                <c:formatCode>General</c:formatCode>
                <c:ptCount val="28"/>
                <c:pt idx="0">
                  <c:v>0.85</c:v>
                </c:pt>
                <c:pt idx="1">
                  <c:v>0.85</c:v>
                </c:pt>
                <c:pt idx="2">
                  <c:v>0.77333333333333332</c:v>
                </c:pt>
                <c:pt idx="3">
                  <c:v>0.77333333333333332</c:v>
                </c:pt>
                <c:pt idx="4">
                  <c:v>0.69666666666666655</c:v>
                </c:pt>
                <c:pt idx="5">
                  <c:v>0.69666666666666655</c:v>
                </c:pt>
                <c:pt idx="6">
                  <c:v>0.63045454545454538</c:v>
                </c:pt>
                <c:pt idx="7">
                  <c:v>0.63045454545454538</c:v>
                </c:pt>
                <c:pt idx="8">
                  <c:v>0.57887878787878788</c:v>
                </c:pt>
                <c:pt idx="9">
                  <c:v>0.57887878787878788</c:v>
                </c:pt>
                <c:pt idx="10">
                  <c:v>0.54193939393939394</c:v>
                </c:pt>
                <c:pt idx="11">
                  <c:v>0.54193939393939394</c:v>
                </c:pt>
                <c:pt idx="12">
                  <c:v>0.50054545454545452</c:v>
                </c:pt>
                <c:pt idx="13">
                  <c:v>0.50054545454545452</c:v>
                </c:pt>
                <c:pt idx="14">
                  <c:v>0.43836363636363618</c:v>
                </c:pt>
                <c:pt idx="15">
                  <c:v>0.43836363636363618</c:v>
                </c:pt>
                <c:pt idx="16">
                  <c:v>0.35163636363636364</c:v>
                </c:pt>
                <c:pt idx="17">
                  <c:v>0.35163636363636364</c:v>
                </c:pt>
                <c:pt idx="18">
                  <c:v>0.24036363636363622</c:v>
                </c:pt>
                <c:pt idx="19">
                  <c:v>0.24036363636363622</c:v>
                </c:pt>
                <c:pt idx="20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F2-984B-B7E1-A956D8AF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500976"/>
        <c:axId val="1644493008"/>
      </c:scatterChart>
      <c:valAx>
        <c:axId val="1663500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93008"/>
        <c:crosses val="autoZero"/>
        <c:crossBetween val="midCat"/>
        <c:majorUnit val="5.000000000000001E-2"/>
      </c:valAx>
      <c:valAx>
        <c:axId val="1644493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0097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'Problema 1'!$J$3:$J$23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'Problema 1'!$K$3:$K$23</c:f>
              <c:numCache>
                <c:formatCode>General</c:formatCode>
                <c:ptCount val="21"/>
                <c:pt idx="0">
                  <c:v>0</c:v>
                </c:pt>
                <c:pt idx="1">
                  <c:v>9.5238095238095233E-2</c:v>
                </c:pt>
                <c:pt idx="2">
                  <c:v>0.18181818181818182</c:v>
                </c:pt>
                <c:pt idx="3">
                  <c:v>0.2608695652173913</c:v>
                </c:pt>
                <c:pt idx="4">
                  <c:v>0.33333333333333337</c:v>
                </c:pt>
                <c:pt idx="5">
                  <c:v>0.4</c:v>
                </c:pt>
                <c:pt idx="6">
                  <c:v>0.46153846153846151</c:v>
                </c:pt>
                <c:pt idx="7">
                  <c:v>0.51851851851851849</c:v>
                </c:pt>
                <c:pt idx="8">
                  <c:v>0.57142857142857151</c:v>
                </c:pt>
                <c:pt idx="9">
                  <c:v>0.62068965517241381</c:v>
                </c:pt>
                <c:pt idx="10">
                  <c:v>0.66666666666666663</c:v>
                </c:pt>
                <c:pt idx="11">
                  <c:v>0.70967741935483875</c:v>
                </c:pt>
                <c:pt idx="12">
                  <c:v>0.74999999999999989</c:v>
                </c:pt>
                <c:pt idx="13">
                  <c:v>0.78787878787878796</c:v>
                </c:pt>
                <c:pt idx="14">
                  <c:v>0.82352941176470584</c:v>
                </c:pt>
                <c:pt idx="15">
                  <c:v>0.8571428571428571</c:v>
                </c:pt>
                <c:pt idx="16">
                  <c:v>0.88888888888888895</c:v>
                </c:pt>
                <c:pt idx="17">
                  <c:v>0.91891891891891886</c:v>
                </c:pt>
                <c:pt idx="18">
                  <c:v>0.94736842105263164</c:v>
                </c:pt>
                <c:pt idx="19">
                  <c:v>0.97435897435897434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E-FD46-9ED9-A062357FAFB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ADE-FD46-9ED9-A062357FAFB3}"/>
            </c:ext>
          </c:extLst>
        </c:ser>
        <c:ser>
          <c:idx val="2"/>
          <c:order val="2"/>
          <c:tx>
            <c:v>Alimentación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'Problema 1'!$Q$53:$Q$54</c:f>
              <c:numCache>
                <c:formatCode>General</c:formatCode>
                <c:ptCount val="2"/>
                <c:pt idx="0">
                  <c:v>0.46</c:v>
                </c:pt>
                <c:pt idx="1">
                  <c:v>0</c:v>
                </c:pt>
              </c:numCache>
            </c:numRef>
          </c:xVal>
          <c:yVal>
            <c:numRef>
              <c:f>'Problema 1'!$R$53:$R$54</c:f>
              <c:numCache>
                <c:formatCode>General</c:formatCode>
                <c:ptCount val="2"/>
                <c:pt idx="0">
                  <c:v>0.46</c:v>
                </c:pt>
                <c:pt idx="1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DE-FD46-9ED9-A062357FAFB3}"/>
            </c:ext>
          </c:extLst>
        </c:ser>
        <c:ser>
          <c:idx val="4"/>
          <c:order val="3"/>
          <c:tx>
            <c:v>Enriquecimiento 2.3R_min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'Problema 1'!$M$51:$M$52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'Problema 1'!$N$51:$N$52</c:f>
              <c:numCache>
                <c:formatCode>General</c:formatCode>
                <c:ptCount val="2"/>
                <c:pt idx="0">
                  <c:v>0.85</c:v>
                </c:pt>
                <c:pt idx="1">
                  <c:v>0.25757575757575757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DE-FD46-9ED9-A062357FAFB3}"/>
            </c:ext>
          </c:extLst>
        </c:ser>
        <c:ser>
          <c:idx val="5"/>
          <c:order val="4"/>
          <c:tx>
            <c:v>Agotamiento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'Problema 1'!$U$40:$U$41</c:f>
              <c:numCache>
                <c:formatCode>General</c:formatCode>
                <c:ptCount val="2"/>
                <c:pt idx="0">
                  <c:v>0.17000000000000004</c:v>
                </c:pt>
                <c:pt idx="1">
                  <c:v>0.44</c:v>
                </c:pt>
              </c:numCache>
            </c:numRef>
          </c:xVal>
          <c:yVal>
            <c:numRef>
              <c:f>'Problema 1'!$V$40:$V$41</c:f>
              <c:numCache>
                <c:formatCode>General</c:formatCode>
                <c:ptCount val="2"/>
                <c:pt idx="0">
                  <c:v>0.17000000000000004</c:v>
                </c:pt>
                <c:pt idx="1">
                  <c:v>0.61181818181818182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DE-FD46-9ED9-A062357FAFB3}"/>
            </c:ext>
          </c:extLst>
        </c:ser>
        <c:ser>
          <c:idx val="6"/>
          <c:order val="5"/>
          <c:tx>
            <c:v>Etapas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'Problema 1'!$AH$32:$AH$59</c:f>
              <c:numCache>
                <c:formatCode>General</c:formatCode>
                <c:ptCount val="28"/>
                <c:pt idx="0">
                  <c:v>0.85</c:v>
                </c:pt>
                <c:pt idx="1">
                  <c:v>0.74</c:v>
                </c:pt>
                <c:pt idx="2">
                  <c:v>0.74</c:v>
                </c:pt>
                <c:pt idx="3">
                  <c:v>0.63</c:v>
                </c:pt>
                <c:pt idx="4">
                  <c:v>0.63</c:v>
                </c:pt>
                <c:pt idx="5">
                  <c:v>0.53500000000000003</c:v>
                </c:pt>
                <c:pt idx="6">
                  <c:v>0.53500000000000003</c:v>
                </c:pt>
                <c:pt idx="7">
                  <c:v>0.46100000000000002</c:v>
                </c:pt>
                <c:pt idx="8">
                  <c:v>0.46100000000000002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0.372</c:v>
                </c:pt>
                <c:pt idx="12">
                  <c:v>0.372</c:v>
                </c:pt>
                <c:pt idx="13">
                  <c:v>0.33400000000000002</c:v>
                </c:pt>
                <c:pt idx="14">
                  <c:v>0.33400000000000002</c:v>
                </c:pt>
                <c:pt idx="15">
                  <c:v>0.28100000000000003</c:v>
                </c:pt>
                <c:pt idx="16">
                  <c:v>0.28100000000000003</c:v>
                </c:pt>
                <c:pt idx="17">
                  <c:v>0.21299999999999999</c:v>
                </c:pt>
                <c:pt idx="18">
                  <c:v>0.21299999999999999</c:v>
                </c:pt>
                <c:pt idx="19">
                  <c:v>0.13700000000000001</c:v>
                </c:pt>
                <c:pt idx="20">
                  <c:v>0.13700000000000001</c:v>
                </c:pt>
              </c:numCache>
            </c:numRef>
          </c:xVal>
          <c:yVal>
            <c:numRef>
              <c:f>'Problema 1'!$AI$32:$AI$59</c:f>
              <c:numCache>
                <c:formatCode>General</c:formatCode>
                <c:ptCount val="28"/>
                <c:pt idx="0">
                  <c:v>0.85</c:v>
                </c:pt>
                <c:pt idx="1">
                  <c:v>0.85</c:v>
                </c:pt>
                <c:pt idx="2">
                  <c:v>0.77333333333333332</c:v>
                </c:pt>
                <c:pt idx="3">
                  <c:v>0.77333333333333332</c:v>
                </c:pt>
                <c:pt idx="4">
                  <c:v>0.69666666666666655</c:v>
                </c:pt>
                <c:pt idx="5">
                  <c:v>0.69666666666666655</c:v>
                </c:pt>
                <c:pt idx="6">
                  <c:v>0.63045454545454538</c:v>
                </c:pt>
                <c:pt idx="7">
                  <c:v>0.63045454545454538</c:v>
                </c:pt>
                <c:pt idx="8">
                  <c:v>0.57887878787878788</c:v>
                </c:pt>
                <c:pt idx="9">
                  <c:v>0.57887878787878788</c:v>
                </c:pt>
                <c:pt idx="10">
                  <c:v>0.54193939393939394</c:v>
                </c:pt>
                <c:pt idx="11">
                  <c:v>0.54193939393939394</c:v>
                </c:pt>
                <c:pt idx="12">
                  <c:v>0.50054545454545452</c:v>
                </c:pt>
                <c:pt idx="13">
                  <c:v>0.50054545454545452</c:v>
                </c:pt>
                <c:pt idx="14">
                  <c:v>0.43836363636363618</c:v>
                </c:pt>
                <c:pt idx="15">
                  <c:v>0.43836363636363618</c:v>
                </c:pt>
                <c:pt idx="16">
                  <c:v>0.35163636363636364</c:v>
                </c:pt>
                <c:pt idx="17">
                  <c:v>0.35163636363636364</c:v>
                </c:pt>
                <c:pt idx="18">
                  <c:v>0.24036363636363622</c:v>
                </c:pt>
                <c:pt idx="19">
                  <c:v>0.24036363636363622</c:v>
                </c:pt>
                <c:pt idx="20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DE-FD46-9ED9-A062357F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500976"/>
        <c:axId val="1644493008"/>
      </c:scatterChart>
      <c:valAx>
        <c:axId val="1663500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93008"/>
        <c:crosses val="autoZero"/>
        <c:crossBetween val="midCat"/>
        <c:majorUnit val="5.000000000000001E-2"/>
      </c:valAx>
      <c:valAx>
        <c:axId val="1644493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0097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'Problema 1'!$J$3:$J$23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'Problema 1'!$K$3:$K$23</c:f>
              <c:numCache>
                <c:formatCode>General</c:formatCode>
                <c:ptCount val="21"/>
                <c:pt idx="0">
                  <c:v>0</c:v>
                </c:pt>
                <c:pt idx="1">
                  <c:v>9.5238095238095233E-2</c:v>
                </c:pt>
                <c:pt idx="2">
                  <c:v>0.18181818181818182</c:v>
                </c:pt>
                <c:pt idx="3">
                  <c:v>0.2608695652173913</c:v>
                </c:pt>
                <c:pt idx="4">
                  <c:v>0.33333333333333337</c:v>
                </c:pt>
                <c:pt idx="5">
                  <c:v>0.4</c:v>
                </c:pt>
                <c:pt idx="6">
                  <c:v>0.46153846153846151</c:v>
                </c:pt>
                <c:pt idx="7">
                  <c:v>0.51851851851851849</c:v>
                </c:pt>
                <c:pt idx="8">
                  <c:v>0.57142857142857151</c:v>
                </c:pt>
                <c:pt idx="9">
                  <c:v>0.62068965517241381</c:v>
                </c:pt>
                <c:pt idx="10">
                  <c:v>0.66666666666666663</c:v>
                </c:pt>
                <c:pt idx="11">
                  <c:v>0.70967741935483875</c:v>
                </c:pt>
                <c:pt idx="12">
                  <c:v>0.74999999999999989</c:v>
                </c:pt>
                <c:pt idx="13">
                  <c:v>0.78787878787878796</c:v>
                </c:pt>
                <c:pt idx="14">
                  <c:v>0.82352941176470584</c:v>
                </c:pt>
                <c:pt idx="15">
                  <c:v>0.8571428571428571</c:v>
                </c:pt>
                <c:pt idx="16">
                  <c:v>0.88888888888888895</c:v>
                </c:pt>
                <c:pt idx="17">
                  <c:v>0.91891891891891886</c:v>
                </c:pt>
                <c:pt idx="18">
                  <c:v>0.94736842105263164</c:v>
                </c:pt>
                <c:pt idx="19">
                  <c:v>0.97435897435897434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9-1742-BF11-8877B710AAEA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AA9-1742-BF11-8877B710AAEA}"/>
            </c:ext>
          </c:extLst>
        </c:ser>
        <c:ser>
          <c:idx val="2"/>
          <c:order val="2"/>
          <c:tx>
            <c:v>Alimentación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'Problema 1'!$Q$83:$Q$84</c:f>
              <c:numCache>
                <c:formatCode>General</c:formatCode>
                <c:ptCount val="2"/>
                <c:pt idx="0">
                  <c:v>0.46</c:v>
                </c:pt>
                <c:pt idx="1">
                  <c:v>0</c:v>
                </c:pt>
              </c:numCache>
            </c:numRef>
          </c:xVal>
          <c:yVal>
            <c:numRef>
              <c:f>'Problema 1'!$R$83:$R$84</c:f>
              <c:numCache>
                <c:formatCode>General</c:formatCode>
                <c:ptCount val="2"/>
                <c:pt idx="0">
                  <c:v>0.46</c:v>
                </c:pt>
                <c:pt idx="1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9-1742-BF11-8877B710AAEA}"/>
            </c:ext>
          </c:extLst>
        </c:ser>
        <c:ser>
          <c:idx val="4"/>
          <c:order val="3"/>
          <c:tx>
            <c:v>Enriquecimiento 2.3R_min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'Problema 1'!$M$81:$M$82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'Problema 1'!$N$81:$N$82</c:f>
              <c:numCache>
                <c:formatCode>General</c:formatCode>
                <c:ptCount val="2"/>
                <c:pt idx="0">
                  <c:v>0.85</c:v>
                </c:pt>
                <c:pt idx="1">
                  <c:v>0.25757575757575757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A9-1742-BF11-8877B710AAEA}"/>
            </c:ext>
          </c:extLst>
        </c:ser>
        <c:ser>
          <c:idx val="5"/>
          <c:order val="4"/>
          <c:tx>
            <c:v>Agotamiento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'Problema 1'!$U$70:$U$71</c:f>
              <c:numCache>
                <c:formatCode>General</c:formatCode>
                <c:ptCount val="2"/>
                <c:pt idx="0">
                  <c:v>0.17000000000000004</c:v>
                </c:pt>
                <c:pt idx="1">
                  <c:v>0.39</c:v>
                </c:pt>
              </c:numCache>
            </c:numRef>
          </c:xVal>
          <c:yVal>
            <c:numRef>
              <c:f>'Problema 1'!$V$70:$V$71</c:f>
              <c:numCache>
                <c:formatCode>General</c:formatCode>
                <c:ptCount val="2"/>
                <c:pt idx="0">
                  <c:v>0</c:v>
                </c:pt>
                <c:pt idx="1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A9-1742-BF11-8877B710AAEA}"/>
            </c:ext>
          </c:extLst>
        </c:ser>
        <c:ser>
          <c:idx val="6"/>
          <c:order val="5"/>
          <c:tx>
            <c:v>Etapas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'Problema 1'!$AH$62:$AH$89</c:f>
              <c:numCache>
                <c:formatCode>General</c:formatCode>
                <c:ptCount val="28"/>
                <c:pt idx="0">
                  <c:v>0.85</c:v>
                </c:pt>
                <c:pt idx="1">
                  <c:v>0.74</c:v>
                </c:pt>
                <c:pt idx="2">
                  <c:v>0.74</c:v>
                </c:pt>
                <c:pt idx="3">
                  <c:v>0.63</c:v>
                </c:pt>
                <c:pt idx="4">
                  <c:v>0.63</c:v>
                </c:pt>
                <c:pt idx="5">
                  <c:v>0.53500000000000003</c:v>
                </c:pt>
                <c:pt idx="6">
                  <c:v>0.53500000000000003</c:v>
                </c:pt>
                <c:pt idx="7">
                  <c:v>0.46100000000000002</c:v>
                </c:pt>
                <c:pt idx="8">
                  <c:v>0.46100000000000002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0.372</c:v>
                </c:pt>
                <c:pt idx="12">
                  <c:v>0.372</c:v>
                </c:pt>
                <c:pt idx="13">
                  <c:v>0.32400000000000001</c:v>
                </c:pt>
                <c:pt idx="14">
                  <c:v>0.32400000000000001</c:v>
                </c:pt>
                <c:pt idx="15">
                  <c:v>0.23</c:v>
                </c:pt>
                <c:pt idx="16">
                  <c:v>0.23</c:v>
                </c:pt>
                <c:pt idx="17">
                  <c:v>0.08</c:v>
                </c:pt>
                <c:pt idx="18">
                  <c:v>0.08</c:v>
                </c:pt>
              </c:numCache>
            </c:numRef>
          </c:xVal>
          <c:yVal>
            <c:numRef>
              <c:f>'Problema 1'!$AI$62:$AI$89</c:f>
              <c:numCache>
                <c:formatCode>General</c:formatCode>
                <c:ptCount val="28"/>
                <c:pt idx="0">
                  <c:v>0.85</c:v>
                </c:pt>
                <c:pt idx="1">
                  <c:v>0.85</c:v>
                </c:pt>
                <c:pt idx="2">
                  <c:v>0.77333333333333332</c:v>
                </c:pt>
                <c:pt idx="3">
                  <c:v>0.77333333333333332</c:v>
                </c:pt>
                <c:pt idx="4">
                  <c:v>0.69666666666666655</c:v>
                </c:pt>
                <c:pt idx="5">
                  <c:v>0.69666666666666655</c:v>
                </c:pt>
                <c:pt idx="6">
                  <c:v>0.63045454545454538</c:v>
                </c:pt>
                <c:pt idx="7">
                  <c:v>0.63045454545454538</c:v>
                </c:pt>
                <c:pt idx="8">
                  <c:v>0.57887878787878788</c:v>
                </c:pt>
                <c:pt idx="9">
                  <c:v>0.57887878787878788</c:v>
                </c:pt>
                <c:pt idx="10">
                  <c:v>0.54193939393939394</c:v>
                </c:pt>
                <c:pt idx="11">
                  <c:v>0.54193939393939394</c:v>
                </c:pt>
                <c:pt idx="12">
                  <c:v>0.48663636363636364</c:v>
                </c:pt>
                <c:pt idx="13">
                  <c:v>0.48663636363636364</c:v>
                </c:pt>
                <c:pt idx="14">
                  <c:v>0.371</c:v>
                </c:pt>
                <c:pt idx="15">
                  <c:v>0.371</c:v>
                </c:pt>
                <c:pt idx="16">
                  <c:v>0.14454545454545448</c:v>
                </c:pt>
                <c:pt idx="17">
                  <c:v>0.14454545454545448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A9-1742-BF11-8877B710A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500976"/>
        <c:axId val="1644493008"/>
      </c:scatterChart>
      <c:valAx>
        <c:axId val="16635009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93008"/>
        <c:crosses val="autoZero"/>
        <c:crossBetween val="midCat"/>
        <c:majorUnit val="5.000000000000001E-2"/>
      </c:valAx>
      <c:valAx>
        <c:axId val="1644493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0097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'Problema 2'!$M$3:$M$19</c:f>
              <c:numCache>
                <c:formatCode>General</c:formatCode>
                <c:ptCount val="1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0.6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xVal>
          <c:yVal>
            <c:numRef>
              <c:f>'Problema 2'!$N$3:$N$19</c:f>
              <c:numCache>
                <c:formatCode>General</c:formatCode>
                <c:ptCount val="17"/>
                <c:pt idx="0">
                  <c:v>0</c:v>
                </c:pt>
                <c:pt idx="1">
                  <c:v>0.13400000000000001</c:v>
                </c:pt>
                <c:pt idx="2">
                  <c:v>0.23</c:v>
                </c:pt>
                <c:pt idx="3">
                  <c:v>0.30399999999999999</c:v>
                </c:pt>
                <c:pt idx="4">
                  <c:v>0.36499999999999999</c:v>
                </c:pt>
                <c:pt idx="5">
                  <c:v>0.41799999999999998</c:v>
                </c:pt>
                <c:pt idx="6">
                  <c:v>0.51700000000000002</c:v>
                </c:pt>
                <c:pt idx="7">
                  <c:v>0.57899999999999996</c:v>
                </c:pt>
                <c:pt idx="8">
                  <c:v>0.66500000000000004</c:v>
                </c:pt>
                <c:pt idx="9">
                  <c:v>0.72900000000000009</c:v>
                </c:pt>
                <c:pt idx="10">
                  <c:v>0.77900000000000003</c:v>
                </c:pt>
                <c:pt idx="11">
                  <c:v>0.82499999999999996</c:v>
                </c:pt>
                <c:pt idx="12">
                  <c:v>0.87</c:v>
                </c:pt>
                <c:pt idx="13">
                  <c:v>0.91500000000000004</c:v>
                </c:pt>
                <c:pt idx="14">
                  <c:v>0.95799999999999996</c:v>
                </c:pt>
                <c:pt idx="15">
                  <c:v>0.97900000000000009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6-0A4A-ACCA-23D23A9D1B33}"/>
            </c:ext>
          </c:extLst>
        </c:ser>
        <c:ser>
          <c:idx val="1"/>
          <c:order val="1"/>
          <c:tx>
            <c:v>Punto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2'!$W$23</c:f>
              <c:numCache>
                <c:formatCode>General</c:formatCode>
                <c:ptCount val="1"/>
                <c:pt idx="0">
                  <c:v>3.7999999999999999E-2</c:v>
                </c:pt>
              </c:numCache>
            </c:numRef>
          </c:xVal>
          <c:yVal>
            <c:numRef>
              <c:f>'Problema 2'!$X$23</c:f>
              <c:numCache>
                <c:formatCode>General</c:formatCode>
                <c:ptCount val="1"/>
                <c:pt idx="0">
                  <c:v>0.22500000000000001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96-0A4A-ACCA-23D23A9D1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69903"/>
        <c:axId val="1396589375"/>
      </c:scatterChart>
      <c:valAx>
        <c:axId val="14719699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589375"/>
        <c:crosses val="autoZero"/>
        <c:crossBetween val="midCat"/>
      </c:valAx>
      <c:valAx>
        <c:axId val="1396589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6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Entalpia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'Problema 2'!$Q$3:$Q$15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'Problema 2'!$S$3:$S$15</c:f>
              <c:numCache>
                <c:formatCode>General</c:formatCode>
                <c:ptCount val="13"/>
                <c:pt idx="0">
                  <c:v>20720</c:v>
                </c:pt>
                <c:pt idx="1">
                  <c:v>20520</c:v>
                </c:pt>
                <c:pt idx="2">
                  <c:v>20340</c:v>
                </c:pt>
                <c:pt idx="3">
                  <c:v>20160</c:v>
                </c:pt>
                <c:pt idx="4">
                  <c:v>20000</c:v>
                </c:pt>
                <c:pt idx="5">
                  <c:v>19640</c:v>
                </c:pt>
                <c:pt idx="6">
                  <c:v>19310</c:v>
                </c:pt>
                <c:pt idx="7">
                  <c:v>18970</c:v>
                </c:pt>
                <c:pt idx="8">
                  <c:v>18650</c:v>
                </c:pt>
                <c:pt idx="9">
                  <c:v>18310</c:v>
                </c:pt>
                <c:pt idx="10">
                  <c:v>17980</c:v>
                </c:pt>
                <c:pt idx="11">
                  <c:v>17680</c:v>
                </c:pt>
                <c:pt idx="12">
                  <c:v>17390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7-804E-8FA0-D2DD46BD9847}"/>
            </c:ext>
          </c:extLst>
        </c:ser>
        <c:ser>
          <c:idx val="1"/>
          <c:order val="1"/>
          <c:tx>
            <c:v>Hl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'Problema 2'!$Q$3:$Q$15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'Problema 2'!$U$3:$U$15</c:f>
              <c:numCache>
                <c:formatCode>General</c:formatCode>
                <c:ptCount val="13"/>
                <c:pt idx="0">
                  <c:v>3240</c:v>
                </c:pt>
                <c:pt idx="1">
                  <c:v>3070</c:v>
                </c:pt>
                <c:pt idx="2">
                  <c:v>2950</c:v>
                </c:pt>
                <c:pt idx="3">
                  <c:v>2850</c:v>
                </c:pt>
                <c:pt idx="4">
                  <c:v>2760</c:v>
                </c:pt>
                <c:pt idx="5">
                  <c:v>2620</c:v>
                </c:pt>
                <c:pt idx="6">
                  <c:v>2540</c:v>
                </c:pt>
                <c:pt idx="7">
                  <c:v>2470</c:v>
                </c:pt>
                <c:pt idx="8">
                  <c:v>2410</c:v>
                </c:pt>
                <c:pt idx="9">
                  <c:v>2370</c:v>
                </c:pt>
                <c:pt idx="10">
                  <c:v>2330</c:v>
                </c:pt>
                <c:pt idx="11">
                  <c:v>2290</c:v>
                </c:pt>
                <c:pt idx="12">
                  <c:v>2250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27-804E-8FA0-D2DD46BD9847}"/>
            </c:ext>
          </c:extLst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'Problema 2'!$Q$18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'Problema 2'!$R$18</c:f>
              <c:numCache>
                <c:formatCode>General</c:formatCode>
                <c:ptCount val="1"/>
                <c:pt idx="0">
                  <c:v>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27-804E-8FA0-D2DD46BD9847}"/>
            </c:ext>
          </c:extLst>
        </c:ser>
        <c:ser>
          <c:idx val="3"/>
          <c:order val="3"/>
          <c:tx>
            <c:v>Reparto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'Problema 2'!$Q$19:$Q$20</c:f>
              <c:numCache>
                <c:formatCode>General</c:formatCode>
                <c:ptCount val="2"/>
                <c:pt idx="0">
                  <c:v>0.625</c:v>
                </c:pt>
                <c:pt idx="1">
                  <c:v>0.83499999999999996</c:v>
                </c:pt>
              </c:numCache>
            </c:numRef>
          </c:xVal>
          <c:yVal>
            <c:numRef>
              <c:f>'Problema 2'!$R$19:$R$20</c:f>
              <c:numCache>
                <c:formatCode>General</c:formatCode>
                <c:ptCount val="2"/>
                <c:pt idx="0">
                  <c:v>2410</c:v>
                </c:pt>
                <c:pt idx="1">
                  <c:v>17850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27-804E-8FA0-D2DD46BD9847}"/>
            </c:ext>
          </c:extLst>
        </c:ser>
        <c:ser>
          <c:idx val="4"/>
          <c:order val="4"/>
          <c:tx>
            <c:v>Q'_min -&gt; Q''_min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'Problema 2'!$Q$21:$Q$22</c:f>
              <c:numCache>
                <c:formatCode>General</c:formatCode>
                <c:ptCount val="2"/>
                <c:pt idx="0">
                  <c:v>0.98</c:v>
                </c:pt>
                <c:pt idx="1">
                  <c:v>0.04</c:v>
                </c:pt>
              </c:numCache>
            </c:numRef>
          </c:xVal>
          <c:yVal>
            <c:numRef>
              <c:f>'Problema 2'!$R$21:$R$22</c:f>
              <c:numCache>
                <c:formatCode>General</c:formatCode>
                <c:ptCount val="2"/>
                <c:pt idx="0">
                  <c:v>28510.952380952385</c:v>
                </c:pt>
                <c:pt idx="1">
                  <c:v>-40601.42857142858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27-804E-8FA0-D2DD46BD9847}"/>
            </c:ext>
          </c:extLst>
        </c:ser>
        <c:ser>
          <c:idx val="5"/>
          <c:order val="5"/>
          <c:tx>
            <c:v>Reparto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'Problema 2'!$T$18:$T$20</c:f>
              <c:numCache>
                <c:formatCode>General</c:formatCode>
                <c:ptCount val="3"/>
                <c:pt idx="0">
                  <c:v>0.98</c:v>
                </c:pt>
                <c:pt idx="1">
                  <c:v>0.6</c:v>
                </c:pt>
                <c:pt idx="2">
                  <c:v>0.04</c:v>
                </c:pt>
              </c:numCache>
            </c:numRef>
          </c:xVal>
          <c:yVal>
            <c:numRef>
              <c:f>'Problema 2'!$U$18:$U$20</c:f>
              <c:numCache>
                <c:formatCode>General</c:formatCode>
                <c:ptCount val="3"/>
                <c:pt idx="0">
                  <c:v>34042.42857142858</c:v>
                </c:pt>
                <c:pt idx="1">
                  <c:v>765</c:v>
                </c:pt>
                <c:pt idx="2">
                  <c:v>-48275.421052631587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27-804E-8FA0-D2DD46BD9847}"/>
            </c:ext>
          </c:extLst>
        </c:ser>
        <c:ser>
          <c:idx val="6"/>
          <c:order val="6"/>
          <c:tx>
            <c:v>D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'Problema 2'!$T$25:$T$27</c:f>
              <c:numCache>
                <c:formatCode>General</c:formatCode>
                <c:ptCount val="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</c:numCache>
            </c:numRef>
          </c:xVal>
          <c:yVal>
            <c:numRef>
              <c:f>'Problema 2'!$U$25:$U$27</c:f>
              <c:numCache>
                <c:formatCode>General</c:formatCode>
                <c:ptCount val="3"/>
                <c:pt idx="0">
                  <c:v>2258</c:v>
                </c:pt>
                <c:pt idx="1">
                  <c:v>17448</c:v>
                </c:pt>
                <c:pt idx="2">
                  <c:v>34042.42857142858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27-804E-8FA0-D2DD46BD9847}"/>
            </c:ext>
          </c:extLst>
        </c:ser>
        <c:ser>
          <c:idx val="7"/>
          <c:order val="7"/>
          <c:tx>
            <c:v>Etapas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'Problema 2'!$AG$3:$AG$102</c:f>
              <c:numCache>
                <c:formatCode>General</c:formatCode>
                <c:ptCount val="100"/>
                <c:pt idx="0">
                  <c:v>0.98</c:v>
                </c:pt>
                <c:pt idx="1">
                  <c:v>0.95499999999999996</c:v>
                </c:pt>
                <c:pt idx="2">
                  <c:v>0.98</c:v>
                </c:pt>
                <c:pt idx="3">
                  <c:v>0.96699999999999997</c:v>
                </c:pt>
                <c:pt idx="4">
                  <c:v>0.93</c:v>
                </c:pt>
                <c:pt idx="5">
                  <c:v>0.98</c:v>
                </c:pt>
                <c:pt idx="6">
                  <c:v>0.95499999999999996</c:v>
                </c:pt>
                <c:pt idx="7">
                  <c:v>0.9</c:v>
                </c:pt>
                <c:pt idx="8">
                  <c:v>0.98</c:v>
                </c:pt>
                <c:pt idx="9">
                  <c:v>0.93899999999999995</c:v>
                </c:pt>
                <c:pt idx="10">
                  <c:v>0.85</c:v>
                </c:pt>
                <c:pt idx="11">
                  <c:v>0.98</c:v>
                </c:pt>
                <c:pt idx="12">
                  <c:v>0.91500000000000004</c:v>
                </c:pt>
                <c:pt idx="13">
                  <c:v>0.8</c:v>
                </c:pt>
                <c:pt idx="14">
                  <c:v>0.98</c:v>
                </c:pt>
                <c:pt idx="15">
                  <c:v>0.88700000000000001</c:v>
                </c:pt>
                <c:pt idx="16">
                  <c:v>0.73499999999999999</c:v>
                </c:pt>
                <c:pt idx="17">
                  <c:v>0.98</c:v>
                </c:pt>
                <c:pt idx="18">
                  <c:v>0.85199999999999998</c:v>
                </c:pt>
                <c:pt idx="19">
                  <c:v>0.66</c:v>
                </c:pt>
                <c:pt idx="20">
                  <c:v>0.98</c:v>
                </c:pt>
                <c:pt idx="21">
                  <c:v>0.81499999999999995</c:v>
                </c:pt>
                <c:pt idx="22">
                  <c:v>0.57999999999999996</c:v>
                </c:pt>
                <c:pt idx="23">
                  <c:v>0.04</c:v>
                </c:pt>
                <c:pt idx="24">
                  <c:v>0.745</c:v>
                </c:pt>
                <c:pt idx="25">
                  <c:v>0.43</c:v>
                </c:pt>
                <c:pt idx="26">
                  <c:v>0.04</c:v>
                </c:pt>
                <c:pt idx="27">
                  <c:v>0.55500000000000005</c:v>
                </c:pt>
                <c:pt idx="28">
                  <c:v>0.18</c:v>
                </c:pt>
                <c:pt idx="29">
                  <c:v>0.04</c:v>
                </c:pt>
                <c:pt idx="30">
                  <c:v>0.22500000000000001</c:v>
                </c:pt>
                <c:pt idx="31">
                  <c:v>3.7999999999999999E-2</c:v>
                </c:pt>
              </c:numCache>
            </c:numRef>
          </c:xVal>
          <c:yVal>
            <c:numRef>
              <c:f>'Problema 2'!$AH$3:$AH$102</c:f>
              <c:numCache>
                <c:formatCode>General</c:formatCode>
                <c:ptCount val="100"/>
                <c:pt idx="0">
                  <c:v>17448</c:v>
                </c:pt>
                <c:pt idx="1">
                  <c:v>2250</c:v>
                </c:pt>
                <c:pt idx="2">
                  <c:v>34042.42857142858</c:v>
                </c:pt>
                <c:pt idx="3">
                  <c:v>17400</c:v>
                </c:pt>
                <c:pt idx="4">
                  <c:v>2270</c:v>
                </c:pt>
                <c:pt idx="5">
                  <c:v>34042.42857142858</c:v>
                </c:pt>
                <c:pt idx="6">
                  <c:v>17500</c:v>
                </c:pt>
                <c:pt idx="7">
                  <c:v>2290</c:v>
                </c:pt>
                <c:pt idx="8">
                  <c:v>34042.42857142858</c:v>
                </c:pt>
                <c:pt idx="9">
                  <c:v>17600</c:v>
                </c:pt>
                <c:pt idx="10">
                  <c:v>2310</c:v>
                </c:pt>
                <c:pt idx="11">
                  <c:v>34042.42857142858</c:v>
                </c:pt>
                <c:pt idx="12">
                  <c:v>17800</c:v>
                </c:pt>
                <c:pt idx="13">
                  <c:v>2330</c:v>
                </c:pt>
                <c:pt idx="14">
                  <c:v>34042.42857142858</c:v>
                </c:pt>
                <c:pt idx="15">
                  <c:v>17680</c:v>
                </c:pt>
                <c:pt idx="16">
                  <c:v>2340</c:v>
                </c:pt>
                <c:pt idx="17">
                  <c:v>34042.42857142858</c:v>
                </c:pt>
                <c:pt idx="18">
                  <c:v>17700</c:v>
                </c:pt>
                <c:pt idx="19">
                  <c:v>2390</c:v>
                </c:pt>
                <c:pt idx="20">
                  <c:v>34042.42857142858</c:v>
                </c:pt>
                <c:pt idx="21">
                  <c:v>17800</c:v>
                </c:pt>
                <c:pt idx="22">
                  <c:v>2430</c:v>
                </c:pt>
                <c:pt idx="23">
                  <c:v>-48275.421052631587</c:v>
                </c:pt>
                <c:pt idx="24">
                  <c:v>17980</c:v>
                </c:pt>
                <c:pt idx="25">
                  <c:v>2500</c:v>
                </c:pt>
                <c:pt idx="26">
                  <c:v>-48275.421052631587</c:v>
                </c:pt>
                <c:pt idx="27">
                  <c:v>18800</c:v>
                </c:pt>
                <c:pt idx="28">
                  <c:v>2800</c:v>
                </c:pt>
                <c:pt idx="29">
                  <c:v>-48275.421052631587</c:v>
                </c:pt>
                <c:pt idx="30">
                  <c:v>19700</c:v>
                </c:pt>
                <c:pt idx="31">
                  <c:v>3070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27-804E-8FA0-D2DD46BD9847}"/>
            </c:ext>
          </c:extLst>
        </c:ser>
        <c:ser>
          <c:idx val="8"/>
          <c:order val="8"/>
          <c:tx>
            <c:v>y_B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'Problema 2'!$T$28:$T$29</c:f>
              <c:numCache>
                <c:formatCode>General</c:formatCode>
                <c:ptCount val="2"/>
                <c:pt idx="0">
                  <c:v>0.04</c:v>
                </c:pt>
                <c:pt idx="1">
                  <c:v>0.04</c:v>
                </c:pt>
              </c:numCache>
            </c:numRef>
          </c:xVal>
          <c:yVal>
            <c:numRef>
              <c:f>'Problema 2'!$U$28:$U$29</c:f>
              <c:numCache>
                <c:formatCode>General</c:formatCode>
                <c:ptCount val="2"/>
                <c:pt idx="0">
                  <c:v>-48275.421052631587</c:v>
                </c:pt>
                <c:pt idx="1">
                  <c:v>20520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27-804E-8FA0-D2DD46BD9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271295"/>
        <c:axId val="1468326271"/>
      </c:scatterChart>
      <c:valAx>
        <c:axId val="146827129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326271"/>
        <c:crosses val="autoZero"/>
        <c:crossBetween val="midCat"/>
        <c:majorUnit val="5.000000000000001E-2"/>
      </c:valAx>
      <c:valAx>
        <c:axId val="146832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271295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emf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615757</xdr:colOff>
      <xdr:row>23</xdr:row>
      <xdr:rowOff>125386</xdr:rowOff>
    </xdr:from>
    <xdr:to>
      <xdr:col>10</xdr:col>
      <xdr:colOff>458097</xdr:colOff>
      <xdr:row>28</xdr:row>
      <xdr:rowOff>88003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4F06B-EB14-DC40-AD85-87154D015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1919" y="4846194"/>
          <a:ext cx="663350" cy="988880"/>
        </a:xfrm>
        <a:prstGeom prst="rect">
          <a:avLst/>
        </a:prstGeom>
      </xdr:spPr>
    </xdr:pic>
    <xdr:clientData/>
  </xdr:twoCellAnchor>
  <xdr:twoCellAnchor editAs="oneCell">
    <xdr:from>
      <xdr:col>37</xdr:col>
      <xdr:colOff>216923</xdr:colOff>
      <xdr:row>11</xdr:row>
      <xdr:rowOff>101601</xdr:rowOff>
    </xdr:from>
    <xdr:to>
      <xdr:col>46</xdr:col>
      <xdr:colOff>570984</xdr:colOff>
      <xdr:row>24</xdr:row>
      <xdr:rowOff>129908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13CDE3-E13F-9E42-8365-A6AE3B1E1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23489" y="2359379"/>
          <a:ext cx="7743152" cy="269659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952D886-0836-3947-A79A-95B06E0C6243}"/>
            </a:ext>
          </a:extLst>
        </xdr:cNvPr>
        <xdr:cNvGrpSpPr/>
      </xdr:nvGrpSpPr>
      <xdr:grpSpPr>
        <a:xfrm>
          <a:off x="3130101" y="1680120"/>
          <a:ext cx="871810" cy="3167688"/>
          <a:chOff x="3187700" y="1168400"/>
          <a:chExt cx="914400" cy="31369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64D3A92-135D-6F46-8AE7-5A52D027C5CE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E7EC706-8764-5046-B37C-86679CA55647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CCCBB44-15A8-7149-B22F-AEB132A9A5AD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664AF59-6C03-3A4B-9802-961B3CC7094C}"/>
            </a:ext>
          </a:extLst>
        </xdr:cNvPr>
        <xdr:cNvCxnSpPr>
          <a:endCxn id="5" idx="1"/>
        </xdr:cNvCxnSpPr>
      </xdr:nvCxnSpPr>
      <xdr:spPr>
        <a:xfrm flipV="1">
          <a:off x="0" y="3257550"/>
          <a:ext cx="313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25051657-4CC7-F54A-BC73-A7A279799CBD}"/>
            </a:ext>
          </a:extLst>
        </xdr:cNvPr>
        <xdr:cNvCxnSpPr>
          <a:stCxn id="6" idx="0"/>
          <a:endCxn id="10" idx="2"/>
        </xdr:cNvCxnSpPr>
      </xdr:nvCxnSpPr>
      <xdr:spPr>
        <a:xfrm rot="5400000" flipH="1" flipV="1">
          <a:off x="37973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84F38216-FD1C-264A-8408-51AB2A9C2770}"/>
            </a:ext>
          </a:extLst>
        </xdr:cNvPr>
        <xdr:cNvSpPr/>
      </xdr:nvSpPr>
      <xdr:spPr>
        <a:xfrm>
          <a:off x="44577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934EE0E-DA17-314C-9259-C52C7F5F5545}"/>
            </a:ext>
          </a:extLst>
        </xdr:cNvPr>
        <xdr:cNvCxnSpPr/>
      </xdr:nvCxnSpPr>
      <xdr:spPr>
        <a:xfrm flipV="1">
          <a:off x="44450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FFEFF42C-46EA-134A-A861-1415D3875AAA}"/>
            </a:ext>
          </a:extLst>
        </xdr:cNvPr>
        <xdr:cNvCxnSpPr>
          <a:stCxn id="10" idx="4"/>
          <a:endCxn id="6" idx="6"/>
        </xdr:cNvCxnSpPr>
      </xdr:nvCxnSpPr>
      <xdr:spPr>
        <a:xfrm rot="5400000">
          <a:off x="42545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DC6ECBA-5702-B64C-8CA2-8319339329AC}"/>
            </a:ext>
          </a:extLst>
        </xdr:cNvPr>
        <xdr:cNvCxnSpPr>
          <a:stCxn id="10" idx="4"/>
        </xdr:cNvCxnSpPr>
      </xdr:nvCxnSpPr>
      <xdr:spPr>
        <a:xfrm rot="16200000" flipH="1">
          <a:off x="62992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935FD9A-E601-B646-98BA-9CD01CB60F11}"/>
            </a:ext>
          </a:extLst>
        </xdr:cNvPr>
        <xdr:cNvCxnSpPr>
          <a:stCxn id="7" idx="4"/>
          <a:endCxn id="15" idx="2"/>
        </xdr:cNvCxnSpPr>
      </xdr:nvCxnSpPr>
      <xdr:spPr>
        <a:xfrm rot="16200000" flipH="1">
          <a:off x="38798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2E6DC608-6B63-C240-BE14-D5AA3FD41835}"/>
            </a:ext>
          </a:extLst>
        </xdr:cNvPr>
        <xdr:cNvSpPr/>
      </xdr:nvSpPr>
      <xdr:spPr>
        <a:xfrm>
          <a:off x="44450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8306C9F6-069F-4F47-8542-82DD4E59F89F}"/>
            </a:ext>
          </a:extLst>
        </xdr:cNvPr>
        <xdr:cNvCxnSpPr>
          <a:stCxn id="15" idx="0"/>
          <a:endCxn id="7" idx="6"/>
        </xdr:cNvCxnSpPr>
      </xdr:nvCxnSpPr>
      <xdr:spPr>
        <a:xfrm rot="16200000" flipV="1">
          <a:off x="43370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3B86D71-112B-9F4B-9219-3F1958D6713A}"/>
            </a:ext>
          </a:extLst>
        </xdr:cNvPr>
        <xdr:cNvCxnSpPr>
          <a:stCxn id="15" idx="0"/>
        </xdr:cNvCxnSpPr>
      </xdr:nvCxnSpPr>
      <xdr:spPr>
        <a:xfrm rot="5400000" flipH="1" flipV="1">
          <a:off x="63563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73FE954-94BD-C546-97D0-8A9C1F60EF32}"/>
            </a:ext>
          </a:extLst>
        </xdr:cNvPr>
        <xdr:cNvCxnSpPr/>
      </xdr:nvCxnSpPr>
      <xdr:spPr>
        <a:xfrm flipH="1">
          <a:off x="42926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717868</xdr:colOff>
      <xdr:row>1</xdr:row>
      <xdr:rowOff>25529</xdr:rowOff>
    </xdr:from>
    <xdr:to>
      <xdr:col>14</xdr:col>
      <xdr:colOff>676638</xdr:colOff>
      <xdr:row>3</xdr:row>
      <xdr:rowOff>136446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277BB09-1496-EB45-8AF5-3A87090F6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6050" y="230782"/>
          <a:ext cx="2421800" cy="521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F5A9854-78A6-644F-85C7-FBFB7CBA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7617CBA-C7DB-5041-9D7A-BDB4CB191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3699" y="215900"/>
          <a:ext cx="33195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6C9C8D1-7F2C-3C48-B2BF-E4C31141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990600"/>
          <a:ext cx="32893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76970</xdr:colOff>
      <xdr:row>0</xdr:row>
      <xdr:rowOff>25656</xdr:rowOff>
    </xdr:from>
    <xdr:to>
      <xdr:col>31</xdr:col>
      <xdr:colOff>667071</xdr:colOff>
      <xdr:row>28</xdr:row>
      <xdr:rowOff>153939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5F2AEC8-E851-7142-8A60-C2AD94041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38</xdr:row>
      <xdr:rowOff>38100</xdr:rowOff>
    </xdr:from>
    <xdr:to>
      <xdr:col>4</xdr:col>
      <xdr:colOff>50800</xdr:colOff>
      <xdr:row>53</xdr:row>
      <xdr:rowOff>127000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FAB04E4F-E1D7-6A42-B4A6-8D35FA6B9EF5}"/>
            </a:ext>
          </a:extLst>
        </xdr:cNvPr>
        <xdr:cNvGrpSpPr/>
      </xdr:nvGrpSpPr>
      <xdr:grpSpPr>
        <a:xfrm>
          <a:off x="3130101" y="7837696"/>
          <a:ext cx="871810" cy="3167688"/>
          <a:chOff x="3187700" y="1168400"/>
          <a:chExt cx="914400" cy="31369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8DEE39D1-9BBC-9C4B-B80A-68C9EB505CF0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D274BAEC-8703-AB40-8DDE-3774DAFCE5B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12FE30D7-B12C-A447-B3B3-5E59CB4BD4D4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46</xdr:row>
      <xdr:rowOff>6350</xdr:rowOff>
    </xdr:from>
    <xdr:to>
      <xdr:col>2</xdr:col>
      <xdr:colOff>850900</xdr:colOff>
      <xdr:row>46</xdr:row>
      <xdr:rowOff>6350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1F93C06-8095-D04D-837C-0826351E2A39}"/>
            </a:ext>
          </a:extLst>
        </xdr:cNvPr>
        <xdr:cNvCxnSpPr>
          <a:endCxn id="48" idx="1"/>
        </xdr:cNvCxnSpPr>
      </xdr:nvCxnSpPr>
      <xdr:spPr>
        <a:xfrm flipV="1">
          <a:off x="0" y="3290390"/>
          <a:ext cx="31345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36</xdr:row>
      <xdr:rowOff>25400</xdr:rowOff>
    </xdr:from>
    <xdr:to>
      <xdr:col>4</xdr:col>
      <xdr:colOff>495300</xdr:colOff>
      <xdr:row>38</xdr:row>
      <xdr:rowOff>38100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ABBF2299-F0E3-9B43-A3F0-3FF887E12A4F}"/>
            </a:ext>
          </a:extLst>
        </xdr:cNvPr>
        <xdr:cNvCxnSpPr>
          <a:stCxn id="49" idx="0"/>
          <a:endCxn id="53" idx="2"/>
        </xdr:cNvCxnSpPr>
      </xdr:nvCxnSpPr>
      <xdr:spPr>
        <a:xfrm rot="5400000" flipH="1" flipV="1">
          <a:off x="3786203" y="1019913"/>
          <a:ext cx="423205" cy="8972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33</xdr:row>
      <xdr:rowOff>177800</xdr:rowOff>
    </xdr:from>
    <xdr:to>
      <xdr:col>5</xdr:col>
      <xdr:colOff>584200</xdr:colOff>
      <xdr:row>38</xdr:row>
      <xdr:rowOff>76200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68EAA19A-6FBF-E84D-902A-C0884F989CDE}"/>
            </a:ext>
          </a:extLst>
        </xdr:cNvPr>
        <xdr:cNvSpPr/>
      </xdr:nvSpPr>
      <xdr:spPr>
        <a:xfrm>
          <a:off x="4446411" y="793558"/>
          <a:ext cx="909910" cy="924662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33</xdr:row>
      <xdr:rowOff>152400</xdr:rowOff>
    </xdr:from>
    <xdr:to>
      <xdr:col>5</xdr:col>
      <xdr:colOff>635000</xdr:colOff>
      <xdr:row>38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A5276B9-42CF-F147-B226-2976D71019A3}"/>
            </a:ext>
          </a:extLst>
        </xdr:cNvPr>
        <xdr:cNvCxnSpPr/>
      </xdr:nvCxnSpPr>
      <xdr:spPr>
        <a:xfrm flipV="1">
          <a:off x="4433711" y="768158"/>
          <a:ext cx="973410" cy="9500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38</xdr:row>
      <xdr:rowOff>76200</xdr:rowOff>
    </xdr:from>
    <xdr:to>
      <xdr:col>5</xdr:col>
      <xdr:colOff>127000</xdr:colOff>
      <xdr:row>40</xdr:row>
      <xdr:rowOff>88900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51CC1B2B-566F-4544-B191-2C4951F9C2C0}"/>
            </a:ext>
          </a:extLst>
        </xdr:cNvPr>
        <xdr:cNvCxnSpPr>
          <a:stCxn id="53" idx="4"/>
          <a:endCxn id="49" idx="6"/>
        </xdr:cNvCxnSpPr>
      </xdr:nvCxnSpPr>
      <xdr:spPr>
        <a:xfrm rot="5400000">
          <a:off x="4238913" y="1481218"/>
          <a:ext cx="423205" cy="8972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38</xdr:row>
      <xdr:rowOff>76200</xdr:rowOff>
    </xdr:from>
    <xdr:to>
      <xdr:col>9</xdr:col>
      <xdr:colOff>12700</xdr:colOff>
      <xdr:row>40</xdr:row>
      <xdr:rowOff>88900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6E035C86-76B8-5E42-A07E-F8392A942406}"/>
            </a:ext>
          </a:extLst>
        </xdr:cNvPr>
        <xdr:cNvCxnSpPr>
          <a:stCxn id="53" idx="4"/>
        </xdr:cNvCxnSpPr>
      </xdr:nvCxnSpPr>
      <xdr:spPr>
        <a:xfrm rot="16200000" flipH="1">
          <a:off x="6272389" y="344952"/>
          <a:ext cx="423205" cy="31697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53</xdr:row>
      <xdr:rowOff>127000</xdr:rowOff>
    </xdr:from>
    <xdr:to>
      <xdr:col>4</xdr:col>
      <xdr:colOff>482600</xdr:colOff>
      <xdr:row>54</xdr:row>
      <xdr:rowOff>165100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E720B3-849F-DF46-9C98-E4364D28C27E}"/>
            </a:ext>
          </a:extLst>
        </xdr:cNvPr>
        <xdr:cNvCxnSpPr>
          <a:stCxn id="50" idx="4"/>
          <a:endCxn id="58" idx="2"/>
        </xdr:cNvCxnSpPr>
      </xdr:nvCxnSpPr>
      <xdr:spPr>
        <a:xfrm rot="16200000" flipH="1">
          <a:off x="3869779" y="4527230"/>
          <a:ext cx="243353" cy="8845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52</xdr:row>
      <xdr:rowOff>114300</xdr:rowOff>
    </xdr:from>
    <xdr:to>
      <xdr:col>5</xdr:col>
      <xdr:colOff>571500</xdr:colOff>
      <xdr:row>57</xdr:row>
      <xdr:rowOff>12700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BAD8F0D-86E2-034A-970A-943DA5774CC4}"/>
            </a:ext>
          </a:extLst>
        </xdr:cNvPr>
        <xdr:cNvSpPr/>
      </xdr:nvSpPr>
      <xdr:spPr>
        <a:xfrm>
          <a:off x="4433711" y="4629856"/>
          <a:ext cx="909910" cy="924662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114300</xdr:colOff>
      <xdr:row>52</xdr:row>
      <xdr:rowOff>114300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CD4114E7-1C31-B44F-BDF4-4983387DF6D5}"/>
            </a:ext>
          </a:extLst>
        </xdr:cNvPr>
        <xdr:cNvCxnSpPr>
          <a:stCxn id="58" idx="0"/>
          <a:endCxn id="50" idx="6"/>
        </xdr:cNvCxnSpPr>
      </xdr:nvCxnSpPr>
      <xdr:spPr>
        <a:xfrm rot="16200000" flipV="1">
          <a:off x="4322489" y="4065925"/>
          <a:ext cx="243353" cy="8845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51</xdr:row>
      <xdr:rowOff>76200</xdr:rowOff>
    </xdr:from>
    <xdr:to>
      <xdr:col>8</xdr:col>
      <xdr:colOff>787400</xdr:colOff>
      <xdr:row>52</xdr:row>
      <xdr:rowOff>114300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56629EA0-CA3D-DD4C-A8CA-32A762A31C17}"/>
            </a:ext>
          </a:extLst>
        </xdr:cNvPr>
        <xdr:cNvCxnSpPr>
          <a:stCxn id="58" idx="0"/>
        </xdr:cNvCxnSpPr>
      </xdr:nvCxnSpPr>
      <xdr:spPr>
        <a:xfrm rot="5400000" flipH="1" flipV="1">
          <a:off x="6332810" y="2940114"/>
          <a:ext cx="243353" cy="31361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52</xdr:row>
      <xdr:rowOff>38100</xdr:rowOff>
    </xdr:from>
    <xdr:to>
      <xdr:col>5</xdr:col>
      <xdr:colOff>711200</xdr:colOff>
      <xdr:row>57</xdr:row>
      <xdr:rowOff>101600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9ED15766-127C-C54C-B5A5-3AFF32C47C41}"/>
            </a:ext>
          </a:extLst>
        </xdr:cNvPr>
        <xdr:cNvCxnSpPr/>
      </xdr:nvCxnSpPr>
      <xdr:spPr>
        <a:xfrm flipH="1">
          <a:off x="4281311" y="4553656"/>
          <a:ext cx="1202010" cy="1089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717868</xdr:colOff>
      <xdr:row>31</xdr:row>
      <xdr:rowOff>25529</xdr:rowOff>
    </xdr:from>
    <xdr:to>
      <xdr:col>14</xdr:col>
      <xdr:colOff>676638</xdr:colOff>
      <xdr:row>33</xdr:row>
      <xdr:rowOff>136446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27EBB39-D01F-E547-A0A0-F6D6330A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6050" y="230782"/>
          <a:ext cx="2421800" cy="521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628201</xdr:colOff>
      <xdr:row>34</xdr:row>
      <xdr:rowOff>177800</xdr:rowOff>
    </xdr:from>
    <xdr:to>
      <xdr:col>14</xdr:col>
      <xdr:colOff>599671</xdr:colOff>
      <xdr:row>37</xdr:row>
      <xdr:rowOff>73578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38DC566-4001-9C4F-B67A-4E57731A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6383" y="7156386"/>
          <a:ext cx="2434500" cy="511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31</xdr:row>
      <xdr:rowOff>12700</xdr:rowOff>
    </xdr:from>
    <xdr:to>
      <xdr:col>17</xdr:col>
      <xdr:colOff>766816</xdr:colOff>
      <xdr:row>34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94327AC-B97F-794F-BC52-01A79094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3021" y="217953"/>
          <a:ext cx="3320159" cy="60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34</xdr:row>
      <xdr:rowOff>177800</xdr:rowOff>
    </xdr:from>
    <xdr:to>
      <xdr:col>17</xdr:col>
      <xdr:colOff>774700</xdr:colOff>
      <xdr:row>38</xdr:row>
      <xdr:rowOff>29384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DBA5BEA-FC7F-054B-B614-33163D7D9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122" y="998810"/>
          <a:ext cx="3289942" cy="672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76970</xdr:colOff>
      <xdr:row>30</xdr:row>
      <xdr:rowOff>25656</xdr:rowOff>
    </xdr:from>
    <xdr:to>
      <xdr:col>31</xdr:col>
      <xdr:colOff>667071</xdr:colOff>
      <xdr:row>58</xdr:row>
      <xdr:rowOff>153939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7B6A417F-9BC1-D945-BA51-6596614BE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68</xdr:row>
      <xdr:rowOff>38100</xdr:rowOff>
    </xdr:from>
    <xdr:to>
      <xdr:col>4</xdr:col>
      <xdr:colOff>50800</xdr:colOff>
      <xdr:row>83</xdr:row>
      <xdr:rowOff>127000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46C24BF3-37D9-CB46-B002-5ADA396FB06A}"/>
            </a:ext>
          </a:extLst>
        </xdr:cNvPr>
        <xdr:cNvGrpSpPr/>
      </xdr:nvGrpSpPr>
      <xdr:grpSpPr>
        <a:xfrm>
          <a:off x="3130101" y="13995272"/>
          <a:ext cx="871810" cy="3167688"/>
          <a:chOff x="3187700" y="1168400"/>
          <a:chExt cx="914400" cy="313690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11D5A34E-B46B-BF41-980F-950AE0D4E7B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F294CBE4-230F-8F49-8DF1-EC43EB582F22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D83062D7-58E8-B743-81D6-7C82E076E06C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76</xdr:row>
      <xdr:rowOff>6350</xdr:rowOff>
    </xdr:from>
    <xdr:to>
      <xdr:col>2</xdr:col>
      <xdr:colOff>850900</xdr:colOff>
      <xdr:row>76</xdr:row>
      <xdr:rowOff>6350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58BEB41-9172-804C-9DD3-25894B5208E8}"/>
            </a:ext>
          </a:extLst>
        </xdr:cNvPr>
        <xdr:cNvCxnSpPr>
          <a:endCxn id="68" idx="1"/>
        </xdr:cNvCxnSpPr>
      </xdr:nvCxnSpPr>
      <xdr:spPr>
        <a:xfrm flipV="1">
          <a:off x="0" y="9447966"/>
          <a:ext cx="31345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66</xdr:row>
      <xdr:rowOff>25400</xdr:rowOff>
    </xdr:from>
    <xdr:to>
      <xdr:col>4</xdr:col>
      <xdr:colOff>495300</xdr:colOff>
      <xdr:row>68</xdr:row>
      <xdr:rowOff>38100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7B8982C5-A5E6-6A46-B482-D04EC42AA687}"/>
            </a:ext>
          </a:extLst>
        </xdr:cNvPr>
        <xdr:cNvCxnSpPr>
          <a:stCxn id="69" idx="0"/>
          <a:endCxn id="73" idx="2"/>
        </xdr:cNvCxnSpPr>
      </xdr:nvCxnSpPr>
      <xdr:spPr>
        <a:xfrm rot="5400000" flipH="1" flipV="1">
          <a:off x="3786203" y="7177489"/>
          <a:ext cx="423205" cy="8972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63</xdr:row>
      <xdr:rowOff>177800</xdr:rowOff>
    </xdr:from>
    <xdr:to>
      <xdr:col>5</xdr:col>
      <xdr:colOff>584200</xdr:colOff>
      <xdr:row>68</xdr:row>
      <xdr:rowOff>76200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21E593D6-C62B-334C-9548-A82AD7AE2A3C}"/>
            </a:ext>
          </a:extLst>
        </xdr:cNvPr>
        <xdr:cNvSpPr/>
      </xdr:nvSpPr>
      <xdr:spPr>
        <a:xfrm>
          <a:off x="4446411" y="6951133"/>
          <a:ext cx="909910" cy="924663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63</xdr:row>
      <xdr:rowOff>152400</xdr:rowOff>
    </xdr:from>
    <xdr:to>
      <xdr:col>5</xdr:col>
      <xdr:colOff>635000</xdr:colOff>
      <xdr:row>68</xdr:row>
      <xdr:rowOff>76200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43F76F8-8FC1-B84C-8F1B-D56260C0F5B9}"/>
            </a:ext>
          </a:extLst>
        </xdr:cNvPr>
        <xdr:cNvCxnSpPr/>
      </xdr:nvCxnSpPr>
      <xdr:spPr>
        <a:xfrm flipV="1">
          <a:off x="4433711" y="6925733"/>
          <a:ext cx="973410" cy="950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68</xdr:row>
      <xdr:rowOff>76200</xdr:rowOff>
    </xdr:from>
    <xdr:to>
      <xdr:col>5</xdr:col>
      <xdr:colOff>127000</xdr:colOff>
      <xdr:row>70</xdr:row>
      <xdr:rowOff>88900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9174D003-E792-1C44-8353-38EF097622A0}"/>
            </a:ext>
          </a:extLst>
        </xdr:cNvPr>
        <xdr:cNvCxnSpPr>
          <a:stCxn id="73" idx="4"/>
          <a:endCxn id="69" idx="6"/>
        </xdr:cNvCxnSpPr>
      </xdr:nvCxnSpPr>
      <xdr:spPr>
        <a:xfrm rot="5400000">
          <a:off x="4238913" y="7638794"/>
          <a:ext cx="423205" cy="8972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68</xdr:row>
      <xdr:rowOff>76200</xdr:rowOff>
    </xdr:from>
    <xdr:to>
      <xdr:col>9</xdr:col>
      <xdr:colOff>12700</xdr:colOff>
      <xdr:row>70</xdr:row>
      <xdr:rowOff>88900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DAB87572-FA0D-A648-835D-1580189FA530}"/>
            </a:ext>
          </a:extLst>
        </xdr:cNvPr>
        <xdr:cNvCxnSpPr>
          <a:stCxn id="73" idx="4"/>
        </xdr:cNvCxnSpPr>
      </xdr:nvCxnSpPr>
      <xdr:spPr>
        <a:xfrm rot="16200000" flipH="1">
          <a:off x="6272389" y="6502528"/>
          <a:ext cx="423205" cy="31697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83</xdr:row>
      <xdr:rowOff>127000</xdr:rowOff>
    </xdr:from>
    <xdr:to>
      <xdr:col>4</xdr:col>
      <xdr:colOff>482600</xdr:colOff>
      <xdr:row>84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3126BF09-4AC7-0940-8F8A-D27F1D25DC86}"/>
            </a:ext>
          </a:extLst>
        </xdr:cNvPr>
        <xdr:cNvCxnSpPr>
          <a:stCxn id="70" idx="4"/>
          <a:endCxn id="78" idx="2"/>
        </xdr:cNvCxnSpPr>
      </xdr:nvCxnSpPr>
      <xdr:spPr>
        <a:xfrm rot="16200000" flipH="1">
          <a:off x="3869780" y="10684805"/>
          <a:ext cx="243352" cy="8845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82</xdr:row>
      <xdr:rowOff>114300</xdr:rowOff>
    </xdr:from>
    <xdr:to>
      <xdr:col>5</xdr:col>
      <xdr:colOff>571500</xdr:colOff>
      <xdr:row>87</xdr:row>
      <xdr:rowOff>12700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8D4E70A4-CDCE-B946-8A38-0B601FE9402D}"/>
            </a:ext>
          </a:extLst>
        </xdr:cNvPr>
        <xdr:cNvSpPr/>
      </xdr:nvSpPr>
      <xdr:spPr>
        <a:xfrm>
          <a:off x="4433711" y="10787431"/>
          <a:ext cx="909910" cy="924663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81</xdr:row>
      <xdr:rowOff>76200</xdr:rowOff>
    </xdr:from>
    <xdr:to>
      <xdr:col>5</xdr:col>
      <xdr:colOff>114300</xdr:colOff>
      <xdr:row>82</xdr:row>
      <xdr:rowOff>114300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DA66BC75-40CB-3943-9971-1FA45D7C8F1A}"/>
            </a:ext>
          </a:extLst>
        </xdr:cNvPr>
        <xdr:cNvCxnSpPr>
          <a:stCxn id="78" idx="0"/>
          <a:endCxn id="70" idx="6"/>
        </xdr:cNvCxnSpPr>
      </xdr:nvCxnSpPr>
      <xdr:spPr>
        <a:xfrm rot="16200000" flipV="1">
          <a:off x="4322490" y="10223500"/>
          <a:ext cx="243352" cy="8845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81</xdr:row>
      <xdr:rowOff>76200</xdr:rowOff>
    </xdr:from>
    <xdr:to>
      <xdr:col>8</xdr:col>
      <xdr:colOff>787400</xdr:colOff>
      <xdr:row>82</xdr:row>
      <xdr:rowOff>114300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F3CDBF8F-B439-4A48-B557-112BF9B82C30}"/>
            </a:ext>
          </a:extLst>
        </xdr:cNvPr>
        <xdr:cNvCxnSpPr>
          <a:stCxn id="78" idx="0"/>
        </xdr:cNvCxnSpPr>
      </xdr:nvCxnSpPr>
      <xdr:spPr>
        <a:xfrm rot="5400000" flipH="1" flipV="1">
          <a:off x="6332811" y="9097689"/>
          <a:ext cx="243352" cy="31361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82</xdr:row>
      <xdr:rowOff>38100</xdr:rowOff>
    </xdr:from>
    <xdr:to>
      <xdr:col>5</xdr:col>
      <xdr:colOff>711200</xdr:colOff>
      <xdr:row>87</xdr:row>
      <xdr:rowOff>101600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D57C5D7-6041-924B-AC06-CBAD4424ED22}"/>
            </a:ext>
          </a:extLst>
        </xdr:cNvPr>
        <xdr:cNvCxnSpPr/>
      </xdr:nvCxnSpPr>
      <xdr:spPr>
        <a:xfrm flipH="1">
          <a:off x="4281311" y="10711231"/>
          <a:ext cx="1202010" cy="1089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717868</xdr:colOff>
      <xdr:row>61</xdr:row>
      <xdr:rowOff>25529</xdr:rowOff>
    </xdr:from>
    <xdr:to>
      <xdr:col>14</xdr:col>
      <xdr:colOff>676638</xdr:colOff>
      <xdr:row>63</xdr:row>
      <xdr:rowOff>136446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7702E1D-1EDD-D347-AAC1-78A7D0B2A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6050" y="6388357"/>
          <a:ext cx="2421800" cy="521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628201</xdr:colOff>
      <xdr:row>64</xdr:row>
      <xdr:rowOff>177800</xdr:rowOff>
    </xdr:from>
    <xdr:to>
      <xdr:col>14</xdr:col>
      <xdr:colOff>599671</xdr:colOff>
      <xdr:row>67</xdr:row>
      <xdr:rowOff>73578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D9913C0-C8F3-FA43-A0A1-4EF1945E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6383" y="7156386"/>
          <a:ext cx="2434500" cy="511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61</xdr:row>
      <xdr:rowOff>12700</xdr:rowOff>
    </xdr:from>
    <xdr:to>
      <xdr:col>17</xdr:col>
      <xdr:colOff>766816</xdr:colOff>
      <xdr:row>64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AC94C87-347F-8E4F-AEE8-913FBF46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3021" y="6375528"/>
          <a:ext cx="3320159" cy="603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64</xdr:row>
      <xdr:rowOff>177800</xdr:rowOff>
    </xdr:from>
    <xdr:to>
      <xdr:col>17</xdr:col>
      <xdr:colOff>774700</xdr:colOff>
      <xdr:row>68</xdr:row>
      <xdr:rowOff>29384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41B9BBA-2ABF-9F4F-BCBA-FC025396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122" y="7156386"/>
          <a:ext cx="3289942" cy="672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76970</xdr:colOff>
      <xdr:row>60</xdr:row>
      <xdr:rowOff>25656</xdr:rowOff>
    </xdr:from>
    <xdr:to>
      <xdr:col>31</xdr:col>
      <xdr:colOff>667071</xdr:colOff>
      <xdr:row>88</xdr:row>
      <xdr:rowOff>153939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85F370D5-8D29-7C4B-B0E6-5503CBF9A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931ADA-F52B-FD42-8230-9AF45C8AC8B6}"/>
            </a:ext>
          </a:extLst>
        </xdr:cNvPr>
        <xdr:cNvGrpSpPr/>
      </xdr:nvGrpSpPr>
      <xdr:grpSpPr>
        <a:xfrm>
          <a:off x="2468880" y="1663700"/>
          <a:ext cx="87376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99F0D56-2F6E-7444-9962-B188FD0C8BF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</a:t>
            </a:r>
            <a:r>
              <a:rPr lang="en-US" sz="1100" baseline="0">
                <a:solidFill>
                  <a:sysClr val="windowText" lastClr="000000"/>
                </a:solidFill>
              </a:rPr>
              <a:t>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23102621-637B-DC43-A34A-968514C35256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BF5C2F4-5B43-F243-B6C9-51548C38C66C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DF4D5C-7A76-D74A-9E79-DD418BD2D0E1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E241F502-6B1C-BB4D-9D73-4D560D6BF5BD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F2EFD49-AFE1-7B44-AAD3-68DCFF094E0C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1931E43-6079-8E47-9658-5501B5E99597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1C13370B-3DDE-4D43-AAFE-C6AB7976577F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B84247D0-ABDE-ED47-9A65-DA9053AF8CED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A48290DF-F40C-984A-940D-E5B7F092F388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769DD93-0D8D-2541-8819-20231AE82F65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CA8AF92-6BDF-1E43-BA72-0B6F477A7CD7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589570E4-F92F-F149-B773-A8366835F8E2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9FF8369-F1A3-3E4F-8084-E6376BD0AD64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25</xdr:row>
      <xdr:rowOff>139700</xdr:rowOff>
    </xdr:from>
    <xdr:to>
      <xdr:col>28</xdr:col>
      <xdr:colOff>146050</xdr:colOff>
      <xdr:row>39</xdr:row>
      <xdr:rowOff>38100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53FF9E1-CC8D-2F4C-A811-875BB10FA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475916</xdr:colOff>
      <xdr:row>0</xdr:row>
      <xdr:rowOff>12700</xdr:rowOff>
    </xdr:from>
    <xdr:to>
      <xdr:col>30</xdr:col>
      <xdr:colOff>437816</xdr:colOff>
      <xdr:row>24</xdr:row>
      <xdr:rowOff>177800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AACBDC9-CC20-1F40-81F6-BD8F8887B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EFA1-5DF0-B843-B4A6-E20DFB3CF11C}">
  <dimension ref="A1:AN89"/>
  <sheetViews>
    <sheetView topLeftCell="R54" zoomScale="99" workbookViewId="0">
      <selection activeCell="AM58" sqref="AM58"/>
    </sheetView>
  </sheetViews>
  <sheetFormatPr baseColWidth="10" defaultRowHeight="16" x14ac:dyDescent="0.2"/>
  <cols>
    <col min="2" max="2" width="19.5" bestFit="1" customWidth="1"/>
    <col min="16" max="16" width="23.33203125" bestFit="1" customWidth="1"/>
  </cols>
  <sheetData>
    <row r="1" spans="1:40" x14ac:dyDescent="0.2">
      <c r="A1" s="68" t="s">
        <v>0</v>
      </c>
      <c r="B1" s="69"/>
      <c r="C1" s="69"/>
      <c r="D1" s="69"/>
      <c r="E1" s="69"/>
      <c r="F1" s="69"/>
      <c r="G1" s="69"/>
      <c r="H1" s="69"/>
      <c r="I1" s="70"/>
      <c r="J1" s="71" t="s">
        <v>1</v>
      </c>
      <c r="K1" s="72"/>
      <c r="L1" s="73" t="s">
        <v>2</v>
      </c>
      <c r="M1" s="74"/>
      <c r="N1" s="74"/>
      <c r="O1" s="75"/>
      <c r="P1" s="76" t="s">
        <v>3</v>
      </c>
      <c r="Q1" s="77"/>
      <c r="R1" s="77"/>
      <c r="S1" s="78"/>
      <c r="T1" s="62" t="s">
        <v>4</v>
      </c>
      <c r="U1" s="63"/>
      <c r="V1" s="63"/>
      <c r="W1" s="64"/>
      <c r="AG1" s="1"/>
      <c r="AH1" s="1" t="s">
        <v>5</v>
      </c>
      <c r="AI1" s="1" t="s">
        <v>6</v>
      </c>
    </row>
    <row r="2" spans="1:40" x14ac:dyDescent="0.2">
      <c r="A2" s="32"/>
      <c r="B2" s="33"/>
      <c r="C2" s="33"/>
      <c r="D2" s="33"/>
      <c r="E2" s="33"/>
      <c r="F2" s="33"/>
      <c r="G2" s="33"/>
      <c r="H2" s="33"/>
      <c r="I2" s="33"/>
      <c r="J2" s="34" t="s">
        <v>5</v>
      </c>
      <c r="K2" s="35" t="s">
        <v>6</v>
      </c>
      <c r="L2" s="36"/>
      <c r="M2" s="36"/>
      <c r="N2" s="36"/>
      <c r="O2" s="37"/>
      <c r="P2" s="38"/>
      <c r="Q2" s="39"/>
      <c r="R2" s="39"/>
      <c r="S2" s="40"/>
      <c r="T2" s="41"/>
      <c r="U2" s="42"/>
      <c r="V2" s="42"/>
      <c r="W2" s="43"/>
      <c r="AG2" s="12" t="s">
        <v>7</v>
      </c>
      <c r="AH2" s="13">
        <f>H9</f>
        <v>0.85</v>
      </c>
      <c r="AI2" s="13">
        <f>H9</f>
        <v>0.85</v>
      </c>
      <c r="AL2" t="s">
        <v>8</v>
      </c>
      <c r="AM2" t="s">
        <v>26</v>
      </c>
      <c r="AN2">
        <f>F13</f>
        <v>1.8333333333333335</v>
      </c>
    </row>
    <row r="3" spans="1:40" x14ac:dyDescent="0.2">
      <c r="A3" s="32" t="s">
        <v>9</v>
      </c>
      <c r="B3" s="33" t="s">
        <v>10</v>
      </c>
      <c r="C3" s="33"/>
      <c r="D3" s="44"/>
      <c r="E3" s="33"/>
      <c r="F3" s="33"/>
      <c r="G3" s="33"/>
      <c r="H3" s="33"/>
      <c r="I3" s="33"/>
      <c r="J3" s="51">
        <v>0</v>
      </c>
      <c r="K3" s="45">
        <f>$B$11 * J3 / (1 + ($B$11 - 1) * J3)</f>
        <v>0</v>
      </c>
      <c r="L3" s="36"/>
      <c r="M3" s="36"/>
      <c r="N3" s="36"/>
      <c r="O3" s="37"/>
      <c r="P3" s="38"/>
      <c r="Q3" s="39"/>
      <c r="R3" s="39"/>
      <c r="S3" s="40"/>
      <c r="T3" s="65" t="s">
        <v>11</v>
      </c>
      <c r="U3" s="66"/>
      <c r="V3" s="66"/>
      <c r="W3" s="67"/>
      <c r="AG3" s="12" t="s">
        <v>12</v>
      </c>
      <c r="AH3" s="13">
        <v>0.74</v>
      </c>
      <c r="AI3" s="13">
        <f>AI2</f>
        <v>0.85</v>
      </c>
      <c r="AJ3">
        <v>1</v>
      </c>
      <c r="AL3" t="s">
        <v>13</v>
      </c>
      <c r="AM3" t="s">
        <v>39</v>
      </c>
      <c r="AN3">
        <f>9 + (AH20 - H24) / (AH20 - AH22)</f>
        <v>9.5657894736842106</v>
      </c>
    </row>
    <row r="4" spans="1:40" x14ac:dyDescent="0.2">
      <c r="A4" s="32">
        <v>1</v>
      </c>
      <c r="B4" s="33" t="s">
        <v>35</v>
      </c>
      <c r="C4" s="33"/>
      <c r="D4" s="33"/>
      <c r="E4" s="33"/>
      <c r="F4" s="33"/>
      <c r="G4" s="33"/>
      <c r="H4" s="33"/>
      <c r="I4" s="33"/>
      <c r="J4" s="51">
        <f>0.05</f>
        <v>0.05</v>
      </c>
      <c r="K4" s="45">
        <f t="shared" ref="K4:K23" si="0">$B$11 * J4 / (1 + ($B$11 - 1) * J4)</f>
        <v>9.5238095238095233E-2</v>
      </c>
      <c r="L4" s="36"/>
      <c r="M4" s="36"/>
      <c r="N4" s="36"/>
      <c r="O4" s="37"/>
      <c r="P4" s="38"/>
      <c r="Q4" s="39"/>
      <c r="R4" s="39"/>
      <c r="S4" s="40"/>
      <c r="T4" s="41"/>
      <c r="U4" s="42"/>
      <c r="V4" s="42"/>
      <c r="W4" s="43"/>
      <c r="AG4" s="12" t="s">
        <v>7</v>
      </c>
      <c r="AH4" s="13">
        <f>AH3</f>
        <v>0.74</v>
      </c>
      <c r="AI4" s="13">
        <f>($F$12) / ($F$12 + 1) * AH4 + $N$22</f>
        <v>0.77333333333333332</v>
      </c>
      <c r="AL4" t="s">
        <v>14</v>
      </c>
      <c r="AM4" t="s">
        <v>40</v>
      </c>
      <c r="AN4">
        <f>6 + (AH44 - H54) / (AH44 - AH46)</f>
        <v>11.315789473684212</v>
      </c>
    </row>
    <row r="5" spans="1:40" x14ac:dyDescent="0.2">
      <c r="A5" s="32">
        <v>2</v>
      </c>
      <c r="B5" s="33" t="s">
        <v>34</v>
      </c>
      <c r="C5" s="33"/>
      <c r="D5" s="33"/>
      <c r="E5" s="33"/>
      <c r="F5" s="33"/>
      <c r="G5" s="33"/>
      <c r="H5" s="33"/>
      <c r="I5" s="33"/>
      <c r="J5" s="51">
        <v>0.1</v>
      </c>
      <c r="K5" s="45">
        <f t="shared" si="0"/>
        <v>0.18181818181818182</v>
      </c>
      <c r="L5" s="36"/>
      <c r="M5" s="36"/>
      <c r="N5" s="36"/>
      <c r="O5" s="37"/>
      <c r="P5" s="38"/>
      <c r="Q5" s="39"/>
      <c r="R5" s="39"/>
      <c r="S5" s="40"/>
      <c r="T5" s="41"/>
      <c r="U5" s="42" t="s">
        <v>5</v>
      </c>
      <c r="V5" s="42" t="s">
        <v>6</v>
      </c>
      <c r="W5" s="43"/>
      <c r="AG5" s="12" t="s">
        <v>12</v>
      </c>
      <c r="AH5" s="13">
        <v>0.63</v>
      </c>
      <c r="AI5" s="13">
        <f>AI4</f>
        <v>0.77333333333333332</v>
      </c>
      <c r="AJ5">
        <v>2</v>
      </c>
      <c r="AL5" t="s">
        <v>15</v>
      </c>
      <c r="AM5" t="s">
        <v>41</v>
      </c>
      <c r="AN5">
        <f>8 + (AH78 - H84) / (AH78 - AH80)</f>
        <v>8.4</v>
      </c>
    </row>
    <row r="6" spans="1:40" x14ac:dyDescent="0.2">
      <c r="A6" s="32"/>
      <c r="B6" s="33"/>
      <c r="C6" s="33"/>
      <c r="D6" s="33"/>
      <c r="E6" s="33"/>
      <c r="F6" s="33"/>
      <c r="G6" s="33"/>
      <c r="H6" s="33"/>
      <c r="I6" s="33"/>
      <c r="J6" s="51">
        <v>0.15</v>
      </c>
      <c r="K6" s="45">
        <f t="shared" si="0"/>
        <v>0.2608695652173913</v>
      </c>
      <c r="L6" s="36"/>
      <c r="M6" s="36"/>
      <c r="N6" s="36"/>
      <c r="O6" s="37"/>
      <c r="P6" s="38"/>
      <c r="Q6" s="39"/>
      <c r="R6" s="39"/>
      <c r="S6" s="40"/>
      <c r="T6" s="41" t="s">
        <v>16</v>
      </c>
      <c r="U6" s="42" t="s">
        <v>17</v>
      </c>
      <c r="V6" s="42" t="s">
        <v>17</v>
      </c>
      <c r="W6" s="43"/>
      <c r="AG6" s="12" t="s">
        <v>7</v>
      </c>
      <c r="AH6" s="13">
        <f>AH5</f>
        <v>0.63</v>
      </c>
      <c r="AI6" s="13">
        <f t="shared" ref="AI6" si="1">($F$12) / ($F$12 + 1) * AH6 + $N$22</f>
        <v>0.69666666666666655</v>
      </c>
      <c r="AL6" t="s">
        <v>42</v>
      </c>
      <c r="AN6">
        <f>AN3</f>
        <v>9.5657894736842106</v>
      </c>
    </row>
    <row r="7" spans="1:40" x14ac:dyDescent="0.2">
      <c r="A7" s="32"/>
      <c r="B7" s="33"/>
      <c r="C7" s="33"/>
      <c r="D7" s="33"/>
      <c r="E7" s="33"/>
      <c r="F7" s="33"/>
      <c r="G7" s="33"/>
      <c r="H7" s="33"/>
      <c r="I7" s="33"/>
      <c r="J7" s="51">
        <v>0.2</v>
      </c>
      <c r="K7" s="45">
        <f t="shared" si="0"/>
        <v>0.33333333333333337</v>
      </c>
      <c r="L7" s="36"/>
      <c r="M7" s="36"/>
      <c r="N7" s="36"/>
      <c r="O7" s="37"/>
      <c r="P7" s="38"/>
      <c r="Q7" s="39"/>
      <c r="R7" s="39"/>
      <c r="S7" s="40"/>
      <c r="T7" s="41" t="s">
        <v>18</v>
      </c>
      <c r="U7" s="42" t="s">
        <v>5</v>
      </c>
      <c r="V7" s="42" t="s">
        <v>6</v>
      </c>
      <c r="W7" s="43"/>
      <c r="AG7" s="12" t="s">
        <v>12</v>
      </c>
      <c r="AH7" s="13">
        <f>0.535</f>
        <v>0.53500000000000003</v>
      </c>
      <c r="AI7" s="13">
        <f t="shared" ref="AI7" si="2">AI6</f>
        <v>0.69666666666666655</v>
      </c>
      <c r="AJ7">
        <v>3</v>
      </c>
    </row>
    <row r="8" spans="1:40" x14ac:dyDescent="0.2">
      <c r="A8" s="32"/>
      <c r="B8" s="33"/>
      <c r="C8" s="33"/>
      <c r="D8" s="33"/>
      <c r="E8" s="33"/>
      <c r="F8" s="33"/>
      <c r="G8" s="33" t="s">
        <v>19</v>
      </c>
      <c r="H8" s="33">
        <f>(B13 - H24) * B12 / (H9 - H24)</f>
        <v>42.647058823529413</v>
      </c>
      <c r="I8" s="33"/>
      <c r="J8" s="51">
        <v>0.25</v>
      </c>
      <c r="K8" s="45">
        <f t="shared" si="0"/>
        <v>0.4</v>
      </c>
      <c r="L8" s="36"/>
      <c r="M8" s="36"/>
      <c r="N8" s="36"/>
      <c r="O8" s="37"/>
      <c r="P8" s="38"/>
      <c r="Q8" s="39"/>
      <c r="R8" s="39"/>
      <c r="S8" s="40"/>
      <c r="T8" s="41"/>
      <c r="U8" s="42"/>
      <c r="V8" s="42"/>
      <c r="W8" s="43"/>
      <c r="AG8" s="12" t="s">
        <v>7</v>
      </c>
      <c r="AH8" s="13">
        <f>AH7</f>
        <v>0.53500000000000003</v>
      </c>
      <c r="AI8" s="13">
        <f t="shared" ref="AI8" si="3">($F$12) / ($F$12 + 1) * AH8 + $N$22</f>
        <v>0.63045454545454538</v>
      </c>
    </row>
    <row r="9" spans="1:40" x14ac:dyDescent="0.2">
      <c r="A9" s="32"/>
      <c r="B9" s="33"/>
      <c r="C9" s="33"/>
      <c r="D9" s="33"/>
      <c r="E9" s="33"/>
      <c r="F9" s="33"/>
      <c r="G9" s="33" t="s">
        <v>20</v>
      </c>
      <c r="H9" s="33">
        <f>0.85</f>
        <v>0.85</v>
      </c>
      <c r="I9" s="33"/>
      <c r="J9" s="51">
        <v>0.3</v>
      </c>
      <c r="K9" s="45">
        <f t="shared" si="0"/>
        <v>0.46153846153846151</v>
      </c>
      <c r="L9" s="36"/>
      <c r="M9" s="36"/>
      <c r="N9" s="36"/>
      <c r="O9" s="37"/>
      <c r="P9" s="38"/>
      <c r="Q9" s="39"/>
      <c r="R9" s="39"/>
      <c r="S9" s="40"/>
      <c r="T9" s="41"/>
      <c r="U9" s="42" t="s">
        <v>5</v>
      </c>
      <c r="V9" s="42" t="s">
        <v>6</v>
      </c>
      <c r="W9" s="43"/>
      <c r="AG9" s="12" t="s">
        <v>12</v>
      </c>
      <c r="AH9" s="13">
        <f>0.461</f>
        <v>0.46100000000000002</v>
      </c>
      <c r="AI9" s="13">
        <f t="shared" ref="AI9" si="4">AI8</f>
        <v>0.63045454545454538</v>
      </c>
      <c r="AJ9">
        <v>4</v>
      </c>
    </row>
    <row r="10" spans="1:40" x14ac:dyDescent="0.2">
      <c r="A10" s="32"/>
      <c r="B10" s="33"/>
      <c r="C10" s="33"/>
      <c r="D10" s="33"/>
      <c r="E10" s="33"/>
      <c r="F10" s="33"/>
      <c r="G10" s="33"/>
      <c r="H10" s="33"/>
      <c r="I10" s="33"/>
      <c r="J10" s="51">
        <v>0.35</v>
      </c>
      <c r="K10" s="45">
        <f t="shared" si="0"/>
        <v>0.51851851851851849</v>
      </c>
      <c r="L10" s="54" t="s">
        <v>21</v>
      </c>
      <c r="M10" s="55"/>
      <c r="N10" s="55"/>
      <c r="O10" s="56"/>
      <c r="P10" s="38"/>
      <c r="Q10" s="39"/>
      <c r="R10" s="39"/>
      <c r="S10" s="40"/>
      <c r="T10" s="41" t="s">
        <v>16</v>
      </c>
      <c r="U10" s="42">
        <f>H24</f>
        <v>0.17000000000000004</v>
      </c>
      <c r="V10" s="42">
        <f>H24</f>
        <v>0.17000000000000004</v>
      </c>
      <c r="W10" s="43"/>
      <c r="AG10" s="12" t="s">
        <v>7</v>
      </c>
      <c r="AH10" s="13">
        <f>AH9</f>
        <v>0.46100000000000002</v>
      </c>
      <c r="AI10" s="13">
        <f t="shared" ref="AI10" si="5">($F$12) / ($F$12 + 1) * AH10 + $N$22</f>
        <v>0.57887878787878788</v>
      </c>
    </row>
    <row r="11" spans="1:40" x14ac:dyDescent="0.2">
      <c r="A11" s="32" t="s">
        <v>36</v>
      </c>
      <c r="B11" s="33">
        <v>2</v>
      </c>
      <c r="C11" s="33"/>
      <c r="D11" s="33"/>
      <c r="E11" s="33"/>
      <c r="F11" s="33"/>
      <c r="G11" s="33"/>
      <c r="H11" s="33"/>
      <c r="I11" s="33"/>
      <c r="J11" s="51">
        <v>0.4</v>
      </c>
      <c r="K11" s="45">
        <f t="shared" si="0"/>
        <v>0.57142857142857151</v>
      </c>
      <c r="L11" s="54"/>
      <c r="M11" s="55"/>
      <c r="N11" s="55"/>
      <c r="O11" s="56"/>
      <c r="P11" s="59" t="s">
        <v>22</v>
      </c>
      <c r="Q11" s="60"/>
      <c r="R11" s="60"/>
      <c r="S11" s="61"/>
      <c r="T11" s="41" t="s">
        <v>18</v>
      </c>
      <c r="U11" s="42">
        <v>0.39</v>
      </c>
      <c r="V11" s="42">
        <v>0.53</v>
      </c>
      <c r="W11" s="43"/>
      <c r="AG11" s="12" t="s">
        <v>12</v>
      </c>
      <c r="AH11" s="13">
        <f>0.408</f>
        <v>0.40799999999999997</v>
      </c>
      <c r="AI11" s="13">
        <f t="shared" ref="AI11" si="6">AI10</f>
        <v>0.57887878787878788</v>
      </c>
      <c r="AJ11">
        <v>5</v>
      </c>
    </row>
    <row r="12" spans="1:40" x14ac:dyDescent="0.2">
      <c r="A12" s="46" t="s">
        <v>23</v>
      </c>
      <c r="B12" s="33">
        <f>100</f>
        <v>100</v>
      </c>
      <c r="C12" s="33" t="s">
        <v>24</v>
      </c>
      <c r="D12" s="33"/>
      <c r="E12" s="44">
        <v>2.2999999999999998</v>
      </c>
      <c r="F12" s="33">
        <f>2.3</f>
        <v>2.2999999999999998</v>
      </c>
      <c r="G12" s="33"/>
      <c r="H12" s="33"/>
      <c r="I12" s="33"/>
      <c r="J12" s="51">
        <v>0.45</v>
      </c>
      <c r="K12" s="45">
        <f t="shared" si="0"/>
        <v>0.62068965517241381</v>
      </c>
      <c r="L12" s="47"/>
      <c r="M12" s="36" t="s">
        <v>5</v>
      </c>
      <c r="N12" s="36" t="s">
        <v>6</v>
      </c>
      <c r="O12" s="37"/>
      <c r="P12" s="38" t="s">
        <v>37</v>
      </c>
      <c r="Q12" s="48">
        <v>50</v>
      </c>
      <c r="R12" s="39"/>
      <c r="S12" s="40"/>
      <c r="T12" s="41"/>
      <c r="U12" s="42"/>
      <c r="V12" s="42"/>
      <c r="W12" s="43"/>
      <c r="AG12" s="12" t="s">
        <v>7</v>
      </c>
      <c r="AH12" s="13">
        <f>AH11</f>
        <v>0.40799999999999997</v>
      </c>
      <c r="AI12" s="13">
        <f t="shared" ref="AI12" si="7">($F$12) / ($F$12 + 1) * AH12 + $N$22</f>
        <v>0.54193939393939394</v>
      </c>
    </row>
    <row r="13" spans="1:40" x14ac:dyDescent="0.2">
      <c r="A13" s="46" t="s">
        <v>25</v>
      </c>
      <c r="B13" s="33">
        <v>0.46</v>
      </c>
      <c r="C13" s="33"/>
      <c r="D13" s="33"/>
      <c r="E13" s="33" t="s">
        <v>26</v>
      </c>
      <c r="F13" s="33">
        <f>H9 / N18 - 1</f>
        <v>1.8333333333333335</v>
      </c>
      <c r="G13" s="33"/>
      <c r="H13" s="33"/>
      <c r="I13" s="49"/>
      <c r="J13" s="52">
        <v>0.5</v>
      </c>
      <c r="K13" s="45">
        <f t="shared" si="0"/>
        <v>0.66666666666666663</v>
      </c>
      <c r="L13" s="47" t="s">
        <v>16</v>
      </c>
      <c r="M13" s="36" t="s">
        <v>20</v>
      </c>
      <c r="N13" s="36" t="s">
        <v>20</v>
      </c>
      <c r="O13" s="37"/>
      <c r="P13" s="38" t="s">
        <v>23</v>
      </c>
      <c r="Q13" s="39">
        <v>100</v>
      </c>
      <c r="R13" s="60"/>
      <c r="S13" s="61"/>
      <c r="T13" s="41"/>
      <c r="U13" s="42"/>
      <c r="V13" s="42"/>
      <c r="W13" s="43"/>
      <c r="AG13" s="12" t="s">
        <v>12</v>
      </c>
      <c r="AH13" s="13">
        <f>0.372</f>
        <v>0.372</v>
      </c>
      <c r="AI13" s="13">
        <f t="shared" ref="AI13" si="8">AI12</f>
        <v>0.54193939393939394</v>
      </c>
      <c r="AJ13">
        <v>6</v>
      </c>
    </row>
    <row r="14" spans="1:40" x14ac:dyDescent="0.2">
      <c r="A14" s="46"/>
      <c r="B14" s="33"/>
      <c r="C14" s="33"/>
      <c r="D14" s="33"/>
      <c r="E14" s="57"/>
      <c r="F14" s="57"/>
      <c r="G14" s="57"/>
      <c r="H14" s="33"/>
      <c r="I14" s="49"/>
      <c r="J14" s="52">
        <v>0.55000000000000004</v>
      </c>
      <c r="K14" s="45">
        <f t="shared" si="0"/>
        <v>0.70967741935483875</v>
      </c>
      <c r="L14" s="47" t="s">
        <v>18</v>
      </c>
      <c r="M14" s="36">
        <v>0</v>
      </c>
      <c r="N14" s="36" t="s">
        <v>27</v>
      </c>
      <c r="O14" s="37"/>
      <c r="P14" s="38" t="s">
        <v>28</v>
      </c>
      <c r="Q14" s="39">
        <f>50/B12</f>
        <v>0.5</v>
      </c>
      <c r="R14" s="39"/>
      <c r="S14" s="40"/>
      <c r="T14" s="41"/>
      <c r="U14" s="42"/>
      <c r="V14" s="42"/>
      <c r="W14" s="43"/>
      <c r="AG14" s="12" t="s">
        <v>7</v>
      </c>
      <c r="AH14" s="13">
        <f>AH13</f>
        <v>0.372</v>
      </c>
      <c r="AI14" s="13">
        <f>($V$11 - $V$10) /($U$11 - $U$10) * AH14 + $V$11 - ($V$11 - $V$10) /($U$11 - $U$10) * $U$11</f>
        <v>0.50054545454545452</v>
      </c>
    </row>
    <row r="15" spans="1:40" x14ac:dyDescent="0.2">
      <c r="A15" s="58"/>
      <c r="B15" s="57"/>
      <c r="C15" s="57"/>
      <c r="D15" s="33"/>
      <c r="E15" s="57" t="s">
        <v>29</v>
      </c>
      <c r="F15" s="57"/>
      <c r="G15" s="57"/>
      <c r="H15" s="33"/>
      <c r="I15" s="49"/>
      <c r="J15" s="53">
        <v>0.6</v>
      </c>
      <c r="K15" s="45">
        <f t="shared" si="0"/>
        <v>0.74999999999999989</v>
      </c>
      <c r="L15" s="54" t="s">
        <v>30</v>
      </c>
      <c r="M15" s="55"/>
      <c r="N15" s="55"/>
      <c r="O15" s="56"/>
      <c r="P15" s="38"/>
      <c r="Q15" s="39"/>
      <c r="R15" s="39"/>
      <c r="S15" s="40"/>
      <c r="T15" s="41"/>
      <c r="U15" s="42"/>
      <c r="V15" s="42"/>
      <c r="W15" s="43"/>
      <c r="AG15" s="12" t="s">
        <v>12</v>
      </c>
      <c r="AH15" s="13">
        <v>0.33400000000000002</v>
      </c>
      <c r="AI15" s="13">
        <f>AI14</f>
        <v>0.50054545454545452</v>
      </c>
      <c r="AJ15">
        <v>7</v>
      </c>
    </row>
    <row r="16" spans="1:40" x14ac:dyDescent="0.2">
      <c r="A16" s="32"/>
      <c r="B16" s="33"/>
      <c r="C16" s="33"/>
      <c r="D16" s="33"/>
      <c r="E16" s="57" t="s">
        <v>31</v>
      </c>
      <c r="F16" s="57"/>
      <c r="G16" s="57"/>
      <c r="H16" s="33"/>
      <c r="I16" s="49"/>
      <c r="J16" s="52">
        <v>0.65</v>
      </c>
      <c r="K16" s="45">
        <f t="shared" si="0"/>
        <v>0.78787878787878796</v>
      </c>
      <c r="L16" s="47"/>
      <c r="M16" s="36" t="s">
        <v>5</v>
      </c>
      <c r="N16" s="36" t="s">
        <v>6</v>
      </c>
      <c r="O16" s="37"/>
      <c r="P16" s="59" t="s">
        <v>32</v>
      </c>
      <c r="Q16" s="60"/>
      <c r="R16" s="60"/>
      <c r="S16" s="61"/>
      <c r="T16" s="41"/>
      <c r="U16" s="42"/>
      <c r="V16" s="42"/>
      <c r="W16" s="43"/>
      <c r="AG16" s="12" t="s">
        <v>7</v>
      </c>
      <c r="AH16" s="13">
        <f>AH15</f>
        <v>0.33400000000000002</v>
      </c>
      <c r="AI16" s="13">
        <f t="shared" ref="AI16" si="9">($V$11 - $V$10) /($U$11 - $U$10) * AH16 + $V$11 - ($V$11 - $V$10) /($U$11 - $U$10) * $U$11</f>
        <v>0.43836363636363618</v>
      </c>
    </row>
    <row r="17" spans="1:36" x14ac:dyDescent="0.2">
      <c r="A17" s="32"/>
      <c r="B17" s="33"/>
      <c r="C17" s="33"/>
      <c r="D17" s="33"/>
      <c r="E17" s="33"/>
      <c r="F17" s="33"/>
      <c r="G17" s="33"/>
      <c r="H17" s="33"/>
      <c r="I17" s="49"/>
      <c r="J17" s="52">
        <v>0.7</v>
      </c>
      <c r="K17" s="45">
        <f t="shared" si="0"/>
        <v>0.82352941176470584</v>
      </c>
      <c r="L17" s="47" t="s">
        <v>16</v>
      </c>
      <c r="M17" s="36">
        <f>H9</f>
        <v>0.85</v>
      </c>
      <c r="N17" s="36">
        <f>H9</f>
        <v>0.85</v>
      </c>
      <c r="O17" s="37"/>
      <c r="P17" s="38"/>
      <c r="Q17" s="39"/>
      <c r="R17" s="39"/>
      <c r="S17" s="40"/>
      <c r="T17" s="41"/>
      <c r="U17" s="42"/>
      <c r="V17" s="42"/>
      <c r="W17" s="43"/>
      <c r="AG17" s="12" t="s">
        <v>12</v>
      </c>
      <c r="AH17" s="13">
        <v>0.28100000000000003</v>
      </c>
      <c r="AI17" s="13">
        <f t="shared" ref="AI17" si="10">AI16</f>
        <v>0.43836363636363618</v>
      </c>
      <c r="AJ17">
        <v>8</v>
      </c>
    </row>
    <row r="18" spans="1:36" x14ac:dyDescent="0.2">
      <c r="A18" s="32"/>
      <c r="B18" s="33"/>
      <c r="C18" s="33"/>
      <c r="D18" s="33"/>
      <c r="E18" s="33"/>
      <c r="F18" s="33"/>
      <c r="G18" s="33"/>
      <c r="H18" s="33"/>
      <c r="I18" s="49"/>
      <c r="J18" s="52">
        <v>0.75</v>
      </c>
      <c r="K18" s="45">
        <f t="shared" si="0"/>
        <v>0.8571428571428571</v>
      </c>
      <c r="L18" s="47" t="s">
        <v>18</v>
      </c>
      <c r="M18" s="36">
        <f>0</f>
        <v>0</v>
      </c>
      <c r="N18" s="36">
        <f>0.3</f>
        <v>0.3</v>
      </c>
      <c r="O18" s="37"/>
      <c r="P18" s="38"/>
      <c r="Q18" s="39" t="s">
        <v>5</v>
      </c>
      <c r="R18" s="39" t="s">
        <v>6</v>
      </c>
      <c r="S18" s="40"/>
      <c r="T18" s="41"/>
      <c r="U18" s="42"/>
      <c r="V18" s="42"/>
      <c r="W18" s="43"/>
      <c r="AG18" s="12" t="s">
        <v>7</v>
      </c>
      <c r="AH18" s="13">
        <f>AH17</f>
        <v>0.28100000000000003</v>
      </c>
      <c r="AI18" s="13">
        <f t="shared" ref="AI18" si="11">($V$11 - $V$10) /($U$11 - $U$10) * AH18 + $V$11 - ($V$11 - $V$10) /($U$11 - $U$10) * $U$11</f>
        <v>0.35163636363636364</v>
      </c>
    </row>
    <row r="19" spans="1:36" x14ac:dyDescent="0.2">
      <c r="A19" s="32" t="s">
        <v>33</v>
      </c>
      <c r="B19" s="33">
        <f>5</f>
        <v>5</v>
      </c>
      <c r="C19" s="33"/>
      <c r="D19" s="33"/>
      <c r="E19" s="33"/>
      <c r="F19" s="33"/>
      <c r="G19" s="33"/>
      <c r="H19" s="33"/>
      <c r="I19" s="49"/>
      <c r="J19" s="52">
        <v>0.8</v>
      </c>
      <c r="K19" s="45">
        <f t="shared" si="0"/>
        <v>0.88888888888888895</v>
      </c>
      <c r="L19" s="54" t="s">
        <v>38</v>
      </c>
      <c r="M19" s="55"/>
      <c r="N19" s="55"/>
      <c r="O19" s="56"/>
      <c r="P19" s="38" t="s">
        <v>16</v>
      </c>
      <c r="Q19" s="39" t="s">
        <v>25</v>
      </c>
      <c r="R19" s="39" t="s">
        <v>25</v>
      </c>
      <c r="S19" s="40"/>
      <c r="T19" s="41"/>
      <c r="U19" s="42"/>
      <c r="V19" s="42"/>
      <c r="W19" s="43"/>
      <c r="AG19" s="12" t="s">
        <v>12</v>
      </c>
      <c r="AH19" s="13">
        <f>0.213</f>
        <v>0.21299999999999999</v>
      </c>
      <c r="AI19" s="13">
        <f t="shared" ref="AI19" si="12">AI18</f>
        <v>0.35163636363636364</v>
      </c>
      <c r="AJ19">
        <v>9</v>
      </c>
    </row>
    <row r="20" spans="1:36" x14ac:dyDescent="0.2">
      <c r="A20" s="32"/>
      <c r="B20" s="33"/>
      <c r="C20" s="33"/>
      <c r="D20" s="33"/>
      <c r="E20" s="33"/>
      <c r="F20" s="33"/>
      <c r="G20" s="33"/>
      <c r="H20" s="33"/>
      <c r="I20" s="49"/>
      <c r="J20" s="52">
        <v>0.85</v>
      </c>
      <c r="K20" s="45">
        <f t="shared" si="0"/>
        <v>0.91891891891891886</v>
      </c>
      <c r="L20" s="47"/>
      <c r="M20" s="36" t="s">
        <v>5</v>
      </c>
      <c r="N20" s="36" t="s">
        <v>6</v>
      </c>
      <c r="O20" s="36"/>
      <c r="P20" s="38" t="s">
        <v>18</v>
      </c>
      <c r="Q20" s="39" t="s">
        <v>5</v>
      </c>
      <c r="R20" s="39" t="s">
        <v>6</v>
      </c>
      <c r="S20" s="40"/>
      <c r="T20" s="41"/>
      <c r="U20" s="42"/>
      <c r="V20" s="42"/>
      <c r="W20" s="43"/>
      <c r="AG20" s="12" t="s">
        <v>7</v>
      </c>
      <c r="AH20" s="13">
        <f>AH19</f>
        <v>0.21299999999999999</v>
      </c>
      <c r="AI20" s="13">
        <f t="shared" ref="AI20" si="13">($V$11 - $V$10) /($U$11 - $U$10) * AH20 + $V$11 - ($V$11 - $V$10) /($U$11 - $U$10) * $U$11</f>
        <v>0.24036363636363622</v>
      </c>
    </row>
    <row r="21" spans="1:36" x14ac:dyDescent="0.2">
      <c r="A21" s="32"/>
      <c r="B21" s="33"/>
      <c r="C21" s="33"/>
      <c r="D21" s="33"/>
      <c r="E21" s="33"/>
      <c r="F21" s="33"/>
      <c r="G21" s="33"/>
      <c r="H21" s="33"/>
      <c r="I21" s="49"/>
      <c r="J21" s="52">
        <v>0.9</v>
      </c>
      <c r="K21" s="45">
        <f t="shared" si="0"/>
        <v>0.94736842105263164</v>
      </c>
      <c r="L21" s="47" t="s">
        <v>16</v>
      </c>
      <c r="M21" s="36">
        <f>H9</f>
        <v>0.85</v>
      </c>
      <c r="N21" s="36">
        <f>H9</f>
        <v>0.85</v>
      </c>
      <c r="O21" s="36"/>
      <c r="P21" s="38"/>
      <c r="Q21" s="39"/>
      <c r="R21" s="39"/>
      <c r="S21" s="40"/>
      <c r="T21" s="41"/>
      <c r="U21" s="42"/>
      <c r="V21" s="42"/>
      <c r="W21" s="43"/>
      <c r="AG21" s="12" t="s">
        <v>12</v>
      </c>
      <c r="AH21" s="13">
        <v>0.13700000000000001</v>
      </c>
      <c r="AI21" s="13">
        <f t="shared" ref="AI21" si="14">AI20</f>
        <v>0.24036363636363622</v>
      </c>
      <c r="AJ21">
        <v>10</v>
      </c>
    </row>
    <row r="22" spans="1:36" x14ac:dyDescent="0.2">
      <c r="A22" s="32"/>
      <c r="B22" s="33"/>
      <c r="C22" s="33"/>
      <c r="D22" s="33"/>
      <c r="E22" s="33"/>
      <c r="F22" s="33"/>
      <c r="G22" s="33"/>
      <c r="H22" s="33"/>
      <c r="I22" s="49"/>
      <c r="J22" s="52">
        <v>0.95</v>
      </c>
      <c r="K22" s="45">
        <f t="shared" si="0"/>
        <v>0.97435897435897434</v>
      </c>
      <c r="L22" s="47" t="s">
        <v>18</v>
      </c>
      <c r="M22" s="36">
        <v>0</v>
      </c>
      <c r="N22" s="36">
        <f>1 / (F12 + 1) * H9</f>
        <v>0.25757575757575757</v>
      </c>
      <c r="O22" s="37"/>
      <c r="P22" s="38"/>
      <c r="Q22" s="39" t="s">
        <v>5</v>
      </c>
      <c r="R22" s="39" t="s">
        <v>6</v>
      </c>
      <c r="S22" s="40"/>
      <c r="T22" s="41"/>
      <c r="U22" s="42"/>
      <c r="V22" s="42"/>
      <c r="W22" s="43"/>
      <c r="AG22" s="12" t="s">
        <v>7</v>
      </c>
      <c r="AH22" s="13">
        <f>AH21</f>
        <v>0.13700000000000001</v>
      </c>
      <c r="AI22" s="13">
        <f>AH22</f>
        <v>0.13700000000000001</v>
      </c>
    </row>
    <row r="23" spans="1:36" x14ac:dyDescent="0.2">
      <c r="A23" s="32"/>
      <c r="B23" s="33"/>
      <c r="C23" s="33"/>
      <c r="D23" s="33"/>
      <c r="E23" s="33"/>
      <c r="F23" s="33"/>
      <c r="G23" s="33" t="s">
        <v>34</v>
      </c>
      <c r="H23" s="33">
        <f>(B13 - H9) * B12 / (H24 - H9)</f>
        <v>57.35294117647058</v>
      </c>
      <c r="I23" s="49"/>
      <c r="J23" s="52">
        <v>1</v>
      </c>
      <c r="K23" s="45">
        <f t="shared" si="0"/>
        <v>1</v>
      </c>
      <c r="L23" s="47"/>
      <c r="M23" s="36"/>
      <c r="N23" s="36"/>
      <c r="O23" s="37"/>
      <c r="P23" s="38" t="s">
        <v>16</v>
      </c>
      <c r="Q23" s="39">
        <f>B13</f>
        <v>0.46</v>
      </c>
      <c r="R23" s="39">
        <f>B13</f>
        <v>0.46</v>
      </c>
      <c r="S23" s="40"/>
      <c r="T23" s="41"/>
      <c r="U23" s="42"/>
      <c r="V23" s="42"/>
      <c r="W23" s="43"/>
      <c r="AG23" s="12" t="s">
        <v>12</v>
      </c>
      <c r="AH23" s="13"/>
      <c r="AI23" s="13"/>
    </row>
    <row r="24" spans="1:36" x14ac:dyDescent="0.2">
      <c r="A24" s="32"/>
      <c r="B24" s="33"/>
      <c r="C24" s="33"/>
      <c r="D24" s="33"/>
      <c r="E24" s="33"/>
      <c r="F24" s="33"/>
      <c r="G24" s="33" t="s">
        <v>17</v>
      </c>
      <c r="H24" s="33">
        <f xml:space="preserve"> 1 - 0.83</f>
        <v>0.17000000000000004</v>
      </c>
      <c r="I24" s="49"/>
      <c r="J24" s="50"/>
      <c r="K24" s="45"/>
      <c r="L24" s="47"/>
      <c r="M24" s="36"/>
      <c r="N24" s="36"/>
      <c r="O24" s="37"/>
      <c r="P24" s="38" t="s">
        <v>18</v>
      </c>
      <c r="Q24" s="39">
        <f>0</f>
        <v>0</v>
      </c>
      <c r="R24" s="39">
        <f xml:space="preserve"> Q14 / (Q14 - 1) * Q24 + 1 / (1 - Q14) * B13</f>
        <v>0.92</v>
      </c>
      <c r="S24" s="40"/>
      <c r="T24" s="41"/>
      <c r="U24" s="42"/>
      <c r="V24" s="42"/>
      <c r="W24" s="43"/>
      <c r="AG24" s="12" t="s">
        <v>7</v>
      </c>
      <c r="AH24" s="13"/>
      <c r="AI24" s="13"/>
    </row>
    <row r="25" spans="1:36" x14ac:dyDescent="0.2">
      <c r="A25" s="2"/>
      <c r="B25" s="3"/>
      <c r="C25" s="3"/>
      <c r="D25" s="3"/>
      <c r="E25" s="3"/>
      <c r="F25" s="3"/>
      <c r="G25" s="3"/>
      <c r="H25" s="3"/>
      <c r="I25" s="15"/>
      <c r="J25" s="16"/>
      <c r="K25" s="17"/>
      <c r="L25" s="14"/>
      <c r="M25" s="4"/>
      <c r="N25" s="4"/>
      <c r="O25" s="5"/>
      <c r="P25" s="6"/>
      <c r="Q25" s="7"/>
      <c r="R25" s="7"/>
      <c r="S25" s="8"/>
      <c r="T25" s="9"/>
      <c r="U25" s="10"/>
      <c r="V25" s="10"/>
      <c r="W25" s="11"/>
      <c r="AG25" s="12" t="s">
        <v>12</v>
      </c>
      <c r="AH25" s="13"/>
      <c r="AI25" s="13"/>
    </row>
    <row r="26" spans="1:36" x14ac:dyDescent="0.2">
      <c r="A26" s="2"/>
      <c r="B26" s="3"/>
      <c r="C26" s="3"/>
      <c r="D26" s="3"/>
      <c r="E26" s="3"/>
      <c r="F26" s="3"/>
      <c r="G26" s="3"/>
      <c r="H26" s="3"/>
      <c r="I26" s="15"/>
      <c r="J26" s="16"/>
      <c r="K26" s="17"/>
      <c r="L26" s="14"/>
      <c r="M26" s="4"/>
      <c r="N26" s="4"/>
      <c r="O26" s="5"/>
      <c r="P26" s="6"/>
      <c r="Q26" s="7"/>
      <c r="R26" s="7"/>
      <c r="S26" s="8"/>
      <c r="T26" s="9"/>
      <c r="U26" s="10"/>
      <c r="V26" s="10"/>
      <c r="W26" s="11"/>
      <c r="AG26" s="12" t="s">
        <v>7</v>
      </c>
      <c r="AH26" s="13"/>
      <c r="AI26" s="13"/>
    </row>
    <row r="27" spans="1:36" x14ac:dyDescent="0.2">
      <c r="A27" s="2"/>
      <c r="B27" s="3"/>
      <c r="C27" s="3"/>
      <c r="D27" s="3"/>
      <c r="E27" s="3"/>
      <c r="F27" s="3"/>
      <c r="G27" s="3"/>
      <c r="H27" s="3"/>
      <c r="I27" s="15"/>
      <c r="J27" s="16"/>
      <c r="K27" s="17"/>
      <c r="L27" s="14"/>
      <c r="M27" s="4"/>
      <c r="N27" s="4"/>
      <c r="O27" s="5"/>
      <c r="P27" s="6"/>
      <c r="Q27" s="7"/>
      <c r="R27" s="7"/>
      <c r="S27" s="8"/>
      <c r="T27" s="9"/>
      <c r="U27" s="10"/>
      <c r="V27" s="10"/>
      <c r="W27" s="11"/>
      <c r="AG27" s="12" t="s">
        <v>12</v>
      </c>
      <c r="AH27" s="13"/>
      <c r="AI27" s="13"/>
    </row>
    <row r="28" spans="1:36" x14ac:dyDescent="0.2">
      <c r="A28" s="2"/>
      <c r="B28" s="3"/>
      <c r="C28" s="3"/>
      <c r="D28" s="3"/>
      <c r="E28" s="3"/>
      <c r="F28" s="3"/>
      <c r="G28" s="3"/>
      <c r="H28" s="3"/>
      <c r="I28" s="15"/>
      <c r="J28" s="16"/>
      <c r="K28" s="17"/>
      <c r="L28" s="14"/>
      <c r="M28" s="4"/>
      <c r="N28" s="4"/>
      <c r="O28" s="5"/>
      <c r="P28" s="6"/>
      <c r="Q28" s="7"/>
      <c r="R28" s="7"/>
      <c r="S28" s="8"/>
      <c r="T28" s="9"/>
      <c r="U28" s="10"/>
      <c r="V28" s="10"/>
      <c r="W28" s="11"/>
      <c r="AG28" s="12" t="s">
        <v>7</v>
      </c>
      <c r="AH28" s="13"/>
      <c r="AI28" s="13"/>
    </row>
    <row r="29" spans="1:36" x14ac:dyDescent="0.2">
      <c r="A29" s="18"/>
      <c r="B29" s="19"/>
      <c r="C29" s="19"/>
      <c r="D29" s="19"/>
      <c r="E29" s="19"/>
      <c r="F29" s="19"/>
      <c r="G29" s="19"/>
      <c r="H29" s="19"/>
      <c r="I29" s="20"/>
      <c r="J29" s="21"/>
      <c r="K29" s="22"/>
      <c r="L29" s="23"/>
      <c r="M29" s="24"/>
      <c r="N29" s="24"/>
      <c r="O29" s="25"/>
      <c r="P29" s="26"/>
      <c r="Q29" s="27"/>
      <c r="R29" s="27"/>
      <c r="S29" s="28"/>
      <c r="T29" s="29"/>
      <c r="U29" s="30"/>
      <c r="V29" s="30"/>
      <c r="W29" s="31"/>
      <c r="AG29" s="12" t="s">
        <v>12</v>
      </c>
      <c r="AH29" s="13"/>
      <c r="AI29" s="13"/>
    </row>
    <row r="31" spans="1:36" x14ac:dyDescent="0.2">
      <c r="A31" s="68" t="s">
        <v>0</v>
      </c>
      <c r="B31" s="69"/>
      <c r="C31" s="69"/>
      <c r="D31" s="69"/>
      <c r="E31" s="69"/>
      <c r="F31" s="69"/>
      <c r="G31" s="69"/>
      <c r="H31" s="69"/>
      <c r="I31" s="70"/>
      <c r="J31" s="71" t="s">
        <v>1</v>
      </c>
      <c r="K31" s="72"/>
      <c r="L31" s="73" t="s">
        <v>2</v>
      </c>
      <c r="M31" s="74"/>
      <c r="N31" s="74"/>
      <c r="O31" s="75"/>
      <c r="P31" s="76" t="s">
        <v>3</v>
      </c>
      <c r="Q31" s="77"/>
      <c r="R31" s="77"/>
      <c r="S31" s="78"/>
      <c r="T31" s="62" t="s">
        <v>4</v>
      </c>
      <c r="U31" s="63"/>
      <c r="V31" s="63"/>
      <c r="W31" s="64"/>
      <c r="AG31" s="1"/>
      <c r="AH31" s="1" t="s">
        <v>5</v>
      </c>
      <c r="AI31" s="1" t="s">
        <v>6</v>
      </c>
    </row>
    <row r="32" spans="1:36" x14ac:dyDescent="0.2">
      <c r="A32" s="32"/>
      <c r="B32" s="33"/>
      <c r="C32" s="33"/>
      <c r="D32" s="33"/>
      <c r="E32" s="33"/>
      <c r="F32" s="33"/>
      <c r="G32" s="33"/>
      <c r="H32" s="33"/>
      <c r="I32" s="33"/>
      <c r="J32" s="34" t="s">
        <v>5</v>
      </c>
      <c r="K32" s="35" t="s">
        <v>6</v>
      </c>
      <c r="L32" s="36"/>
      <c r="M32" s="36"/>
      <c r="N32" s="36"/>
      <c r="O32" s="37"/>
      <c r="P32" s="38"/>
      <c r="Q32" s="39"/>
      <c r="R32" s="39"/>
      <c r="S32" s="40"/>
      <c r="T32" s="41"/>
      <c r="U32" s="42"/>
      <c r="V32" s="42"/>
      <c r="W32" s="43"/>
      <c r="AG32" s="12" t="s">
        <v>7</v>
      </c>
      <c r="AH32" s="13">
        <f>H39</f>
        <v>0.85</v>
      </c>
      <c r="AI32" s="13">
        <f>H39</f>
        <v>0.85</v>
      </c>
    </row>
    <row r="33" spans="1:36" x14ac:dyDescent="0.2">
      <c r="A33" s="32" t="s">
        <v>9</v>
      </c>
      <c r="B33" s="33" t="s">
        <v>10</v>
      </c>
      <c r="C33" s="33"/>
      <c r="D33" s="44"/>
      <c r="E33" s="33"/>
      <c r="F33" s="33"/>
      <c r="G33" s="33"/>
      <c r="H33" s="33"/>
      <c r="I33" s="33"/>
      <c r="J33" s="51">
        <v>0</v>
      </c>
      <c r="K33" s="45">
        <f>$B$11 * J33 / (1 + ($B$11 - 1) * J33)</f>
        <v>0</v>
      </c>
      <c r="L33" s="36"/>
      <c r="M33" s="36"/>
      <c r="N33" s="36"/>
      <c r="O33" s="37"/>
      <c r="P33" s="38"/>
      <c r="Q33" s="39"/>
      <c r="R33" s="39"/>
      <c r="S33" s="40"/>
      <c r="T33" s="65" t="s">
        <v>11</v>
      </c>
      <c r="U33" s="66"/>
      <c r="V33" s="66"/>
      <c r="W33" s="67"/>
      <c r="AG33" s="12" t="s">
        <v>12</v>
      </c>
      <c r="AH33" s="13">
        <v>0.74</v>
      </c>
      <c r="AI33" s="13">
        <f>AI32</f>
        <v>0.85</v>
      </c>
      <c r="AJ33">
        <v>1</v>
      </c>
    </row>
    <row r="34" spans="1:36" x14ac:dyDescent="0.2">
      <c r="A34" s="32">
        <v>1</v>
      </c>
      <c r="B34" s="33" t="s">
        <v>35</v>
      </c>
      <c r="C34" s="33"/>
      <c r="D34" s="33"/>
      <c r="E34" s="33"/>
      <c r="F34" s="33"/>
      <c r="G34" s="33"/>
      <c r="H34" s="33"/>
      <c r="I34" s="33"/>
      <c r="J34" s="51">
        <f>0.05</f>
        <v>0.05</v>
      </c>
      <c r="K34" s="45">
        <f t="shared" ref="K34:K53" si="15">$B$11 * J34 / (1 + ($B$11 - 1) * J34)</f>
        <v>9.5238095238095233E-2</v>
      </c>
      <c r="L34" s="36"/>
      <c r="M34" s="36"/>
      <c r="N34" s="36"/>
      <c r="O34" s="37"/>
      <c r="P34" s="38"/>
      <c r="Q34" s="39"/>
      <c r="R34" s="39"/>
      <c r="S34" s="40"/>
      <c r="T34" s="41"/>
      <c r="U34" s="42"/>
      <c r="V34" s="42"/>
      <c r="W34" s="43"/>
      <c r="AG34" s="12" t="s">
        <v>7</v>
      </c>
      <c r="AH34" s="13">
        <f>AH33</f>
        <v>0.74</v>
      </c>
      <c r="AI34" s="13">
        <f>($F$12) / ($F$12 + 1) * AH34 + $N$22</f>
        <v>0.77333333333333332</v>
      </c>
    </row>
    <row r="35" spans="1:36" x14ac:dyDescent="0.2">
      <c r="A35" s="32">
        <v>2</v>
      </c>
      <c r="B35" s="33" t="s">
        <v>34</v>
      </c>
      <c r="C35" s="33"/>
      <c r="D35" s="33"/>
      <c r="E35" s="33"/>
      <c r="F35" s="33"/>
      <c r="G35" s="33"/>
      <c r="H35" s="33"/>
      <c r="I35" s="33"/>
      <c r="J35" s="51">
        <v>0.1</v>
      </c>
      <c r="K35" s="45">
        <f t="shared" si="15"/>
        <v>0.18181818181818182</v>
      </c>
      <c r="L35" s="36"/>
      <c r="M35" s="36"/>
      <c r="N35" s="36"/>
      <c r="O35" s="37"/>
      <c r="P35" s="38"/>
      <c r="Q35" s="39"/>
      <c r="R35" s="39"/>
      <c r="S35" s="40"/>
      <c r="T35" s="41"/>
      <c r="U35" s="42" t="s">
        <v>5</v>
      </c>
      <c r="V35" s="42" t="s">
        <v>6</v>
      </c>
      <c r="W35" s="43"/>
      <c r="AG35" s="12" t="s">
        <v>12</v>
      </c>
      <c r="AH35" s="13">
        <v>0.63</v>
      </c>
      <c r="AI35" s="13">
        <f>AI34</f>
        <v>0.77333333333333332</v>
      </c>
      <c r="AJ35">
        <v>2</v>
      </c>
    </row>
    <row r="36" spans="1:36" x14ac:dyDescent="0.2">
      <c r="A36" s="32"/>
      <c r="B36" s="33"/>
      <c r="C36" s="33"/>
      <c r="D36" s="33"/>
      <c r="E36" s="33"/>
      <c r="F36" s="33"/>
      <c r="G36" s="33"/>
      <c r="H36" s="33"/>
      <c r="I36" s="33"/>
      <c r="J36" s="51">
        <v>0.15</v>
      </c>
      <c r="K36" s="45">
        <f t="shared" si="15"/>
        <v>0.2608695652173913</v>
      </c>
      <c r="L36" s="36"/>
      <c r="M36" s="36"/>
      <c r="N36" s="36"/>
      <c r="O36" s="37"/>
      <c r="P36" s="38"/>
      <c r="Q36" s="39"/>
      <c r="R36" s="39"/>
      <c r="S36" s="40"/>
      <c r="T36" s="41" t="s">
        <v>16</v>
      </c>
      <c r="U36" s="42" t="s">
        <v>17</v>
      </c>
      <c r="V36" s="42" t="s">
        <v>17</v>
      </c>
      <c r="W36" s="43"/>
      <c r="AG36" s="12" t="s">
        <v>7</v>
      </c>
      <c r="AH36" s="13">
        <f>AH35</f>
        <v>0.63</v>
      </c>
      <c r="AI36" s="13">
        <f t="shared" ref="AI36" si="16">($F$12) / ($F$12 + 1) * AH36 + $N$22</f>
        <v>0.69666666666666655</v>
      </c>
    </row>
    <row r="37" spans="1:36" x14ac:dyDescent="0.2">
      <c r="A37" s="32"/>
      <c r="B37" s="33"/>
      <c r="C37" s="33"/>
      <c r="D37" s="33"/>
      <c r="E37" s="33"/>
      <c r="F37" s="33"/>
      <c r="G37" s="33"/>
      <c r="H37" s="33"/>
      <c r="I37" s="33"/>
      <c r="J37" s="51">
        <v>0.2</v>
      </c>
      <c r="K37" s="45">
        <f t="shared" si="15"/>
        <v>0.33333333333333337</v>
      </c>
      <c r="L37" s="36"/>
      <c r="M37" s="36"/>
      <c r="N37" s="36"/>
      <c r="O37" s="37"/>
      <c r="P37" s="38"/>
      <c r="Q37" s="39"/>
      <c r="R37" s="39"/>
      <c r="S37" s="40"/>
      <c r="T37" s="41" t="s">
        <v>18</v>
      </c>
      <c r="U37" s="42" t="s">
        <v>5</v>
      </c>
      <c r="V37" s="42" t="s">
        <v>6</v>
      </c>
      <c r="W37" s="43"/>
      <c r="AG37" s="12" t="s">
        <v>12</v>
      </c>
      <c r="AH37" s="13">
        <f>0.535</f>
        <v>0.53500000000000003</v>
      </c>
      <c r="AI37" s="13">
        <f t="shared" ref="AI37" si="17">AI36</f>
        <v>0.69666666666666655</v>
      </c>
      <c r="AJ37">
        <v>3</v>
      </c>
    </row>
    <row r="38" spans="1:36" x14ac:dyDescent="0.2">
      <c r="A38" s="32"/>
      <c r="B38" s="33"/>
      <c r="C38" s="33"/>
      <c r="D38" s="33"/>
      <c r="E38" s="33"/>
      <c r="F38" s="33"/>
      <c r="G38" s="33" t="s">
        <v>19</v>
      </c>
      <c r="H38" s="33">
        <f>(B43 - H54) * B42 / (H39 - H54)</f>
        <v>42.647058823529413</v>
      </c>
      <c r="I38" s="33"/>
      <c r="J38" s="51">
        <v>0.25</v>
      </c>
      <c r="K38" s="45">
        <f t="shared" si="15"/>
        <v>0.4</v>
      </c>
      <c r="L38" s="36"/>
      <c r="M38" s="36"/>
      <c r="N38" s="36"/>
      <c r="O38" s="37"/>
      <c r="P38" s="38"/>
      <c r="Q38" s="39"/>
      <c r="R38" s="39"/>
      <c r="S38" s="40"/>
      <c r="T38" s="41"/>
      <c r="U38" s="42"/>
      <c r="V38" s="42"/>
      <c r="W38" s="43"/>
      <c r="AG38" s="12" t="s">
        <v>7</v>
      </c>
      <c r="AH38" s="13">
        <f>AH37</f>
        <v>0.53500000000000003</v>
      </c>
      <c r="AI38" s="13">
        <f t="shared" ref="AI38" si="18">($F$12) / ($F$12 + 1) * AH38 + $N$22</f>
        <v>0.63045454545454538</v>
      </c>
    </row>
    <row r="39" spans="1:36" x14ac:dyDescent="0.2">
      <c r="A39" s="32"/>
      <c r="B39" s="33"/>
      <c r="C39" s="33"/>
      <c r="D39" s="33"/>
      <c r="E39" s="33"/>
      <c r="F39" s="33"/>
      <c r="G39" s="33" t="s">
        <v>20</v>
      </c>
      <c r="H39" s="33">
        <f>0.85</f>
        <v>0.85</v>
      </c>
      <c r="I39" s="33"/>
      <c r="J39" s="51">
        <v>0.3</v>
      </c>
      <c r="K39" s="45">
        <f t="shared" si="15"/>
        <v>0.46153846153846151</v>
      </c>
      <c r="L39" s="36"/>
      <c r="M39" s="36"/>
      <c r="N39" s="36"/>
      <c r="O39" s="37"/>
      <c r="P39" s="38"/>
      <c r="Q39" s="39"/>
      <c r="R39" s="39"/>
      <c r="S39" s="40"/>
      <c r="T39" s="41"/>
      <c r="U39" s="42" t="s">
        <v>5</v>
      </c>
      <c r="V39" s="42" t="s">
        <v>6</v>
      </c>
      <c r="W39" s="43"/>
      <c r="AG39" s="12" t="s">
        <v>12</v>
      </c>
      <c r="AH39" s="13">
        <f>0.461</f>
        <v>0.46100000000000002</v>
      </c>
      <c r="AI39" s="13">
        <f t="shared" ref="AI39" si="19">AI38</f>
        <v>0.63045454545454538</v>
      </c>
      <c r="AJ39">
        <v>4</v>
      </c>
    </row>
    <row r="40" spans="1:36" x14ac:dyDescent="0.2">
      <c r="A40" s="32"/>
      <c r="B40" s="33"/>
      <c r="C40" s="33"/>
      <c r="D40" s="33"/>
      <c r="E40" s="33"/>
      <c r="F40" s="33"/>
      <c r="G40" s="33"/>
      <c r="H40" s="33"/>
      <c r="I40" s="33"/>
      <c r="J40" s="51">
        <v>0.35</v>
      </c>
      <c r="K40" s="45">
        <f t="shared" si="15"/>
        <v>0.51851851851851849</v>
      </c>
      <c r="L40" s="54" t="s">
        <v>21</v>
      </c>
      <c r="M40" s="55"/>
      <c r="N40" s="55"/>
      <c r="O40" s="56"/>
      <c r="P40" s="38"/>
      <c r="Q40" s="39"/>
      <c r="R40" s="39"/>
      <c r="S40" s="40"/>
      <c r="T40" s="41" t="s">
        <v>16</v>
      </c>
      <c r="U40" s="42">
        <f>H54</f>
        <v>0.17000000000000004</v>
      </c>
      <c r="V40" s="42">
        <f>H54</f>
        <v>0.17000000000000004</v>
      </c>
      <c r="W40" s="43"/>
      <c r="AG40" s="12" t="s">
        <v>7</v>
      </c>
      <c r="AH40" s="13">
        <f>AH39</f>
        <v>0.46100000000000002</v>
      </c>
      <c r="AI40" s="13">
        <f t="shared" ref="AI40" si="20">($F$12) / ($F$12 + 1) * AH40 + $N$22</f>
        <v>0.57887878787878788</v>
      </c>
    </row>
    <row r="41" spans="1:36" x14ac:dyDescent="0.2">
      <c r="A41" s="32" t="s">
        <v>36</v>
      </c>
      <c r="B41" s="33">
        <v>2</v>
      </c>
      <c r="C41" s="33"/>
      <c r="D41" s="33"/>
      <c r="E41" s="33"/>
      <c r="F41" s="33"/>
      <c r="G41" s="33"/>
      <c r="H41" s="33"/>
      <c r="I41" s="33"/>
      <c r="J41" s="51">
        <v>0.4</v>
      </c>
      <c r="K41" s="45">
        <f t="shared" si="15"/>
        <v>0.57142857142857151</v>
      </c>
      <c r="L41" s="54"/>
      <c r="M41" s="55"/>
      <c r="N41" s="55"/>
      <c r="O41" s="56"/>
      <c r="P41" s="59" t="s">
        <v>22</v>
      </c>
      <c r="Q41" s="60"/>
      <c r="R41" s="60"/>
      <c r="S41" s="61"/>
      <c r="T41" s="41" t="s">
        <v>18</v>
      </c>
      <c r="U41" s="42">
        <v>0.44</v>
      </c>
      <c r="V41" s="42">
        <f>$V$11 + ($V$11 - $V$10) / ($U$11 - $U$10) * (U41 - $U$11)</f>
        <v>0.61181818181818182</v>
      </c>
      <c r="W41" s="43"/>
      <c r="AG41" s="12" t="s">
        <v>12</v>
      </c>
      <c r="AH41" s="13">
        <f>0.408</f>
        <v>0.40799999999999997</v>
      </c>
      <c r="AI41" s="13">
        <f t="shared" ref="AI41" si="21">AI40</f>
        <v>0.57887878787878788</v>
      </c>
      <c r="AJ41">
        <v>5</v>
      </c>
    </row>
    <row r="42" spans="1:36" x14ac:dyDescent="0.2">
      <c r="A42" s="46" t="s">
        <v>23</v>
      </c>
      <c r="B42" s="33">
        <f>100</f>
        <v>100</v>
      </c>
      <c r="C42" s="33" t="s">
        <v>24</v>
      </c>
      <c r="D42" s="33"/>
      <c r="E42" s="44">
        <v>2.2999999999999998</v>
      </c>
      <c r="F42" s="33">
        <f>2.3</f>
        <v>2.2999999999999998</v>
      </c>
      <c r="G42" s="33"/>
      <c r="H42" s="33"/>
      <c r="I42" s="33"/>
      <c r="J42" s="51">
        <v>0.45</v>
      </c>
      <c r="K42" s="45">
        <f t="shared" si="15"/>
        <v>0.62068965517241381</v>
      </c>
      <c r="L42" s="47"/>
      <c r="M42" s="36" t="s">
        <v>5</v>
      </c>
      <c r="N42" s="36" t="s">
        <v>6</v>
      </c>
      <c r="O42" s="37"/>
      <c r="P42" s="38" t="s">
        <v>37</v>
      </c>
      <c r="Q42" s="48">
        <v>50</v>
      </c>
      <c r="R42" s="39"/>
      <c r="S42" s="40"/>
      <c r="T42" s="41"/>
      <c r="U42" s="42"/>
      <c r="V42" s="42"/>
      <c r="W42" s="43"/>
      <c r="AG42" s="12" t="s">
        <v>7</v>
      </c>
      <c r="AH42" s="13">
        <f>AH41</f>
        <v>0.40799999999999997</v>
      </c>
      <c r="AI42" s="13">
        <f t="shared" ref="AI42" si="22">($F$12) / ($F$12 + 1) * AH42 + $N$22</f>
        <v>0.54193939393939394</v>
      </c>
    </row>
    <row r="43" spans="1:36" x14ac:dyDescent="0.2">
      <c r="A43" s="46" t="s">
        <v>25</v>
      </c>
      <c r="B43" s="33">
        <v>0.46</v>
      </c>
      <c r="C43" s="33"/>
      <c r="D43" s="33"/>
      <c r="E43" s="33" t="s">
        <v>26</v>
      </c>
      <c r="F43" s="33">
        <f>H39 / N48 - 1</f>
        <v>1.8333333333333335</v>
      </c>
      <c r="G43" s="33"/>
      <c r="H43" s="33"/>
      <c r="I43" s="49"/>
      <c r="J43" s="52">
        <v>0.5</v>
      </c>
      <c r="K43" s="45">
        <f t="shared" si="15"/>
        <v>0.66666666666666663</v>
      </c>
      <c r="L43" s="47" t="s">
        <v>16</v>
      </c>
      <c r="M43" s="36" t="s">
        <v>20</v>
      </c>
      <c r="N43" s="36" t="s">
        <v>20</v>
      </c>
      <c r="O43" s="37"/>
      <c r="P43" s="38" t="s">
        <v>23</v>
      </c>
      <c r="Q43" s="39">
        <v>100</v>
      </c>
      <c r="R43" s="60"/>
      <c r="S43" s="61"/>
      <c r="T43" s="41"/>
      <c r="U43" s="42"/>
      <c r="V43" s="42"/>
      <c r="W43" s="43"/>
      <c r="AG43" s="12" t="s">
        <v>12</v>
      </c>
      <c r="AH43" s="13">
        <f>0.372</f>
        <v>0.372</v>
      </c>
      <c r="AI43" s="13">
        <f t="shared" ref="AI43" si="23">AI42</f>
        <v>0.54193939393939394</v>
      </c>
      <c r="AJ43">
        <v>6</v>
      </c>
    </row>
    <row r="44" spans="1:36" x14ac:dyDescent="0.2">
      <c r="A44" s="46"/>
      <c r="B44" s="33"/>
      <c r="C44" s="33"/>
      <c r="D44" s="33"/>
      <c r="E44" s="57"/>
      <c r="F44" s="57"/>
      <c r="G44" s="57"/>
      <c r="H44" s="33"/>
      <c r="I44" s="49"/>
      <c r="J44" s="52">
        <v>0.55000000000000004</v>
      </c>
      <c r="K44" s="45">
        <f t="shared" si="15"/>
        <v>0.70967741935483875</v>
      </c>
      <c r="L44" s="47" t="s">
        <v>18</v>
      </c>
      <c r="M44" s="36">
        <v>0</v>
      </c>
      <c r="N44" s="36" t="s">
        <v>27</v>
      </c>
      <c r="O44" s="37"/>
      <c r="P44" s="38" t="s">
        <v>28</v>
      </c>
      <c r="Q44" s="39">
        <f>50/B42</f>
        <v>0.5</v>
      </c>
      <c r="R44" s="39"/>
      <c r="S44" s="40"/>
      <c r="T44" s="41"/>
      <c r="U44" s="42"/>
      <c r="V44" s="42"/>
      <c r="W44" s="43"/>
      <c r="AG44" s="12" t="s">
        <v>7</v>
      </c>
      <c r="AH44" s="13">
        <f>AH43</f>
        <v>0.372</v>
      </c>
      <c r="AI44" s="13">
        <f>($V$11 - $V$10) /($U$11 - $U$10) * AH44 + $V$11 - ($V$11 - $V$10) /($U$11 - $U$10) * $U$11</f>
        <v>0.50054545454545452</v>
      </c>
    </row>
    <row r="45" spans="1:36" x14ac:dyDescent="0.2">
      <c r="A45" s="58"/>
      <c r="B45" s="57"/>
      <c r="C45" s="57"/>
      <c r="D45" s="33"/>
      <c r="E45" s="57" t="s">
        <v>29</v>
      </c>
      <c r="F45" s="57"/>
      <c r="G45" s="57"/>
      <c r="H45" s="33"/>
      <c r="I45" s="49"/>
      <c r="J45" s="53">
        <v>0.6</v>
      </c>
      <c r="K45" s="45">
        <f t="shared" si="15"/>
        <v>0.74999999999999989</v>
      </c>
      <c r="L45" s="54" t="s">
        <v>30</v>
      </c>
      <c r="M45" s="55"/>
      <c r="N45" s="55"/>
      <c r="O45" s="56"/>
      <c r="P45" s="38"/>
      <c r="Q45" s="39"/>
      <c r="R45" s="39"/>
      <c r="S45" s="40"/>
      <c r="T45" s="41"/>
      <c r="U45" s="42"/>
      <c r="V45" s="42"/>
      <c r="W45" s="43"/>
      <c r="AG45" s="12" t="s">
        <v>12</v>
      </c>
      <c r="AH45" s="13">
        <v>0.33400000000000002</v>
      </c>
      <c r="AI45" s="13">
        <f>AI44</f>
        <v>0.50054545454545452</v>
      </c>
      <c r="AJ45">
        <v>7</v>
      </c>
    </row>
    <row r="46" spans="1:36" x14ac:dyDescent="0.2">
      <c r="A46" s="32"/>
      <c r="B46" s="33"/>
      <c r="C46" s="33"/>
      <c r="D46" s="33"/>
      <c r="E46" s="57" t="s">
        <v>31</v>
      </c>
      <c r="F46" s="57"/>
      <c r="G46" s="57"/>
      <c r="H46" s="33"/>
      <c r="I46" s="49"/>
      <c r="J46" s="52">
        <v>0.65</v>
      </c>
      <c r="K46" s="45">
        <f t="shared" si="15"/>
        <v>0.78787878787878796</v>
      </c>
      <c r="L46" s="47"/>
      <c r="M46" s="36" t="s">
        <v>5</v>
      </c>
      <c r="N46" s="36" t="s">
        <v>6</v>
      </c>
      <c r="O46" s="37"/>
      <c r="P46" s="59" t="s">
        <v>32</v>
      </c>
      <c r="Q46" s="60"/>
      <c r="R46" s="60"/>
      <c r="S46" s="61"/>
      <c r="T46" s="41"/>
      <c r="U46" s="42"/>
      <c r="V46" s="42"/>
      <c r="W46" s="43"/>
      <c r="AG46" s="12" t="s">
        <v>7</v>
      </c>
      <c r="AH46" s="13">
        <f>AH45</f>
        <v>0.33400000000000002</v>
      </c>
      <c r="AI46" s="13">
        <f t="shared" ref="AI46" si="24">($V$11 - $V$10) /($U$11 - $U$10) * AH46 + $V$11 - ($V$11 - $V$10) /($U$11 - $U$10) * $U$11</f>
        <v>0.43836363636363618</v>
      </c>
    </row>
    <row r="47" spans="1:36" x14ac:dyDescent="0.2">
      <c r="A47" s="32"/>
      <c r="B47" s="33"/>
      <c r="C47" s="33"/>
      <c r="D47" s="33"/>
      <c r="E47" s="33"/>
      <c r="F47" s="33"/>
      <c r="G47" s="33"/>
      <c r="H47" s="33"/>
      <c r="I47" s="49"/>
      <c r="J47" s="52">
        <v>0.7</v>
      </c>
      <c r="K47" s="45">
        <f t="shared" si="15"/>
        <v>0.82352941176470584</v>
      </c>
      <c r="L47" s="47" t="s">
        <v>16</v>
      </c>
      <c r="M47" s="36">
        <f>H39</f>
        <v>0.85</v>
      </c>
      <c r="N47" s="36">
        <f>H39</f>
        <v>0.85</v>
      </c>
      <c r="O47" s="37"/>
      <c r="P47" s="38"/>
      <c r="Q47" s="39"/>
      <c r="R47" s="39"/>
      <c r="S47" s="40"/>
      <c r="T47" s="41"/>
      <c r="U47" s="42"/>
      <c r="V47" s="42"/>
      <c r="W47" s="43"/>
      <c r="AG47" s="12" t="s">
        <v>12</v>
      </c>
      <c r="AH47" s="13">
        <v>0.28100000000000003</v>
      </c>
      <c r="AI47" s="13">
        <f t="shared" ref="AI47" si="25">AI46</f>
        <v>0.43836363636363618</v>
      </c>
    </row>
    <row r="48" spans="1:36" x14ac:dyDescent="0.2">
      <c r="A48" s="32"/>
      <c r="B48" s="33"/>
      <c r="C48" s="33"/>
      <c r="D48" s="33"/>
      <c r="E48" s="33"/>
      <c r="F48" s="33"/>
      <c r="G48" s="33"/>
      <c r="H48" s="33"/>
      <c r="I48" s="49"/>
      <c r="J48" s="52">
        <v>0.75</v>
      </c>
      <c r="K48" s="45">
        <f t="shared" si="15"/>
        <v>0.8571428571428571</v>
      </c>
      <c r="L48" s="47" t="s">
        <v>18</v>
      </c>
      <c r="M48" s="36">
        <f>0</f>
        <v>0</v>
      </c>
      <c r="N48" s="36">
        <f>0.3</f>
        <v>0.3</v>
      </c>
      <c r="O48" s="37"/>
      <c r="P48" s="38"/>
      <c r="Q48" s="39" t="s">
        <v>5</v>
      </c>
      <c r="R48" s="39" t="s">
        <v>6</v>
      </c>
      <c r="S48" s="40"/>
      <c r="T48" s="41"/>
      <c r="U48" s="42"/>
      <c r="V48" s="42"/>
      <c r="W48" s="43"/>
      <c r="AG48" s="12" t="s">
        <v>7</v>
      </c>
      <c r="AH48" s="13">
        <f>AH47</f>
        <v>0.28100000000000003</v>
      </c>
      <c r="AI48" s="13">
        <f t="shared" ref="AI48" si="26">($V$11 - $V$10) /($U$11 - $U$10) * AH48 + $V$11 - ($V$11 - $V$10) /($U$11 - $U$10) * $U$11</f>
        <v>0.35163636363636364</v>
      </c>
    </row>
    <row r="49" spans="1:36" x14ac:dyDescent="0.2">
      <c r="A49" s="32" t="s">
        <v>33</v>
      </c>
      <c r="B49" s="33">
        <f>5</f>
        <v>5</v>
      </c>
      <c r="C49" s="33"/>
      <c r="D49" s="33"/>
      <c r="E49" s="33"/>
      <c r="F49" s="33"/>
      <c r="G49" s="33"/>
      <c r="H49" s="33"/>
      <c r="I49" s="49"/>
      <c r="J49" s="52">
        <v>0.8</v>
      </c>
      <c r="K49" s="45">
        <f t="shared" si="15"/>
        <v>0.88888888888888895</v>
      </c>
      <c r="L49" s="54" t="s">
        <v>38</v>
      </c>
      <c r="M49" s="55"/>
      <c r="N49" s="55"/>
      <c r="O49" s="56"/>
      <c r="P49" s="38" t="s">
        <v>16</v>
      </c>
      <c r="Q49" s="39" t="s">
        <v>25</v>
      </c>
      <c r="R49" s="39" t="s">
        <v>25</v>
      </c>
      <c r="S49" s="40"/>
      <c r="T49" s="41"/>
      <c r="U49" s="42"/>
      <c r="V49" s="42"/>
      <c r="W49" s="43"/>
      <c r="AG49" s="12" t="s">
        <v>12</v>
      </c>
      <c r="AH49" s="13">
        <f>0.213</f>
        <v>0.21299999999999999</v>
      </c>
      <c r="AI49" s="13">
        <f t="shared" ref="AI49" si="27">AI48</f>
        <v>0.35163636363636364</v>
      </c>
    </row>
    <row r="50" spans="1:36" x14ac:dyDescent="0.2">
      <c r="A50" s="32"/>
      <c r="B50" s="33"/>
      <c r="C50" s="33"/>
      <c r="D50" s="33"/>
      <c r="E50" s="33"/>
      <c r="F50" s="33"/>
      <c r="G50" s="33"/>
      <c r="H50" s="33"/>
      <c r="I50" s="49"/>
      <c r="J50" s="52">
        <v>0.85</v>
      </c>
      <c r="K50" s="45">
        <f t="shared" si="15"/>
        <v>0.91891891891891886</v>
      </c>
      <c r="L50" s="47"/>
      <c r="M50" s="36" t="s">
        <v>5</v>
      </c>
      <c r="N50" s="36" t="s">
        <v>6</v>
      </c>
      <c r="O50" s="36"/>
      <c r="P50" s="38" t="s">
        <v>18</v>
      </c>
      <c r="Q50" s="39" t="s">
        <v>5</v>
      </c>
      <c r="R50" s="39" t="s">
        <v>6</v>
      </c>
      <c r="S50" s="40"/>
      <c r="T50" s="41"/>
      <c r="U50" s="42"/>
      <c r="V50" s="42"/>
      <c r="W50" s="43"/>
      <c r="AG50" s="12" t="s">
        <v>7</v>
      </c>
      <c r="AH50" s="13">
        <f>AH49</f>
        <v>0.21299999999999999</v>
      </c>
      <c r="AI50" s="13">
        <f t="shared" ref="AI50" si="28">($V$11 - $V$10) /($U$11 - $U$10) * AH50 + $V$11 - ($V$11 - $V$10) /($U$11 - $U$10) * $U$11</f>
        <v>0.24036363636363622</v>
      </c>
    </row>
    <row r="51" spans="1:36" x14ac:dyDescent="0.2">
      <c r="A51" s="32"/>
      <c r="B51" s="33"/>
      <c r="C51" s="33"/>
      <c r="D51" s="33"/>
      <c r="E51" s="33"/>
      <c r="F51" s="33"/>
      <c r="G51" s="33"/>
      <c r="H51" s="33"/>
      <c r="I51" s="49"/>
      <c r="J51" s="52">
        <v>0.9</v>
      </c>
      <c r="K51" s="45">
        <f t="shared" si="15"/>
        <v>0.94736842105263164</v>
      </c>
      <c r="L51" s="47" t="s">
        <v>16</v>
      </c>
      <c r="M51" s="36">
        <f>H39</f>
        <v>0.85</v>
      </c>
      <c r="N51" s="36">
        <f>H39</f>
        <v>0.85</v>
      </c>
      <c r="O51" s="36"/>
      <c r="P51" s="38"/>
      <c r="Q51" s="39"/>
      <c r="R51" s="39"/>
      <c r="S51" s="40"/>
      <c r="T51" s="41"/>
      <c r="U51" s="42"/>
      <c r="V51" s="42"/>
      <c r="W51" s="43"/>
      <c r="AG51" s="12" t="s">
        <v>12</v>
      </c>
      <c r="AH51" s="13">
        <v>0.13700000000000001</v>
      </c>
      <c r="AI51" s="13">
        <f t="shared" ref="AI51" si="29">AI50</f>
        <v>0.24036363636363622</v>
      </c>
    </row>
    <row r="52" spans="1:36" x14ac:dyDescent="0.2">
      <c r="A52" s="32"/>
      <c r="B52" s="33"/>
      <c r="C52" s="33"/>
      <c r="D52" s="33"/>
      <c r="E52" s="33"/>
      <c r="F52" s="33"/>
      <c r="G52" s="33"/>
      <c r="H52" s="33"/>
      <c r="I52" s="49"/>
      <c r="J52" s="52">
        <v>0.95</v>
      </c>
      <c r="K52" s="45">
        <f t="shared" si="15"/>
        <v>0.97435897435897434</v>
      </c>
      <c r="L52" s="47" t="s">
        <v>18</v>
      </c>
      <c r="M52" s="36">
        <v>0</v>
      </c>
      <c r="N52" s="36">
        <f>1 / (F42 + 1) * H39</f>
        <v>0.25757575757575757</v>
      </c>
      <c r="O52" s="37"/>
      <c r="P52" s="38"/>
      <c r="Q52" s="39" t="s">
        <v>5</v>
      </c>
      <c r="R52" s="39" t="s">
        <v>6</v>
      </c>
      <c r="S52" s="40"/>
      <c r="T52" s="41"/>
      <c r="U52" s="42"/>
      <c r="V52" s="42"/>
      <c r="W52" s="43"/>
      <c r="AG52" s="12" t="s">
        <v>7</v>
      </c>
      <c r="AH52" s="13">
        <f>AH51</f>
        <v>0.13700000000000001</v>
      </c>
      <c r="AI52" s="13">
        <f>AH52</f>
        <v>0.13700000000000001</v>
      </c>
    </row>
    <row r="53" spans="1:36" x14ac:dyDescent="0.2">
      <c r="A53" s="32"/>
      <c r="B53" s="33"/>
      <c r="C53" s="33"/>
      <c r="D53" s="33"/>
      <c r="E53" s="33"/>
      <c r="F53" s="33"/>
      <c r="G53" s="33" t="s">
        <v>34</v>
      </c>
      <c r="H53" s="33">
        <f>(B43 - H39) * B42 / (H54 - H39)</f>
        <v>57.35294117647058</v>
      </c>
      <c r="I53" s="49"/>
      <c r="J53" s="52">
        <v>1</v>
      </c>
      <c r="K53" s="45">
        <f t="shared" si="15"/>
        <v>1</v>
      </c>
      <c r="L53" s="47"/>
      <c r="M53" s="36"/>
      <c r="N53" s="36"/>
      <c r="O53" s="37"/>
      <c r="P53" s="38" t="s">
        <v>16</v>
      </c>
      <c r="Q53" s="39">
        <f>B43</f>
        <v>0.46</v>
      </c>
      <c r="R53" s="39">
        <f>B43</f>
        <v>0.46</v>
      </c>
      <c r="S53" s="40"/>
      <c r="T53" s="41"/>
      <c r="U53" s="42"/>
      <c r="V53" s="42"/>
      <c r="W53" s="43"/>
      <c r="AG53" s="12" t="s">
        <v>12</v>
      </c>
      <c r="AH53" s="13"/>
      <c r="AI53" s="13"/>
    </row>
    <row r="54" spans="1:36" x14ac:dyDescent="0.2">
      <c r="A54" s="32"/>
      <c r="B54" s="33"/>
      <c r="C54" s="33"/>
      <c r="D54" s="33"/>
      <c r="E54" s="33"/>
      <c r="F54" s="33"/>
      <c r="G54" s="33" t="s">
        <v>17</v>
      </c>
      <c r="H54" s="33">
        <f xml:space="preserve"> 1 - 0.83</f>
        <v>0.17000000000000004</v>
      </c>
      <c r="I54" s="49"/>
      <c r="J54" s="50"/>
      <c r="K54" s="45"/>
      <c r="L54" s="47"/>
      <c r="M54" s="36"/>
      <c r="N54" s="36"/>
      <c r="O54" s="37"/>
      <c r="P54" s="38" t="s">
        <v>18</v>
      </c>
      <c r="Q54" s="39">
        <f>0</f>
        <v>0</v>
      </c>
      <c r="R54" s="39">
        <f xml:space="preserve"> Q44 / (Q44 - 1) * Q54 + 1 / (1 - Q44) * B43</f>
        <v>0.92</v>
      </c>
      <c r="S54" s="40"/>
      <c r="T54" s="41"/>
      <c r="U54" s="42"/>
      <c r="V54" s="42"/>
      <c r="W54" s="43"/>
      <c r="AG54" s="12" t="s">
        <v>7</v>
      </c>
      <c r="AH54" s="13"/>
      <c r="AI54" s="13"/>
    </row>
    <row r="55" spans="1:36" x14ac:dyDescent="0.2">
      <c r="A55" s="2"/>
      <c r="B55" s="3"/>
      <c r="C55" s="3"/>
      <c r="D55" s="3"/>
      <c r="E55" s="3"/>
      <c r="F55" s="3"/>
      <c r="G55" s="3"/>
      <c r="H55" s="3"/>
      <c r="I55" s="15"/>
      <c r="J55" s="16"/>
      <c r="K55" s="17"/>
      <c r="L55" s="14"/>
      <c r="M55" s="4"/>
      <c r="N55" s="4"/>
      <c r="O55" s="5"/>
      <c r="P55" s="6"/>
      <c r="Q55" s="7"/>
      <c r="R55" s="7"/>
      <c r="S55" s="8"/>
      <c r="T55" s="9"/>
      <c r="U55" s="10"/>
      <c r="V55" s="10"/>
      <c r="W55" s="11"/>
      <c r="AG55" s="12" t="s">
        <v>12</v>
      </c>
      <c r="AH55" s="13"/>
      <c r="AI55" s="13"/>
    </row>
    <row r="56" spans="1:36" x14ac:dyDescent="0.2">
      <c r="A56" s="2"/>
      <c r="B56" s="3"/>
      <c r="C56" s="3"/>
      <c r="D56" s="3"/>
      <c r="E56" s="3"/>
      <c r="F56" s="3"/>
      <c r="G56" s="3"/>
      <c r="H56" s="3"/>
      <c r="I56" s="15"/>
      <c r="J56" s="16"/>
      <c r="K56" s="17"/>
      <c r="L56" s="14"/>
      <c r="M56" s="4"/>
      <c r="N56" s="4"/>
      <c r="O56" s="5"/>
      <c r="P56" s="6"/>
      <c r="Q56" s="7"/>
      <c r="R56" s="7"/>
      <c r="S56" s="8"/>
      <c r="T56" s="9"/>
      <c r="U56" s="10"/>
      <c r="V56" s="10"/>
      <c r="W56" s="11"/>
      <c r="AG56" s="12" t="s">
        <v>7</v>
      </c>
      <c r="AH56" s="13"/>
      <c r="AI56" s="13"/>
    </row>
    <row r="57" spans="1:36" x14ac:dyDescent="0.2">
      <c r="A57" s="2"/>
      <c r="B57" s="3"/>
      <c r="C57" s="3"/>
      <c r="D57" s="3"/>
      <c r="E57" s="3"/>
      <c r="F57" s="3"/>
      <c r="G57" s="3"/>
      <c r="H57" s="3"/>
      <c r="I57" s="15"/>
      <c r="J57" s="16"/>
      <c r="K57" s="17"/>
      <c r="L57" s="14"/>
      <c r="M57" s="4"/>
      <c r="N57" s="4"/>
      <c r="O57" s="5"/>
      <c r="P57" s="6"/>
      <c r="Q57" s="7"/>
      <c r="R57" s="7"/>
      <c r="S57" s="8"/>
      <c r="T57" s="9"/>
      <c r="U57" s="10"/>
      <c r="V57" s="10"/>
      <c r="W57" s="11"/>
      <c r="AG57" s="12" t="s">
        <v>12</v>
      </c>
      <c r="AH57" s="13"/>
      <c r="AI57" s="13"/>
    </row>
    <row r="58" spans="1:36" x14ac:dyDescent="0.2">
      <c r="A58" s="2"/>
      <c r="B58" s="3"/>
      <c r="C58" s="3"/>
      <c r="D58" s="3"/>
      <c r="E58" s="3"/>
      <c r="F58" s="3"/>
      <c r="G58" s="3"/>
      <c r="H58" s="3"/>
      <c r="I58" s="15"/>
      <c r="J58" s="16"/>
      <c r="K58" s="17"/>
      <c r="L58" s="14"/>
      <c r="M58" s="4"/>
      <c r="N58" s="4"/>
      <c r="O58" s="5"/>
      <c r="P58" s="6"/>
      <c r="Q58" s="7"/>
      <c r="R58" s="7"/>
      <c r="S58" s="8"/>
      <c r="T58" s="9"/>
      <c r="U58" s="10"/>
      <c r="V58" s="10"/>
      <c r="W58" s="11"/>
      <c r="AG58" s="12" t="s">
        <v>7</v>
      </c>
      <c r="AH58" s="13"/>
      <c r="AI58" s="13"/>
    </row>
    <row r="59" spans="1:36" x14ac:dyDescent="0.2">
      <c r="A59" s="18"/>
      <c r="B59" s="19"/>
      <c r="C59" s="19"/>
      <c r="D59" s="19"/>
      <c r="E59" s="19"/>
      <c r="F59" s="19"/>
      <c r="G59" s="19"/>
      <c r="H59" s="19"/>
      <c r="I59" s="20"/>
      <c r="J59" s="21"/>
      <c r="K59" s="22"/>
      <c r="L59" s="23"/>
      <c r="M59" s="24"/>
      <c r="N59" s="24"/>
      <c r="O59" s="25"/>
      <c r="P59" s="26"/>
      <c r="Q59" s="27"/>
      <c r="R59" s="27"/>
      <c r="S59" s="28"/>
      <c r="T59" s="29"/>
      <c r="U59" s="30"/>
      <c r="V59" s="30"/>
      <c r="W59" s="31"/>
      <c r="AG59" s="12" t="s">
        <v>12</v>
      </c>
      <c r="AH59" s="13"/>
      <c r="AI59" s="13"/>
    </row>
    <row r="61" spans="1:36" x14ac:dyDescent="0.2">
      <c r="A61" s="68" t="s">
        <v>0</v>
      </c>
      <c r="B61" s="69"/>
      <c r="C61" s="69"/>
      <c r="D61" s="69"/>
      <c r="E61" s="69"/>
      <c r="F61" s="69"/>
      <c r="G61" s="69"/>
      <c r="H61" s="69"/>
      <c r="I61" s="70"/>
      <c r="J61" s="71" t="s">
        <v>1</v>
      </c>
      <c r="K61" s="72"/>
      <c r="L61" s="73" t="s">
        <v>2</v>
      </c>
      <c r="M61" s="74"/>
      <c r="N61" s="74"/>
      <c r="O61" s="75"/>
      <c r="P61" s="76" t="s">
        <v>3</v>
      </c>
      <c r="Q61" s="77"/>
      <c r="R61" s="77"/>
      <c r="S61" s="78"/>
      <c r="T61" s="62" t="s">
        <v>4</v>
      </c>
      <c r="U61" s="63"/>
      <c r="V61" s="63"/>
      <c r="W61" s="64"/>
      <c r="AG61" s="1"/>
      <c r="AH61" s="1" t="s">
        <v>5</v>
      </c>
      <c r="AI61" s="1" t="s">
        <v>6</v>
      </c>
    </row>
    <row r="62" spans="1:36" x14ac:dyDescent="0.2">
      <c r="A62" s="32"/>
      <c r="B62" s="33"/>
      <c r="C62" s="33"/>
      <c r="D62" s="33"/>
      <c r="E62" s="33"/>
      <c r="F62" s="33"/>
      <c r="G62" s="33"/>
      <c r="H62" s="33"/>
      <c r="I62" s="33"/>
      <c r="J62" s="34" t="s">
        <v>5</v>
      </c>
      <c r="K62" s="35" t="s">
        <v>6</v>
      </c>
      <c r="L62" s="36"/>
      <c r="M62" s="36"/>
      <c r="N62" s="36"/>
      <c r="O62" s="37"/>
      <c r="P62" s="38"/>
      <c r="Q62" s="39"/>
      <c r="R62" s="39"/>
      <c r="S62" s="40"/>
      <c r="T62" s="41"/>
      <c r="U62" s="42"/>
      <c r="V62" s="42"/>
      <c r="W62" s="43"/>
      <c r="AG62" s="12" t="s">
        <v>7</v>
      </c>
      <c r="AH62" s="13">
        <f>H69</f>
        <v>0.85</v>
      </c>
      <c r="AI62" s="13">
        <f>H69</f>
        <v>0.85</v>
      </c>
    </row>
    <row r="63" spans="1:36" x14ac:dyDescent="0.2">
      <c r="A63" s="32" t="s">
        <v>9</v>
      </c>
      <c r="B63" s="33" t="s">
        <v>10</v>
      </c>
      <c r="C63" s="33"/>
      <c r="D63" s="44"/>
      <c r="E63" s="33"/>
      <c r="F63" s="33"/>
      <c r="G63" s="33"/>
      <c r="H63" s="33"/>
      <c r="I63" s="33"/>
      <c r="J63" s="51">
        <v>0</v>
      </c>
      <c r="K63" s="45">
        <f>$B$11 * J63 / (1 + ($B$11 - 1) * J63)</f>
        <v>0</v>
      </c>
      <c r="L63" s="36"/>
      <c r="M63" s="36"/>
      <c r="N63" s="36"/>
      <c r="O63" s="37"/>
      <c r="P63" s="38"/>
      <c r="Q63" s="39"/>
      <c r="R63" s="39"/>
      <c r="S63" s="40"/>
      <c r="T63" s="65" t="s">
        <v>11</v>
      </c>
      <c r="U63" s="66"/>
      <c r="V63" s="66"/>
      <c r="W63" s="67"/>
      <c r="AG63" s="12" t="s">
        <v>12</v>
      </c>
      <c r="AH63" s="13">
        <v>0.74</v>
      </c>
      <c r="AI63" s="13">
        <f>AI62</f>
        <v>0.85</v>
      </c>
      <c r="AJ63">
        <v>1</v>
      </c>
    </row>
    <row r="64" spans="1:36" x14ac:dyDescent="0.2">
      <c r="A64" s="32">
        <v>1</v>
      </c>
      <c r="B64" s="33" t="s">
        <v>35</v>
      </c>
      <c r="C64" s="33"/>
      <c r="D64" s="33"/>
      <c r="E64" s="33"/>
      <c r="F64" s="33"/>
      <c r="G64" s="33"/>
      <c r="H64" s="33"/>
      <c r="I64" s="33"/>
      <c r="J64" s="51">
        <f>0.05</f>
        <v>0.05</v>
      </c>
      <c r="K64" s="45">
        <f t="shared" ref="K64:K83" si="30">$B$11 * J64 / (1 + ($B$11 - 1) * J64)</f>
        <v>9.5238095238095233E-2</v>
      </c>
      <c r="L64" s="36"/>
      <c r="M64" s="36"/>
      <c r="N64" s="36"/>
      <c r="O64" s="37"/>
      <c r="P64" s="38"/>
      <c r="Q64" s="39"/>
      <c r="R64" s="39"/>
      <c r="S64" s="40"/>
      <c r="T64" s="41"/>
      <c r="U64" s="42"/>
      <c r="V64" s="42"/>
      <c r="W64" s="43"/>
      <c r="AG64" s="12" t="s">
        <v>7</v>
      </c>
      <c r="AH64" s="13">
        <f>AH63</f>
        <v>0.74</v>
      </c>
      <c r="AI64" s="13">
        <f>($F$12) / ($F$12 + 1) * AH64 + $N$22</f>
        <v>0.77333333333333332</v>
      </c>
    </row>
    <row r="65" spans="1:36" x14ac:dyDescent="0.2">
      <c r="A65" s="32">
        <v>2</v>
      </c>
      <c r="B65" s="33" t="s">
        <v>34</v>
      </c>
      <c r="C65" s="33"/>
      <c r="D65" s="33"/>
      <c r="E65" s="33"/>
      <c r="F65" s="33"/>
      <c r="G65" s="33"/>
      <c r="H65" s="33"/>
      <c r="I65" s="33"/>
      <c r="J65" s="51">
        <v>0.1</v>
      </c>
      <c r="K65" s="45">
        <f t="shared" si="30"/>
        <v>0.18181818181818182</v>
      </c>
      <c r="L65" s="36"/>
      <c r="M65" s="36"/>
      <c r="N65" s="36"/>
      <c r="O65" s="37"/>
      <c r="P65" s="38"/>
      <c r="Q65" s="39"/>
      <c r="R65" s="39"/>
      <c r="S65" s="40"/>
      <c r="T65" s="41"/>
      <c r="U65" s="42" t="s">
        <v>5</v>
      </c>
      <c r="V65" s="42" t="s">
        <v>6</v>
      </c>
      <c r="W65" s="43"/>
      <c r="AG65" s="12" t="s">
        <v>12</v>
      </c>
      <c r="AH65" s="13">
        <v>0.63</v>
      </c>
      <c r="AI65" s="13">
        <f>AI64</f>
        <v>0.77333333333333332</v>
      </c>
      <c r="AJ65">
        <v>2</v>
      </c>
    </row>
    <row r="66" spans="1:36" x14ac:dyDescent="0.2">
      <c r="A66" s="32"/>
      <c r="B66" s="33"/>
      <c r="C66" s="33"/>
      <c r="D66" s="33"/>
      <c r="E66" s="33"/>
      <c r="F66" s="33"/>
      <c r="G66" s="33"/>
      <c r="H66" s="33"/>
      <c r="I66" s="33"/>
      <c r="J66" s="51">
        <v>0.15</v>
      </c>
      <c r="K66" s="45">
        <f t="shared" si="30"/>
        <v>0.2608695652173913</v>
      </c>
      <c r="L66" s="36"/>
      <c r="M66" s="36"/>
      <c r="N66" s="36"/>
      <c r="O66" s="37"/>
      <c r="P66" s="38"/>
      <c r="Q66" s="39"/>
      <c r="R66" s="39"/>
      <c r="S66" s="40"/>
      <c r="T66" s="41" t="s">
        <v>16</v>
      </c>
      <c r="U66" s="42" t="s">
        <v>17</v>
      </c>
      <c r="V66" s="42" t="s">
        <v>17</v>
      </c>
      <c r="W66" s="43"/>
      <c r="AG66" s="12" t="s">
        <v>7</v>
      </c>
      <c r="AH66" s="13">
        <f>AH65</f>
        <v>0.63</v>
      </c>
      <c r="AI66" s="13">
        <f t="shared" ref="AI66" si="31">($F$12) / ($F$12 + 1) * AH66 + $N$22</f>
        <v>0.69666666666666655</v>
      </c>
    </row>
    <row r="67" spans="1:36" x14ac:dyDescent="0.2">
      <c r="A67" s="32"/>
      <c r="B67" s="33"/>
      <c r="C67" s="33"/>
      <c r="D67" s="33"/>
      <c r="E67" s="33"/>
      <c r="F67" s="33"/>
      <c r="G67" s="33"/>
      <c r="H67" s="33"/>
      <c r="I67" s="33"/>
      <c r="J67" s="51">
        <v>0.2</v>
      </c>
      <c r="K67" s="45">
        <f t="shared" si="30"/>
        <v>0.33333333333333337</v>
      </c>
      <c r="L67" s="36"/>
      <c r="M67" s="36"/>
      <c r="N67" s="36"/>
      <c r="O67" s="37"/>
      <c r="P67" s="38"/>
      <c r="Q67" s="39"/>
      <c r="R67" s="39"/>
      <c r="S67" s="40"/>
      <c r="T67" s="41" t="s">
        <v>18</v>
      </c>
      <c r="U67" s="42" t="s">
        <v>5</v>
      </c>
      <c r="V67" s="42" t="s">
        <v>6</v>
      </c>
      <c r="W67" s="43"/>
      <c r="AG67" s="12" t="s">
        <v>12</v>
      </c>
      <c r="AH67" s="13">
        <f>0.535</f>
        <v>0.53500000000000003</v>
      </c>
      <c r="AI67" s="13">
        <f t="shared" ref="AI67" si="32">AI66</f>
        <v>0.69666666666666655</v>
      </c>
      <c r="AJ67">
        <v>3</v>
      </c>
    </row>
    <row r="68" spans="1:36" x14ac:dyDescent="0.2">
      <c r="A68" s="32"/>
      <c r="B68" s="33"/>
      <c r="C68" s="33"/>
      <c r="D68" s="33"/>
      <c r="E68" s="33"/>
      <c r="F68" s="33"/>
      <c r="G68" s="33" t="s">
        <v>19</v>
      </c>
      <c r="H68" s="33">
        <f>(B73 - H84) * B72 / (H69 - H84)</f>
        <v>42.647058823529413</v>
      </c>
      <c r="I68" s="33"/>
      <c r="J68" s="51">
        <v>0.25</v>
      </c>
      <c r="K68" s="45">
        <f t="shared" si="30"/>
        <v>0.4</v>
      </c>
      <c r="L68" s="36"/>
      <c r="M68" s="36"/>
      <c r="N68" s="36"/>
      <c r="O68" s="37"/>
      <c r="P68" s="38"/>
      <c r="Q68" s="39"/>
      <c r="R68" s="39"/>
      <c r="S68" s="40"/>
      <c r="T68" s="41"/>
      <c r="U68" s="42"/>
      <c r="V68" s="42"/>
      <c r="W68" s="43"/>
      <c r="AG68" s="12" t="s">
        <v>7</v>
      </c>
      <c r="AH68" s="13">
        <f>AH67</f>
        <v>0.53500000000000003</v>
      </c>
      <c r="AI68" s="13">
        <f t="shared" ref="AI68" si="33">($F$12) / ($F$12 + 1) * AH68 + $N$22</f>
        <v>0.63045454545454538</v>
      </c>
    </row>
    <row r="69" spans="1:36" x14ac:dyDescent="0.2">
      <c r="A69" s="32"/>
      <c r="B69" s="33"/>
      <c r="C69" s="33"/>
      <c r="D69" s="33"/>
      <c r="E69" s="33"/>
      <c r="F69" s="33"/>
      <c r="G69" s="33" t="s">
        <v>20</v>
      </c>
      <c r="H69" s="33">
        <f>0.85</f>
        <v>0.85</v>
      </c>
      <c r="I69" s="33"/>
      <c r="J69" s="51">
        <v>0.3</v>
      </c>
      <c r="K69" s="45">
        <f t="shared" si="30"/>
        <v>0.46153846153846151</v>
      </c>
      <c r="L69" s="36"/>
      <c r="M69" s="36"/>
      <c r="N69" s="36"/>
      <c r="O69" s="37"/>
      <c r="P69" s="38"/>
      <c r="Q69" s="39"/>
      <c r="R69" s="39"/>
      <c r="S69" s="40"/>
      <c r="T69" s="41"/>
      <c r="U69" s="42" t="s">
        <v>5</v>
      </c>
      <c r="V69" s="42" t="s">
        <v>6</v>
      </c>
      <c r="W69" s="43"/>
      <c r="AG69" s="12" t="s">
        <v>12</v>
      </c>
      <c r="AH69" s="13">
        <f>0.461</f>
        <v>0.46100000000000002</v>
      </c>
      <c r="AI69" s="13">
        <f t="shared" ref="AI69" si="34">AI68</f>
        <v>0.63045454545454538</v>
      </c>
      <c r="AJ69">
        <v>4</v>
      </c>
    </row>
    <row r="70" spans="1:36" x14ac:dyDescent="0.2">
      <c r="A70" s="32"/>
      <c r="B70" s="33"/>
      <c r="C70" s="33"/>
      <c r="D70" s="33"/>
      <c r="E70" s="33"/>
      <c r="F70" s="33"/>
      <c r="G70" s="33"/>
      <c r="H70" s="33"/>
      <c r="I70" s="33"/>
      <c r="J70" s="51">
        <v>0.35</v>
      </c>
      <c r="K70" s="45">
        <f t="shared" si="30"/>
        <v>0.51851851851851849</v>
      </c>
      <c r="L70" s="54" t="s">
        <v>21</v>
      </c>
      <c r="M70" s="55"/>
      <c r="N70" s="55"/>
      <c r="O70" s="56"/>
      <c r="P70" s="38"/>
      <c r="Q70" s="39"/>
      <c r="R70" s="39"/>
      <c r="S70" s="40"/>
      <c r="T70" s="41" t="s">
        <v>16</v>
      </c>
      <c r="U70" s="42">
        <f>H84</f>
        <v>0.17000000000000004</v>
      </c>
      <c r="V70" s="42">
        <f>0</f>
        <v>0</v>
      </c>
      <c r="W70" s="43"/>
      <c r="AG70" s="12" t="s">
        <v>7</v>
      </c>
      <c r="AH70" s="13">
        <f>AH69</f>
        <v>0.46100000000000002</v>
      </c>
      <c r="AI70" s="13">
        <f t="shared" ref="AI70" si="35">($F$12) / ($F$12 + 1) * AH70 + $N$22</f>
        <v>0.57887878787878788</v>
      </c>
    </row>
    <row r="71" spans="1:36" x14ac:dyDescent="0.2">
      <c r="A71" s="32" t="s">
        <v>36</v>
      </c>
      <c r="B71" s="33">
        <v>2</v>
      </c>
      <c r="C71" s="33"/>
      <c r="D71" s="33"/>
      <c r="E71" s="33"/>
      <c r="F71" s="33"/>
      <c r="G71" s="33"/>
      <c r="H71" s="33"/>
      <c r="I71" s="33"/>
      <c r="J71" s="51">
        <v>0.4</v>
      </c>
      <c r="K71" s="45">
        <f t="shared" si="30"/>
        <v>0.57142857142857151</v>
      </c>
      <c r="L71" s="54"/>
      <c r="M71" s="55"/>
      <c r="N71" s="55"/>
      <c r="O71" s="56"/>
      <c r="P71" s="59" t="s">
        <v>22</v>
      </c>
      <c r="Q71" s="60"/>
      <c r="R71" s="60"/>
      <c r="S71" s="61"/>
      <c r="T71" s="41" t="s">
        <v>18</v>
      </c>
      <c r="U71" s="42">
        <f>U11</f>
        <v>0.39</v>
      </c>
      <c r="V71" s="42">
        <f>V11</f>
        <v>0.53</v>
      </c>
      <c r="W71" s="43"/>
      <c r="AG71" s="12" t="s">
        <v>12</v>
      </c>
      <c r="AH71" s="13">
        <f>0.408</f>
        <v>0.40799999999999997</v>
      </c>
      <c r="AI71" s="13">
        <f t="shared" ref="AI71" si="36">AI70</f>
        <v>0.57887878787878788</v>
      </c>
      <c r="AJ71">
        <v>5</v>
      </c>
    </row>
    <row r="72" spans="1:36" x14ac:dyDescent="0.2">
      <c r="A72" s="46" t="s">
        <v>23</v>
      </c>
      <c r="B72" s="33">
        <f>100</f>
        <v>100</v>
      </c>
      <c r="C72" s="33" t="s">
        <v>24</v>
      </c>
      <c r="D72" s="33"/>
      <c r="E72" s="44">
        <v>2.2999999999999998</v>
      </c>
      <c r="F72" s="33">
        <f>2.3</f>
        <v>2.2999999999999998</v>
      </c>
      <c r="G72" s="33"/>
      <c r="H72" s="33"/>
      <c r="I72" s="33"/>
      <c r="J72" s="51">
        <v>0.45</v>
      </c>
      <c r="K72" s="45">
        <f t="shared" si="30"/>
        <v>0.62068965517241381</v>
      </c>
      <c r="L72" s="47"/>
      <c r="M72" s="36" t="s">
        <v>5</v>
      </c>
      <c r="N72" s="36" t="s">
        <v>6</v>
      </c>
      <c r="O72" s="37"/>
      <c r="P72" s="38" t="s">
        <v>37</v>
      </c>
      <c r="Q72" s="48">
        <v>50</v>
      </c>
      <c r="R72" s="39"/>
      <c r="S72" s="40"/>
      <c r="T72" s="41"/>
      <c r="U72" s="42"/>
      <c r="V72" s="42"/>
      <c r="W72" s="43"/>
      <c r="AG72" s="12" t="s">
        <v>7</v>
      </c>
      <c r="AH72" s="13">
        <f>AH71</f>
        <v>0.40799999999999997</v>
      </c>
      <c r="AI72" s="13">
        <f t="shared" ref="AI72" si="37">($F$12) / ($F$12 + 1) * AH72 + $N$22</f>
        <v>0.54193939393939394</v>
      </c>
    </row>
    <row r="73" spans="1:36" x14ac:dyDescent="0.2">
      <c r="A73" s="46" t="s">
        <v>25</v>
      </c>
      <c r="B73" s="33">
        <f>B13</f>
        <v>0.46</v>
      </c>
      <c r="C73" s="33"/>
      <c r="D73" s="33"/>
      <c r="E73" s="33" t="s">
        <v>26</v>
      </c>
      <c r="F73" s="33">
        <f>H69 / N78 - 1</f>
        <v>1.8333333333333335</v>
      </c>
      <c r="G73" s="33"/>
      <c r="H73" s="33"/>
      <c r="I73" s="49"/>
      <c r="J73" s="52">
        <v>0.5</v>
      </c>
      <c r="K73" s="45">
        <f t="shared" si="30"/>
        <v>0.66666666666666663</v>
      </c>
      <c r="L73" s="47" t="s">
        <v>16</v>
      </c>
      <c r="M73" s="36" t="s">
        <v>20</v>
      </c>
      <c r="N73" s="36" t="s">
        <v>20</v>
      </c>
      <c r="O73" s="37"/>
      <c r="P73" s="38" t="s">
        <v>23</v>
      </c>
      <c r="Q73" s="39">
        <v>100</v>
      </c>
      <c r="R73" s="60"/>
      <c r="S73" s="61"/>
      <c r="T73" s="41"/>
      <c r="U73" s="42"/>
      <c r="V73" s="42"/>
      <c r="W73" s="43"/>
      <c r="AG73" s="12" t="s">
        <v>12</v>
      </c>
      <c r="AH73" s="13">
        <f>0.372</f>
        <v>0.372</v>
      </c>
      <c r="AI73" s="13">
        <f t="shared" ref="AI73" si="38">AI72</f>
        <v>0.54193939393939394</v>
      </c>
      <c r="AJ73">
        <v>6</v>
      </c>
    </row>
    <row r="74" spans="1:36" x14ac:dyDescent="0.2">
      <c r="A74" s="46"/>
      <c r="B74" s="33"/>
      <c r="C74" s="33"/>
      <c r="D74" s="33"/>
      <c r="E74" s="57"/>
      <c r="F74" s="57"/>
      <c r="G74" s="57"/>
      <c r="H74" s="33"/>
      <c r="I74" s="49"/>
      <c r="J74" s="52">
        <v>0.55000000000000004</v>
      </c>
      <c r="K74" s="45">
        <f t="shared" si="30"/>
        <v>0.70967741935483875</v>
      </c>
      <c r="L74" s="47" t="s">
        <v>18</v>
      </c>
      <c r="M74" s="36">
        <v>0</v>
      </c>
      <c r="N74" s="36" t="s">
        <v>27</v>
      </c>
      <c r="O74" s="37"/>
      <c r="P74" s="38" t="s">
        <v>28</v>
      </c>
      <c r="Q74" s="39">
        <f>50/B72</f>
        <v>0.5</v>
      </c>
      <c r="R74" s="39"/>
      <c r="S74" s="40"/>
      <c r="T74" s="41"/>
      <c r="U74" s="42"/>
      <c r="V74" s="42"/>
      <c r="W74" s="43"/>
      <c r="AG74" s="12" t="s">
        <v>7</v>
      </c>
      <c r="AH74" s="13">
        <f>AH73</f>
        <v>0.372</v>
      </c>
      <c r="AI74" s="13">
        <f t="shared" ref="AI74" si="39">$V$71 + ($V$71 - $V$70) / ($U$71 - $U$70) * (AH74 - $U$71)</f>
        <v>0.48663636363636364</v>
      </c>
    </row>
    <row r="75" spans="1:36" x14ac:dyDescent="0.2">
      <c r="A75" s="58"/>
      <c r="B75" s="57"/>
      <c r="C75" s="57"/>
      <c r="D75" s="33"/>
      <c r="E75" s="57" t="s">
        <v>29</v>
      </c>
      <c r="F75" s="57"/>
      <c r="G75" s="57"/>
      <c r="H75" s="33"/>
      <c r="I75" s="49"/>
      <c r="J75" s="53">
        <v>0.6</v>
      </c>
      <c r="K75" s="45">
        <f t="shared" si="30"/>
        <v>0.74999999999999989</v>
      </c>
      <c r="L75" s="54" t="s">
        <v>30</v>
      </c>
      <c r="M75" s="55"/>
      <c r="N75" s="55"/>
      <c r="O75" s="56"/>
      <c r="P75" s="38"/>
      <c r="Q75" s="39"/>
      <c r="R75" s="39"/>
      <c r="S75" s="40"/>
      <c r="T75" s="41"/>
      <c r="U75" s="42"/>
      <c r="V75" s="42"/>
      <c r="W75" s="43"/>
      <c r="AG75" s="12" t="s">
        <v>12</v>
      </c>
      <c r="AH75" s="13">
        <v>0.32400000000000001</v>
      </c>
      <c r="AI75" s="13">
        <f>AI74</f>
        <v>0.48663636363636364</v>
      </c>
      <c r="AJ75">
        <v>7</v>
      </c>
    </row>
    <row r="76" spans="1:36" x14ac:dyDescent="0.2">
      <c r="A76" s="32"/>
      <c r="B76" s="33"/>
      <c r="C76" s="33"/>
      <c r="D76" s="33"/>
      <c r="E76" s="57" t="s">
        <v>31</v>
      </c>
      <c r="F76" s="57"/>
      <c r="G76" s="57"/>
      <c r="H76" s="33"/>
      <c r="I76" s="49"/>
      <c r="J76" s="52">
        <v>0.65</v>
      </c>
      <c r="K76" s="45">
        <f t="shared" si="30"/>
        <v>0.78787878787878796</v>
      </c>
      <c r="L76" s="47"/>
      <c r="M76" s="36" t="s">
        <v>5</v>
      </c>
      <c r="N76" s="36" t="s">
        <v>6</v>
      </c>
      <c r="O76" s="37"/>
      <c r="P76" s="59" t="s">
        <v>32</v>
      </c>
      <c r="Q76" s="60"/>
      <c r="R76" s="60"/>
      <c r="S76" s="61"/>
      <c r="T76" s="41"/>
      <c r="U76" s="42"/>
      <c r="V76" s="42"/>
      <c r="W76" s="43"/>
      <c r="AG76" s="12" t="s">
        <v>7</v>
      </c>
      <c r="AH76" s="13">
        <f>AH75</f>
        <v>0.32400000000000001</v>
      </c>
      <c r="AI76" s="13">
        <f>$V$71 + ($V$71 - $V$70) / ($U$71 - $U$70) * (AH76 - $U$71)</f>
        <v>0.371</v>
      </c>
    </row>
    <row r="77" spans="1:36" x14ac:dyDescent="0.2">
      <c r="A77" s="32"/>
      <c r="B77" s="33"/>
      <c r="C77" s="33"/>
      <c r="D77" s="33"/>
      <c r="E77" s="33"/>
      <c r="F77" s="33"/>
      <c r="G77" s="33"/>
      <c r="H77" s="33"/>
      <c r="I77" s="49"/>
      <c r="J77" s="52">
        <v>0.7</v>
      </c>
      <c r="K77" s="45">
        <f t="shared" si="30"/>
        <v>0.82352941176470584</v>
      </c>
      <c r="L77" s="47" t="s">
        <v>16</v>
      </c>
      <c r="M77" s="36">
        <f>H69</f>
        <v>0.85</v>
      </c>
      <c r="N77" s="36">
        <f>H69</f>
        <v>0.85</v>
      </c>
      <c r="O77" s="37"/>
      <c r="P77" s="38"/>
      <c r="Q77" s="39"/>
      <c r="R77" s="39"/>
      <c r="S77" s="40"/>
      <c r="T77" s="41"/>
      <c r="U77" s="42"/>
      <c r="V77" s="42"/>
      <c r="W77" s="43"/>
      <c r="AG77" s="12" t="s">
        <v>12</v>
      </c>
      <c r="AH77" s="13">
        <v>0.23</v>
      </c>
      <c r="AI77" s="13">
        <f t="shared" ref="AI77:AI79" si="40">AI76</f>
        <v>0.371</v>
      </c>
      <c r="AJ77">
        <v>8</v>
      </c>
    </row>
    <row r="78" spans="1:36" x14ac:dyDescent="0.2">
      <c r="A78" s="32"/>
      <c r="B78" s="33"/>
      <c r="C78" s="33"/>
      <c r="D78" s="33"/>
      <c r="E78" s="33"/>
      <c r="F78" s="33"/>
      <c r="G78" s="33"/>
      <c r="H78" s="33"/>
      <c r="I78" s="49"/>
      <c r="J78" s="52">
        <v>0.75</v>
      </c>
      <c r="K78" s="45">
        <f t="shared" si="30"/>
        <v>0.8571428571428571</v>
      </c>
      <c r="L78" s="47" t="s">
        <v>18</v>
      </c>
      <c r="M78" s="36">
        <f>0</f>
        <v>0</v>
      </c>
      <c r="N78" s="36">
        <f>0.3</f>
        <v>0.3</v>
      </c>
      <c r="O78" s="37"/>
      <c r="P78" s="38"/>
      <c r="Q78" s="39" t="s">
        <v>5</v>
      </c>
      <c r="R78" s="39" t="s">
        <v>6</v>
      </c>
      <c r="S78" s="40"/>
      <c r="T78" s="41"/>
      <c r="U78" s="42"/>
      <c r="V78" s="42"/>
      <c r="W78" s="43"/>
      <c r="AG78" s="12" t="s">
        <v>7</v>
      </c>
      <c r="AH78" s="13">
        <f>AH77</f>
        <v>0.23</v>
      </c>
      <c r="AI78" s="13">
        <f t="shared" ref="AI78" si="41">$V$71 + ($V$71 - $V$70) / ($U$71 - $U$70) * (AH78 - $U$71)</f>
        <v>0.14454545454545448</v>
      </c>
    </row>
    <row r="79" spans="1:36" x14ac:dyDescent="0.2">
      <c r="A79" s="32" t="s">
        <v>33</v>
      </c>
      <c r="B79" s="33">
        <f>5</f>
        <v>5</v>
      </c>
      <c r="C79" s="33"/>
      <c r="D79" s="33"/>
      <c r="E79" s="33"/>
      <c r="F79" s="33"/>
      <c r="G79" s="33"/>
      <c r="H79" s="33"/>
      <c r="I79" s="49"/>
      <c r="J79" s="52">
        <v>0.8</v>
      </c>
      <c r="K79" s="45">
        <f t="shared" si="30"/>
        <v>0.88888888888888895</v>
      </c>
      <c r="L79" s="54" t="s">
        <v>38</v>
      </c>
      <c r="M79" s="55"/>
      <c r="N79" s="55"/>
      <c r="O79" s="56"/>
      <c r="P79" s="38" t="s">
        <v>16</v>
      </c>
      <c r="Q79" s="39" t="s">
        <v>25</v>
      </c>
      <c r="R79" s="39" t="s">
        <v>25</v>
      </c>
      <c r="S79" s="40"/>
      <c r="T79" s="41"/>
      <c r="U79" s="42"/>
      <c r="V79" s="42"/>
      <c r="W79" s="43"/>
      <c r="AG79" s="12" t="s">
        <v>12</v>
      </c>
      <c r="AH79" s="13">
        <v>0.08</v>
      </c>
      <c r="AI79" s="13">
        <f t="shared" si="40"/>
        <v>0.14454545454545448</v>
      </c>
      <c r="AJ79">
        <v>9</v>
      </c>
    </row>
    <row r="80" spans="1:36" x14ac:dyDescent="0.2">
      <c r="A80" s="32"/>
      <c r="B80" s="33"/>
      <c r="C80" s="33"/>
      <c r="D80" s="33"/>
      <c r="E80" s="33"/>
      <c r="F80" s="33"/>
      <c r="G80" s="33"/>
      <c r="H80" s="33"/>
      <c r="I80" s="49"/>
      <c r="J80" s="52">
        <v>0.85</v>
      </c>
      <c r="K80" s="45">
        <f t="shared" si="30"/>
        <v>0.91891891891891886</v>
      </c>
      <c r="L80" s="47"/>
      <c r="M80" s="36" t="s">
        <v>5</v>
      </c>
      <c r="N80" s="36" t="s">
        <v>6</v>
      </c>
      <c r="O80" s="36"/>
      <c r="P80" s="38" t="s">
        <v>18</v>
      </c>
      <c r="Q80" s="39" t="s">
        <v>5</v>
      </c>
      <c r="R80" s="39" t="s">
        <v>6</v>
      </c>
      <c r="S80" s="40"/>
      <c r="T80" s="41"/>
      <c r="U80" s="42"/>
      <c r="V80" s="42"/>
      <c r="W80" s="43"/>
      <c r="AG80" s="12" t="s">
        <v>7</v>
      </c>
      <c r="AH80" s="13">
        <f>AH79</f>
        <v>0.08</v>
      </c>
      <c r="AI80" s="13">
        <v>0</v>
      </c>
    </row>
    <row r="81" spans="1:35" x14ac:dyDescent="0.2">
      <c r="A81" s="32"/>
      <c r="B81" s="33"/>
      <c r="C81" s="33"/>
      <c r="D81" s="33"/>
      <c r="E81" s="33"/>
      <c r="F81" s="33"/>
      <c r="G81" s="33"/>
      <c r="H81" s="33"/>
      <c r="I81" s="49"/>
      <c r="J81" s="52">
        <v>0.9</v>
      </c>
      <c r="K81" s="45">
        <f t="shared" si="30"/>
        <v>0.94736842105263164</v>
      </c>
      <c r="L81" s="47" t="s">
        <v>16</v>
      </c>
      <c r="M81" s="36">
        <f>H69</f>
        <v>0.85</v>
      </c>
      <c r="N81" s="36">
        <f>H69</f>
        <v>0.85</v>
      </c>
      <c r="O81" s="36"/>
      <c r="P81" s="38"/>
      <c r="Q81" s="39"/>
      <c r="R81" s="39"/>
      <c r="S81" s="40"/>
      <c r="T81" s="41"/>
      <c r="U81" s="42"/>
      <c r="V81" s="42"/>
      <c r="W81" s="43"/>
      <c r="AG81" s="12" t="s">
        <v>12</v>
      </c>
      <c r="AH81" s="13"/>
      <c r="AI81" s="13"/>
    </row>
    <row r="82" spans="1:35" x14ac:dyDescent="0.2">
      <c r="A82" s="32"/>
      <c r="B82" s="33"/>
      <c r="C82" s="33"/>
      <c r="D82" s="33"/>
      <c r="E82" s="33"/>
      <c r="F82" s="33"/>
      <c r="G82" s="33"/>
      <c r="H82" s="33"/>
      <c r="I82" s="49"/>
      <c r="J82" s="52">
        <v>0.95</v>
      </c>
      <c r="K82" s="45">
        <f t="shared" si="30"/>
        <v>0.97435897435897434</v>
      </c>
      <c r="L82" s="47" t="s">
        <v>18</v>
      </c>
      <c r="M82" s="36">
        <v>0</v>
      </c>
      <c r="N82" s="36">
        <f>1 / (F72 + 1) * H69</f>
        <v>0.25757575757575757</v>
      </c>
      <c r="O82" s="37"/>
      <c r="P82" s="38"/>
      <c r="Q82" s="39" t="s">
        <v>5</v>
      </c>
      <c r="R82" s="39" t="s">
        <v>6</v>
      </c>
      <c r="S82" s="40"/>
      <c r="T82" s="41"/>
      <c r="U82" s="42"/>
      <c r="V82" s="42"/>
      <c r="W82" s="43"/>
      <c r="AG82" s="12" t="s">
        <v>7</v>
      </c>
      <c r="AH82" s="13"/>
      <c r="AI82" s="13"/>
    </row>
    <row r="83" spans="1:35" x14ac:dyDescent="0.2">
      <c r="A83" s="32"/>
      <c r="B83" s="33"/>
      <c r="C83" s="33"/>
      <c r="D83" s="33"/>
      <c r="E83" s="33"/>
      <c r="F83" s="33"/>
      <c r="G83" s="33" t="s">
        <v>34</v>
      </c>
      <c r="H83" s="33">
        <f>(B73 - H69) * B72 / (H84 - H69)</f>
        <v>57.35294117647058</v>
      </c>
      <c r="I83" s="49"/>
      <c r="J83" s="52">
        <v>1</v>
      </c>
      <c r="K83" s="45">
        <f t="shared" si="30"/>
        <v>1</v>
      </c>
      <c r="L83" s="47"/>
      <c r="M83" s="36"/>
      <c r="N83" s="36"/>
      <c r="O83" s="37"/>
      <c r="P83" s="38" t="s">
        <v>16</v>
      </c>
      <c r="Q83" s="39">
        <f>B73</f>
        <v>0.46</v>
      </c>
      <c r="R83" s="39">
        <f>B73</f>
        <v>0.46</v>
      </c>
      <c r="S83" s="40"/>
      <c r="T83" s="41"/>
      <c r="U83" s="42"/>
      <c r="V83" s="42"/>
      <c r="W83" s="43"/>
      <c r="AG83" s="12" t="s">
        <v>12</v>
      </c>
      <c r="AH83" s="13"/>
      <c r="AI83" s="13"/>
    </row>
    <row r="84" spans="1:35" x14ac:dyDescent="0.2">
      <c r="A84" s="32"/>
      <c r="B84" s="33"/>
      <c r="C84" s="33"/>
      <c r="D84" s="33"/>
      <c r="E84" s="33"/>
      <c r="F84" s="33"/>
      <c r="G84" s="33" t="s">
        <v>17</v>
      </c>
      <c r="H84" s="33">
        <f xml:space="preserve"> 1 - 0.83</f>
        <v>0.17000000000000004</v>
      </c>
      <c r="I84" s="49"/>
      <c r="J84" s="50"/>
      <c r="K84" s="45"/>
      <c r="L84" s="47"/>
      <c r="M84" s="36"/>
      <c r="N84" s="36"/>
      <c r="O84" s="37"/>
      <c r="P84" s="38" t="s">
        <v>18</v>
      </c>
      <c r="Q84" s="39">
        <f>0</f>
        <v>0</v>
      </c>
      <c r="R84" s="39">
        <f xml:space="preserve"> Q74 / (Q74 - 1) * Q84 + 1 / (1 - Q74) * B73</f>
        <v>0.92</v>
      </c>
      <c r="S84" s="40"/>
      <c r="T84" s="41"/>
      <c r="U84" s="42"/>
      <c r="V84" s="42"/>
      <c r="W84" s="43"/>
      <c r="AG84" s="12" t="s">
        <v>7</v>
      </c>
      <c r="AH84" s="13"/>
      <c r="AI84" s="13"/>
    </row>
    <row r="85" spans="1:35" x14ac:dyDescent="0.2">
      <c r="A85" s="2"/>
      <c r="B85" s="3"/>
      <c r="C85" s="3"/>
      <c r="D85" s="3"/>
      <c r="E85" s="3"/>
      <c r="F85" s="3"/>
      <c r="G85" s="3"/>
      <c r="H85" s="3"/>
      <c r="I85" s="15"/>
      <c r="J85" s="16"/>
      <c r="K85" s="17"/>
      <c r="L85" s="14"/>
      <c r="M85" s="4"/>
      <c r="N85" s="4"/>
      <c r="O85" s="5"/>
      <c r="P85" s="6"/>
      <c r="Q85" s="7"/>
      <c r="R85" s="7"/>
      <c r="S85" s="8"/>
      <c r="T85" s="9"/>
      <c r="U85" s="10"/>
      <c r="V85" s="10"/>
      <c r="W85" s="11"/>
      <c r="AG85" s="12" t="s">
        <v>12</v>
      </c>
      <c r="AH85" s="13"/>
      <c r="AI85" s="13"/>
    </row>
    <row r="86" spans="1:35" x14ac:dyDescent="0.2">
      <c r="A86" s="2"/>
      <c r="B86" s="3"/>
      <c r="C86" s="3"/>
      <c r="D86" s="3"/>
      <c r="E86" s="3"/>
      <c r="F86" s="3"/>
      <c r="G86" s="3"/>
      <c r="H86" s="3"/>
      <c r="I86" s="15"/>
      <c r="J86" s="16"/>
      <c r="K86" s="17"/>
      <c r="L86" s="14"/>
      <c r="M86" s="4"/>
      <c r="N86" s="4"/>
      <c r="O86" s="5"/>
      <c r="P86" s="6"/>
      <c r="Q86" s="7"/>
      <c r="R86" s="7"/>
      <c r="S86" s="8"/>
      <c r="T86" s="9"/>
      <c r="U86" s="10"/>
      <c r="V86" s="10"/>
      <c r="W86" s="11"/>
      <c r="AG86" s="12" t="s">
        <v>7</v>
      </c>
      <c r="AH86" s="13"/>
      <c r="AI86" s="13"/>
    </row>
    <row r="87" spans="1:35" x14ac:dyDescent="0.2">
      <c r="A87" s="2"/>
      <c r="B87" s="3"/>
      <c r="C87" s="3"/>
      <c r="D87" s="3"/>
      <c r="E87" s="3"/>
      <c r="F87" s="3"/>
      <c r="G87" s="3"/>
      <c r="H87" s="3"/>
      <c r="I87" s="15"/>
      <c r="J87" s="16"/>
      <c r="K87" s="17"/>
      <c r="L87" s="14"/>
      <c r="M87" s="4"/>
      <c r="N87" s="4"/>
      <c r="O87" s="5"/>
      <c r="P87" s="6"/>
      <c r="Q87" s="7"/>
      <c r="R87" s="7"/>
      <c r="S87" s="8"/>
      <c r="T87" s="9"/>
      <c r="U87" s="10"/>
      <c r="V87" s="10"/>
      <c r="W87" s="11"/>
      <c r="AG87" s="12" t="s">
        <v>12</v>
      </c>
      <c r="AH87" s="13"/>
      <c r="AI87" s="13"/>
    </row>
    <row r="88" spans="1:35" x14ac:dyDescent="0.2">
      <c r="A88" s="2"/>
      <c r="B88" s="3"/>
      <c r="C88" s="3"/>
      <c r="D88" s="3"/>
      <c r="E88" s="3"/>
      <c r="F88" s="3"/>
      <c r="G88" s="3"/>
      <c r="H88" s="3"/>
      <c r="I88" s="15"/>
      <c r="J88" s="16"/>
      <c r="K88" s="17"/>
      <c r="L88" s="14"/>
      <c r="M88" s="4"/>
      <c r="N88" s="4"/>
      <c r="O88" s="5"/>
      <c r="P88" s="6"/>
      <c r="Q88" s="7"/>
      <c r="R88" s="7"/>
      <c r="S88" s="8"/>
      <c r="T88" s="9"/>
      <c r="U88" s="10"/>
      <c r="V88" s="10"/>
      <c r="W88" s="11"/>
      <c r="AG88" s="12" t="s">
        <v>7</v>
      </c>
      <c r="AH88" s="13"/>
      <c r="AI88" s="13"/>
    </row>
    <row r="89" spans="1:35" x14ac:dyDescent="0.2">
      <c r="A89" s="18"/>
      <c r="B89" s="19"/>
      <c r="C89" s="19"/>
      <c r="D89" s="19"/>
      <c r="E89" s="19"/>
      <c r="F89" s="19"/>
      <c r="G89" s="19"/>
      <c r="H89" s="19"/>
      <c r="I89" s="20"/>
      <c r="J89" s="21"/>
      <c r="K89" s="22"/>
      <c r="L89" s="23"/>
      <c r="M89" s="24"/>
      <c r="N89" s="24"/>
      <c r="O89" s="25"/>
      <c r="P89" s="26"/>
      <c r="Q89" s="27"/>
      <c r="R89" s="27"/>
      <c r="S89" s="28"/>
      <c r="T89" s="29"/>
      <c r="U89" s="30"/>
      <c r="V89" s="30"/>
      <c r="W89" s="31"/>
      <c r="AG89" s="12" t="s">
        <v>12</v>
      </c>
      <c r="AH89" s="13"/>
      <c r="AI89" s="13"/>
    </row>
  </sheetData>
  <mergeCells count="51">
    <mergeCell ref="P1:S1"/>
    <mergeCell ref="T1:W1"/>
    <mergeCell ref="T3:W3"/>
    <mergeCell ref="A15:C15"/>
    <mergeCell ref="E15:G15"/>
    <mergeCell ref="L15:O15"/>
    <mergeCell ref="A1:I1"/>
    <mergeCell ref="J1:K1"/>
    <mergeCell ref="L1:O1"/>
    <mergeCell ref="L10:O10"/>
    <mergeCell ref="L11:O11"/>
    <mergeCell ref="P11:S11"/>
    <mergeCell ref="R13:S13"/>
    <mergeCell ref="E14:G14"/>
    <mergeCell ref="A45:C45"/>
    <mergeCell ref="E45:G45"/>
    <mergeCell ref="L45:O45"/>
    <mergeCell ref="R43:S43"/>
    <mergeCell ref="E16:G16"/>
    <mergeCell ref="P16:S16"/>
    <mergeCell ref="L19:O19"/>
    <mergeCell ref="T33:W33"/>
    <mergeCell ref="L40:O40"/>
    <mergeCell ref="L41:O41"/>
    <mergeCell ref="P41:S41"/>
    <mergeCell ref="E44:G44"/>
    <mergeCell ref="A31:I31"/>
    <mergeCell ref="J31:K31"/>
    <mergeCell ref="L31:O31"/>
    <mergeCell ref="P31:S31"/>
    <mergeCell ref="T31:W31"/>
    <mergeCell ref="E46:G46"/>
    <mergeCell ref="P46:S46"/>
    <mergeCell ref="L49:O49"/>
    <mergeCell ref="A61:I61"/>
    <mergeCell ref="J61:K61"/>
    <mergeCell ref="L61:O61"/>
    <mergeCell ref="P61:S61"/>
    <mergeCell ref="P76:S76"/>
    <mergeCell ref="T61:W61"/>
    <mergeCell ref="T63:W63"/>
    <mergeCell ref="L70:O70"/>
    <mergeCell ref="L71:O71"/>
    <mergeCell ref="P71:S71"/>
    <mergeCell ref="R73:S73"/>
    <mergeCell ref="L79:O79"/>
    <mergeCell ref="E74:G74"/>
    <mergeCell ref="A75:C75"/>
    <mergeCell ref="E75:G75"/>
    <mergeCell ref="L75:O75"/>
    <mergeCell ref="E76:G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4DCA-9F50-2E45-B0F9-93721DCDEFEF}">
  <dimension ref="A1:AL34"/>
  <sheetViews>
    <sheetView tabSelected="1" topLeftCell="L1" zoomScale="125" workbookViewId="0">
      <selection activeCell="B12" sqref="B12"/>
    </sheetView>
  </sheetViews>
  <sheetFormatPr baseColWidth="10" defaultRowHeight="16" x14ac:dyDescent="0.2"/>
  <cols>
    <col min="16" max="16" width="13.83203125" bestFit="1" customWidth="1"/>
    <col min="17" max="17" width="13.1640625" customWidth="1"/>
    <col min="18" max="18" width="14.33203125" bestFit="1" customWidth="1"/>
  </cols>
  <sheetData>
    <row r="1" spans="1:38" x14ac:dyDescent="0.2">
      <c r="A1" s="79" t="s">
        <v>0</v>
      </c>
      <c r="B1" s="80"/>
      <c r="C1" s="80"/>
      <c r="D1" s="80"/>
      <c r="E1" s="80"/>
      <c r="F1" s="80"/>
      <c r="G1" s="80"/>
      <c r="H1" s="80"/>
      <c r="I1" s="81"/>
      <c r="J1" s="87" t="s">
        <v>47</v>
      </c>
      <c r="K1" s="87"/>
      <c r="L1" s="87"/>
      <c r="M1" s="112" t="s">
        <v>47</v>
      </c>
      <c r="N1" s="113"/>
      <c r="O1" s="114"/>
      <c r="P1" s="104" t="s">
        <v>52</v>
      </c>
      <c r="Q1" s="105"/>
      <c r="R1" s="105"/>
      <c r="S1" s="105"/>
      <c r="T1" s="106"/>
      <c r="U1" s="118"/>
      <c r="AG1" s="86" t="s">
        <v>72</v>
      </c>
      <c r="AH1" s="86"/>
    </row>
    <row r="2" spans="1:38" x14ac:dyDescent="0.2">
      <c r="A2" s="2"/>
      <c r="B2" s="3"/>
      <c r="C2" s="3"/>
      <c r="D2" s="3"/>
      <c r="E2" s="3"/>
      <c r="F2" s="3"/>
      <c r="G2" s="3"/>
      <c r="H2" s="3"/>
      <c r="I2" s="15"/>
      <c r="J2" s="88" t="s">
        <v>53</v>
      </c>
      <c r="K2" s="88" t="s">
        <v>54</v>
      </c>
      <c r="L2" s="88" t="s">
        <v>48</v>
      </c>
      <c r="M2" s="111" t="s">
        <v>5</v>
      </c>
      <c r="N2" s="111" t="s">
        <v>6</v>
      </c>
      <c r="O2" s="111" t="s">
        <v>48</v>
      </c>
      <c r="P2" s="96" t="s">
        <v>57</v>
      </c>
      <c r="Q2" s="130" t="s">
        <v>58</v>
      </c>
      <c r="R2" s="96" t="s">
        <v>49</v>
      </c>
      <c r="S2" s="96" t="s">
        <v>50</v>
      </c>
      <c r="T2" s="96" t="s">
        <v>49</v>
      </c>
      <c r="U2" s="96" t="s">
        <v>51</v>
      </c>
      <c r="AG2" t="s">
        <v>73</v>
      </c>
      <c r="AH2" t="s">
        <v>56</v>
      </c>
    </row>
    <row r="3" spans="1:38" x14ac:dyDescent="0.2">
      <c r="A3" s="2" t="s">
        <v>9</v>
      </c>
      <c r="B3" s="3" t="s">
        <v>10</v>
      </c>
      <c r="C3" s="3"/>
      <c r="D3" s="82"/>
      <c r="E3" s="3"/>
      <c r="F3" s="3"/>
      <c r="G3" s="3"/>
      <c r="H3" s="3"/>
      <c r="I3" s="15"/>
      <c r="J3" s="90">
        <v>0</v>
      </c>
      <c r="K3" s="90">
        <v>0</v>
      </c>
      <c r="L3" s="90">
        <v>100</v>
      </c>
      <c r="M3" s="110">
        <f>J3 / 100</f>
        <v>0</v>
      </c>
      <c r="N3" s="110">
        <f>K3 / 100</f>
        <v>0</v>
      </c>
      <c r="O3" s="110">
        <f>L3</f>
        <v>100</v>
      </c>
      <c r="P3" s="123">
        <v>0</v>
      </c>
      <c r="Q3" s="118">
        <f>P3 / 100</f>
        <v>0</v>
      </c>
      <c r="R3" s="100">
        <v>199</v>
      </c>
      <c r="S3" s="97">
        <v>20720</v>
      </c>
      <c r="T3" s="97">
        <v>100</v>
      </c>
      <c r="U3" s="97">
        <v>3240</v>
      </c>
      <c r="AG3" s="131">
        <f>T26</f>
        <v>0.98</v>
      </c>
      <c r="AH3" s="132">
        <f>U26</f>
        <v>17448</v>
      </c>
    </row>
    <row r="4" spans="1:38" x14ac:dyDescent="0.2">
      <c r="A4" s="2">
        <v>1</v>
      </c>
      <c r="B4" s="3"/>
      <c r="C4" s="3"/>
      <c r="D4" s="3"/>
      <c r="E4" s="3"/>
      <c r="F4" s="3"/>
      <c r="G4" s="3"/>
      <c r="H4" s="3"/>
      <c r="I4" s="15"/>
      <c r="J4" s="91">
        <v>2</v>
      </c>
      <c r="K4" s="91">
        <v>13.4</v>
      </c>
      <c r="L4" s="91">
        <v>96.4</v>
      </c>
      <c r="M4" s="108">
        <f t="shared" ref="M4:M19" si="0">J4 / 100</f>
        <v>0.02</v>
      </c>
      <c r="N4" s="108">
        <f t="shared" ref="N4:N19" si="1">K4 / 100</f>
        <v>0.13400000000000001</v>
      </c>
      <c r="O4" s="108">
        <f t="shared" ref="O4:O19" si="2">L4</f>
        <v>96.4</v>
      </c>
      <c r="P4" s="124">
        <v>5</v>
      </c>
      <c r="Q4" s="118">
        <f t="shared" ref="Q4:Q15" si="3">P4 / 100</f>
        <v>0.05</v>
      </c>
      <c r="R4" s="101">
        <v>98.9</v>
      </c>
      <c r="S4" s="98">
        <v>20520</v>
      </c>
      <c r="T4" s="98">
        <v>92.8</v>
      </c>
      <c r="U4" s="98">
        <v>3070</v>
      </c>
      <c r="AG4" s="133">
        <f>0.955</f>
        <v>0.95499999999999996</v>
      </c>
      <c r="AH4" s="134">
        <v>2250</v>
      </c>
    </row>
    <row r="5" spans="1:38" x14ac:dyDescent="0.2">
      <c r="A5" s="2">
        <v>2</v>
      </c>
      <c r="B5" s="3"/>
      <c r="C5" s="3"/>
      <c r="D5" s="3"/>
      <c r="E5" s="3"/>
      <c r="F5" s="3"/>
      <c r="G5" s="3"/>
      <c r="H5" s="3"/>
      <c r="I5" s="15"/>
      <c r="J5" s="91">
        <v>4</v>
      </c>
      <c r="K5" s="91">
        <v>23</v>
      </c>
      <c r="L5" s="91">
        <v>93.5</v>
      </c>
      <c r="M5" s="108">
        <f t="shared" si="0"/>
        <v>0.04</v>
      </c>
      <c r="N5" s="108">
        <f t="shared" si="1"/>
        <v>0.23</v>
      </c>
      <c r="O5" s="108">
        <f t="shared" si="2"/>
        <v>93.5</v>
      </c>
      <c r="P5" s="124">
        <v>10</v>
      </c>
      <c r="Q5" s="118">
        <f t="shared" si="3"/>
        <v>0.1</v>
      </c>
      <c r="R5" s="101">
        <v>97.7</v>
      </c>
      <c r="S5" s="98">
        <v>20340</v>
      </c>
      <c r="T5" s="98">
        <v>87.7</v>
      </c>
      <c r="U5" s="98">
        <v>2950</v>
      </c>
      <c r="AG5">
        <f>T27</f>
        <v>0.98</v>
      </c>
      <c r="AH5">
        <f>U27</f>
        <v>34042.42857142858</v>
      </c>
      <c r="AJ5" t="s">
        <v>15</v>
      </c>
      <c r="AK5" t="s">
        <v>76</v>
      </c>
      <c r="AL5">
        <f>U27 * H8 - H8 * R25</f>
        <v>1977208.5106382987</v>
      </c>
    </row>
    <row r="6" spans="1:38" x14ac:dyDescent="0.2">
      <c r="A6" s="2"/>
      <c r="B6" s="3"/>
      <c r="C6" s="3"/>
      <c r="D6" s="3"/>
      <c r="E6" s="3"/>
      <c r="F6" s="3"/>
      <c r="G6" s="3"/>
      <c r="H6" s="3"/>
      <c r="I6" s="15"/>
      <c r="J6" s="91">
        <v>6</v>
      </c>
      <c r="K6" s="91">
        <v>30.4</v>
      </c>
      <c r="L6" s="91">
        <v>91.2</v>
      </c>
      <c r="M6" s="108">
        <f t="shared" si="0"/>
        <v>0.06</v>
      </c>
      <c r="N6" s="108">
        <f t="shared" si="1"/>
        <v>0.30399999999999999</v>
      </c>
      <c r="O6" s="108">
        <f t="shared" si="2"/>
        <v>91.2</v>
      </c>
      <c r="P6" s="124">
        <v>15</v>
      </c>
      <c r="Q6" s="118">
        <f t="shared" si="3"/>
        <v>0.15</v>
      </c>
      <c r="R6" s="101">
        <v>96.2</v>
      </c>
      <c r="S6" s="98">
        <v>20160</v>
      </c>
      <c r="T6" s="98">
        <v>84.4</v>
      </c>
      <c r="U6" s="98">
        <v>2850</v>
      </c>
      <c r="AG6" s="131">
        <v>0.96699999999999997</v>
      </c>
      <c r="AH6" s="132">
        <v>17400</v>
      </c>
    </row>
    <row r="7" spans="1:38" x14ac:dyDescent="0.2">
      <c r="A7" s="2"/>
      <c r="B7" s="3"/>
      <c r="C7" s="3"/>
      <c r="D7" s="3"/>
      <c r="E7" s="3"/>
      <c r="F7" s="3"/>
      <c r="G7" s="3"/>
      <c r="H7" s="3"/>
      <c r="I7" s="15"/>
      <c r="J7" s="91">
        <v>8</v>
      </c>
      <c r="K7" s="91">
        <v>36.5</v>
      </c>
      <c r="L7" s="91">
        <v>89.3</v>
      </c>
      <c r="M7" s="108">
        <f t="shared" si="0"/>
        <v>0.08</v>
      </c>
      <c r="N7" s="108">
        <f t="shared" si="1"/>
        <v>0.36499999999999999</v>
      </c>
      <c r="O7" s="108">
        <f t="shared" si="2"/>
        <v>89.3</v>
      </c>
      <c r="P7" s="124">
        <v>20</v>
      </c>
      <c r="Q7" s="118">
        <f t="shared" si="3"/>
        <v>0.2</v>
      </c>
      <c r="R7" s="101">
        <v>94.8</v>
      </c>
      <c r="S7" s="98">
        <v>20000</v>
      </c>
      <c r="T7" s="98">
        <v>81.7</v>
      </c>
      <c r="U7" s="98">
        <v>2760</v>
      </c>
      <c r="AG7" s="133">
        <v>0.93</v>
      </c>
      <c r="AH7" s="134">
        <v>2270</v>
      </c>
    </row>
    <row r="8" spans="1:38" x14ac:dyDescent="0.2">
      <c r="A8" s="2"/>
      <c r="B8" s="3"/>
      <c r="C8" s="3"/>
      <c r="D8" s="3"/>
      <c r="E8" s="3"/>
      <c r="F8" s="3"/>
      <c r="G8" s="3" t="s">
        <v>19</v>
      </c>
      <c r="H8" s="3">
        <f>H19</f>
        <v>119.14893617021276</v>
      </c>
      <c r="I8" s="15"/>
      <c r="J8" s="91">
        <v>10</v>
      </c>
      <c r="K8" s="91">
        <v>41.8</v>
      </c>
      <c r="L8" s="91">
        <v>87.7</v>
      </c>
      <c r="M8" s="108">
        <f t="shared" si="0"/>
        <v>0.1</v>
      </c>
      <c r="N8" s="108">
        <f t="shared" si="1"/>
        <v>0.41799999999999998</v>
      </c>
      <c r="O8" s="108">
        <f t="shared" si="2"/>
        <v>87.7</v>
      </c>
      <c r="P8" s="124">
        <v>30</v>
      </c>
      <c r="Q8" s="118">
        <f t="shared" si="3"/>
        <v>0.3</v>
      </c>
      <c r="R8" s="101">
        <v>91.6</v>
      </c>
      <c r="S8" s="98">
        <v>19640</v>
      </c>
      <c r="T8" s="98">
        <v>78</v>
      </c>
      <c r="U8" s="98">
        <v>2620</v>
      </c>
      <c r="AG8">
        <f>AG5</f>
        <v>0.98</v>
      </c>
      <c r="AH8">
        <f>AH5</f>
        <v>34042.42857142858</v>
      </c>
    </row>
    <row r="9" spans="1:38" x14ac:dyDescent="0.2">
      <c r="A9" s="2"/>
      <c r="B9" s="3"/>
      <c r="C9" s="3"/>
      <c r="D9" s="3"/>
      <c r="E9" s="3"/>
      <c r="F9" s="3"/>
      <c r="G9" s="3" t="s">
        <v>20</v>
      </c>
      <c r="H9" s="3">
        <v>0.98</v>
      </c>
      <c r="I9" s="15"/>
      <c r="J9" s="91">
        <v>15</v>
      </c>
      <c r="K9" s="91">
        <v>51.7</v>
      </c>
      <c r="L9" s="91">
        <v>84.4</v>
      </c>
      <c r="M9" s="108">
        <f t="shared" si="0"/>
        <v>0.15</v>
      </c>
      <c r="N9" s="108">
        <f t="shared" si="1"/>
        <v>0.51700000000000002</v>
      </c>
      <c r="O9" s="108">
        <f t="shared" si="2"/>
        <v>84.4</v>
      </c>
      <c r="P9" s="124">
        <v>40</v>
      </c>
      <c r="Q9" s="118">
        <f t="shared" si="3"/>
        <v>0.4</v>
      </c>
      <c r="R9" s="101">
        <v>88.2</v>
      </c>
      <c r="S9" s="98">
        <v>19310</v>
      </c>
      <c r="T9" s="98">
        <v>75.3</v>
      </c>
      <c r="U9" s="98">
        <v>2540</v>
      </c>
      <c r="AG9" s="131">
        <v>0.95499999999999996</v>
      </c>
      <c r="AH9" s="132">
        <v>17500</v>
      </c>
    </row>
    <row r="10" spans="1:38" x14ac:dyDescent="0.2">
      <c r="A10" s="2"/>
      <c r="B10" s="3"/>
      <c r="C10" s="3"/>
      <c r="D10" s="3"/>
      <c r="E10" s="3"/>
      <c r="F10" s="3"/>
      <c r="G10" s="3"/>
      <c r="H10" s="3"/>
      <c r="I10" s="15"/>
      <c r="J10" s="91">
        <v>20</v>
      </c>
      <c r="K10" s="91">
        <v>57.9</v>
      </c>
      <c r="L10" s="91">
        <v>81.7</v>
      </c>
      <c r="M10" s="108">
        <f t="shared" si="0"/>
        <v>0.2</v>
      </c>
      <c r="N10" s="108">
        <f t="shared" si="1"/>
        <v>0.57899999999999996</v>
      </c>
      <c r="O10" s="108">
        <f t="shared" si="2"/>
        <v>81.7</v>
      </c>
      <c r="P10" s="124">
        <v>50</v>
      </c>
      <c r="Q10" s="118">
        <f t="shared" si="3"/>
        <v>0.5</v>
      </c>
      <c r="R10" s="101">
        <v>84.9</v>
      </c>
      <c r="S10" s="98">
        <v>18970</v>
      </c>
      <c r="T10" s="98">
        <v>73.099999999999994</v>
      </c>
      <c r="U10" s="98">
        <v>2470</v>
      </c>
      <c r="AG10" s="133">
        <v>0.9</v>
      </c>
      <c r="AH10" s="134">
        <v>2290</v>
      </c>
    </row>
    <row r="11" spans="1:38" x14ac:dyDescent="0.2">
      <c r="A11" s="2"/>
      <c r="B11" s="3"/>
      <c r="C11" s="3"/>
      <c r="D11" s="3"/>
      <c r="E11" s="3"/>
      <c r="F11" s="3"/>
      <c r="G11" s="3"/>
      <c r="H11" s="3"/>
      <c r="I11" s="15"/>
      <c r="J11" s="91">
        <v>30</v>
      </c>
      <c r="K11" s="91">
        <v>66.5</v>
      </c>
      <c r="L11" s="91">
        <v>78</v>
      </c>
      <c r="M11" s="108">
        <f t="shared" si="0"/>
        <v>0.3</v>
      </c>
      <c r="N11" s="108">
        <f t="shared" si="1"/>
        <v>0.66500000000000004</v>
      </c>
      <c r="O11" s="108">
        <f t="shared" si="2"/>
        <v>78</v>
      </c>
      <c r="P11" s="124">
        <v>60</v>
      </c>
      <c r="Q11" s="118">
        <f t="shared" si="3"/>
        <v>0.6</v>
      </c>
      <c r="R11" s="101">
        <v>80.900000000000006</v>
      </c>
      <c r="S11" s="98">
        <v>18650</v>
      </c>
      <c r="T11" s="98">
        <v>71.2</v>
      </c>
      <c r="U11" s="98">
        <v>2410</v>
      </c>
      <c r="AG11">
        <f>AG8</f>
        <v>0.98</v>
      </c>
      <c r="AH11">
        <f>AH8</f>
        <v>34042.42857142858</v>
      </c>
    </row>
    <row r="12" spans="1:38" x14ac:dyDescent="0.2">
      <c r="A12" s="83" t="s">
        <v>23</v>
      </c>
      <c r="B12" s="3">
        <v>200</v>
      </c>
      <c r="C12" s="3" t="s">
        <v>55</v>
      </c>
      <c r="D12" s="3"/>
      <c r="E12" s="82" t="s">
        <v>43</v>
      </c>
      <c r="F12" s="3">
        <f>1.2</f>
        <v>1.2</v>
      </c>
      <c r="G12" s="3"/>
      <c r="H12" s="3"/>
      <c r="I12" s="15"/>
      <c r="J12" s="91">
        <v>40</v>
      </c>
      <c r="K12" s="91">
        <v>72.900000000000006</v>
      </c>
      <c r="L12" s="91">
        <v>75.3</v>
      </c>
      <c r="M12" s="108">
        <f t="shared" si="0"/>
        <v>0.4</v>
      </c>
      <c r="N12" s="108">
        <f t="shared" si="1"/>
        <v>0.72900000000000009</v>
      </c>
      <c r="O12" s="108">
        <f t="shared" si="2"/>
        <v>75.3</v>
      </c>
      <c r="P12" s="124">
        <v>70</v>
      </c>
      <c r="Q12" s="118">
        <f t="shared" si="3"/>
        <v>0.7</v>
      </c>
      <c r="R12" s="101">
        <v>76.599999999999994</v>
      </c>
      <c r="S12" s="98">
        <v>18310</v>
      </c>
      <c r="T12" s="98">
        <v>69.3</v>
      </c>
      <c r="U12" s="98">
        <v>2370</v>
      </c>
      <c r="AG12" s="135">
        <v>0.93899999999999995</v>
      </c>
      <c r="AH12" s="136">
        <v>17600</v>
      </c>
    </row>
    <row r="13" spans="1:38" x14ac:dyDescent="0.2">
      <c r="A13" s="83" t="s">
        <v>25</v>
      </c>
      <c r="B13" s="3">
        <v>0.6</v>
      </c>
      <c r="C13" s="3"/>
      <c r="D13" s="3"/>
      <c r="E13" s="82"/>
      <c r="F13" s="3"/>
      <c r="G13" s="3"/>
      <c r="H13" s="3"/>
      <c r="I13" s="15"/>
      <c r="J13" s="91">
        <v>50</v>
      </c>
      <c r="K13" s="91">
        <v>77.900000000000006</v>
      </c>
      <c r="L13" s="91">
        <v>73.099999999999994</v>
      </c>
      <c r="M13" s="108">
        <f t="shared" si="0"/>
        <v>0.5</v>
      </c>
      <c r="N13" s="108">
        <f t="shared" si="1"/>
        <v>0.77900000000000003</v>
      </c>
      <c r="O13" s="108">
        <f t="shared" si="2"/>
        <v>73.099999999999994</v>
      </c>
      <c r="P13" s="124">
        <v>80</v>
      </c>
      <c r="Q13" s="118">
        <f t="shared" si="3"/>
        <v>0.8</v>
      </c>
      <c r="R13" s="101">
        <v>72.2</v>
      </c>
      <c r="S13" s="98">
        <v>17980</v>
      </c>
      <c r="T13" s="98">
        <v>67.599999999999994</v>
      </c>
      <c r="U13" s="98">
        <v>2330</v>
      </c>
      <c r="AG13" s="137">
        <v>0.85</v>
      </c>
      <c r="AH13" s="138">
        <v>2310</v>
      </c>
    </row>
    <row r="14" spans="1:38" x14ac:dyDescent="0.2">
      <c r="A14" s="83" t="s">
        <v>44</v>
      </c>
      <c r="B14" s="3"/>
      <c r="C14" s="3" t="s">
        <v>45</v>
      </c>
      <c r="D14" s="3"/>
      <c r="E14" s="3"/>
      <c r="F14" s="3"/>
      <c r="G14" s="85" t="s">
        <v>75</v>
      </c>
      <c r="H14" s="85"/>
      <c r="I14" s="15"/>
      <c r="J14" s="91">
        <v>60</v>
      </c>
      <c r="K14" s="91">
        <v>82.5</v>
      </c>
      <c r="L14" s="91">
        <v>71.2</v>
      </c>
      <c r="M14" s="108">
        <f t="shared" si="0"/>
        <v>0.6</v>
      </c>
      <c r="N14" s="108">
        <f t="shared" si="1"/>
        <v>0.82499999999999996</v>
      </c>
      <c r="O14" s="108">
        <f t="shared" si="2"/>
        <v>71.2</v>
      </c>
      <c r="P14" s="124">
        <v>90</v>
      </c>
      <c r="Q14" s="118">
        <f t="shared" si="3"/>
        <v>0.9</v>
      </c>
      <c r="R14" s="101">
        <v>68.099999999999994</v>
      </c>
      <c r="S14" s="98">
        <v>17680</v>
      </c>
      <c r="T14" s="98">
        <v>66</v>
      </c>
      <c r="U14" s="98">
        <v>2290</v>
      </c>
      <c r="AG14">
        <f>AG11</f>
        <v>0.98</v>
      </c>
      <c r="AH14">
        <f>AH11</f>
        <v>34042.42857142858</v>
      </c>
    </row>
    <row r="15" spans="1:38" x14ac:dyDescent="0.2">
      <c r="A15" s="84" t="s">
        <v>46</v>
      </c>
      <c r="B15" s="85"/>
      <c r="C15" s="85"/>
      <c r="D15" s="3"/>
      <c r="E15" s="3"/>
      <c r="F15" s="3"/>
      <c r="G15" s="85" t="s">
        <v>35</v>
      </c>
      <c r="H15" s="85"/>
      <c r="I15" s="15" t="s">
        <v>34</v>
      </c>
      <c r="J15" s="91">
        <v>70</v>
      </c>
      <c r="K15" s="91">
        <v>87</v>
      </c>
      <c r="L15" s="91">
        <v>69.3</v>
      </c>
      <c r="M15" s="108">
        <f t="shared" si="0"/>
        <v>0.7</v>
      </c>
      <c r="N15" s="108">
        <f t="shared" si="1"/>
        <v>0.87</v>
      </c>
      <c r="O15" s="108">
        <f t="shared" si="2"/>
        <v>69.3</v>
      </c>
      <c r="P15" s="125">
        <v>100</v>
      </c>
      <c r="Q15" s="126">
        <f t="shared" si="3"/>
        <v>1</v>
      </c>
      <c r="R15" s="102">
        <v>64.5</v>
      </c>
      <c r="S15" s="99">
        <v>17390</v>
      </c>
      <c r="T15" s="98">
        <v>64.5</v>
      </c>
      <c r="U15" s="98">
        <v>2250</v>
      </c>
      <c r="AG15" s="131">
        <v>0.91500000000000004</v>
      </c>
      <c r="AH15" s="132">
        <v>17800</v>
      </c>
    </row>
    <row r="16" spans="1:38" x14ac:dyDescent="0.2">
      <c r="A16" s="2"/>
      <c r="B16" s="3"/>
      <c r="C16" s="3"/>
      <c r="D16" s="3"/>
      <c r="E16" s="3"/>
      <c r="F16" s="3"/>
      <c r="G16" s="3">
        <v>1</v>
      </c>
      <c r="H16" s="3">
        <v>1</v>
      </c>
      <c r="I16" s="15">
        <f>B12</f>
        <v>200</v>
      </c>
      <c r="J16" s="91">
        <v>80</v>
      </c>
      <c r="K16" s="91">
        <v>91.5</v>
      </c>
      <c r="L16" s="91">
        <v>67.599999999999994</v>
      </c>
      <c r="M16" s="108">
        <f t="shared" si="0"/>
        <v>0.8</v>
      </c>
      <c r="N16" s="108">
        <f t="shared" si="1"/>
        <v>0.91500000000000004</v>
      </c>
      <c r="O16" s="108">
        <f t="shared" si="2"/>
        <v>67.599999999999994</v>
      </c>
      <c r="P16" s="14"/>
      <c r="Q16" s="103"/>
      <c r="R16" s="103"/>
      <c r="S16" s="103"/>
      <c r="T16" s="121"/>
      <c r="U16" s="122"/>
      <c r="AG16" s="133">
        <v>0.8</v>
      </c>
      <c r="AH16" s="134">
        <v>2330</v>
      </c>
    </row>
    <row r="17" spans="1:34" x14ac:dyDescent="0.2">
      <c r="A17" s="2"/>
      <c r="B17" s="3"/>
      <c r="C17" s="3"/>
      <c r="D17" s="3"/>
      <c r="E17" s="3"/>
      <c r="F17" s="3"/>
      <c r="G17" s="3">
        <f>H9</f>
        <v>0.98</v>
      </c>
      <c r="H17" s="3">
        <f>H24</f>
        <v>0.04</v>
      </c>
      <c r="I17" s="15">
        <f>B13 * B12</f>
        <v>120</v>
      </c>
      <c r="J17" s="91">
        <v>90</v>
      </c>
      <c r="K17" s="91">
        <v>95.8</v>
      </c>
      <c r="L17" s="91">
        <v>66</v>
      </c>
      <c r="M17" s="108">
        <f t="shared" si="0"/>
        <v>0.9</v>
      </c>
      <c r="N17" s="108">
        <f t="shared" si="1"/>
        <v>0.95799999999999996</v>
      </c>
      <c r="O17" s="108">
        <f t="shared" si="2"/>
        <v>66</v>
      </c>
      <c r="P17" s="127" t="s">
        <v>63</v>
      </c>
      <c r="Q17" s="127"/>
      <c r="R17" s="127"/>
      <c r="S17" s="127" t="s">
        <v>69</v>
      </c>
      <c r="T17" s="127"/>
      <c r="U17" s="127"/>
      <c r="AG17">
        <f>AG14</f>
        <v>0.98</v>
      </c>
      <c r="AH17">
        <f>AH14</f>
        <v>34042.42857142858</v>
      </c>
    </row>
    <row r="18" spans="1:34" x14ac:dyDescent="0.2">
      <c r="A18" s="2"/>
      <c r="B18" s="3"/>
      <c r="C18" s="3"/>
      <c r="D18" s="3"/>
      <c r="E18" s="3"/>
      <c r="F18" s="3"/>
      <c r="G18" s="3"/>
      <c r="H18" s="3"/>
      <c r="I18" s="15"/>
      <c r="J18" s="91">
        <v>95</v>
      </c>
      <c r="K18" s="91">
        <v>97.9</v>
      </c>
      <c r="L18" s="91">
        <v>65</v>
      </c>
      <c r="M18" s="108">
        <f t="shared" si="0"/>
        <v>0.95</v>
      </c>
      <c r="N18" s="108">
        <f t="shared" si="1"/>
        <v>0.97900000000000009</v>
      </c>
      <c r="O18" s="108">
        <f t="shared" si="2"/>
        <v>65</v>
      </c>
      <c r="P18" s="120" t="s">
        <v>3</v>
      </c>
      <c r="Q18" s="128">
        <f>B13</f>
        <v>0.6</v>
      </c>
      <c r="R18" s="129">
        <v>765</v>
      </c>
      <c r="S18" s="120" t="s">
        <v>67</v>
      </c>
      <c r="T18" s="128">
        <f>Q21</f>
        <v>0.98</v>
      </c>
      <c r="U18" s="129">
        <f>Q28 * (R25 - R26) + R25</f>
        <v>34042.42857142858</v>
      </c>
      <c r="AG18" s="131">
        <f>0.887</f>
        <v>0.88700000000000001</v>
      </c>
      <c r="AH18" s="132">
        <v>17680</v>
      </c>
    </row>
    <row r="19" spans="1:34" x14ac:dyDescent="0.2">
      <c r="A19" s="2"/>
      <c r="B19" s="3"/>
      <c r="C19" s="3"/>
      <c r="D19" s="3"/>
      <c r="E19" s="3"/>
      <c r="F19" s="3"/>
      <c r="G19" s="3" t="s">
        <v>19</v>
      </c>
      <c r="H19" s="3" cm="1">
        <f t="array" ref="H19:H20">MMULT(MINVERSE(G16:H17),I16:I17)</f>
        <v>119.14893617021276</v>
      </c>
      <c r="I19" s="15"/>
      <c r="J19" s="92">
        <v>100</v>
      </c>
      <c r="K19" s="92">
        <v>100</v>
      </c>
      <c r="L19" s="92">
        <v>64.5</v>
      </c>
      <c r="M19" s="109">
        <f t="shared" si="0"/>
        <v>1</v>
      </c>
      <c r="N19" s="109">
        <f t="shared" si="1"/>
        <v>1</v>
      </c>
      <c r="O19" s="109">
        <f t="shared" si="2"/>
        <v>64.5</v>
      </c>
      <c r="P19" s="120" t="s">
        <v>60</v>
      </c>
      <c r="Q19" s="128">
        <v>0.625</v>
      </c>
      <c r="R19" s="129">
        <v>2410</v>
      </c>
      <c r="S19" s="120" t="s">
        <v>25</v>
      </c>
      <c r="T19" s="128">
        <f>Q18</f>
        <v>0.6</v>
      </c>
      <c r="U19" s="129">
        <f>R18</f>
        <v>765</v>
      </c>
      <c r="AG19" s="133">
        <f>0.735</f>
        <v>0.73499999999999999</v>
      </c>
      <c r="AH19" s="134">
        <v>2340</v>
      </c>
    </row>
    <row r="20" spans="1:34" x14ac:dyDescent="0.2">
      <c r="A20" s="2"/>
      <c r="B20" s="3"/>
      <c r="C20" s="3"/>
      <c r="D20" s="3"/>
      <c r="E20" s="3"/>
      <c r="F20" s="3"/>
      <c r="G20" s="3" t="s">
        <v>34</v>
      </c>
      <c r="H20" s="3">
        <v>80.85106382978725</v>
      </c>
      <c r="I20" s="15"/>
      <c r="J20" s="6"/>
      <c r="K20" s="89"/>
      <c r="L20" s="8"/>
      <c r="M20" s="107"/>
      <c r="N20" s="107"/>
      <c r="O20" s="107"/>
      <c r="P20" s="120" t="s">
        <v>59</v>
      </c>
      <c r="Q20" s="128">
        <v>0.83499999999999996</v>
      </c>
      <c r="R20" s="129">
        <f>17850</f>
        <v>17850</v>
      </c>
      <c r="S20" s="120" t="s">
        <v>68</v>
      </c>
      <c r="T20" s="128">
        <f>H24</f>
        <v>0.04</v>
      </c>
      <c r="U20" s="129">
        <f>U19 + (U19 - U18) /( T19 - T18) * (T20 - T19)</f>
        <v>-48275.421052631587</v>
      </c>
      <c r="AG20">
        <f>AG17</f>
        <v>0.98</v>
      </c>
      <c r="AH20">
        <f>AH17</f>
        <v>34042.42857142858</v>
      </c>
    </row>
    <row r="21" spans="1:34" x14ac:dyDescent="0.2">
      <c r="A21" s="2"/>
      <c r="B21" s="3"/>
      <c r="C21" s="3"/>
      <c r="D21" s="3"/>
      <c r="E21" s="3"/>
      <c r="F21" s="3"/>
      <c r="G21" s="3"/>
      <c r="H21" s="3"/>
      <c r="I21" s="15"/>
      <c r="J21" s="6"/>
      <c r="K21" s="89"/>
      <c r="L21" s="8"/>
      <c r="M21" s="107"/>
      <c r="N21" s="107"/>
      <c r="O21" s="107"/>
      <c r="P21" s="120" t="s">
        <v>61</v>
      </c>
      <c r="Q21" s="128">
        <f>H9</f>
        <v>0.98</v>
      </c>
      <c r="R21" s="129">
        <f>R20 + (R20 - R19) /(Q20 - Q19) *(Q21 - Q20)</f>
        <v>28510.952380952385</v>
      </c>
      <c r="S21" s="4"/>
      <c r="T21" s="4"/>
      <c r="U21" s="122"/>
      <c r="AG21" s="131">
        <f>0.852</f>
        <v>0.85199999999999998</v>
      </c>
      <c r="AH21" s="132">
        <f>17700</f>
        <v>17700</v>
      </c>
    </row>
    <row r="22" spans="1:34" x14ac:dyDescent="0.2">
      <c r="A22" s="2"/>
      <c r="B22" s="3"/>
      <c r="C22" s="3"/>
      <c r="D22" s="3"/>
      <c r="E22" s="3"/>
      <c r="F22" s="3"/>
      <c r="G22" s="3"/>
      <c r="H22" s="3"/>
      <c r="I22" s="15"/>
      <c r="J22" s="6"/>
      <c r="K22" s="89"/>
      <c r="L22" s="8"/>
      <c r="M22" s="107"/>
      <c r="N22" s="107"/>
      <c r="O22" s="107"/>
      <c r="P22" s="120" t="s">
        <v>62</v>
      </c>
      <c r="Q22" s="128">
        <f>H24</f>
        <v>0.04</v>
      </c>
      <c r="R22" s="129">
        <f>R20 + (R20 - R19) / (Q20 - Q19) * (Q22 - Q20)</f>
        <v>-40601.42857142858</v>
      </c>
      <c r="S22" s="4"/>
      <c r="T22" s="4"/>
      <c r="U22" s="5"/>
      <c r="W22" t="s">
        <v>5</v>
      </c>
      <c r="X22" t="s">
        <v>6</v>
      </c>
      <c r="AG22" s="133">
        <v>0.66</v>
      </c>
      <c r="AH22" s="134">
        <v>2390</v>
      </c>
    </row>
    <row r="23" spans="1:34" x14ac:dyDescent="0.2">
      <c r="A23" s="2"/>
      <c r="B23" s="3"/>
      <c r="C23" s="3"/>
      <c r="D23" s="3"/>
      <c r="E23" s="3"/>
      <c r="F23" s="3"/>
      <c r="G23" s="3" t="s">
        <v>34</v>
      </c>
      <c r="H23" s="3">
        <f>H20</f>
        <v>80.85106382978725</v>
      </c>
      <c r="I23" s="15"/>
      <c r="J23" s="6"/>
      <c r="K23" s="89"/>
      <c r="L23" s="8"/>
      <c r="M23" s="107"/>
      <c r="N23" s="107"/>
      <c r="O23" s="107"/>
      <c r="P23" s="14"/>
      <c r="Q23" s="103"/>
      <c r="R23" s="103"/>
      <c r="S23" s="103"/>
      <c r="T23" s="103"/>
      <c r="U23" s="5"/>
      <c r="W23">
        <v>3.7999999999999999E-2</v>
      </c>
      <c r="X23">
        <f>0.225</f>
        <v>0.22500000000000001</v>
      </c>
      <c r="AG23">
        <f>AG20</f>
        <v>0.98</v>
      </c>
      <c r="AH23">
        <f>AH20</f>
        <v>34042.42857142858</v>
      </c>
    </row>
    <row r="24" spans="1:34" x14ac:dyDescent="0.2">
      <c r="A24" s="2"/>
      <c r="B24" s="3"/>
      <c r="C24" s="3"/>
      <c r="D24" s="3"/>
      <c r="E24" s="3"/>
      <c r="F24" s="3"/>
      <c r="G24" s="3" t="s">
        <v>17</v>
      </c>
      <c r="H24" s="3">
        <v>0.04</v>
      </c>
      <c r="I24" s="15"/>
      <c r="J24" s="6"/>
      <c r="K24" s="89"/>
      <c r="L24" s="8"/>
      <c r="M24" s="107"/>
      <c r="N24" s="107"/>
      <c r="O24" s="107"/>
      <c r="P24" s="93" t="s">
        <v>66</v>
      </c>
      <c r="Q24" s="94"/>
      <c r="R24" s="95"/>
      <c r="S24" s="93" t="s">
        <v>71</v>
      </c>
      <c r="T24" s="94"/>
      <c r="U24" s="95"/>
      <c r="AG24" s="131">
        <f>0.815</f>
        <v>0.81499999999999995</v>
      </c>
      <c r="AH24" s="132">
        <v>17800</v>
      </c>
    </row>
    <row r="25" spans="1:34" x14ac:dyDescent="0.2">
      <c r="A25" s="2"/>
      <c r="B25" s="3"/>
      <c r="C25" s="3"/>
      <c r="D25" s="3"/>
      <c r="E25" s="3"/>
      <c r="F25" s="3"/>
      <c r="G25" s="3"/>
      <c r="H25" s="3"/>
      <c r="I25" s="15"/>
      <c r="J25" s="6"/>
      <c r="K25" s="89"/>
      <c r="L25" s="8"/>
      <c r="M25" s="107"/>
      <c r="N25" s="107"/>
      <c r="O25" s="107"/>
      <c r="P25" s="120" t="s">
        <v>64</v>
      </c>
      <c r="Q25" s="120">
        <f>H9</f>
        <v>0.98</v>
      </c>
      <c r="R25" s="128">
        <f>S15 + (S15 - S14) / (Q15 - Q14) * (Q25 - Q15)</f>
        <v>17448</v>
      </c>
      <c r="S25" s="120" t="s">
        <v>20</v>
      </c>
      <c r="T25" s="128">
        <f>T18</f>
        <v>0.98</v>
      </c>
      <c r="U25" s="129">
        <f>R26</f>
        <v>2258</v>
      </c>
      <c r="AG25" s="133">
        <v>0.57999999999999996</v>
      </c>
      <c r="AH25" s="134">
        <v>2430</v>
      </c>
    </row>
    <row r="26" spans="1:34" x14ac:dyDescent="0.2">
      <c r="A26" s="2"/>
      <c r="B26" s="3"/>
      <c r="C26" s="3"/>
      <c r="D26" s="3"/>
      <c r="E26" s="3"/>
      <c r="F26" s="3"/>
      <c r="G26" s="3"/>
      <c r="H26" s="3"/>
      <c r="I26" s="15"/>
      <c r="J26" s="6"/>
      <c r="K26" s="89"/>
      <c r="L26" s="8"/>
      <c r="M26" s="107"/>
      <c r="N26" s="107"/>
      <c r="O26" s="107"/>
      <c r="P26" s="120" t="s">
        <v>65</v>
      </c>
      <c r="Q26" s="120">
        <f>0.98</f>
        <v>0.98</v>
      </c>
      <c r="R26" s="128">
        <f>U15 + (U15 - U14) / (Q15 - Q14) * (Q26 - Q15)</f>
        <v>2258</v>
      </c>
      <c r="S26" s="120" t="s">
        <v>70</v>
      </c>
      <c r="T26" s="128">
        <f>T25</f>
        <v>0.98</v>
      </c>
      <c r="U26" s="129">
        <f>R25</f>
        <v>17448</v>
      </c>
      <c r="AG26">
        <f>T20</f>
        <v>0.04</v>
      </c>
      <c r="AH26">
        <f>U20</f>
        <v>-48275.421052631587</v>
      </c>
    </row>
    <row r="27" spans="1:34" x14ac:dyDescent="0.2">
      <c r="A27" s="2"/>
      <c r="B27" s="3"/>
      <c r="C27" s="3"/>
      <c r="D27" s="3"/>
      <c r="E27" s="3"/>
      <c r="F27" s="3"/>
      <c r="G27" s="3"/>
      <c r="H27" s="3"/>
      <c r="I27" s="15"/>
      <c r="J27" s="6"/>
      <c r="K27" s="89"/>
      <c r="L27" s="8"/>
      <c r="M27" s="107"/>
      <c r="N27" s="107"/>
      <c r="O27" s="107"/>
      <c r="P27" s="120" t="s">
        <v>26</v>
      </c>
      <c r="Q27" s="120">
        <f>(R21 - R25) /(R25 - R26)</f>
        <v>0.72830496253801091</v>
      </c>
      <c r="R27" s="103"/>
      <c r="S27" s="120" t="s">
        <v>67</v>
      </c>
      <c r="T27" s="128">
        <f>T18</f>
        <v>0.98</v>
      </c>
      <c r="U27" s="129">
        <f>U18</f>
        <v>34042.42857142858</v>
      </c>
      <c r="AG27" s="131">
        <f>0.745</f>
        <v>0.745</v>
      </c>
      <c r="AH27" s="132">
        <v>17980</v>
      </c>
    </row>
    <row r="28" spans="1:34" x14ac:dyDescent="0.2">
      <c r="A28" s="2"/>
      <c r="B28" s="3"/>
      <c r="C28" s="3"/>
      <c r="D28" s="3"/>
      <c r="E28" s="3"/>
      <c r="F28" s="3"/>
      <c r="G28" s="3"/>
      <c r="H28" s="3"/>
      <c r="I28" s="15"/>
      <c r="J28" s="6"/>
      <c r="K28" s="89"/>
      <c r="L28" s="8"/>
      <c r="M28" s="107"/>
      <c r="N28" s="107"/>
      <c r="O28" s="107"/>
      <c r="P28" s="120" t="s">
        <v>43</v>
      </c>
      <c r="Q28" s="120">
        <f>1.5 *Q27</f>
        <v>1.0924574438070165</v>
      </c>
      <c r="R28" s="103"/>
      <c r="S28" s="120" t="s">
        <v>68</v>
      </c>
      <c r="T28" s="128">
        <f>T20</f>
        <v>0.04</v>
      </c>
      <c r="U28" s="129">
        <f>U20</f>
        <v>-48275.421052631587</v>
      </c>
      <c r="AG28" s="133">
        <v>0.43</v>
      </c>
      <c r="AH28" s="134">
        <v>2500</v>
      </c>
    </row>
    <row r="29" spans="1:34" x14ac:dyDescent="0.2">
      <c r="A29" s="18"/>
      <c r="B29" s="19"/>
      <c r="C29" s="19"/>
      <c r="D29" s="19"/>
      <c r="E29" s="19"/>
      <c r="F29" s="19"/>
      <c r="G29" s="19"/>
      <c r="H29" s="19"/>
      <c r="I29" s="20"/>
      <c r="J29" s="26"/>
      <c r="K29" s="27"/>
      <c r="L29" s="28"/>
      <c r="M29" s="115"/>
      <c r="N29" s="116"/>
      <c r="O29" s="117"/>
      <c r="P29" s="23"/>
      <c r="Q29" s="24"/>
      <c r="R29" s="24"/>
      <c r="S29" s="120" t="s">
        <v>74</v>
      </c>
      <c r="T29" s="128">
        <f>T28</f>
        <v>0.04</v>
      </c>
      <c r="U29" s="129">
        <f>20520</f>
        <v>20520</v>
      </c>
      <c r="AG29">
        <f>AG26</f>
        <v>0.04</v>
      </c>
      <c r="AH29">
        <f>AH26</f>
        <v>-48275.421052631587</v>
      </c>
    </row>
    <row r="30" spans="1:34" x14ac:dyDescent="0.2">
      <c r="P30" s="119"/>
      <c r="Q30" s="119"/>
      <c r="R30" s="119"/>
      <c r="S30" s="119"/>
      <c r="T30" s="119"/>
      <c r="U30" s="119"/>
      <c r="AG30" s="131">
        <f>0.555</f>
        <v>0.55500000000000005</v>
      </c>
      <c r="AH30" s="132">
        <v>18800</v>
      </c>
    </row>
    <row r="31" spans="1:34" x14ac:dyDescent="0.2">
      <c r="AG31" s="133">
        <v>0.18</v>
      </c>
      <c r="AH31" s="134">
        <f>2800</f>
        <v>2800</v>
      </c>
    </row>
    <row r="32" spans="1:34" x14ac:dyDescent="0.2">
      <c r="AG32">
        <f>AG29</f>
        <v>0.04</v>
      </c>
      <c r="AH32">
        <f>AH29</f>
        <v>-48275.421052631587</v>
      </c>
    </row>
    <row r="33" spans="33:34" x14ac:dyDescent="0.2">
      <c r="AG33" s="131">
        <f>0.225</f>
        <v>0.22500000000000001</v>
      </c>
      <c r="AH33" s="132">
        <v>19700</v>
      </c>
    </row>
    <row r="34" spans="33:34" x14ac:dyDescent="0.2">
      <c r="AG34" s="133">
        <v>3.7999999999999999E-2</v>
      </c>
      <c r="AH34" s="134">
        <f>3070</f>
        <v>3070</v>
      </c>
    </row>
  </sheetData>
  <mergeCells count="11">
    <mergeCell ref="P17:R17"/>
    <mergeCell ref="P24:R24"/>
    <mergeCell ref="S17:U17"/>
    <mergeCell ref="S24:U24"/>
    <mergeCell ref="AG1:AH1"/>
    <mergeCell ref="A1:I1"/>
    <mergeCell ref="A15:C15"/>
    <mergeCell ref="J1:L1"/>
    <mergeCell ref="M1:O1"/>
    <mergeCell ref="G14:H14"/>
    <mergeCell ref="G15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Problema 1</vt:lpstr>
      <vt:lpstr>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SAMUEL SALDAÑA FLORES</dc:creator>
  <cp:lastModifiedBy>SERGIO SAMUEL SALDAÑA FLORES</cp:lastModifiedBy>
  <dcterms:created xsi:type="dcterms:W3CDTF">2022-02-26T04:32:37Z</dcterms:created>
  <dcterms:modified xsi:type="dcterms:W3CDTF">2022-02-28T00:56:13Z</dcterms:modified>
</cp:coreProperties>
</file>