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al/Code/sci7/pslab/"/>
    </mc:Choice>
  </mc:AlternateContent>
  <xr:revisionPtr revIDLastSave="0" documentId="13_ncr:1_{9809364C-BE99-4E4C-A71D-732BA832D557}" xr6:coauthVersionLast="47" xr6:coauthVersionMax="47" xr10:uidLastSave="{00000000-0000-0000-0000-000000000000}"/>
  <bookViews>
    <workbookView xWindow="0" yWindow="500" windowWidth="28780" windowHeight="17500" activeTab="6" xr2:uid="{0D474A96-D2BB-EA4E-9ECF-C3E62CE09279}"/>
  </bookViews>
  <sheets>
    <sheet name="mccabe-thiele" sheetId="1" r:id="rId1"/>
    <sheet name="240121" sheetId="2" r:id="rId2"/>
    <sheet name="713" sheetId="3" r:id="rId3"/>
    <sheet name="Vapor Vivo" sheetId="4" r:id="rId4"/>
    <sheet name="732" sheetId="5" r:id="rId5"/>
    <sheet name="Ponchon-Savarit" sheetId="6" r:id="rId6"/>
    <sheet name="Tarea de Ponchon Savarit" sheetId="7" r:id="rId7"/>
    <sheet name="Absorció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7" l="1"/>
  <c r="N16" i="7" l="1"/>
  <c r="N23" i="6"/>
  <c r="X5" i="8"/>
  <c r="X4" i="8"/>
  <c r="S22" i="8" l="1"/>
  <c r="T23" i="8"/>
  <c r="S23" i="8"/>
  <c r="S21" i="8"/>
  <c r="S19" i="8"/>
  <c r="S17" i="8"/>
  <c r="S15" i="8"/>
  <c r="S13" i="8"/>
  <c r="S12" i="8"/>
  <c r="T12" i="8"/>
  <c r="T11" i="8"/>
  <c r="S11" i="8"/>
  <c r="S10" i="8"/>
  <c r="T10" i="8"/>
  <c r="S9" i="8"/>
  <c r="S8" i="8"/>
  <c r="T8" i="8"/>
  <c r="S7" i="8"/>
  <c r="T6" i="8"/>
  <c r="T5" i="8"/>
  <c r="S5" i="8"/>
  <c r="O21" i="8"/>
  <c r="O20" i="8"/>
  <c r="N20" i="8"/>
  <c r="O15" i="8"/>
  <c r="O14" i="8"/>
  <c r="Q15" i="8"/>
  <c r="L14" i="8"/>
  <c r="K21" i="8"/>
  <c r="L21" i="8" s="1"/>
  <c r="L20" i="8"/>
  <c r="K20" i="8"/>
  <c r="I21" i="8"/>
  <c r="L15" i="8"/>
  <c r="J15" i="8"/>
  <c r="J14" i="8"/>
  <c r="J21" i="8"/>
  <c r="J20" i="8"/>
  <c r="I10" i="8"/>
  <c r="I9" i="8"/>
  <c r="K9" i="8" s="1"/>
  <c r="L6" i="8"/>
  <c r="G4" i="8"/>
  <c r="G5" i="8"/>
  <c r="G18" i="8"/>
  <c r="B5" i="8"/>
  <c r="K10" i="8"/>
  <c r="K7" i="8"/>
  <c r="K8" i="8"/>
  <c r="K6" i="8"/>
  <c r="I8" i="8"/>
  <c r="I7" i="8"/>
  <c r="L3" i="8"/>
  <c r="J7" i="8" s="1"/>
  <c r="L7" i="8" s="1"/>
  <c r="AB13" i="7"/>
  <c r="AB16" i="7"/>
  <c r="AB15" i="7"/>
  <c r="AA12" i="7"/>
  <c r="AB12" i="7"/>
  <c r="AA14" i="7"/>
  <c r="AA11" i="7"/>
  <c r="AB10" i="7"/>
  <c r="AA9" i="7"/>
  <c r="AB9" i="7"/>
  <c r="AA8" i="7"/>
  <c r="AB7" i="7"/>
  <c r="AB4" i="7"/>
  <c r="AA3" i="7"/>
  <c r="AA5" i="7" s="1"/>
  <c r="AA6" i="7"/>
  <c r="AB6" i="7" s="1"/>
  <c r="AB3" i="7"/>
  <c r="AB5" i="7"/>
  <c r="AB8" i="7" s="1"/>
  <c r="AA4" i="7"/>
  <c r="N26" i="7"/>
  <c r="AB11" i="7" s="1"/>
  <c r="AB14" i="7" s="1"/>
  <c r="N29" i="6"/>
  <c r="N18" i="7"/>
  <c r="M17" i="7"/>
  <c r="M16" i="7"/>
  <c r="N15" i="7"/>
  <c r="M26" i="7"/>
  <c r="N23" i="7"/>
  <c r="M24" i="7"/>
  <c r="M25" i="7" s="1"/>
  <c r="N21" i="7"/>
  <c r="N22" i="7"/>
  <c r="N17" i="7" s="1"/>
  <c r="M22" i="7"/>
  <c r="M23" i="7"/>
  <c r="F12" i="7"/>
  <c r="B13" i="7"/>
  <c r="Y3" i="6"/>
  <c r="V19" i="6"/>
  <c r="V16" i="6"/>
  <c r="U18" i="6"/>
  <c r="V18" i="6" s="1"/>
  <c r="V15" i="6"/>
  <c r="U17" i="6"/>
  <c r="V13" i="6"/>
  <c r="U15" i="6"/>
  <c r="U14" i="6"/>
  <c r="V12" i="6"/>
  <c r="V10" i="6"/>
  <c r="V9" i="6"/>
  <c r="M24" i="6"/>
  <c r="V7" i="6"/>
  <c r="V6" i="6"/>
  <c r="N19" i="6"/>
  <c r="N20" i="6"/>
  <c r="M20" i="6"/>
  <c r="M18" i="6"/>
  <c r="U7" i="6" s="1"/>
  <c r="L17" i="6" a="1"/>
  <c r="L17" i="6" s="1"/>
  <c r="L15" i="6" a="1"/>
  <c r="L15" i="6" s="1"/>
  <c r="B13" i="6"/>
  <c r="L16" i="6" s="1" a="1"/>
  <c r="AN6" i="5"/>
  <c r="M55" i="5"/>
  <c r="R67" i="5"/>
  <c r="M53" i="5"/>
  <c r="Q67" i="5"/>
  <c r="U54" i="5" s="1"/>
  <c r="R66" i="5"/>
  <c r="Q66" i="5"/>
  <c r="G65" i="5"/>
  <c r="B68" i="5" s="1"/>
  <c r="F68" i="5" s="1"/>
  <c r="N63" i="5"/>
  <c r="M63" i="5"/>
  <c r="H51" i="5"/>
  <c r="AN4" i="5"/>
  <c r="AN3" i="5"/>
  <c r="AN2" i="5"/>
  <c r="B25" i="5"/>
  <c r="H8" i="5"/>
  <c r="G22" i="5" s="1"/>
  <c r="R23" i="5"/>
  <c r="Q23" i="5"/>
  <c r="Q24" i="5" s="1"/>
  <c r="U11" i="5" s="1"/>
  <c r="N20" i="5"/>
  <c r="M20" i="5"/>
  <c r="M11" i="5"/>
  <c r="M10" i="5"/>
  <c r="AH2" i="4"/>
  <c r="AI2" i="4"/>
  <c r="AI3" i="4"/>
  <c r="AH4" i="4"/>
  <c r="AI5" i="4"/>
  <c r="AH6" i="4"/>
  <c r="AH7" i="4"/>
  <c r="AH8" i="4" s="1"/>
  <c r="AI7" i="4"/>
  <c r="AI9" i="4"/>
  <c r="AH10" i="4"/>
  <c r="AI11" i="4"/>
  <c r="AM2" i="4"/>
  <c r="AM3" i="4" s="1"/>
  <c r="U10" i="4"/>
  <c r="Q23" i="4"/>
  <c r="Q24" i="4" s="1"/>
  <c r="U11" i="4" s="1"/>
  <c r="M11" i="4"/>
  <c r="M10" i="4"/>
  <c r="N20" i="4"/>
  <c r="H23" i="3"/>
  <c r="H8" i="3"/>
  <c r="AH25" i="3"/>
  <c r="AI25" i="3"/>
  <c r="AI24" i="3"/>
  <c r="AH24" i="3"/>
  <c r="AI23" i="3"/>
  <c r="AI22" i="3"/>
  <c r="AH22" i="3"/>
  <c r="AI21" i="3"/>
  <c r="AI20" i="3"/>
  <c r="AH20" i="3"/>
  <c r="AH19" i="3"/>
  <c r="AI19" i="3"/>
  <c r="AH18" i="3"/>
  <c r="AH17" i="3"/>
  <c r="AI17" i="3"/>
  <c r="AI16" i="3"/>
  <c r="AH16" i="3"/>
  <c r="AH15" i="3"/>
  <c r="AI15" i="3"/>
  <c r="AH14" i="3"/>
  <c r="AI13" i="3"/>
  <c r="AI12" i="3"/>
  <c r="AH12" i="3"/>
  <c r="AH11" i="3"/>
  <c r="AI11" i="3"/>
  <c r="AI10" i="3"/>
  <c r="AH10" i="3"/>
  <c r="AI9" i="3"/>
  <c r="AI8" i="3"/>
  <c r="AH8" i="3"/>
  <c r="AI7" i="3"/>
  <c r="AI6" i="3"/>
  <c r="AH5" i="3"/>
  <c r="AH6" i="3"/>
  <c r="AH3" i="3"/>
  <c r="AH4" i="3" s="1"/>
  <c r="AI5" i="3"/>
  <c r="AI3" i="3"/>
  <c r="AI2" i="3"/>
  <c r="AH2" i="3"/>
  <c r="U11" i="3"/>
  <c r="Q24" i="3"/>
  <c r="B13" i="3"/>
  <c r="B12" i="3"/>
  <c r="H25" i="3"/>
  <c r="H24" i="3" s="1"/>
  <c r="V10" i="3" s="1"/>
  <c r="H10" i="3"/>
  <c r="H9" i="3" s="1"/>
  <c r="D4" i="3"/>
  <c r="E4" i="3" s="1"/>
  <c r="R24" i="2"/>
  <c r="H24" i="2"/>
  <c r="V10" i="2" s="1"/>
  <c r="V11" i="2"/>
  <c r="U11" i="2"/>
  <c r="Q24" i="2" s="1"/>
  <c r="F12" i="2"/>
  <c r="F42" i="2"/>
  <c r="N51" i="2" s="1"/>
  <c r="M55" i="2"/>
  <c r="M54" i="2"/>
  <c r="M53" i="2"/>
  <c r="R54" i="2"/>
  <c r="R53" i="2"/>
  <c r="Q53" i="2"/>
  <c r="N50" i="2"/>
  <c r="M50" i="2"/>
  <c r="S44" i="2"/>
  <c r="S14" i="2"/>
  <c r="R23" i="2"/>
  <c r="Q23" i="2"/>
  <c r="N20" i="2"/>
  <c r="M20" i="2"/>
  <c r="V10" i="1"/>
  <c r="U10" i="1"/>
  <c r="U11" i="1"/>
  <c r="Q24" i="1" s="1"/>
  <c r="R23" i="1"/>
  <c r="Q23" i="1"/>
  <c r="S14" i="1"/>
  <c r="Q12" i="1"/>
  <c r="S12" i="1"/>
  <c r="N21" i="1"/>
  <c r="N20" i="1"/>
  <c r="M20" i="1"/>
  <c r="J23" i="8" l="1"/>
  <c r="O23" i="8" s="1"/>
  <c r="T19" i="8" s="1"/>
  <c r="T20" i="8" s="1"/>
  <c r="X3" i="8"/>
  <c r="J10" i="8"/>
  <c r="L10" i="8" s="1"/>
  <c r="J8" i="8"/>
  <c r="L8" i="8" s="1"/>
  <c r="J9" i="8"/>
  <c r="L9" i="8" s="1"/>
  <c r="N24" i="7"/>
  <c r="L16" i="6"/>
  <c r="M21" i="6"/>
  <c r="N21" i="6" s="1"/>
  <c r="U6" i="6"/>
  <c r="M22" i="6"/>
  <c r="N22" i="6"/>
  <c r="F12" i="6" s="1"/>
  <c r="M54" i="5"/>
  <c r="N64" i="5" s="1"/>
  <c r="B69" i="5"/>
  <c r="U53" i="5" s="1"/>
  <c r="F25" i="5"/>
  <c r="B26" i="5"/>
  <c r="U10" i="5" s="1"/>
  <c r="N21" i="5"/>
  <c r="N21" i="4"/>
  <c r="M20" i="4"/>
  <c r="U10" i="3"/>
  <c r="E5" i="3"/>
  <c r="Q23" i="3"/>
  <c r="R23" i="3"/>
  <c r="M20" i="3"/>
  <c r="N20" i="3"/>
  <c r="N21" i="3"/>
  <c r="U10" i="2"/>
  <c r="N21" i="2"/>
  <c r="R24" i="1"/>
  <c r="V11" i="1" s="1"/>
  <c r="Q14" i="8" l="1"/>
  <c r="N21" i="8" s="1"/>
  <c r="T15" i="8"/>
  <c r="T16" i="8" s="1"/>
  <c r="T21" i="8"/>
  <c r="T22" i="8" s="1"/>
  <c r="T13" i="8"/>
  <c r="T14" i="8" s="1"/>
  <c r="T17" i="8"/>
  <c r="T18" i="8" s="1"/>
  <c r="M23" i="6"/>
  <c r="N24" i="6" s="1"/>
  <c r="V17" i="6" s="1"/>
  <c r="U8" i="6"/>
  <c r="V8" i="6"/>
  <c r="V11" i="6" s="1"/>
  <c r="V14" i="6" s="1"/>
  <c r="Y2" i="6"/>
  <c r="R23" i="4"/>
  <c r="U9" i="6" l="1"/>
  <c r="U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<sst xmlns="http://schemas.openxmlformats.org/spreadsheetml/2006/main" count="902" uniqueCount="116">
  <si>
    <t>Substancias</t>
  </si>
  <si>
    <t>Nombre</t>
  </si>
  <si>
    <t>Etanol</t>
  </si>
  <si>
    <t>Agua</t>
  </si>
  <si>
    <t>PM (g / mol)</t>
  </si>
  <si>
    <t>F</t>
  </si>
  <si>
    <t>z</t>
  </si>
  <si>
    <t>T</t>
  </si>
  <si>
    <t>kmol / h</t>
  </si>
  <si>
    <t>˚F</t>
  </si>
  <si>
    <t>R</t>
  </si>
  <si>
    <t>Liquido saturado</t>
  </si>
  <si>
    <t>Consideraciones</t>
  </si>
  <si>
    <t>Supociciones</t>
  </si>
  <si>
    <t>Super flujo molar cte.</t>
  </si>
  <si>
    <t>D</t>
  </si>
  <si>
    <t>x_D</t>
  </si>
  <si>
    <t>B</t>
  </si>
  <si>
    <t>x_B</t>
  </si>
  <si>
    <t>Datos ELV</t>
  </si>
  <si>
    <t>x</t>
  </si>
  <si>
    <t>y</t>
  </si>
  <si>
    <t>Diagrama</t>
  </si>
  <si>
    <t>Enriquecimiento</t>
  </si>
  <si>
    <t>P_1</t>
  </si>
  <si>
    <t>P_2</t>
  </si>
  <si>
    <t>x_D / (R + 1)</t>
  </si>
  <si>
    <t>Coordenadas para linea de enriquecimiento</t>
  </si>
  <si>
    <t>Alimentación</t>
  </si>
  <si>
    <t>Coordenadas para linea de alimentación</t>
  </si>
  <si>
    <t>Del diagrama de entalpia composición</t>
  </si>
  <si>
    <t>w_F</t>
  </si>
  <si>
    <t>w_D</t>
  </si>
  <si>
    <t>H (kcal / kg)</t>
  </si>
  <si>
    <t>h (kcal / kg)</t>
  </si>
  <si>
    <t>h_F (kcal / kg)</t>
  </si>
  <si>
    <t>q</t>
  </si>
  <si>
    <t>Agotamiento</t>
  </si>
  <si>
    <t>Coordenadas para linea de agotamiento</t>
  </si>
  <si>
    <t>OP</t>
  </si>
  <si>
    <t>EQ</t>
  </si>
  <si>
    <t>Benceno</t>
  </si>
  <si>
    <t>Tolueno</t>
  </si>
  <si>
    <t>mol / h</t>
  </si>
  <si>
    <t>R_min</t>
  </si>
  <si>
    <t>m_r_min</t>
  </si>
  <si>
    <t>b_r_min</t>
  </si>
  <si>
    <t>w</t>
  </si>
  <si>
    <t>Sub</t>
  </si>
  <si>
    <t>w_B</t>
  </si>
  <si>
    <t>Liq Sat.</t>
  </si>
  <si>
    <t>Liq Sat</t>
  </si>
  <si>
    <t>n-Hexano</t>
  </si>
  <si>
    <t>n-Octano</t>
  </si>
  <si>
    <t>S</t>
  </si>
  <si>
    <t>R / (R + 1)</t>
  </si>
  <si>
    <t>Fracc Etapa</t>
  </si>
  <si>
    <t>Etapas Teoricas</t>
  </si>
  <si>
    <t>L</t>
  </si>
  <si>
    <t>Fracc</t>
  </si>
  <si>
    <t>Teoricas</t>
  </si>
  <si>
    <t>Alimentación Optima</t>
  </si>
  <si>
    <t>Reflujo minimo</t>
  </si>
  <si>
    <t>NOTA: no puede ir sobre el equilibrio</t>
  </si>
  <si>
    <t>a)</t>
  </si>
  <si>
    <t>b)</t>
  </si>
  <si>
    <t>c)</t>
  </si>
  <si>
    <t>d)</t>
  </si>
  <si>
    <t>NOTA: si tiene duda de por que tantos decimales, la razon es que escribi un script en python para que calcule las etapas con respecto los puntos de equilibrio de manera automatica.</t>
  </si>
  <si>
    <t>Diagrama entalpía-composición</t>
  </si>
  <si>
    <t>Fracción molar</t>
  </si>
  <si>
    <t xml:space="preserve"> n-hexano</t>
  </si>
  <si>
    <t>Entalpía cal/gmol</t>
  </si>
  <si>
    <t xml:space="preserve">Líquido Sat. </t>
  </si>
  <si>
    <t xml:space="preserve">Vapor Sat. </t>
  </si>
  <si>
    <t>Composición</t>
  </si>
  <si>
    <t>Valor</t>
  </si>
  <si>
    <t>H</t>
  </si>
  <si>
    <t>y_1</t>
  </si>
  <si>
    <t>P_3</t>
  </si>
  <si>
    <t>P_4</t>
  </si>
  <si>
    <t>Q'</t>
  </si>
  <si>
    <t>Resultados</t>
  </si>
  <si>
    <t>Etapas</t>
  </si>
  <si>
    <t>Q''</t>
  </si>
  <si>
    <t>Etapas Eq</t>
  </si>
  <si>
    <t>Etapas Opt</t>
  </si>
  <si>
    <t>Liq Sobre Calentado</t>
  </si>
  <si>
    <t>x_D_V</t>
  </si>
  <si>
    <t>eq</t>
  </si>
  <si>
    <t>Q'_min</t>
  </si>
  <si>
    <t>Q''_min</t>
  </si>
  <si>
    <t>Etapa</t>
  </si>
  <si>
    <t>V</t>
  </si>
  <si>
    <t>x_0</t>
  </si>
  <si>
    <t>X_0</t>
  </si>
  <si>
    <t>x_N</t>
  </si>
  <si>
    <t>X_N</t>
  </si>
  <si>
    <t>y_N+1</t>
  </si>
  <si>
    <t>Y_N+1</t>
  </si>
  <si>
    <t>Datos equilibrio</t>
  </si>
  <si>
    <t>P (kPa)</t>
  </si>
  <si>
    <t>P (Torr)</t>
  </si>
  <si>
    <t>X</t>
  </si>
  <si>
    <t>Y</t>
  </si>
  <si>
    <t>Y_1</t>
  </si>
  <si>
    <t>Top</t>
  </si>
  <si>
    <t>Bottom</t>
  </si>
  <si>
    <t>Straight</t>
  </si>
  <si>
    <t>Min Line</t>
  </si>
  <si>
    <t>(L' / V')_min</t>
  </si>
  <si>
    <t>(L' / V')</t>
  </si>
  <si>
    <t>Line</t>
  </si>
  <si>
    <t>etapas</t>
  </si>
  <si>
    <t>min</t>
  </si>
  <si>
    <t>1.25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</si>
</sst>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9" xfId="0" applyFont="1" applyBorder="1"/>
    <xf numFmtId="0" fontId="0" fillId="3" borderId="9" xfId="0" applyFill="1" applyBorder="1"/>
    <xf numFmtId="0" fontId="0" fillId="2" borderId="9" xfId="0" applyFill="1" applyBorder="1"/>
    <xf numFmtId="0" fontId="2" fillId="0" borderId="9" xfId="0" applyFont="1" applyBorder="1"/>
    <xf numFmtId="0" fontId="0" fillId="2" borderId="4" xfId="0" applyFill="1" applyBorder="1" applyAlignment="1">
      <alignment horizontal="center"/>
    </xf>
    <xf numFmtId="0" fontId="0" fillId="3" borderId="0" xfId="0" applyFill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0" fillId="0" borderId="9" xfId="0" applyBorder="1"/>
    <xf numFmtId="0" fontId="0" fillId="4" borderId="9" xfId="0" applyFill="1" applyBorder="1"/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/>
    <xf numFmtId="0" fontId="0" fillId="5" borderId="0" xfId="0" applyFill="1" applyBorder="1" applyAlignment="1"/>
    <xf numFmtId="0" fontId="0" fillId="3" borderId="0" xfId="0" applyFill="1" applyBorder="1"/>
    <xf numFmtId="0" fontId="0" fillId="3" borderId="7" xfId="0" applyFill="1" applyBorder="1"/>
    <xf numFmtId="2" fontId="0" fillId="5" borderId="5" xfId="0" applyNumberFormat="1" applyFill="1" applyBorder="1"/>
    <xf numFmtId="0" fontId="0" fillId="0" borderId="2" xfId="0" applyFill="1" applyBorder="1" applyAlignment="1"/>
    <xf numFmtId="0" fontId="0" fillId="0" borderId="0" xfId="0" applyFill="1" applyBorder="1" applyAlignment="1"/>
    <xf numFmtId="0" fontId="0" fillId="5" borderId="0" xfId="0" applyFill="1"/>
    <xf numFmtId="0" fontId="0" fillId="7" borderId="0" xfId="0" applyFill="1" applyBorder="1"/>
    <xf numFmtId="0" fontId="0" fillId="8" borderId="9" xfId="0" applyFill="1" applyBorder="1"/>
    <xf numFmtId="0" fontId="0" fillId="0" borderId="9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'mccabe-thiele'!$J$3:$J$18</c:f>
              <c:numCache>
                <c:formatCode>General</c:formatCode>
                <c:ptCount val="16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0.51980000000000004</c:v>
                </c:pt>
                <c:pt idx="11">
                  <c:v>0.57320000000000004</c:v>
                </c:pt>
                <c:pt idx="12">
                  <c:v>0.67630000000000001</c:v>
                </c:pt>
                <c:pt idx="13">
                  <c:v>0.74719999999999998</c:v>
                </c:pt>
                <c:pt idx="14">
                  <c:v>0.89429999999999998</c:v>
                </c:pt>
                <c:pt idx="15">
                  <c:v>1</c:v>
                </c:pt>
              </c:numCache>
            </c:numRef>
          </c:xVal>
          <c:yVal>
            <c:numRef>
              <c:f>'mccabe-thiele'!$K$3:$K$18</c:f>
              <c:numCache>
                <c:formatCode>General</c:formatCode>
                <c:ptCount val="16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0.65990000000000004</c:v>
                </c:pt>
                <c:pt idx="11">
                  <c:v>0.68410000000000004</c:v>
                </c:pt>
                <c:pt idx="12">
                  <c:v>0.73850000000000005</c:v>
                </c:pt>
                <c:pt idx="13">
                  <c:v>0.78149999999999997</c:v>
                </c:pt>
                <c:pt idx="14">
                  <c:v>0.89429999999999998</c:v>
                </c:pt>
                <c:pt idx="1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F-A54E-B80C-DB9499041DE9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E2F-A54E-B80C-DB9499041DE9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'mccabe-thiele'!$M$20:$M$21</c:f>
              <c:numCache>
                <c:formatCode>General</c:formatCode>
                <c:ptCount val="2"/>
                <c:pt idx="0">
                  <c:v>0.8</c:v>
                </c:pt>
                <c:pt idx="1">
                  <c:v>0</c:v>
                </c:pt>
              </c:numCache>
            </c:numRef>
          </c:xVal>
          <c:yVal>
            <c:numRef>
              <c:f>'mccabe-thiele'!$N$20:$N$21</c:f>
              <c:numCache>
                <c:formatCode>General</c:formatCode>
                <c:ptCount val="2"/>
                <c:pt idx="0">
                  <c:v>0.8</c:v>
                </c:pt>
                <c:pt idx="1">
                  <c:v>0.29962546816479402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2F-A54E-B80C-DB9499041DE9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'mccabe-thiele'!$Q$23:$Q$24</c:f>
              <c:numCache>
                <c:formatCode>General</c:formatCode>
                <c:ptCount val="2"/>
                <c:pt idx="0">
                  <c:v>0.2</c:v>
                </c:pt>
                <c:pt idx="1">
                  <c:v>0.17053045186640473</c:v>
                </c:pt>
              </c:numCache>
            </c:numRef>
          </c:xVal>
          <c:yVal>
            <c:numRef>
              <c:f>'mccabe-thiele'!$R$23:$R$24</c:f>
              <c:numCache>
                <c:formatCode>General</c:formatCode>
                <c:ptCount val="2"/>
                <c:pt idx="0">
                  <c:v>0.2</c:v>
                </c:pt>
                <c:pt idx="1">
                  <c:v>0.40628683693516709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2F-A54E-B80C-DB9499041DE9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'mccabe-thiele'!$U$10:$U$11</c:f>
              <c:numCache>
                <c:formatCode>General</c:formatCode>
                <c:ptCount val="2"/>
                <c:pt idx="0">
                  <c:v>0.02</c:v>
                </c:pt>
                <c:pt idx="1">
                  <c:v>0.17053045186640473</c:v>
                </c:pt>
              </c:numCache>
            </c:numRef>
          </c:xVal>
          <c:yVal>
            <c:numRef>
              <c:f>'mccabe-thiele'!$V$10:$V$11</c:f>
              <c:numCache>
                <c:formatCode>General</c:formatCode>
                <c:ptCount val="2"/>
                <c:pt idx="0">
                  <c:v>0.02</c:v>
                </c:pt>
                <c:pt idx="1">
                  <c:v>0.40628683693516709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2F-A54E-B80C-DB9499041DE9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'mccabe-thiele'!$AH$2:$AH$30</c:f>
              <c:numCache>
                <c:formatCode>General</c:formatCode>
                <c:ptCount val="29"/>
                <c:pt idx="0">
                  <c:v>0.8</c:v>
                </c:pt>
                <c:pt idx="1">
                  <c:v>0.77132544326241148</c:v>
                </c:pt>
                <c:pt idx="2">
                  <c:v>0.77132544326241148</c:v>
                </c:pt>
                <c:pt idx="3">
                  <c:v>0.74793677489412913</c:v>
                </c:pt>
                <c:pt idx="4">
                  <c:v>0.74793677489412913</c:v>
                </c:pt>
                <c:pt idx="5">
                  <c:v>0.72401093509092906</c:v>
                </c:pt>
                <c:pt idx="6">
                  <c:v>0.72401093509092906</c:v>
                </c:pt>
                <c:pt idx="7">
                  <c:v>0.69933633174437126</c:v>
                </c:pt>
                <c:pt idx="8">
                  <c:v>0.69933633174437126</c:v>
                </c:pt>
                <c:pt idx="9">
                  <c:v>0.6735293394108739</c:v>
                </c:pt>
                <c:pt idx="10">
                  <c:v>0.6735293394108739</c:v>
                </c:pt>
                <c:pt idx="11">
                  <c:v>0.64293772700309826</c:v>
                </c:pt>
                <c:pt idx="12">
                  <c:v>0.64293772700309826</c:v>
                </c:pt>
                <c:pt idx="13">
                  <c:v>0.60667442527409987</c:v>
                </c:pt>
                <c:pt idx="14">
                  <c:v>0.60667442527409987</c:v>
                </c:pt>
                <c:pt idx="15">
                  <c:v>0.56212503322954277</c:v>
                </c:pt>
                <c:pt idx="16">
                  <c:v>0.56212503322954277</c:v>
                </c:pt>
                <c:pt idx="17">
                  <c:v>0.49735469827282247</c:v>
                </c:pt>
                <c:pt idx="18">
                  <c:v>0.49735469827282247</c:v>
                </c:pt>
                <c:pt idx="19">
                  <c:v>0.39300492903128431</c:v>
                </c:pt>
                <c:pt idx="20">
                  <c:v>0.39300492903128431</c:v>
                </c:pt>
                <c:pt idx="21">
                  <c:v>0.23558202450184026</c:v>
                </c:pt>
                <c:pt idx="22">
                  <c:v>0.23558202450184026</c:v>
                </c:pt>
                <c:pt idx="23">
                  <c:v>0.10443304168768816</c:v>
                </c:pt>
                <c:pt idx="24">
                  <c:v>0.10443304168768816</c:v>
                </c:pt>
                <c:pt idx="25">
                  <c:v>0.10443304168768816</c:v>
                </c:pt>
                <c:pt idx="26">
                  <c:v>3.5157716539972274E-2</c:v>
                </c:pt>
                <c:pt idx="27">
                  <c:v>3.5157716539972274E-2</c:v>
                </c:pt>
                <c:pt idx="28">
                  <c:v>6.5826380990754701E-3</c:v>
                </c:pt>
              </c:numCache>
            </c:numRef>
          </c:xVal>
          <c:yVal>
            <c:numRef>
              <c:f>'mccabe-thiele'!$AI$2:$AI$30</c:f>
              <c:numCache>
                <c:formatCode>General</c:formatCode>
                <c:ptCount val="29"/>
                <c:pt idx="0">
                  <c:v>0.8</c:v>
                </c:pt>
                <c:pt idx="1">
                  <c:v>0.8</c:v>
                </c:pt>
                <c:pt idx="2">
                  <c:v>0.78206497762105887</c:v>
                </c:pt>
                <c:pt idx="3">
                  <c:v>0.78206497762105887</c:v>
                </c:pt>
                <c:pt idx="4">
                  <c:v>0.76743611013977364</c:v>
                </c:pt>
                <c:pt idx="5">
                  <c:v>0.76743611013977364</c:v>
                </c:pt>
                <c:pt idx="6">
                  <c:v>0.7524712590269107</c:v>
                </c:pt>
                <c:pt idx="7">
                  <c:v>0.7524712590269107</c:v>
                </c:pt>
                <c:pt idx="8">
                  <c:v>0.73703808015471917</c:v>
                </c:pt>
                <c:pt idx="9">
                  <c:v>0.73703808015471917</c:v>
                </c:pt>
                <c:pt idx="10">
                  <c:v>0.72089662802103349</c:v>
                </c:pt>
                <c:pt idx="11">
                  <c:v>0.72089662802103349</c:v>
                </c:pt>
                <c:pt idx="12">
                  <c:v>0.70176254835025254</c:v>
                </c:pt>
                <c:pt idx="13">
                  <c:v>0.70176254835025254</c:v>
                </c:pt>
                <c:pt idx="14">
                  <c:v>0.67908100756844447</c:v>
                </c:pt>
                <c:pt idx="15">
                  <c:v>0.67908100756844447</c:v>
                </c:pt>
                <c:pt idx="16">
                  <c:v>0.65121678108364667</c:v>
                </c:pt>
                <c:pt idx="17">
                  <c:v>0.65121678108364667</c:v>
                </c:pt>
                <c:pt idx="18">
                  <c:v>0.61070499854517357</c:v>
                </c:pt>
                <c:pt idx="19">
                  <c:v>0.61070499854517357</c:v>
                </c:pt>
                <c:pt idx="20">
                  <c:v>0.54543753988099053</c:v>
                </c:pt>
                <c:pt idx="21">
                  <c:v>0.54543753988099053</c:v>
                </c:pt>
                <c:pt idx="22">
                  <c:v>0.44697452468841692</c:v>
                </c:pt>
                <c:pt idx="23">
                  <c:v>0.44697452468841692</c:v>
                </c:pt>
                <c:pt idx="24">
                  <c:v>0.44697452468841692</c:v>
                </c:pt>
                <c:pt idx="25">
                  <c:v>0.23666959875532817</c:v>
                </c:pt>
                <c:pt idx="26">
                  <c:v>0.23666959875532817</c:v>
                </c:pt>
                <c:pt idx="27">
                  <c:v>5.8897288254885785E-2</c:v>
                </c:pt>
                <c:pt idx="28">
                  <c:v>5.8897288254885785E-2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E2F-A54E-B80C-DB949904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'240121'!$J$3:$J$18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'240121'!$K$3:$K$18</c:f>
              <c:numCache>
                <c:formatCode>General</c:formatCode>
                <c:ptCount val="16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C-5D4E-9EF6-18F2D24902A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E7C-5D4E-9EF6-18F2D24902A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'240121'!$M$20:$M$21</c:f>
              <c:numCache>
                <c:formatCode>General</c:formatCode>
                <c:ptCount val="2"/>
                <c:pt idx="0">
                  <c:v>0.96</c:v>
                </c:pt>
                <c:pt idx="1">
                  <c:v>0</c:v>
                </c:pt>
              </c:numCache>
            </c:numRef>
          </c:xVal>
          <c:yVal>
            <c:numRef>
              <c:f>'240121'!$N$20:$N$21</c:f>
              <c:numCache>
                <c:formatCode>General</c:formatCode>
                <c:ptCount val="2"/>
                <c:pt idx="0">
                  <c:v>0.96</c:v>
                </c:pt>
                <c:pt idx="1">
                  <c:v>0.30171428571428571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7C-5D4E-9EF6-18F2D24902A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'240121'!$Q$23:$Q$24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'240121'!$R$23:$R$24</c:f>
              <c:numCache>
                <c:formatCode>General</c:formatCode>
                <c:ptCount val="2"/>
                <c:pt idx="0">
                  <c:v>0.5</c:v>
                </c:pt>
                <c:pt idx="1">
                  <c:v>0.64457142857142857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7C-5D4E-9EF6-18F2D24902A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'240121'!$U$10:$U$11</c:f>
              <c:numCache>
                <c:formatCode>General</c:formatCode>
                <c:ptCount val="2"/>
                <c:pt idx="0">
                  <c:v>0.16729726614346113</c:v>
                </c:pt>
                <c:pt idx="1">
                  <c:v>0.5</c:v>
                </c:pt>
              </c:numCache>
            </c:numRef>
          </c:xVal>
          <c:yVal>
            <c:numRef>
              <c:f>'240121'!$V$10:$V$11</c:f>
              <c:numCache>
                <c:formatCode>General</c:formatCode>
                <c:ptCount val="2"/>
                <c:pt idx="0">
                  <c:v>0.16729726614346113</c:v>
                </c:pt>
                <c:pt idx="1">
                  <c:v>0.64457142857142857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7C-5D4E-9EF6-18F2D24902A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'240121'!$AH$2:$AH$30</c:f>
              <c:numCache>
                <c:formatCode>General</c:formatCode>
                <c:ptCount val="29"/>
                <c:pt idx="0">
                  <c:v>0.96</c:v>
                </c:pt>
                <c:pt idx="1">
                  <c:v>0.9</c:v>
                </c:pt>
                <c:pt idx="2">
                  <c:v>0.9</c:v>
                </c:pt>
                <c:pt idx="3">
                  <c:v>0.81771428571428584</c:v>
                </c:pt>
                <c:pt idx="4">
                  <c:v>0.81771428571428584</c:v>
                </c:pt>
                <c:pt idx="5">
                  <c:v>0.70486530612244924</c:v>
                </c:pt>
                <c:pt idx="6">
                  <c:v>0.70486530612244924</c:v>
                </c:pt>
                <c:pt idx="7">
                  <c:v>0.59292927946688889</c:v>
                </c:pt>
                <c:pt idx="8">
                  <c:v>0.59292927946688889</c:v>
                </c:pt>
                <c:pt idx="9">
                  <c:v>0.48327766151858509</c:v>
                </c:pt>
                <c:pt idx="10">
                  <c:v>0.48327766151858509</c:v>
                </c:pt>
                <c:pt idx="11">
                  <c:v>0.48327766151858509</c:v>
                </c:pt>
                <c:pt idx="12">
                  <c:v>0.37898757223453761</c:v>
                </c:pt>
                <c:pt idx="13">
                  <c:v>0.37898757223453761</c:v>
                </c:pt>
                <c:pt idx="14">
                  <c:v>0.27212465784018325</c:v>
                </c:pt>
                <c:pt idx="15">
                  <c:v>0.27212465784018325</c:v>
                </c:pt>
                <c:pt idx="16">
                  <c:v>0.16729726614346113</c:v>
                </c:pt>
                <c:pt idx="17">
                  <c:v>0.16729726614346113</c:v>
                </c:pt>
              </c:numCache>
            </c:numRef>
          </c:xVal>
          <c:yVal>
            <c:numRef>
              <c:f>'240121'!$AI$2:$AI$30</c:f>
              <c:numCache>
                <c:formatCode>General</c:formatCode>
                <c:ptCount val="29"/>
                <c:pt idx="0">
                  <c:v>0.96</c:v>
                </c:pt>
                <c:pt idx="1">
                  <c:v>0.96</c:v>
                </c:pt>
                <c:pt idx="2">
                  <c:v>0.91885714285714293</c:v>
                </c:pt>
                <c:pt idx="3">
                  <c:v>0.91885714285714293</c:v>
                </c:pt>
                <c:pt idx="4">
                  <c:v>0.86243265306122463</c:v>
                </c:pt>
                <c:pt idx="5">
                  <c:v>0.86243265306122463</c:v>
                </c:pt>
                <c:pt idx="6">
                  <c:v>0.78505049562682228</c:v>
                </c:pt>
                <c:pt idx="7">
                  <c:v>0.78505049562682228</c:v>
                </c:pt>
                <c:pt idx="8">
                  <c:v>0.70829436306300952</c:v>
                </c:pt>
                <c:pt idx="9">
                  <c:v>0.70829436306300952</c:v>
                </c:pt>
                <c:pt idx="10">
                  <c:v>0.70829436306300952</c:v>
                </c:pt>
                <c:pt idx="11">
                  <c:v>0.62058260112835262</c:v>
                </c:pt>
                <c:pt idx="12">
                  <c:v>0.62058260112835262</c:v>
                </c:pt>
                <c:pt idx="13">
                  <c:v>0.47097452097625658</c:v>
                </c:pt>
                <c:pt idx="14">
                  <c:v>0.47097452097625658</c:v>
                </c:pt>
                <c:pt idx="15">
                  <c:v>0.31767562582953779</c:v>
                </c:pt>
                <c:pt idx="16">
                  <c:v>0.31767562582953779</c:v>
                </c:pt>
                <c:pt idx="17">
                  <c:v>0.16729676503113894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7C-5D4E-9EF6-18F2D2490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'240121'!$J$33:$J$44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'240121'!$K$33:$K$44</c:f>
              <c:numCache>
                <c:formatCode>General</c:formatCode>
                <c:ptCount val="12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5-644B-8E54-37A5BA23199D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B45-644B-8E54-37A5BA23199D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'240121'!$M$50:$M$51</c:f>
              <c:numCache>
                <c:formatCode>General</c:formatCode>
                <c:ptCount val="2"/>
                <c:pt idx="0">
                  <c:v>0.96</c:v>
                </c:pt>
                <c:pt idx="1">
                  <c:v>0</c:v>
                </c:pt>
              </c:numCache>
            </c:numRef>
          </c:xVal>
          <c:yVal>
            <c:numRef>
              <c:f>'240121'!$N$50:$N$51</c:f>
              <c:numCache>
                <c:formatCode>General</c:formatCode>
                <c:ptCount val="2"/>
                <c:pt idx="0">
                  <c:v>0.96</c:v>
                </c:pt>
                <c:pt idx="1">
                  <c:v>0.45913043478260868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45-644B-8E54-37A5BA23199D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'240121'!$Q$53:$Q$54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'240121'!$R$53:$R$54</c:f>
              <c:numCache>
                <c:formatCode>General</c:formatCode>
                <c:ptCount val="2"/>
                <c:pt idx="0">
                  <c:v>0.5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45-644B-8E54-37A5BA23199D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'240121'!$U$40:$U$41</c:f>
              <c:numCache>
                <c:formatCode>General</c:formatCode>
                <c:ptCount val="2"/>
              </c:numCache>
            </c:numRef>
          </c:xVal>
          <c:yVal>
            <c:numRef>
              <c:f>'240121'!$V$40:$V$41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45-644B-8E54-37A5BA23199D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'240121'!$AH$32:$AH$59</c:f>
              <c:numCache>
                <c:formatCode>General</c:formatCode>
                <c:ptCount val="28"/>
              </c:numCache>
            </c:numRef>
          </c:xVal>
          <c:yVal>
            <c:numRef>
              <c:f>'240121'!$AI$32:$AI$59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45-644B-8E54-37A5BA231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'713'!$J$3:$J$18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'713'!$K$3:$K$18</c:f>
              <c:numCache>
                <c:formatCode>General</c:formatCode>
                <c:ptCount val="16"/>
                <c:pt idx="0">
                  <c:v>0</c:v>
                </c:pt>
                <c:pt idx="1">
                  <c:v>0.21</c:v>
                </c:pt>
                <c:pt idx="2">
                  <c:v>0.37</c:v>
                </c:pt>
                <c:pt idx="3">
                  <c:v>0.51</c:v>
                </c:pt>
                <c:pt idx="4">
                  <c:v>0.65</c:v>
                </c:pt>
                <c:pt idx="5">
                  <c:v>0.72</c:v>
                </c:pt>
                <c:pt idx="6">
                  <c:v>0.79</c:v>
                </c:pt>
                <c:pt idx="7">
                  <c:v>0.86</c:v>
                </c:pt>
                <c:pt idx="8">
                  <c:v>0.91</c:v>
                </c:pt>
                <c:pt idx="9">
                  <c:v>0.96</c:v>
                </c:pt>
                <c:pt idx="10">
                  <c:v>0.98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CA-9D40-9BBC-313ED3060BCD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8CA-9D40-9BBC-313ED3060BCD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'713'!$M$20:$M$21</c:f>
              <c:numCache>
                <c:formatCode>General</c:formatCode>
                <c:ptCount val="2"/>
                <c:pt idx="0">
                  <c:v>0.97445134110561482</c:v>
                </c:pt>
                <c:pt idx="1">
                  <c:v>0</c:v>
                </c:pt>
              </c:numCache>
            </c:numRef>
          </c:xVal>
          <c:yVal>
            <c:numRef>
              <c:f>'713'!$N$20:$N$21</c:f>
              <c:numCache>
                <c:formatCode>General</c:formatCode>
                <c:ptCount val="2"/>
                <c:pt idx="0">
                  <c:v>0.97445134110561482</c:v>
                </c:pt>
                <c:pt idx="1">
                  <c:v>0.21654474246791441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CA-9D40-9BBC-313ED3060BCD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'713'!$Q$23:$Q$24</c:f>
              <c:numCache>
                <c:formatCode>General</c:formatCode>
                <c:ptCount val="2"/>
                <c:pt idx="0">
                  <c:v>0.44021881942619628</c:v>
                </c:pt>
                <c:pt idx="1">
                  <c:v>0.44021881942619628</c:v>
                </c:pt>
              </c:numCache>
            </c:numRef>
          </c:xVal>
          <c:yVal>
            <c:numRef>
              <c:f>'713'!$R$23:$R$24</c:f>
              <c:numCache>
                <c:formatCode>General</c:formatCode>
                <c:ptCount val="2"/>
                <c:pt idx="0">
                  <c:v>0.44021881942619628</c:v>
                </c:pt>
                <c:pt idx="1">
                  <c:v>0.67800000000000005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CA-9D40-9BBC-313ED3060BCD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'713'!$U$10:$U$11</c:f>
              <c:numCache>
                <c:formatCode>General</c:formatCode>
                <c:ptCount val="2"/>
                <c:pt idx="0">
                  <c:v>2.3507920592520042E-2</c:v>
                </c:pt>
                <c:pt idx="1">
                  <c:v>0.44021881942619628</c:v>
                </c:pt>
              </c:numCache>
            </c:numRef>
          </c:xVal>
          <c:yVal>
            <c:numRef>
              <c:f>'713'!$V$10:$V$11</c:f>
              <c:numCache>
                <c:formatCode>General</c:formatCode>
                <c:ptCount val="2"/>
                <c:pt idx="0">
                  <c:v>2.3507920592520042E-2</c:v>
                </c:pt>
                <c:pt idx="1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CA-9D40-9BBC-313ED3060BCD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'713'!$AH$2:$AH$30</c:f>
              <c:numCache>
                <c:formatCode>General</c:formatCode>
                <c:ptCount val="29"/>
                <c:pt idx="0">
                  <c:v>0.97445134110561482</c:v>
                </c:pt>
                <c:pt idx="1">
                  <c:v>0.93410000000000004</c:v>
                </c:pt>
                <c:pt idx="2">
                  <c:v>0.93410000000000004</c:v>
                </c:pt>
                <c:pt idx="3">
                  <c:v>0.87119999999999997</c:v>
                </c:pt>
                <c:pt idx="4">
                  <c:v>0.87119999999999997</c:v>
                </c:pt>
                <c:pt idx="5">
                  <c:v>0.76800000000000002</c:v>
                </c:pt>
                <c:pt idx="6">
                  <c:v>0.76800000000000002</c:v>
                </c:pt>
                <c:pt idx="7">
                  <c:v>0.63500000000000001</c:v>
                </c:pt>
                <c:pt idx="8">
                  <c:v>0.63500000000000001</c:v>
                </c:pt>
                <c:pt idx="9">
                  <c:v>0.48699999999999999</c:v>
                </c:pt>
                <c:pt idx="10">
                  <c:v>0.48699999999999999</c:v>
                </c:pt>
                <c:pt idx="11">
                  <c:v>0.36199999999999999</c:v>
                </c:pt>
                <c:pt idx="12">
                  <c:v>0.36199999999999999</c:v>
                </c:pt>
                <c:pt idx="13">
                  <c:v>0.26300000000000001</c:v>
                </c:pt>
                <c:pt idx="14">
                  <c:v>0.26300000000000001</c:v>
                </c:pt>
                <c:pt idx="15">
                  <c:v>0.17699999999999999</c:v>
                </c:pt>
                <c:pt idx="16">
                  <c:v>0.17699999999999999</c:v>
                </c:pt>
                <c:pt idx="17">
                  <c:v>0.109</c:v>
                </c:pt>
                <c:pt idx="18">
                  <c:v>0.109</c:v>
                </c:pt>
                <c:pt idx="19">
                  <c:v>6.4000000000000001E-2</c:v>
                </c:pt>
                <c:pt idx="20">
                  <c:v>6.4000000000000001E-2</c:v>
                </c:pt>
                <c:pt idx="21">
                  <c:v>3.6999999999999998E-2</c:v>
                </c:pt>
                <c:pt idx="22">
                  <c:v>3.6999999999999998E-2</c:v>
                </c:pt>
                <c:pt idx="23">
                  <c:v>1.9E-2</c:v>
                </c:pt>
              </c:numCache>
            </c:numRef>
          </c:xVal>
          <c:yVal>
            <c:numRef>
              <c:f>'713'!$AI$2:$AI$30</c:f>
              <c:numCache>
                <c:formatCode>General</c:formatCode>
                <c:ptCount val="29"/>
                <c:pt idx="0">
                  <c:v>0.97445134110561482</c:v>
                </c:pt>
                <c:pt idx="1">
                  <c:v>0.97445134110561482</c:v>
                </c:pt>
                <c:pt idx="2">
                  <c:v>0.94520000000000004</c:v>
                </c:pt>
                <c:pt idx="3">
                  <c:v>0.94520000000000004</c:v>
                </c:pt>
                <c:pt idx="4">
                  <c:v>0.89490000000000003</c:v>
                </c:pt>
                <c:pt idx="5">
                  <c:v>0.89490000000000003</c:v>
                </c:pt>
                <c:pt idx="6">
                  <c:v>0.81499999999999995</c:v>
                </c:pt>
                <c:pt idx="7">
                  <c:v>0.81499999999999995</c:v>
                </c:pt>
                <c:pt idx="8">
                  <c:v>0.71199999999999997</c:v>
                </c:pt>
                <c:pt idx="9">
                  <c:v>0.71199999999999997</c:v>
                </c:pt>
                <c:pt idx="10">
                  <c:v>0.59609999999999996</c:v>
                </c:pt>
                <c:pt idx="11">
                  <c:v>0.59609999999999996</c:v>
                </c:pt>
                <c:pt idx="12">
                  <c:v>0.45800000000000002</c:v>
                </c:pt>
                <c:pt idx="13">
                  <c:v>0.45800000000000002</c:v>
                </c:pt>
                <c:pt idx="14">
                  <c:v>0.33500000000000002</c:v>
                </c:pt>
                <c:pt idx="15">
                  <c:v>0.33500000000000002</c:v>
                </c:pt>
                <c:pt idx="16">
                  <c:v>0.223</c:v>
                </c:pt>
                <c:pt idx="17">
                  <c:v>0.223</c:v>
                </c:pt>
                <c:pt idx="18">
                  <c:v>0.13500000000000001</c:v>
                </c:pt>
                <c:pt idx="19">
                  <c:v>0.13500000000000001</c:v>
                </c:pt>
                <c:pt idx="20">
                  <c:v>7.6999999999999999E-2</c:v>
                </c:pt>
                <c:pt idx="21">
                  <c:v>7.6999999999999999E-2</c:v>
                </c:pt>
                <c:pt idx="22">
                  <c:v>4.1000000000000002E-2</c:v>
                </c:pt>
                <c:pt idx="23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CA-9D40-9BBC-313ED306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'Vapor Vivo'!$J$3:$J$29</c:f>
              <c:numCache>
                <c:formatCode>General</c:formatCode>
                <c:ptCount val="27"/>
                <c:pt idx="0">
                  <c:v>0</c:v>
                </c:pt>
                <c:pt idx="1">
                  <c:v>4.3499999999999997E-2</c:v>
                </c:pt>
                <c:pt idx="2">
                  <c:v>8.72E-2</c:v>
                </c:pt>
                <c:pt idx="3">
                  <c:v>0.12479999999999999</c:v>
                </c:pt>
                <c:pt idx="4">
                  <c:v>0.219</c:v>
                </c:pt>
                <c:pt idx="5">
                  <c:v>0.27500000000000002</c:v>
                </c:pt>
                <c:pt idx="6">
                  <c:v>0.40799999999999997</c:v>
                </c:pt>
                <c:pt idx="7">
                  <c:v>0.48</c:v>
                </c:pt>
                <c:pt idx="8">
                  <c:v>0.58979999999999999</c:v>
                </c:pt>
                <c:pt idx="9">
                  <c:v>0.6512</c:v>
                </c:pt>
                <c:pt idx="10">
                  <c:v>0.74</c:v>
                </c:pt>
                <c:pt idx="11">
                  <c:v>0.80120000000000002</c:v>
                </c:pt>
                <c:pt idx="12">
                  <c:v>0.88400000000000001</c:v>
                </c:pt>
                <c:pt idx="13">
                  <c:v>0.93940000000000001</c:v>
                </c:pt>
                <c:pt idx="14">
                  <c:v>0.97699999999999998</c:v>
                </c:pt>
                <c:pt idx="15">
                  <c:v>0.99099999999999999</c:v>
                </c:pt>
                <c:pt idx="16">
                  <c:v>0.99729999999999996</c:v>
                </c:pt>
                <c:pt idx="17">
                  <c:v>1</c:v>
                </c:pt>
              </c:numCache>
            </c:numRef>
          </c:xVal>
          <c:yVal>
            <c:numRef>
              <c:f>'Vapor Vivo'!$K$3:$K$20</c:f>
              <c:numCache>
                <c:formatCode>General</c:formatCode>
                <c:ptCount val="18"/>
                <c:pt idx="0">
                  <c:v>0</c:v>
                </c:pt>
                <c:pt idx="1">
                  <c:v>0.34100000000000003</c:v>
                </c:pt>
                <c:pt idx="2">
                  <c:v>0.51200000000000001</c:v>
                </c:pt>
                <c:pt idx="3">
                  <c:v>0.625</c:v>
                </c:pt>
                <c:pt idx="4">
                  <c:v>0.78500000000000003</c:v>
                </c:pt>
                <c:pt idx="5">
                  <c:v>0.80700000000000005</c:v>
                </c:pt>
                <c:pt idx="6">
                  <c:v>0.87250000000000005</c:v>
                </c:pt>
                <c:pt idx="7">
                  <c:v>0.8901</c:v>
                </c:pt>
                <c:pt idx="8">
                  <c:v>0.91590000000000005</c:v>
                </c:pt>
                <c:pt idx="9">
                  <c:v>0.92600000000000005</c:v>
                </c:pt>
                <c:pt idx="10">
                  <c:v>0.94630000000000003</c:v>
                </c:pt>
                <c:pt idx="11">
                  <c:v>0.95450000000000002</c:v>
                </c:pt>
                <c:pt idx="12">
                  <c:v>0.97499999999999998</c:v>
                </c:pt>
                <c:pt idx="13">
                  <c:v>0.98609999999999998</c:v>
                </c:pt>
                <c:pt idx="14">
                  <c:v>0.99480000000000002</c:v>
                </c:pt>
                <c:pt idx="15">
                  <c:v>0.998</c:v>
                </c:pt>
                <c:pt idx="16">
                  <c:v>0.99929999999999997</c:v>
                </c:pt>
                <c:pt idx="1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2-714F-B8B3-B086954609F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E12-714F-B8B3-B086954609F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'Vapor Vivo'!$M$20:$M$21</c:f>
              <c:numCache>
                <c:formatCode>General</c:formatCode>
                <c:ptCount val="2"/>
                <c:pt idx="0">
                  <c:v>0.95</c:v>
                </c:pt>
                <c:pt idx="1">
                  <c:v>0</c:v>
                </c:pt>
              </c:numCache>
            </c:numRef>
          </c:xVal>
          <c:yVal>
            <c:numRef>
              <c:f>'Vapor Vivo'!$N$20:$N$21</c:f>
              <c:numCache>
                <c:formatCode>General</c:formatCode>
                <c:ptCount val="2"/>
                <c:pt idx="0">
                  <c:v>0.95</c:v>
                </c:pt>
                <c:pt idx="1">
                  <c:v>0.6333333333333333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12-714F-B8B3-B086954609F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'Vapor Vivo'!$Q$23:$Q$24</c:f>
              <c:numCache>
                <c:formatCode>General</c:formatCode>
                <c:ptCount val="2"/>
                <c:pt idx="0">
                  <c:v>0.4</c:v>
                </c:pt>
                <c:pt idx="1">
                  <c:v>0.4</c:v>
                </c:pt>
              </c:numCache>
            </c:numRef>
          </c:xVal>
          <c:yVal>
            <c:numRef>
              <c:f>'Vapor Vivo'!$R$23:$R$24</c:f>
              <c:numCache>
                <c:formatCode>General</c:formatCode>
                <c:ptCount val="2"/>
                <c:pt idx="0">
                  <c:v>0.4</c:v>
                </c:pt>
                <c:pt idx="1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12-714F-B8B3-B086954609F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'Vapor Vivo'!$U$10:$U$11</c:f>
              <c:numCache>
                <c:formatCode>General</c:formatCode>
                <c:ptCount val="2"/>
                <c:pt idx="0">
                  <c:v>0.05</c:v>
                </c:pt>
                <c:pt idx="1">
                  <c:v>0.4</c:v>
                </c:pt>
              </c:numCache>
            </c:numRef>
          </c:xVal>
          <c:yVal>
            <c:numRef>
              <c:f>'Vapor Vivo'!$V$10:$V$11</c:f>
              <c:numCache>
                <c:formatCode>General</c:formatCode>
                <c:ptCount val="2"/>
                <c:pt idx="0">
                  <c:v>0</c:v>
                </c:pt>
                <c:pt idx="1">
                  <c:v>0.76700000000000002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12-714F-B8B3-B086954609F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'Vapor Vivo'!$AH$2:$AH$30</c:f>
              <c:numCache>
                <c:formatCode>General</c:formatCode>
                <c:ptCount val="29"/>
                <c:pt idx="0">
                  <c:v>0.95</c:v>
                </c:pt>
                <c:pt idx="1">
                  <c:v>0.76900000000000002</c:v>
                </c:pt>
                <c:pt idx="2">
                  <c:v>0.76900000000000002</c:v>
                </c:pt>
                <c:pt idx="3">
                  <c:v>0.48</c:v>
                </c:pt>
                <c:pt idx="4">
                  <c:v>0.48</c:v>
                </c:pt>
                <c:pt idx="5">
                  <c:v>0.24399999999999999</c:v>
                </c:pt>
                <c:pt idx="6">
                  <c:v>0.24399999999999999</c:v>
                </c:pt>
                <c:pt idx="7">
                  <c:v>6.6000000000000003E-2</c:v>
                </c:pt>
                <c:pt idx="8">
                  <c:v>6.6000000000000003E-2</c:v>
                </c:pt>
                <c:pt idx="9">
                  <c:v>5.0000000000000001E-3</c:v>
                </c:pt>
              </c:numCache>
            </c:numRef>
          </c:xVal>
          <c:yVal>
            <c:numRef>
              <c:f>'Vapor Vivo'!$AI$2:$AI$30</c:f>
              <c:numCache>
                <c:formatCode>General</c:formatCode>
                <c:ptCount val="29"/>
                <c:pt idx="0">
                  <c:v>0.95</c:v>
                </c:pt>
                <c:pt idx="1">
                  <c:v>0.95</c:v>
                </c:pt>
                <c:pt idx="2">
                  <c:v>0.89</c:v>
                </c:pt>
                <c:pt idx="3">
                  <c:v>0.89</c:v>
                </c:pt>
                <c:pt idx="4">
                  <c:v>0.79400000000000004</c:v>
                </c:pt>
                <c:pt idx="5">
                  <c:v>0.79400000000000004</c:v>
                </c:pt>
                <c:pt idx="6">
                  <c:v>0.42599999999999999</c:v>
                </c:pt>
                <c:pt idx="7">
                  <c:v>0.42599999999999999</c:v>
                </c:pt>
                <c:pt idx="8">
                  <c:v>3.7999999999999999E-2</c:v>
                </c:pt>
                <c:pt idx="9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12-714F-B8B3-B08695460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'732'!$J$3:$J$29</c:f>
              <c:numCache>
                <c:formatCode>General</c:formatCode>
                <c:ptCount val="27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0.50790000000000002</c:v>
                </c:pt>
                <c:pt idx="11">
                  <c:v>0.51980000000000004</c:v>
                </c:pt>
                <c:pt idx="12">
                  <c:v>0.57320000000000004</c:v>
                </c:pt>
                <c:pt idx="13">
                  <c:v>0.67630000000000001</c:v>
                </c:pt>
                <c:pt idx="14">
                  <c:v>0.74719999999999998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xVal>
          <c:yVal>
            <c:numRef>
              <c:f>'732'!$K$3:$K$29</c:f>
              <c:numCache>
                <c:formatCode>General</c:formatCode>
                <c:ptCount val="27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0.65639999999999998</c:v>
                </c:pt>
                <c:pt idx="11">
                  <c:v>0.65990000000000004</c:v>
                </c:pt>
                <c:pt idx="12">
                  <c:v>0.68410000000000004</c:v>
                </c:pt>
                <c:pt idx="13">
                  <c:v>0.73850000000000005</c:v>
                </c:pt>
                <c:pt idx="14">
                  <c:v>0.78149999999999997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2C-CF44-ABB9-8B0F0C6E3173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C2C-CF44-ABB9-8B0F0C6E3173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'732'!$M$20:$M$21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'732'!$N$20:$N$21</c:f>
              <c:numCache>
                <c:formatCode>General</c:formatCode>
                <c:ptCount val="2"/>
                <c:pt idx="0">
                  <c:v>0.85</c:v>
                </c:pt>
                <c:pt idx="1">
                  <c:v>0.21249999999999999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2C-CF44-ABB9-8B0F0C6E3173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'732'!$Q$23:$Q$24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xVal>
          <c:yVal>
            <c:numRef>
              <c:f>'732'!$R$23:$R$24</c:f>
              <c:numCache>
                <c:formatCode>General</c:formatCode>
                <c:ptCount val="2"/>
                <c:pt idx="0">
                  <c:v>0.12</c:v>
                </c:pt>
                <c:pt idx="1">
                  <c:v>0.30399999999999999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2C-CF44-ABB9-8B0F0C6E3173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'732'!$U$10:$U$11</c:f>
              <c:numCache>
                <c:formatCode>General</c:formatCode>
                <c:ptCount val="2"/>
                <c:pt idx="0">
                  <c:v>8.6882453151618348E-3</c:v>
                </c:pt>
                <c:pt idx="1">
                  <c:v>0.12</c:v>
                </c:pt>
              </c:numCache>
            </c:numRef>
          </c:xVal>
          <c:yVal>
            <c:numRef>
              <c:f>'732'!$V$10:$V$11</c:f>
              <c:numCache>
                <c:formatCode>General</c:formatCode>
                <c:ptCount val="2"/>
                <c:pt idx="0">
                  <c:v>0</c:v>
                </c:pt>
                <c:pt idx="1">
                  <c:v>0.30399999999999999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2C-CF44-ABB9-8B0F0C6E3173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'732'!$AH$2:$AH$42</c:f>
              <c:numCache>
                <c:formatCode>General</c:formatCode>
                <c:ptCount val="41"/>
                <c:pt idx="0">
                  <c:v>0.85</c:v>
                </c:pt>
                <c:pt idx="1">
                  <c:v>0.83652934397163126</c:v>
                </c:pt>
                <c:pt idx="2">
                  <c:v>0.83652934397163126</c:v>
                </c:pt>
                <c:pt idx="3">
                  <c:v>0.82335425419920416</c:v>
                </c:pt>
                <c:pt idx="4">
                  <c:v>0.82335425419920416</c:v>
                </c:pt>
                <c:pt idx="5">
                  <c:v>0.81046824551885832</c:v>
                </c:pt>
                <c:pt idx="6">
                  <c:v>0.81046824551885832</c:v>
                </c:pt>
                <c:pt idx="7">
                  <c:v>0.79786497506088705</c:v>
                </c:pt>
                <c:pt idx="8">
                  <c:v>0.79786497506088705</c:v>
                </c:pt>
                <c:pt idx="9">
                  <c:v>0.78553823912759202</c:v>
                </c:pt>
                <c:pt idx="10">
                  <c:v>0.78553823912759202</c:v>
                </c:pt>
                <c:pt idx="11">
                  <c:v>0.77348197013964182</c:v>
                </c:pt>
                <c:pt idx="12">
                  <c:v>0.77348197013964182</c:v>
                </c:pt>
                <c:pt idx="13">
                  <c:v>0.76169023364943256</c:v>
                </c:pt>
                <c:pt idx="14">
                  <c:v>0.76169023364943256</c:v>
                </c:pt>
                <c:pt idx="15">
                  <c:v>0.75015722541997931</c:v>
                </c:pt>
                <c:pt idx="16">
                  <c:v>0.75015722541997931</c:v>
                </c:pt>
                <c:pt idx="17">
                  <c:v>0.73667698748156751</c:v>
                </c:pt>
                <c:pt idx="18">
                  <c:v>0.73667698748156751</c:v>
                </c:pt>
                <c:pt idx="19">
                  <c:v>0.72000694905424067</c:v>
                </c:pt>
                <c:pt idx="20">
                  <c:v>0.72000694905424067</c:v>
                </c:pt>
                <c:pt idx="21">
                  <c:v>0.69939231432463367</c:v>
                </c:pt>
                <c:pt idx="22">
                  <c:v>0.69939231432463367</c:v>
                </c:pt>
                <c:pt idx="23">
                  <c:v>0.67354100560941732</c:v>
                </c:pt>
                <c:pt idx="24">
                  <c:v>0.67354100560941732</c:v>
                </c:pt>
                <c:pt idx="25">
                  <c:v>0.63679555622698891</c:v>
                </c:pt>
                <c:pt idx="26">
                  <c:v>0.63679555622698891</c:v>
                </c:pt>
                <c:pt idx="27">
                  <c:v>0.58456500708183656</c:v>
                </c:pt>
                <c:pt idx="28">
                  <c:v>0.58456500708183656</c:v>
                </c:pt>
                <c:pt idx="29">
                  <c:v>0.49659725429544738</c:v>
                </c:pt>
                <c:pt idx="30">
                  <c:v>0.49659725429544738</c:v>
                </c:pt>
                <c:pt idx="31">
                  <c:v>0.33278910465992295</c:v>
                </c:pt>
                <c:pt idx="32">
                  <c:v>0.33278910465992295</c:v>
                </c:pt>
                <c:pt idx="33">
                  <c:v>0.11693123814779419</c:v>
                </c:pt>
                <c:pt idx="34">
                  <c:v>0.11693123814779419</c:v>
                </c:pt>
                <c:pt idx="35">
                  <c:v>0.11693123814779419</c:v>
                </c:pt>
                <c:pt idx="36">
                  <c:v>4.9444404388781608E-2</c:v>
                </c:pt>
                <c:pt idx="37">
                  <c:v>4.9444404388781608E-2</c:v>
                </c:pt>
                <c:pt idx="38">
                  <c:v>1.2440289383407759E-2</c:v>
                </c:pt>
                <c:pt idx="39">
                  <c:v>1.2440289383407759E-2</c:v>
                </c:pt>
                <c:pt idx="40">
                  <c:v>1.145262827735159E-3</c:v>
                </c:pt>
              </c:numCache>
            </c:numRef>
          </c:xVal>
          <c:yVal>
            <c:numRef>
              <c:f>'732'!$AI$2:$AI$42</c:f>
              <c:numCache>
                <c:formatCode>General</c:formatCode>
                <c:ptCount val="41"/>
                <c:pt idx="0">
                  <c:v>0.85</c:v>
                </c:pt>
                <c:pt idx="1">
                  <c:v>0.85</c:v>
                </c:pt>
                <c:pt idx="2">
                  <c:v>0.83989700797872346</c:v>
                </c:pt>
                <c:pt idx="3">
                  <c:v>0.83989700797872346</c:v>
                </c:pt>
                <c:pt idx="4">
                  <c:v>0.83001569064940317</c:v>
                </c:pt>
                <c:pt idx="5">
                  <c:v>0.83001569064940317</c:v>
                </c:pt>
                <c:pt idx="6">
                  <c:v>0.82035118413914376</c:v>
                </c:pt>
                <c:pt idx="7">
                  <c:v>0.82035118413914376</c:v>
                </c:pt>
                <c:pt idx="8">
                  <c:v>0.81089873129566536</c:v>
                </c:pt>
                <c:pt idx="9">
                  <c:v>0.81089873129566536</c:v>
                </c:pt>
                <c:pt idx="10">
                  <c:v>0.80165367934569398</c:v>
                </c:pt>
                <c:pt idx="11">
                  <c:v>0.80165367934569398</c:v>
                </c:pt>
                <c:pt idx="12">
                  <c:v>0.79261147760473138</c:v>
                </c:pt>
                <c:pt idx="13">
                  <c:v>0.79261147760473138</c:v>
                </c:pt>
                <c:pt idx="14">
                  <c:v>0.78376767523707447</c:v>
                </c:pt>
                <c:pt idx="15">
                  <c:v>0.78376767523707447</c:v>
                </c:pt>
                <c:pt idx="16">
                  <c:v>0.77511791906498451</c:v>
                </c:pt>
                <c:pt idx="17">
                  <c:v>0.77511791906498451</c:v>
                </c:pt>
                <c:pt idx="18">
                  <c:v>0.7650077406111756</c:v>
                </c:pt>
                <c:pt idx="19">
                  <c:v>0.7650077406111756</c:v>
                </c:pt>
                <c:pt idx="20">
                  <c:v>0.75250521179068053</c:v>
                </c:pt>
                <c:pt idx="21">
                  <c:v>0.75250521179068053</c:v>
                </c:pt>
                <c:pt idx="22">
                  <c:v>0.73704423574347533</c:v>
                </c:pt>
                <c:pt idx="23">
                  <c:v>0.73704423574347533</c:v>
                </c:pt>
                <c:pt idx="24">
                  <c:v>0.71765575420706307</c:v>
                </c:pt>
                <c:pt idx="25">
                  <c:v>0.71765575420706307</c:v>
                </c:pt>
                <c:pt idx="26">
                  <c:v>0.69009666717024165</c:v>
                </c:pt>
                <c:pt idx="27">
                  <c:v>0.69009666717024165</c:v>
                </c:pt>
                <c:pt idx="28">
                  <c:v>0.65092375531137747</c:v>
                </c:pt>
                <c:pt idx="29">
                  <c:v>0.65092375531137747</c:v>
                </c:pt>
                <c:pt idx="30">
                  <c:v>0.58494794072158551</c:v>
                </c:pt>
                <c:pt idx="31">
                  <c:v>0.58494794072158551</c:v>
                </c:pt>
                <c:pt idx="32">
                  <c:v>0.46209182849494224</c:v>
                </c:pt>
                <c:pt idx="33">
                  <c:v>0.46209182849494224</c:v>
                </c:pt>
                <c:pt idx="34">
                  <c:v>0.46209182849494224</c:v>
                </c:pt>
                <c:pt idx="35">
                  <c:v>0.29561900191303297</c:v>
                </c:pt>
                <c:pt idx="36">
                  <c:v>0.29561900191303297</c:v>
                </c:pt>
                <c:pt idx="37">
                  <c:v>0.1113078523778589</c:v>
                </c:pt>
                <c:pt idx="38">
                  <c:v>0.1113078523778589</c:v>
                </c:pt>
                <c:pt idx="39">
                  <c:v>1.0247088458683003E-2</c:v>
                </c:pt>
                <c:pt idx="40">
                  <c:v>1.0247088458683003E-2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2C-CF44-ABB9-8B0F0C6E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'732'!$J$3:$J$29</c:f>
              <c:numCache>
                <c:formatCode>General</c:formatCode>
                <c:ptCount val="27"/>
                <c:pt idx="0">
                  <c:v>0</c:v>
                </c:pt>
                <c:pt idx="1">
                  <c:v>1.9E-2</c:v>
                </c:pt>
                <c:pt idx="2">
                  <c:v>7.2099999999999997E-2</c:v>
                </c:pt>
                <c:pt idx="3">
                  <c:v>9.6600000000000005E-2</c:v>
                </c:pt>
                <c:pt idx="4">
                  <c:v>0.12379999999999999</c:v>
                </c:pt>
                <c:pt idx="5">
                  <c:v>0.1661</c:v>
                </c:pt>
                <c:pt idx="6">
                  <c:v>0.23369999999999999</c:v>
                </c:pt>
                <c:pt idx="7">
                  <c:v>0.26079999999999998</c:v>
                </c:pt>
                <c:pt idx="8">
                  <c:v>0.32729999999999998</c:v>
                </c:pt>
                <c:pt idx="9">
                  <c:v>0.39650000000000002</c:v>
                </c:pt>
                <c:pt idx="10">
                  <c:v>0.50790000000000002</c:v>
                </c:pt>
                <c:pt idx="11">
                  <c:v>0.51980000000000004</c:v>
                </c:pt>
                <c:pt idx="12">
                  <c:v>0.57320000000000004</c:v>
                </c:pt>
                <c:pt idx="13">
                  <c:v>0.67630000000000001</c:v>
                </c:pt>
                <c:pt idx="14">
                  <c:v>0.74719999999999998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xVal>
          <c:yVal>
            <c:numRef>
              <c:f>'732'!$K$3:$K$29</c:f>
              <c:numCache>
                <c:formatCode>General</c:formatCode>
                <c:ptCount val="27"/>
                <c:pt idx="0">
                  <c:v>0</c:v>
                </c:pt>
                <c:pt idx="1">
                  <c:v>0.17</c:v>
                </c:pt>
                <c:pt idx="2">
                  <c:v>0.3891</c:v>
                </c:pt>
                <c:pt idx="3">
                  <c:v>0.4375</c:v>
                </c:pt>
                <c:pt idx="4">
                  <c:v>0.47039999999999998</c:v>
                </c:pt>
                <c:pt idx="5">
                  <c:v>0.50890000000000002</c:v>
                </c:pt>
                <c:pt idx="6">
                  <c:v>0.54449999999999998</c:v>
                </c:pt>
                <c:pt idx="7">
                  <c:v>0.55800000000000005</c:v>
                </c:pt>
                <c:pt idx="8">
                  <c:v>0.58260000000000001</c:v>
                </c:pt>
                <c:pt idx="9">
                  <c:v>0.61219999999999997</c:v>
                </c:pt>
                <c:pt idx="10">
                  <c:v>0.65639999999999998</c:v>
                </c:pt>
                <c:pt idx="11">
                  <c:v>0.65990000000000004</c:v>
                </c:pt>
                <c:pt idx="12">
                  <c:v>0.68410000000000004</c:v>
                </c:pt>
                <c:pt idx="13">
                  <c:v>0.73850000000000005</c:v>
                </c:pt>
                <c:pt idx="14">
                  <c:v>0.78149999999999997</c:v>
                </c:pt>
                <c:pt idx="15">
                  <c:v>0.89429999999999998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8-F441-AD5B-77F596888BBE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AC8-F441-AD5B-77F596888BBE}"/>
            </c:ext>
          </c:extLst>
        </c:ser>
        <c:ser>
          <c:idx val="2"/>
          <c:order val="2"/>
          <c:tx>
            <c:v>Enriquecimiento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'732'!$M$63:$M$64</c:f>
              <c:numCache>
                <c:formatCode>General</c:formatCode>
                <c:ptCount val="2"/>
                <c:pt idx="0">
                  <c:v>0.85</c:v>
                </c:pt>
                <c:pt idx="1">
                  <c:v>0</c:v>
                </c:pt>
              </c:numCache>
            </c:numRef>
          </c:xVal>
          <c:yVal>
            <c:numRef>
              <c:f>'732'!$N$63:$N$64</c:f>
              <c:numCache>
                <c:formatCode>General</c:formatCode>
                <c:ptCount val="2"/>
                <c:pt idx="0">
                  <c:v>0.85</c:v>
                </c:pt>
                <c:pt idx="1">
                  <c:v>0.28360894941634229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C8-F441-AD5B-77F596888BBE}"/>
            </c:ext>
          </c:extLst>
        </c:ser>
        <c:ser>
          <c:idx val="3"/>
          <c:order val="3"/>
          <c:tx>
            <c:v>Alimentación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'732'!$Q$66:$Q$67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xVal>
          <c:yVal>
            <c:numRef>
              <c:f>'732'!$R$66:$R$67</c:f>
              <c:numCache>
                <c:formatCode>General</c:formatCode>
                <c:ptCount val="2"/>
                <c:pt idx="0">
                  <c:v>0.12</c:v>
                </c:pt>
                <c:pt idx="1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C8-F441-AD5B-77F596888BBE}"/>
            </c:ext>
          </c:extLst>
        </c:ser>
        <c:ser>
          <c:idx val="4"/>
          <c:order val="4"/>
          <c:tx>
            <c:v>Agotamiento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'732'!$U$53:$U$54</c:f>
              <c:numCache>
                <c:formatCode>General</c:formatCode>
                <c:ptCount val="2"/>
                <c:pt idx="0">
                  <c:v>8.6882453151618348E-3</c:v>
                </c:pt>
                <c:pt idx="1">
                  <c:v>0.12</c:v>
                </c:pt>
              </c:numCache>
            </c:numRef>
          </c:xVal>
          <c:yVal>
            <c:numRef>
              <c:f>'732'!$V$53:$V$54</c:f>
              <c:numCache>
                <c:formatCode>General</c:formatCode>
                <c:ptCount val="2"/>
                <c:pt idx="0">
                  <c:v>0</c:v>
                </c:pt>
                <c:pt idx="1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C8-F441-AD5B-77F596888BBE}"/>
            </c:ext>
          </c:extLst>
        </c:ser>
        <c:ser>
          <c:idx val="5"/>
          <c:order val="5"/>
          <c:tx>
            <c:v>Pasos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'732'!$AH$45:$AH$85</c:f>
              <c:numCache>
                <c:formatCode>General</c:formatCode>
                <c:ptCount val="41"/>
              </c:numCache>
            </c:numRef>
          </c:xVal>
          <c:yVal>
            <c:numRef>
              <c:f>'732'!$AI$45:$AI$85</c:f>
              <c:numCache>
                <c:formatCode>General</c:formatCode>
                <c:ptCount val="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C8-F441-AD5B-77F59688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21472"/>
        <c:axId val="1174068784"/>
      </c:scatterChart>
      <c:valAx>
        <c:axId val="1174321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68784"/>
        <c:crosses val="autoZero"/>
        <c:crossBetween val="midCat"/>
      </c:valAx>
      <c:valAx>
        <c:axId val="1174068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2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'Ponchon-Savarit'!$J$3:$J$29</c:f>
              <c:numCache>
                <c:formatCode>General</c:formatCode>
                <c:ptCount val="2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0.57999999999999996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'Ponchon-Savarit'!$K$3:$K$29</c:f>
              <c:numCache>
                <c:formatCode>General</c:formatCode>
                <c:ptCount val="27"/>
                <c:pt idx="0">
                  <c:v>0</c:v>
                </c:pt>
                <c:pt idx="1">
                  <c:v>0.36</c:v>
                </c:pt>
                <c:pt idx="2">
                  <c:v>0.7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0-E04E-A5AD-ACB5FB4F0151}"/>
            </c:ext>
          </c:extLst>
        </c:ser>
        <c:ser>
          <c:idx val="1"/>
          <c:order val="1"/>
          <c:tx>
            <c:v>45˚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780-E04E-A5AD-ACB5FB4F0151}"/>
            </c:ext>
          </c:extLst>
        </c:ser>
        <c:ser>
          <c:idx val="2"/>
          <c:order val="2"/>
          <c:tx>
            <c:v>xy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'Ponchon-Savarit'!$L$33</c:f>
              <c:numCache>
                <c:formatCode>General</c:formatCode>
                <c:ptCount val="1"/>
                <c:pt idx="0">
                  <c:v>9.2999999999999999E-2</c:v>
                </c:pt>
              </c:numCache>
            </c:numRef>
          </c:xVal>
          <c:yVal>
            <c:numRef>
              <c:f>'Ponchon-Savarit'!$M$33</c:f>
              <c:numCache>
                <c:formatCode>General</c:formatCode>
                <c:ptCount val="1"/>
                <c:pt idx="0">
                  <c:v>0.33500000000000002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0-E04E-A5AD-ACB5FB4F0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056240"/>
        <c:axId val="1274356256"/>
      </c:scatterChart>
      <c:valAx>
        <c:axId val="13100562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56256"/>
        <c:crosses val="autoZero"/>
        <c:crossBetween val="midCat"/>
        <c:majorUnit val="0.1"/>
      </c:valAx>
      <c:valAx>
        <c:axId val="1274356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05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Vapor Sat.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'Ponchon-Savarit'!$L$5:$L$11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'Ponchon-Savarit'!$N$5:$N$11</c:f>
              <c:numCache>
                <c:formatCode>0.00</c:formatCode>
                <c:ptCount val="7"/>
                <c:pt idx="0">
                  <c:v>15700</c:v>
                </c:pt>
                <c:pt idx="1">
                  <c:v>15400</c:v>
                </c:pt>
                <c:pt idx="2">
                  <c:v>14700</c:v>
                </c:pt>
                <c:pt idx="3">
                  <c:v>13900</c:v>
                </c:pt>
                <c:pt idx="4">
                  <c:v>12900</c:v>
                </c:pt>
                <c:pt idx="5">
                  <c:v>11600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F3-564F-9811-06BF917A82D3}"/>
            </c:ext>
          </c:extLst>
        </c:ser>
        <c:ser>
          <c:idx val="0"/>
          <c:order val="1"/>
          <c:tx>
            <c:v>Liquido Sat.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'Ponchon-Savarit'!$L$5:$L$11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'Ponchon-Savarit'!$M$5:$M$11</c:f>
              <c:numCache>
                <c:formatCode>General</c:formatCode>
                <c:ptCount val="7"/>
                <c:pt idx="0">
                  <c:v>7000</c:v>
                </c:pt>
                <c:pt idx="1">
                  <c:v>6300</c:v>
                </c:pt>
                <c:pt idx="2">
                  <c:v>5000</c:v>
                </c:pt>
                <c:pt idx="3">
                  <c:v>4100</c:v>
                </c:pt>
                <c:pt idx="4">
                  <c:v>3400</c:v>
                </c:pt>
                <c:pt idx="5">
                  <c:v>3100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F3-564F-9811-06BF917A82D3}"/>
            </c:ext>
          </c:extLst>
        </c:ser>
        <c:ser>
          <c:idx val="2"/>
          <c:order val="2"/>
          <c:tx>
            <c:v>x_B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'Ponchon-Savarit'!$M$15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'Ponchon-Savarit'!$N$15</c:f>
              <c:numCache>
                <c:formatCode>General</c:formatCode>
                <c:ptCount val="1"/>
                <c:pt idx="0">
                  <c:v>6300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F3-564F-9811-06BF917A82D3}"/>
            </c:ext>
          </c:extLst>
        </c:ser>
        <c:ser>
          <c:idx val="3"/>
          <c:order val="3"/>
          <c:tx>
            <c:v>z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'Ponchon-Savarit'!$M$16</c:f>
              <c:numCache>
                <c:formatCode>General</c:formatCode>
                <c:ptCount val="1"/>
                <c:pt idx="0">
                  <c:v>0.6</c:v>
                </c:pt>
              </c:numCache>
            </c:numRef>
          </c:xVal>
          <c:yVal>
            <c:numRef>
              <c:f>'Ponchon-Savarit'!$N$16</c:f>
              <c:numCache>
                <c:formatCode>General</c:formatCode>
                <c:ptCount val="1"/>
                <c:pt idx="0">
                  <c:v>14500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F3-564F-9811-06BF917A82D3}"/>
            </c:ext>
          </c:extLst>
        </c:ser>
        <c:ser>
          <c:idx val="4"/>
          <c:order val="4"/>
          <c:tx>
            <c:v>x_D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'Ponchon-Savarit'!$M$17</c:f>
              <c:numCache>
                <c:formatCode>General</c:formatCode>
                <c:ptCount val="1"/>
                <c:pt idx="0">
                  <c:v>0.94</c:v>
                </c:pt>
              </c:numCache>
            </c:numRef>
          </c:xVal>
          <c:yVal>
            <c:numRef>
              <c:f>'Ponchon-Savarit'!$N$17</c:f>
              <c:numCache>
                <c:formatCode>General</c:formatCode>
                <c:ptCount val="1"/>
                <c:pt idx="0">
                  <c:v>3040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F3-564F-9811-06BF917A82D3}"/>
            </c:ext>
          </c:extLst>
        </c:ser>
        <c:ser>
          <c:idx val="5"/>
          <c:order val="5"/>
          <c:tx>
            <c:v>y_1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'Ponchon-Savarit'!$M$18</c:f>
              <c:numCache>
                <c:formatCode>General</c:formatCode>
                <c:ptCount val="1"/>
                <c:pt idx="0">
                  <c:v>0.94</c:v>
                </c:pt>
              </c:numCache>
            </c:numRef>
          </c:xVal>
          <c:yVal>
            <c:numRef>
              <c:f>'Ponchon-Savarit'!$N$18</c:f>
              <c:numCache>
                <c:formatCode>General</c:formatCode>
                <c:ptCount val="1"/>
                <c:pt idx="0">
                  <c:v>10940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F3-564F-9811-06BF917A82D3}"/>
            </c:ext>
          </c:extLst>
        </c:ser>
        <c:ser>
          <c:idx val="6"/>
          <c:order val="6"/>
          <c:tx>
            <c:v>Linea de Reparto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'Ponchon-Savarit'!$M$19:$M$22</c:f>
              <c:numCache>
                <c:formatCode>General</c:formatCode>
                <c:ptCount val="4"/>
                <c:pt idx="0">
                  <c:v>0.219</c:v>
                </c:pt>
                <c:pt idx="1">
                  <c:v>0.56230000000000002</c:v>
                </c:pt>
                <c:pt idx="2">
                  <c:v>0.6</c:v>
                </c:pt>
                <c:pt idx="3">
                  <c:v>0.94</c:v>
                </c:pt>
              </c:numCache>
            </c:numRef>
          </c:xVal>
          <c:yVal>
            <c:numRef>
              <c:f>'Ponchon-Savarit'!$N$19:$N$22</c:f>
              <c:numCache>
                <c:formatCode>General</c:formatCode>
                <c:ptCount val="4"/>
                <c:pt idx="0">
                  <c:v>5526.5</c:v>
                </c:pt>
                <c:pt idx="1">
                  <c:v>13650.8</c:v>
                </c:pt>
                <c:pt idx="2">
                  <c:v>14542.98208563938</c:v>
                </c:pt>
                <c:pt idx="3">
                  <c:v>22589.186571511789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F3-564F-9811-06BF917A82D3}"/>
            </c:ext>
          </c:extLst>
        </c:ser>
        <c:ser>
          <c:idx val="7"/>
          <c:order val="7"/>
          <c:tx>
            <c:v>Etapas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'Ponchon-Savarit'!$U$6:$U$31</c:f>
              <c:numCache>
                <c:formatCode>General</c:formatCode>
                <c:ptCount val="26"/>
                <c:pt idx="0">
                  <c:v>0.94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0.66</c:v>
                </c:pt>
                <c:pt idx="5">
                  <c:v>0.94</c:v>
                </c:pt>
                <c:pt idx="6">
                  <c:v>0.76100000000000001</c:v>
                </c:pt>
                <c:pt idx="7">
                  <c:v>0.376</c:v>
                </c:pt>
                <c:pt idx="8">
                  <c:v>0.94</c:v>
                </c:pt>
                <c:pt idx="9">
                  <c:v>0.58499999999999996</c:v>
                </c:pt>
                <c:pt idx="10">
                  <c:v>0.23200000000000001</c:v>
                </c:pt>
                <c:pt idx="11">
                  <c:v>0.1</c:v>
                </c:pt>
                <c:pt idx="12">
                  <c:v>0.33500000000000002</c:v>
                </c:pt>
                <c:pt idx="13">
                  <c:v>9.2999999999999999E-2</c:v>
                </c:pt>
              </c:numCache>
            </c:numRef>
          </c:xVal>
          <c:yVal>
            <c:numRef>
              <c:f>'Ponchon-Savarit'!$V$6:$V$29</c:f>
              <c:numCache>
                <c:formatCode>General</c:formatCode>
                <c:ptCount val="24"/>
                <c:pt idx="0">
                  <c:v>3040</c:v>
                </c:pt>
                <c:pt idx="1">
                  <c:v>10940</c:v>
                </c:pt>
                <c:pt idx="2">
                  <c:v>28413.779857267684</c:v>
                </c:pt>
                <c:pt idx="3">
                  <c:v>10940</c:v>
                </c:pt>
                <c:pt idx="4">
                  <c:v>3540</c:v>
                </c:pt>
                <c:pt idx="5">
                  <c:v>28413.779857267684</c:v>
                </c:pt>
                <c:pt idx="6">
                  <c:v>12503.5</c:v>
                </c:pt>
                <c:pt idx="7">
                  <c:v>4658</c:v>
                </c:pt>
                <c:pt idx="8">
                  <c:v>28413.779857267684</c:v>
                </c:pt>
                <c:pt idx="9">
                  <c:v>13475</c:v>
                </c:pt>
                <c:pt idx="10">
                  <c:v>5442</c:v>
                </c:pt>
                <c:pt idx="11">
                  <c:v>-5961.4409665701241</c:v>
                </c:pt>
                <c:pt idx="12">
                  <c:v>14560</c:v>
                </c:pt>
                <c:pt idx="13">
                  <c:v>6349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F3-564F-9811-06BF917A82D3}"/>
            </c:ext>
          </c:extLst>
        </c:ser>
        <c:ser>
          <c:idx val="8"/>
          <c:order val="8"/>
          <c:tx>
            <c:v>Alimentación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'Ponchon-Savarit'!$M$23:$M$24</c:f>
              <c:numCache>
                <c:formatCode>General</c:formatCode>
                <c:ptCount val="2"/>
                <c:pt idx="0">
                  <c:v>0.94</c:v>
                </c:pt>
                <c:pt idx="1">
                  <c:v>0.1</c:v>
                </c:pt>
              </c:numCache>
            </c:numRef>
          </c:xVal>
          <c:yVal>
            <c:numRef>
              <c:f>'Ponchon-Savarit'!$N$23:$N$24</c:f>
              <c:numCache>
                <c:formatCode>General</c:formatCode>
                <c:ptCount val="2"/>
                <c:pt idx="0">
                  <c:v>28413.779857267684</c:v>
                </c:pt>
                <c:pt idx="1">
                  <c:v>-5961.4409665701241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F3-564F-9811-06BF917A8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043376"/>
        <c:axId val="1313352720"/>
      </c:scatterChart>
      <c:valAx>
        <c:axId val="13130433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52720"/>
        <c:crosses val="autoZero"/>
        <c:crossBetween val="midCat"/>
        <c:majorUnit val="0.1"/>
      </c:valAx>
      <c:valAx>
        <c:axId val="131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4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'Tarea de Ponchon 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'Tarea de Ponchon Savarit'!$M$5:$M$11</c:f>
              <c:numCache>
                <c:formatCode>General</c:formatCode>
                <c:ptCount val="7"/>
                <c:pt idx="0">
                  <c:v>7000</c:v>
                </c:pt>
                <c:pt idx="1">
                  <c:v>6300</c:v>
                </c:pt>
                <c:pt idx="2">
                  <c:v>5000</c:v>
                </c:pt>
                <c:pt idx="3">
                  <c:v>4100</c:v>
                </c:pt>
                <c:pt idx="4">
                  <c:v>3400</c:v>
                </c:pt>
                <c:pt idx="5">
                  <c:v>3100</c:v>
                </c:pt>
                <c:pt idx="6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E5-594A-9E88-A70C2A24C1FB}"/>
            </c:ext>
          </c:extLst>
        </c:ser>
        <c:ser>
          <c:idx val="1"/>
          <c:order val="1"/>
          <c:tx>
            <c:v>Hy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'Tarea de Ponchon Savarit'!$L$5:$L$11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</c:numCache>
            </c:numRef>
          </c:xVal>
          <c:yVal>
            <c:numRef>
              <c:f>'Tarea de Ponchon Savarit'!$N$5:$N$11</c:f>
              <c:numCache>
                <c:formatCode>0.00</c:formatCode>
                <c:ptCount val="7"/>
                <c:pt idx="0">
                  <c:v>15700</c:v>
                </c:pt>
                <c:pt idx="1">
                  <c:v>15400</c:v>
                </c:pt>
                <c:pt idx="2">
                  <c:v>14700</c:v>
                </c:pt>
                <c:pt idx="3">
                  <c:v>13900</c:v>
                </c:pt>
                <c:pt idx="4">
                  <c:v>12900</c:v>
                </c:pt>
                <c:pt idx="5">
                  <c:v>11600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E5-594A-9E88-A70C2A24C1FB}"/>
            </c:ext>
          </c:extLst>
        </c:ser>
        <c:ser>
          <c:idx val="2"/>
          <c:order val="2"/>
          <c:tx>
            <c:v>x_D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'Tarea de Ponchon Savarit'!$M$23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Savarit'!$N$23</c:f>
              <c:numCache>
                <c:formatCode>General</c:formatCode>
                <c:ptCount val="1"/>
                <c:pt idx="0">
                  <c:v>3050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E5-594A-9E88-A70C2A24C1FB}"/>
            </c:ext>
          </c:extLst>
        </c:ser>
        <c:ser>
          <c:idx val="3"/>
          <c:order val="3"/>
          <c:tx>
            <c:v>z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'Tarea de Ponchon Savarit'!$M$22</c:f>
              <c:numCache>
                <c:formatCode>General</c:formatCode>
                <c:ptCount val="1"/>
                <c:pt idx="0">
                  <c:v>0.4</c:v>
                </c:pt>
              </c:numCache>
            </c:numRef>
          </c:xVal>
          <c:yVal>
            <c:numRef>
              <c:f>'Tarea de Ponchon Savarit'!$N$22</c:f>
              <c:numCache>
                <c:formatCode>General</c:formatCode>
                <c:ptCount val="1"/>
                <c:pt idx="0">
                  <c:v>4550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E5-594A-9E88-A70C2A24C1FB}"/>
            </c:ext>
          </c:extLst>
        </c:ser>
        <c:ser>
          <c:idx val="4"/>
          <c:order val="4"/>
          <c:tx>
            <c:v>y_1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'Tarea de Ponchon Savarit'!$M$24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Savarit'!$N$24</c:f>
              <c:numCache>
                <c:formatCode>General</c:formatCode>
                <c:ptCount val="1"/>
                <c:pt idx="0">
                  <c:v>10800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E5-594A-9E88-A70C2A24C1FB}"/>
            </c:ext>
          </c:extLst>
        </c:ser>
        <c:ser>
          <c:idx val="5"/>
          <c:order val="5"/>
          <c:tx>
            <c:v>Q'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'Tarea de Ponchon Savarit'!$M$25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Ref>
              <c:f>'Tarea de Ponchon Savarit'!$N$25</c:f>
              <c:numCache>
                <c:formatCode>General</c:formatCode>
                <c:ptCount val="1"/>
                <c:pt idx="0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E5-594A-9E88-A70C2A24C1FB}"/>
            </c:ext>
          </c:extLst>
        </c:ser>
        <c:ser>
          <c:idx val="6"/>
          <c:order val="6"/>
          <c:tx>
            <c:v>Q''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Savarit'!$M$26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'Tarea de Ponchon Savarit'!$N$26</c:f>
              <c:numCache>
                <c:formatCode>General</c:formatCode>
                <c:ptCount val="1"/>
                <c:pt idx="0">
                  <c:v>-3931.8181818181838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E5-594A-9E88-A70C2A24C1FB}"/>
            </c:ext>
          </c:extLst>
        </c:ser>
        <c:ser>
          <c:idx val="7"/>
          <c:order val="7"/>
          <c:tx>
            <c:v>B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Savarit'!$M$25:$M$26</c:f>
              <c:numCache>
                <c:formatCode>General</c:formatCode>
                <c:ptCount val="2"/>
                <c:pt idx="0">
                  <c:v>0.95</c:v>
                </c:pt>
                <c:pt idx="1">
                  <c:v>0.1</c:v>
                </c:pt>
              </c:numCache>
            </c:numRef>
          </c:xVal>
          <c:yVal>
            <c:numRef>
              <c:f>'Tarea de Ponchon Savarit'!$N$25:$N$26</c:f>
              <c:numCache>
                <c:formatCode>General</c:formatCode>
                <c:ptCount val="2"/>
                <c:pt idx="0">
                  <c:v>20100</c:v>
                </c:pt>
                <c:pt idx="1">
                  <c:v>-3931.8181818181838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CE5-594A-9E88-A70C2A24C1FB}"/>
            </c:ext>
          </c:extLst>
        </c:ser>
        <c:ser>
          <c:idx val="8"/>
          <c:order val="8"/>
          <c:tx>
            <c:v>Balance Global Entalpia Mina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Savarit'!$M$16:$M$17</c:f>
              <c:numCache>
                <c:formatCode>General</c:formatCode>
                <c:ptCount val="2"/>
                <c:pt idx="0">
                  <c:v>0.95</c:v>
                </c:pt>
                <c:pt idx="1">
                  <c:v>0.1</c:v>
                </c:pt>
              </c:numCache>
            </c:numRef>
          </c:xVal>
          <c:yVal>
            <c:numRef>
              <c:f>'Tarea de Ponchon Savarit'!$N$16:$N$17</c:f>
              <c:numCache>
                <c:formatCode>General</c:formatCode>
                <c:ptCount val="2"/>
                <c:pt idx="0">
                  <c:v>16081.666666666666</c:v>
                </c:pt>
                <c:pt idx="1">
                  <c:v>-1740.0000000000009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E5-594A-9E88-A70C2A24C1FB}"/>
            </c:ext>
          </c:extLst>
        </c:ser>
        <c:ser>
          <c:idx val="9"/>
          <c:order val="9"/>
          <c:tx>
            <c:v>A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Savarit'!$M$23:$M$25</c:f>
              <c:numCache>
                <c:formatCode>General</c:formatCode>
                <c:ptCount val="3"/>
                <c:pt idx="0">
                  <c:v>0.95</c:v>
                </c:pt>
                <c:pt idx="1">
                  <c:v>0.95</c:v>
                </c:pt>
                <c:pt idx="2">
                  <c:v>0.95</c:v>
                </c:pt>
              </c:numCache>
            </c:numRef>
          </c:xVal>
          <c:yVal>
            <c:numRef>
              <c:f>'Tarea de Ponchon Savarit'!$N$23:$N$25</c:f>
              <c:numCache>
                <c:formatCode>General</c:formatCode>
                <c:ptCount val="3"/>
                <c:pt idx="0">
                  <c:v>3050</c:v>
                </c:pt>
                <c:pt idx="1">
                  <c:v>10800</c:v>
                </c:pt>
                <c:pt idx="2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CE5-594A-9E88-A70C2A24C1FB}"/>
            </c:ext>
          </c:extLst>
        </c:ser>
        <c:ser>
          <c:idx val="10"/>
          <c:order val="10"/>
          <c:tx>
            <c:v>Pasos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'Tarea de Ponchon Savarit'!$AA$3:$AA$27</c:f>
              <c:numCache>
                <c:formatCode>General</c:formatCode>
                <c:ptCount val="25"/>
                <c:pt idx="0">
                  <c:v>0.95</c:v>
                </c:pt>
                <c:pt idx="1">
                  <c:v>0.7</c:v>
                </c:pt>
                <c:pt idx="2">
                  <c:v>0.95</c:v>
                </c:pt>
                <c:pt idx="3">
                  <c:v>0.83</c:v>
                </c:pt>
                <c:pt idx="4">
                  <c:v>0.47</c:v>
                </c:pt>
                <c:pt idx="5">
                  <c:v>0.95</c:v>
                </c:pt>
                <c:pt idx="6">
                  <c:v>0.72699999999999998</c:v>
                </c:pt>
                <c:pt idx="7">
                  <c:v>0.33500000000000002</c:v>
                </c:pt>
                <c:pt idx="8">
                  <c:v>0.1</c:v>
                </c:pt>
                <c:pt idx="9">
                  <c:v>0.56899999999999995</c:v>
                </c:pt>
                <c:pt idx="10">
                  <c:v>0.222</c:v>
                </c:pt>
                <c:pt idx="11">
                  <c:v>0.1</c:v>
                </c:pt>
                <c:pt idx="12">
                  <c:v>0.34</c:v>
                </c:pt>
                <c:pt idx="13">
                  <c:v>9.5000000000000001E-2</c:v>
                </c:pt>
              </c:numCache>
            </c:numRef>
          </c:xVal>
          <c:yVal>
            <c:numRef>
              <c:f>'Tarea de Ponchon Savarit'!$AB$3:$AB$27</c:f>
              <c:numCache>
                <c:formatCode>General</c:formatCode>
                <c:ptCount val="25"/>
                <c:pt idx="0">
                  <c:v>10800</c:v>
                </c:pt>
                <c:pt idx="1">
                  <c:v>3400</c:v>
                </c:pt>
                <c:pt idx="2">
                  <c:v>20100</c:v>
                </c:pt>
                <c:pt idx="3">
                  <c:v>12055</c:v>
                </c:pt>
                <c:pt idx="4">
                  <c:v>4235</c:v>
                </c:pt>
                <c:pt idx="5">
                  <c:v>20100</c:v>
                </c:pt>
                <c:pt idx="6">
                  <c:v>12724.5</c:v>
                </c:pt>
                <c:pt idx="7">
                  <c:v>4842.5</c:v>
                </c:pt>
                <c:pt idx="8">
                  <c:v>-3931.8181818181838</c:v>
                </c:pt>
                <c:pt idx="9">
                  <c:v>13555</c:v>
                </c:pt>
                <c:pt idx="10">
                  <c:v>5507</c:v>
                </c:pt>
                <c:pt idx="11">
                  <c:v>-3931.8181818181838</c:v>
                </c:pt>
                <c:pt idx="12">
                  <c:v>14540</c:v>
                </c:pt>
                <c:pt idx="13">
                  <c:v>6335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CE5-594A-9E88-A70C2A24C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865648"/>
        <c:axId val="1310554688"/>
      </c:scatterChart>
      <c:valAx>
        <c:axId val="1228865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554688"/>
        <c:crosses val="autoZero"/>
        <c:crossBetween val="midCat"/>
        <c:majorUnit val="0.1"/>
      </c:valAx>
      <c:valAx>
        <c:axId val="13105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65648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EVL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'Tarea de Ponchon Savarit'!$J$3:$J$9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0.5</c:v>
                </c:pt>
                <c:pt idx="4">
                  <c:v>0.57999999999999996</c:v>
                </c:pt>
                <c:pt idx="5">
                  <c:v>0.7</c:v>
                </c:pt>
                <c:pt idx="6">
                  <c:v>1</c:v>
                </c:pt>
              </c:numCache>
            </c:numRef>
          </c:xVal>
          <c:yVal>
            <c:numRef>
              <c:f>'Tarea de Ponchon Savarit'!$K$3:$K$9</c:f>
              <c:numCache>
                <c:formatCode>General</c:formatCode>
                <c:ptCount val="7"/>
                <c:pt idx="0">
                  <c:v>0</c:v>
                </c:pt>
                <c:pt idx="1">
                  <c:v>0.36</c:v>
                </c:pt>
                <c:pt idx="2">
                  <c:v>0.7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4-E74F-B70B-55CFCE16E8F3}"/>
            </c:ext>
          </c:extLst>
        </c:ser>
        <c:ser>
          <c:idx val="1"/>
          <c:order val="1"/>
          <c:tx>
            <c:v>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'Tarea de Ponchon Savarit'!$P$19</c:f>
              <c:numCache>
                <c:formatCode>General</c:formatCode>
                <c:ptCount val="1"/>
                <c:pt idx="0">
                  <c:v>9.5000000000000001E-2</c:v>
                </c:pt>
              </c:numCache>
            </c:numRef>
          </c:xVal>
          <c:yVal>
            <c:numRef>
              <c:f>'Tarea de Ponchon Savarit'!$Q$19</c:f>
              <c:numCache>
                <c:formatCode>General</c:formatCode>
                <c:ptCount val="1"/>
                <c:pt idx="0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D4-E74F-B70B-55CFCE16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154960"/>
        <c:axId val="1372156608"/>
      </c:scatterChart>
      <c:valAx>
        <c:axId val="13721549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56608"/>
        <c:crosses val="autoZero"/>
        <c:crossBetween val="midCat"/>
        <c:majorUnit val="0.1"/>
      </c:valAx>
      <c:valAx>
        <c:axId val="137215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5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Absorción!$K$6:$K$10</c:f>
              <c:numCache>
                <c:formatCode>General</c:formatCode>
                <c:ptCount val="5"/>
                <c:pt idx="0">
                  <c:v>0</c:v>
                </c:pt>
                <c:pt idx="1">
                  <c:v>3.412616339193382E-2</c:v>
                </c:pt>
                <c:pt idx="2">
                  <c:v>7.758620689655174E-2</c:v>
                </c:pt>
                <c:pt idx="3">
                  <c:v>0.13250283125707812</c:v>
                </c:pt>
                <c:pt idx="4">
                  <c:v>0.20627261761158025</c:v>
                </c:pt>
              </c:numCache>
            </c:numRef>
          </c:xVal>
          <c:yVal>
            <c:numRef>
              <c:f>Absorción!$L$6:$L$10</c:f>
              <c:numCache>
                <c:formatCode>General</c:formatCode>
                <c:ptCount val="5"/>
                <c:pt idx="0">
                  <c:v>0</c:v>
                </c:pt>
                <c:pt idx="1">
                  <c:v>4.1233582360341962E-2</c:v>
                </c:pt>
                <c:pt idx="2">
                  <c:v>9.0390627186268002E-2</c:v>
                </c:pt>
                <c:pt idx="3">
                  <c:v>0.12705264793869103</c:v>
                </c:pt>
                <c:pt idx="4">
                  <c:v>0.15735706146499301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4-F140-A3E8-BA465D24A023}"/>
            </c:ext>
          </c:extLst>
        </c:ser>
        <c:ser>
          <c:idx val="1"/>
          <c:order val="1"/>
          <c:tx>
            <c:v>Y_N+1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Absorción!$I$20:$I$21</c:f>
              <c:numCache>
                <c:formatCode>General</c:formatCode>
                <c:ptCount val="2"/>
                <c:pt idx="0">
                  <c:v>0</c:v>
                </c:pt>
                <c:pt idx="1">
                  <c:v>0.20627261761158025</c:v>
                </c:pt>
              </c:numCache>
            </c:numRef>
          </c:xVal>
          <c:yVal>
            <c:numRef>
              <c:f>Absorción!$J$20:$J$21</c:f>
              <c:numCache>
                <c:formatCode>General</c:formatCode>
                <c:ptCount val="2"/>
                <c:pt idx="0">
                  <c:v>0.17647058823529413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C4-F140-A3E8-BA465D24A023}"/>
            </c:ext>
          </c:extLst>
        </c:ser>
        <c:ser>
          <c:idx val="2"/>
          <c:order val="2"/>
          <c:tx>
            <c:v>(L' / V')_min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Absorción!$K$20:$K$21</c:f>
              <c:numCache>
                <c:formatCode>General</c:formatCode>
                <c:ptCount val="2"/>
                <c:pt idx="0">
                  <c:v>0</c:v>
                </c:pt>
                <c:pt idx="1">
                  <c:v>0.15946502629576906</c:v>
                </c:pt>
              </c:numCache>
            </c:numRef>
          </c:xVal>
          <c:yVal>
            <c:numRef>
              <c:f>Absorción!$L$20:$L$21</c:f>
              <c:numCache>
                <c:formatCode>General</c:formatCode>
                <c:ptCount val="2"/>
                <c:pt idx="0">
                  <c:v>8.8235294117647058E-3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AC4-F140-A3E8-BA465D24A023}"/>
            </c:ext>
          </c:extLst>
        </c:ser>
        <c:ser>
          <c:idx val="3"/>
          <c:order val="3"/>
          <c:tx>
            <c:v>(L' / V')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Absorción!$N$20:$N$21</c:f>
              <c:numCache>
                <c:formatCode>General</c:formatCode>
                <c:ptCount val="2"/>
                <c:pt idx="0">
                  <c:v>0</c:v>
                </c:pt>
                <c:pt idx="1">
                  <c:v>0.12757202103661525</c:v>
                </c:pt>
              </c:numCache>
            </c:numRef>
          </c:xVal>
          <c:yVal>
            <c:numRef>
              <c:f>Absorción!$O$20:$O$21</c:f>
              <c:numCache>
                <c:formatCode>General</c:formatCode>
                <c:ptCount val="2"/>
                <c:pt idx="0">
                  <c:v>8.8235294117647058E-3</c:v>
                </c:pt>
                <c:pt idx="1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F-864F-8DC9-61444DF0037D}"/>
            </c:ext>
          </c:extLst>
        </c:ser>
        <c:ser>
          <c:idx val="4"/>
          <c:order val="4"/>
          <c:tx>
            <c:v>Pasos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Absorción!$S$5:$S$28</c:f>
              <c:numCache>
                <c:formatCode>General</c:formatCode>
                <c:ptCount val="24"/>
                <c:pt idx="0">
                  <c:v>0</c:v>
                </c:pt>
                <c:pt idx="1">
                  <c:v>7.4999999999999997E-3</c:v>
                </c:pt>
                <c:pt idx="2">
                  <c:v>7.4999999999999997E-3</c:v>
                </c:pt>
                <c:pt idx="3">
                  <c:v>1.6E-2</c:v>
                </c:pt>
                <c:pt idx="4">
                  <c:v>1.6E-2</c:v>
                </c:pt>
                <c:pt idx="5">
                  <c:v>2.5499999999999998E-2</c:v>
                </c:pt>
                <c:pt idx="6">
                  <c:v>2.5499999999999998E-2</c:v>
                </c:pt>
                <c:pt idx="7">
                  <c:v>3.4500000000000003E-2</c:v>
                </c:pt>
                <c:pt idx="8">
                  <c:v>3.4500000000000003E-2</c:v>
                </c:pt>
                <c:pt idx="9">
                  <c:v>4.5499999999999999E-2</c:v>
                </c:pt>
                <c:pt idx="10">
                  <c:v>4.5499999999999999E-2</c:v>
                </c:pt>
                <c:pt idx="11">
                  <c:v>5.8000000000000003E-2</c:v>
                </c:pt>
                <c:pt idx="12">
                  <c:v>5.8000000000000003E-2</c:v>
                </c:pt>
                <c:pt idx="13">
                  <c:v>7.2999999999999995E-2</c:v>
                </c:pt>
                <c:pt idx="14">
                  <c:v>7.2999999999999995E-2</c:v>
                </c:pt>
                <c:pt idx="15">
                  <c:v>9.9000000000000005E-2</c:v>
                </c:pt>
                <c:pt idx="16">
                  <c:v>9.9000000000000005E-2</c:v>
                </c:pt>
                <c:pt idx="17">
                  <c:v>0.15890000000000001</c:v>
                </c:pt>
                <c:pt idx="18">
                  <c:v>0.15890000000000001</c:v>
                </c:pt>
              </c:numCache>
            </c:numRef>
          </c:xVal>
          <c:yVal>
            <c:numRef>
              <c:f>Absorción!$T$5:$T$28</c:f>
              <c:numCache>
                <c:formatCode>General</c:formatCode>
                <c:ptCount val="24"/>
                <c:pt idx="0">
                  <c:v>8.8235294117647058E-3</c:v>
                </c:pt>
                <c:pt idx="1">
                  <c:v>8.8235294117647058E-3</c:v>
                </c:pt>
                <c:pt idx="2">
                  <c:v>1.95E-2</c:v>
                </c:pt>
                <c:pt idx="3">
                  <c:v>1.95E-2</c:v>
                </c:pt>
                <c:pt idx="4">
                  <c:v>3.1E-2</c:v>
                </c:pt>
                <c:pt idx="5">
                  <c:v>3.1E-2</c:v>
                </c:pt>
                <c:pt idx="6">
                  <c:v>4.2000000000000003E-2</c:v>
                </c:pt>
                <c:pt idx="7">
                  <c:v>4.2000000000000003E-2</c:v>
                </c:pt>
                <c:pt idx="8">
                  <c:v>5.4161241258092782E-2</c:v>
                </c:pt>
                <c:pt idx="9">
                  <c:v>5.4161241258092782E-2</c:v>
                </c:pt>
                <c:pt idx="10">
                  <c:v>6.8616743585907525E-2</c:v>
                </c:pt>
                <c:pt idx="11">
                  <c:v>6.8616743585907525E-2</c:v>
                </c:pt>
                <c:pt idx="12">
                  <c:v>8.5043450776606105E-2</c:v>
                </c:pt>
                <c:pt idx="13">
                  <c:v>8.5043450776606105E-2</c:v>
                </c:pt>
                <c:pt idx="14">
                  <c:v>0.10475549940544439</c:v>
                </c:pt>
                <c:pt idx="15">
                  <c:v>0.10475549940544439</c:v>
                </c:pt>
                <c:pt idx="16">
                  <c:v>0.13892305036209746</c:v>
                </c:pt>
                <c:pt idx="17">
                  <c:v>0.13892305036209746</c:v>
                </c:pt>
                <c:pt idx="18">
                  <c:v>0.17647058823529413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0F-864F-8DC9-61444DF00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964671"/>
        <c:axId val="1304850495"/>
      </c:scatterChart>
      <c:valAx>
        <c:axId val="134196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850495"/>
        <c:crosses val="autoZero"/>
        <c:crossBetween val="midCat"/>
        <c:majorUnit val="1.0000000000000002E-2"/>
      </c:valAx>
      <c:valAx>
        <c:axId val="13048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64671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1.xml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4.xml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image" Target="../media/image3.emf"/><Relationship Id="rId7" Type="http://schemas.openxmlformats.org/officeDocument/2006/relationships/image" Target="../media/image6.emf"/><Relationship Id="rId12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5.emf"/><Relationship Id="rId11" Type="http://schemas.openxmlformats.org/officeDocument/2006/relationships/image" Target="../media/image10.emf"/><Relationship Id="rId5" Type="http://schemas.openxmlformats.org/officeDocument/2006/relationships/chart" Target="../charts/chart6.xml"/><Relationship Id="rId10" Type="http://schemas.openxmlformats.org/officeDocument/2006/relationships/image" Target="../media/image9.emf"/><Relationship Id="rId4" Type="http://schemas.openxmlformats.org/officeDocument/2006/relationships/image" Target="../media/image4.emf"/><Relationship Id="rId9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47292CB-02E9-CB4C-814B-55E0E339A22C}"/>
            </a:ext>
          </a:extLst>
        </xdr:cNvPr>
        <xdr:cNvGrpSpPr/>
      </xdr:nvGrpSpPr>
      <xdr:grpSpPr>
        <a:xfrm>
          <a:off x="2501900" y="1663700"/>
          <a:ext cx="914400" cy="3136900"/>
          <a:chOff x="3187700" y="1168400"/>
          <a:chExt cx="914400" cy="31369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8E388B0-1D43-114C-9996-9CBF9B9FF4E6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68AAF269-F688-C240-9558-9E2E3BE6144E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CDE89311-8266-D047-AEF4-792FCE056B31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C4D38A1-2385-4742-9382-CA0B2197BD81}"/>
            </a:ext>
          </a:extLst>
        </xdr:cNvPr>
        <xdr:cNvCxnSpPr>
          <a:endCxn id="2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7C21BA1-C8D7-634E-A325-31A2D4B7DC25}"/>
            </a:ext>
          </a:extLst>
        </xdr:cNvPr>
        <xdr:cNvCxnSpPr>
          <a:stCxn id="3" idx="0"/>
          <a:endCxn id="14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65E99B2-2BCA-904B-BE93-644F07BA9574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629B244-DC87-B54E-963E-970B45F0594F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5402F8F-5ADC-BA41-8F4E-D5C72E3C74AB}"/>
            </a:ext>
          </a:extLst>
        </xdr:cNvPr>
        <xdr:cNvCxnSpPr>
          <a:stCxn id="14" idx="4"/>
          <a:endCxn id="3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EB0BBEC-47CE-664C-8A11-273F1F56C8B9}"/>
            </a:ext>
          </a:extLst>
        </xdr:cNvPr>
        <xdr:cNvCxnSpPr>
          <a:stCxn id="14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2B1E6F5B-87D8-5740-9CE7-F011B34B053E}"/>
            </a:ext>
          </a:extLst>
        </xdr:cNvPr>
        <xdr:cNvCxnSpPr>
          <a:stCxn id="4" idx="4"/>
          <a:endCxn id="26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7241A1B-BBC3-8643-97C5-D972FC59C1BA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650D5ACA-EF84-DF4C-9028-70D411E61B13}"/>
            </a:ext>
          </a:extLst>
        </xdr:cNvPr>
        <xdr:cNvCxnSpPr>
          <a:stCxn id="26" idx="0"/>
          <a:endCxn id="4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A9228C3-293A-BA4F-887F-3BD0AA587CCD}"/>
            </a:ext>
          </a:extLst>
        </xdr:cNvPr>
        <xdr:cNvCxnSpPr>
          <a:stCxn id="26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13C7F14-6871-F041-AE6F-49010EB5A2DE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80916B8-14BC-2E42-B90D-B0C8A348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19DA215-8C88-8C4E-ACE1-78BD3AA5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FB9A495-D84A-204D-B549-0C4E5BA8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39D3DC4-7A80-9B43-BD6E-FAF68F34B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B317B2F-2FD0-9245-A287-68D878A1D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E59562F-9EED-CC47-81AA-0C3EB66A1888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CF45099-9A23-384E-BD8F-711319B63E63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4096D644-05C4-4F44-BB18-C98B51719AA3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F4085E7E-0D78-534B-B445-2F49CCE69D0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989DA2C-AB54-D940-AE83-4B455E489CBA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79CF2A96-691F-9A4F-8ACB-14972FA13520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83A0959-989E-0A44-B66E-E2B927335CBA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0688C1-D755-0B43-BCF5-7B87B43CD8ED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4D2DD75D-11DB-C644-AD5D-43617A0CE376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CCE21028-96CF-F54A-9C41-69568DE036CD}"/>
            </a:ext>
          </a:extLst>
        </xdr:cNvPr>
        <xdr:cNvCxnSpPr>
          <a:stCxn id="8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1569A43A-DE11-6344-B625-5E1C07C7269C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E20066E-26F1-6941-8AC7-97AC292BDB6C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8E2DD507-D360-F043-987F-05888E9C0B0D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FFA3A08A-7873-9741-8E84-434FE0EF0ECB}"/>
            </a:ext>
          </a:extLst>
        </xdr:cNvPr>
        <xdr:cNvCxnSpPr>
          <a:stCxn id="13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A8FD1BB-80E5-A943-8DE5-B3FF22941DB6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DDD951C-1F45-CE4C-A4A0-9F5E21CC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C930E54-9108-E74F-B8ED-7B4E2D36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F2FCB23-BA2A-A440-9764-E28989A3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32DFF0F-A5B1-104C-91A0-A7F4C307D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629D95A-E3FE-484A-B006-3BA3E37F2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38</xdr:row>
      <xdr:rowOff>38100</xdr:rowOff>
    </xdr:from>
    <xdr:to>
      <xdr:col>4</xdr:col>
      <xdr:colOff>50800</xdr:colOff>
      <xdr:row>53</xdr:row>
      <xdr:rowOff>127000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BA15ADC2-903D-9C41-8BCB-A491956CBB84}"/>
            </a:ext>
          </a:extLst>
        </xdr:cNvPr>
        <xdr:cNvGrpSpPr/>
      </xdr:nvGrpSpPr>
      <xdr:grpSpPr>
        <a:xfrm>
          <a:off x="2476500" y="7759700"/>
          <a:ext cx="876300" cy="3136900"/>
          <a:chOff x="3187700" y="1168400"/>
          <a:chExt cx="914400" cy="31369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7F222BC-40DD-5346-B113-24EC2FBBC0A8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 atm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C4AF7E1-8143-5947-A8DB-2B7FD9993378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F788E308-A7DE-3D42-BEE5-5BF2244110D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46</xdr:row>
      <xdr:rowOff>6350</xdr:rowOff>
    </xdr:from>
    <xdr:to>
      <xdr:col>2</xdr:col>
      <xdr:colOff>850900</xdr:colOff>
      <xdr:row>46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7BAAA1C-FF13-A842-98E3-03732ADAB2F9}"/>
            </a:ext>
          </a:extLst>
        </xdr:cNvPr>
        <xdr:cNvCxnSpPr>
          <a:endCxn id="2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36</xdr:row>
      <xdr:rowOff>25400</xdr:rowOff>
    </xdr:from>
    <xdr:to>
      <xdr:col>4</xdr:col>
      <xdr:colOff>495300</xdr:colOff>
      <xdr:row>38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D1C2E34A-5556-D644-A88B-B520CF17B9AC}"/>
            </a:ext>
          </a:extLst>
        </xdr:cNvPr>
        <xdr:cNvCxnSpPr>
          <a:stCxn id="24" idx="0"/>
          <a:endCxn id="2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33</xdr:row>
      <xdr:rowOff>177800</xdr:rowOff>
    </xdr:from>
    <xdr:to>
      <xdr:col>5</xdr:col>
      <xdr:colOff>584200</xdr:colOff>
      <xdr:row>38</xdr:row>
      <xdr:rowOff>76200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99F1B31-188B-2D48-863D-5E9AF1E5C10F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33</xdr:row>
      <xdr:rowOff>152400</xdr:rowOff>
    </xdr:from>
    <xdr:to>
      <xdr:col>5</xdr:col>
      <xdr:colOff>635000</xdr:colOff>
      <xdr:row>38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768E95B-7712-E149-A7F3-1071B8629FB2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38</xdr:row>
      <xdr:rowOff>76200</xdr:rowOff>
    </xdr:from>
    <xdr:to>
      <xdr:col>5</xdr:col>
      <xdr:colOff>127000</xdr:colOff>
      <xdr:row>40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4A5F0FF7-1068-4542-A50A-00D5FDEB6537}"/>
            </a:ext>
          </a:extLst>
        </xdr:cNvPr>
        <xdr:cNvCxnSpPr>
          <a:stCxn id="28" idx="4"/>
          <a:endCxn id="2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38</xdr:row>
      <xdr:rowOff>76200</xdr:rowOff>
    </xdr:from>
    <xdr:to>
      <xdr:col>9</xdr:col>
      <xdr:colOff>12700</xdr:colOff>
      <xdr:row>40</xdr:row>
      <xdr:rowOff>88900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9694C435-CDE0-8F4A-A0FA-B00D88C97F6E}"/>
            </a:ext>
          </a:extLst>
        </xdr:cNvPr>
        <xdr:cNvCxnSpPr>
          <a:stCxn id="2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53</xdr:row>
      <xdr:rowOff>127000</xdr:rowOff>
    </xdr:from>
    <xdr:to>
      <xdr:col>4</xdr:col>
      <xdr:colOff>482600</xdr:colOff>
      <xdr:row>54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F03A470B-4EC2-3741-BDC0-DA10A008D1E0}"/>
            </a:ext>
          </a:extLst>
        </xdr:cNvPr>
        <xdr:cNvCxnSpPr>
          <a:stCxn id="25" idx="4"/>
          <a:endCxn id="3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52</xdr:row>
      <xdr:rowOff>114300</xdr:rowOff>
    </xdr:from>
    <xdr:to>
      <xdr:col>5</xdr:col>
      <xdr:colOff>571500</xdr:colOff>
      <xdr:row>57</xdr:row>
      <xdr:rowOff>12700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6AA0BCE0-E80E-3945-81B1-A0D3D2E313DC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114300</xdr:colOff>
      <xdr:row>52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DCE584B0-AE88-4F4A-969C-19AB67E31DE4}"/>
            </a:ext>
          </a:extLst>
        </xdr:cNvPr>
        <xdr:cNvCxnSpPr>
          <a:stCxn id="33" idx="0"/>
          <a:endCxn id="2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51</xdr:row>
      <xdr:rowOff>76200</xdr:rowOff>
    </xdr:from>
    <xdr:to>
      <xdr:col>8</xdr:col>
      <xdr:colOff>787400</xdr:colOff>
      <xdr:row>52</xdr:row>
      <xdr:rowOff>114300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8078232E-4B2A-6C48-B555-D4106937609C}"/>
            </a:ext>
          </a:extLst>
        </xdr:cNvPr>
        <xdr:cNvCxnSpPr>
          <a:stCxn id="3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52</xdr:row>
      <xdr:rowOff>38100</xdr:rowOff>
    </xdr:from>
    <xdr:to>
      <xdr:col>5</xdr:col>
      <xdr:colOff>711200</xdr:colOff>
      <xdr:row>57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FB90E1A-3912-EC45-AFE5-B43D8AF5A650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31</xdr:row>
      <xdr:rowOff>12701</xdr:rowOff>
    </xdr:from>
    <xdr:to>
      <xdr:col>13</xdr:col>
      <xdr:colOff>868678</xdr:colOff>
      <xdr:row>33</xdr:row>
      <xdr:rowOff>123618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D2C136F-62FB-E542-9CA2-9F24C28A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34</xdr:row>
      <xdr:rowOff>177800</xdr:rowOff>
    </xdr:from>
    <xdr:to>
      <xdr:col>13</xdr:col>
      <xdr:colOff>855980</xdr:colOff>
      <xdr:row>37</xdr:row>
      <xdr:rowOff>73578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A3291A3-01BE-2A49-8A08-A0355094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31</xdr:row>
      <xdr:rowOff>12700</xdr:rowOff>
    </xdr:from>
    <xdr:to>
      <xdr:col>17</xdr:col>
      <xdr:colOff>766816</xdr:colOff>
      <xdr:row>34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D0D3671-E66F-3C46-8C86-1621A2D4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34</xdr:row>
      <xdr:rowOff>177800</xdr:rowOff>
    </xdr:from>
    <xdr:to>
      <xdr:col>17</xdr:col>
      <xdr:colOff>774700</xdr:colOff>
      <xdr:row>38</xdr:row>
      <xdr:rowOff>29384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38CB626-30F6-7F4E-BBC1-A9633F5C8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30</xdr:row>
      <xdr:rowOff>38100</xdr:rowOff>
    </xdr:from>
    <xdr:to>
      <xdr:col>30</xdr:col>
      <xdr:colOff>546100</xdr:colOff>
      <xdr:row>59</xdr:row>
      <xdr:rowOff>12700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404343E8-1949-4949-8D22-637A54074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6276755-96D6-4F4E-A3C9-250B2687E32C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FF33BFF9-0781-1F48-816D-BCE975D5F112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BBD60E1-1902-C54C-94B6-64AECB018291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5CA908F-965E-0843-A04C-28BB0E38F177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7BCE9A8-882E-EB47-942D-A1FFC00D9C5D}"/>
            </a:ext>
          </a:extLst>
        </xdr:cNvPr>
        <xdr:cNvCxnSpPr>
          <a:endCxn id="23" idx="1"/>
        </xdr:cNvCxnSpPr>
      </xdr:nvCxnSpPr>
      <xdr:spPr>
        <a:xfrm flipV="1">
          <a:off x="0" y="3257550"/>
          <a:ext cx="2501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6EB6CD07-05DA-8D4F-B105-F1B7F7B7376C}"/>
            </a:ext>
          </a:extLst>
        </xdr:cNvPr>
        <xdr:cNvCxnSpPr>
          <a:stCxn id="24" idx="0"/>
          <a:endCxn id="28" idx="2"/>
        </xdr:cNvCxnSpPr>
      </xdr:nvCxnSpPr>
      <xdr:spPr>
        <a:xfrm rot="5400000" flipH="1" flipV="1">
          <a:off x="32004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8954EC94-D385-DE4A-A7DC-2A0414EF007B}"/>
            </a:ext>
          </a:extLst>
        </xdr:cNvPr>
        <xdr:cNvSpPr/>
      </xdr:nvSpPr>
      <xdr:spPr>
        <a:xfrm>
          <a:off x="38608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D997C75-06A8-9B45-B7B2-A8F4762485A4}"/>
            </a:ext>
          </a:extLst>
        </xdr:cNvPr>
        <xdr:cNvCxnSpPr/>
      </xdr:nvCxnSpPr>
      <xdr:spPr>
        <a:xfrm flipV="1">
          <a:off x="38481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AD890CFD-739C-8B40-BA6D-389DDC8FBFE8}"/>
            </a:ext>
          </a:extLst>
        </xdr:cNvPr>
        <xdr:cNvCxnSpPr>
          <a:stCxn id="28" idx="4"/>
          <a:endCxn id="24" idx="6"/>
        </xdr:cNvCxnSpPr>
      </xdr:nvCxnSpPr>
      <xdr:spPr>
        <a:xfrm rot="5400000">
          <a:off x="36576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897311EC-B3B5-B94A-823B-5DBBC9691A1B}"/>
            </a:ext>
          </a:extLst>
        </xdr:cNvPr>
        <xdr:cNvCxnSpPr>
          <a:stCxn id="28" idx="4"/>
        </xdr:cNvCxnSpPr>
      </xdr:nvCxnSpPr>
      <xdr:spPr>
        <a:xfrm rot="16200000" flipH="1">
          <a:off x="57023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963044C5-259C-4947-83C3-14B005B5C4C8}"/>
            </a:ext>
          </a:extLst>
        </xdr:cNvPr>
        <xdr:cNvCxnSpPr>
          <a:stCxn id="25" idx="4"/>
          <a:endCxn id="33" idx="2"/>
        </xdr:cNvCxnSpPr>
      </xdr:nvCxnSpPr>
      <xdr:spPr>
        <a:xfrm rot="16200000" flipH="1">
          <a:off x="32829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4CF46D34-96F7-654A-A344-05679CAC5B11}"/>
            </a:ext>
          </a:extLst>
        </xdr:cNvPr>
        <xdr:cNvSpPr/>
      </xdr:nvSpPr>
      <xdr:spPr>
        <a:xfrm>
          <a:off x="38481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3A44CA6B-34D8-0B46-9950-D02724D6A9C8}"/>
            </a:ext>
          </a:extLst>
        </xdr:cNvPr>
        <xdr:cNvCxnSpPr>
          <a:stCxn id="33" idx="0"/>
          <a:endCxn id="25" idx="6"/>
        </xdr:cNvCxnSpPr>
      </xdr:nvCxnSpPr>
      <xdr:spPr>
        <a:xfrm rot="16200000" flipV="1">
          <a:off x="37401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C09A0D51-9F70-2641-946C-7005B794D00A}"/>
            </a:ext>
          </a:extLst>
        </xdr:cNvPr>
        <xdr:cNvCxnSpPr>
          <a:stCxn id="33" idx="0"/>
        </xdr:cNvCxnSpPr>
      </xdr:nvCxnSpPr>
      <xdr:spPr>
        <a:xfrm rot="5400000" flipH="1" flipV="1">
          <a:off x="57594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EB45682-9985-D846-A70E-4646CB126E4E}"/>
            </a:ext>
          </a:extLst>
        </xdr:cNvPr>
        <xdr:cNvCxnSpPr/>
      </xdr:nvCxnSpPr>
      <xdr:spPr>
        <a:xfrm flipH="1">
          <a:off x="36957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8535752-A565-9B4B-B4F9-B881182C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98" y="215901"/>
          <a:ext cx="24688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A6CDB23-735C-9843-B5CA-71562F0F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990600"/>
          <a:ext cx="24688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ADA8B9F-914F-0041-A733-310AACBC2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5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16BD5CF-3170-614D-861D-A67433B1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57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8436018F-A797-BB41-A64C-DB77397A5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2CFBC8-FDF3-254B-BE2F-B5392824CD9C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346ACA5-A516-0C47-B385-D73F8E4EDAB8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92E13E6E-7731-CC49-8A77-CF4A077F6DA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8FEB2545-6006-1C48-A7CB-E3058E7135D3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BA52724-1352-994F-8BE3-61AB19C7F151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189D76A3-5043-4142-B21D-8BEAA44F5337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5E83ACE-0786-454D-A289-95934703D7CF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AE22C5-2808-5A48-854C-1D78F351CCFE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D11BF8CA-F939-4B47-BC4A-2AA949F9E456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4A0161BB-A195-6E44-93DA-C2A536BACC36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61DE932-DB43-F54F-9B29-61CDD08EB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120C78D-B49E-6649-BB68-46930D88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5484B-70B5-3847-B7BC-56FA28BBE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774700</xdr:colOff>
      <xdr:row>8</xdr:row>
      <xdr:rowOff>29384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D5F450-0F4F-2A4E-9B88-D2888CC3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36800" cy="664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177800</xdr:colOff>
      <xdr:row>0</xdr:row>
      <xdr:rowOff>38100</xdr:rowOff>
    </xdr:from>
    <xdr:to>
      <xdr:col>30</xdr:col>
      <xdr:colOff>546100</xdr:colOff>
      <xdr:row>29</xdr:row>
      <xdr:rowOff>12700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3456A27-1041-144B-88EB-2010ACC42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23</xdr:row>
      <xdr:rowOff>50800</xdr:rowOff>
    </xdr:from>
    <xdr:to>
      <xdr:col>3</xdr:col>
      <xdr:colOff>635000</xdr:colOff>
      <xdr:row>29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1134778-5B3C-3741-9504-F32F3769ED00}"/>
            </a:ext>
          </a:extLst>
        </xdr:cNvPr>
        <xdr:cNvCxnSpPr/>
      </xdr:nvCxnSpPr>
      <xdr:spPr>
        <a:xfrm flipV="1">
          <a:off x="3111500" y="47244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23</xdr:row>
      <xdr:rowOff>12700</xdr:rowOff>
    </xdr:from>
    <xdr:to>
      <xdr:col>3</xdr:col>
      <xdr:colOff>165100</xdr:colOff>
      <xdr:row>29</xdr:row>
      <xdr:rowOff>25400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528DBF0-99C8-EA4D-B126-BBABAB95A47B}"/>
            </a:ext>
          </a:extLst>
        </xdr:cNvPr>
        <xdr:cNvCxnSpPr/>
      </xdr:nvCxnSpPr>
      <xdr:spPr>
        <a:xfrm>
          <a:off x="2641600" y="46863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19A438B-40E3-2E4A-BCE9-E5D3D4E84378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7DA0C25F-F873-1949-B244-269C0814085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EC81ECE6-FFC1-6D4D-A33D-A1B0D533BA55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C46F235E-431A-734B-A15F-5D197D48CB19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3A89172-B67A-5941-9A82-FE5500D67E50}"/>
            </a:ext>
          </a:extLst>
        </xdr:cNvPr>
        <xdr:cNvCxnSpPr>
          <a:endCxn id="20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7B96C87D-E806-C940-BCC0-D4FCD5C35B2B}"/>
            </a:ext>
          </a:extLst>
        </xdr:cNvPr>
        <xdr:cNvCxnSpPr>
          <a:stCxn id="21" idx="0"/>
          <a:endCxn id="25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6178A3F-1C1A-8F43-BF1D-6BCAC49A85AA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C490A00-A1E6-7044-8507-72A259A3E442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16D8BF40-0907-A84E-96CD-62F4B79653B1}"/>
            </a:ext>
          </a:extLst>
        </xdr:cNvPr>
        <xdr:cNvCxnSpPr>
          <a:stCxn id="25" idx="4"/>
          <a:endCxn id="21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E088476E-D290-3244-A78F-86243380D9D4}"/>
            </a:ext>
          </a:extLst>
        </xdr:cNvPr>
        <xdr:cNvCxnSpPr>
          <a:stCxn id="25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1</xdr:row>
      <xdr:rowOff>12701</xdr:rowOff>
    </xdr:from>
    <xdr:to>
      <xdr:col>13</xdr:col>
      <xdr:colOff>868678</xdr:colOff>
      <xdr:row>3</xdr:row>
      <xdr:rowOff>123618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9E32040-A91B-9446-9F49-B293BF9B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1298" y="215901"/>
          <a:ext cx="2430780" cy="517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</xdr:row>
      <xdr:rowOff>177800</xdr:rowOff>
    </xdr:from>
    <xdr:to>
      <xdr:col>13</xdr:col>
      <xdr:colOff>855980</xdr:colOff>
      <xdr:row>7</xdr:row>
      <xdr:rowOff>73578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BD28777-C05E-5844-A5CB-FE1D764F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8600" y="990600"/>
          <a:ext cx="2443480" cy="5053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1</xdr:row>
      <xdr:rowOff>12700</xdr:rowOff>
    </xdr:from>
    <xdr:to>
      <xdr:col>17</xdr:col>
      <xdr:colOff>766816</xdr:colOff>
      <xdr:row>4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46F1805-7BC1-3E48-B9B2-18C8F6E7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3299" y="215900"/>
          <a:ext cx="2367017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</xdr:row>
      <xdr:rowOff>177800</xdr:rowOff>
    </xdr:from>
    <xdr:to>
      <xdr:col>17</xdr:col>
      <xdr:colOff>785702</xdr:colOff>
      <xdr:row>8</xdr:row>
      <xdr:rowOff>32512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9714E13-3C36-294A-A433-25061232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1400" y="990600"/>
          <a:ext cx="2347802" cy="66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801128</xdr:colOff>
      <xdr:row>2</xdr:row>
      <xdr:rowOff>149210</xdr:rowOff>
    </xdr:from>
    <xdr:to>
      <xdr:col>31</xdr:col>
      <xdr:colOff>343927</xdr:colOff>
      <xdr:row>31</xdr:row>
      <xdr:rowOff>123812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436C73C-734A-2B49-A279-949BD88DC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23</xdr:row>
      <xdr:rowOff>50800</xdr:rowOff>
    </xdr:from>
    <xdr:to>
      <xdr:col>3</xdr:col>
      <xdr:colOff>635000</xdr:colOff>
      <xdr:row>29</xdr:row>
      <xdr:rowOff>12700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4061392-B2A4-6840-95BE-3ACE2A7D776F}"/>
            </a:ext>
          </a:extLst>
        </xdr:cNvPr>
        <xdr:cNvCxnSpPr/>
      </xdr:nvCxnSpPr>
      <xdr:spPr>
        <a:xfrm flipV="1">
          <a:off x="3111500" y="4724400"/>
          <a:ext cx="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23</xdr:row>
      <xdr:rowOff>12700</xdr:rowOff>
    </xdr:from>
    <xdr:to>
      <xdr:col>3</xdr:col>
      <xdr:colOff>165100</xdr:colOff>
      <xdr:row>29</xdr:row>
      <xdr:rowOff>25400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3A117C6-CA32-4646-8127-99AE5EEB30DE}"/>
            </a:ext>
          </a:extLst>
        </xdr:cNvPr>
        <xdr:cNvCxnSpPr/>
      </xdr:nvCxnSpPr>
      <xdr:spPr>
        <a:xfrm>
          <a:off x="2641600" y="4686300"/>
          <a:ext cx="0" cy="1231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</xdr:row>
      <xdr:rowOff>114300</xdr:rowOff>
    </xdr:from>
    <xdr:to>
      <xdr:col>8</xdr:col>
      <xdr:colOff>114300</xdr:colOff>
      <xdr:row>3</xdr:row>
      <xdr:rowOff>88900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69EA49-5EEB-544E-87F4-647D7567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" y="520700"/>
          <a:ext cx="160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88900</xdr:colOff>
      <xdr:row>18</xdr:row>
      <xdr:rowOff>63500</xdr:rowOff>
    </xdr:from>
    <xdr:to>
      <xdr:col>1</xdr:col>
      <xdr:colOff>736600</xdr:colOff>
      <xdr:row>19</xdr:row>
      <xdr:rowOff>192958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7C17C12-79DB-584A-A98D-097AA8781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21100"/>
          <a:ext cx="1473200" cy="332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215900</xdr:colOff>
      <xdr:row>16</xdr:row>
      <xdr:rowOff>127000</xdr:rowOff>
    </xdr:from>
    <xdr:to>
      <xdr:col>6</xdr:col>
      <xdr:colOff>241300</xdr:colOff>
      <xdr:row>20</xdr:row>
      <xdr:rowOff>55306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2C92B63-0552-804F-9B5A-B6B3E762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378200"/>
          <a:ext cx="850900" cy="741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520700</xdr:colOff>
      <xdr:row>17</xdr:row>
      <xdr:rowOff>88899</xdr:rowOff>
    </xdr:from>
    <xdr:to>
      <xdr:col>7</xdr:col>
      <xdr:colOff>711200</xdr:colOff>
      <xdr:row>19</xdr:row>
      <xdr:rowOff>13290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0554A5B-7C87-8241-AD2B-0143B1C3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543299"/>
          <a:ext cx="1016000" cy="33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20</xdr:row>
      <xdr:rowOff>139700</xdr:rowOff>
    </xdr:from>
    <xdr:to>
      <xdr:col>2</xdr:col>
      <xdr:colOff>413656</xdr:colOff>
      <xdr:row>22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C79AE84-65F6-4E4A-8D99-EF42C963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203700"/>
          <a:ext cx="1950356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22</xdr:row>
      <xdr:rowOff>50800</xdr:rowOff>
    </xdr:from>
    <xdr:to>
      <xdr:col>6</xdr:col>
      <xdr:colOff>685800</xdr:colOff>
      <xdr:row>23</xdr:row>
      <xdr:rowOff>25400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14647B6-368A-324B-A783-224B7BB4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4521200"/>
          <a:ext cx="1155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</xdr:row>
      <xdr:rowOff>38100</xdr:rowOff>
    </xdr:from>
    <xdr:to>
      <xdr:col>4</xdr:col>
      <xdr:colOff>50800</xdr:colOff>
      <xdr:row>66</xdr:row>
      <xdr:rowOff>127000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F532C642-7135-DB4E-B71E-B180EFA1E17F}"/>
            </a:ext>
          </a:extLst>
        </xdr:cNvPr>
        <xdr:cNvGrpSpPr/>
      </xdr:nvGrpSpPr>
      <xdr:grpSpPr>
        <a:xfrm>
          <a:off x="2476500" y="10401300"/>
          <a:ext cx="876300" cy="3136900"/>
          <a:chOff x="3187700" y="1168400"/>
          <a:chExt cx="914400" cy="3136900"/>
        </a:xfrm>
      </xdr:grpSpPr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752494C9-BBB1-C648-B733-430ADE6B4D74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8D917272-D3E1-134E-ACF3-7F34FE314C88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94ECC739-F72E-C942-8CBF-F189FC17924A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59</xdr:row>
      <xdr:rowOff>6350</xdr:rowOff>
    </xdr:from>
    <xdr:to>
      <xdr:col>2</xdr:col>
      <xdr:colOff>850900</xdr:colOff>
      <xdr:row>59</xdr:row>
      <xdr:rowOff>6350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5002ED3-9B19-1349-BB05-4794F5471877}"/>
            </a:ext>
          </a:extLst>
        </xdr:cNvPr>
        <xdr:cNvCxnSpPr>
          <a:endCxn id="44" idx="1"/>
        </xdr:cNvCxnSpPr>
      </xdr:nvCxnSpPr>
      <xdr:spPr>
        <a:xfrm flipV="1">
          <a:off x="0" y="3272064"/>
          <a:ext cx="24583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49</xdr:row>
      <xdr:rowOff>25400</xdr:rowOff>
    </xdr:from>
    <xdr:to>
      <xdr:col>4</xdr:col>
      <xdr:colOff>495300</xdr:colOff>
      <xdr:row>51</xdr:row>
      <xdr:rowOff>38100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3F987C78-B421-AF4C-A62F-36CBF47EE88A}"/>
            </a:ext>
          </a:extLst>
        </xdr:cNvPr>
        <xdr:cNvCxnSpPr>
          <a:stCxn id="45" idx="0"/>
          <a:endCxn id="49" idx="2"/>
        </xdr:cNvCxnSpPr>
      </xdr:nvCxnSpPr>
      <xdr:spPr>
        <a:xfrm rot="5400000" flipH="1" flipV="1">
          <a:off x="3104243" y="1014186"/>
          <a:ext cx="420914" cy="8926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177800</xdr:rowOff>
    </xdr:from>
    <xdr:to>
      <xdr:col>5</xdr:col>
      <xdr:colOff>584200</xdr:colOff>
      <xdr:row>51</xdr:row>
      <xdr:rowOff>76200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22172F5-C2C4-984E-8C39-44107D13DDE8}"/>
            </a:ext>
          </a:extLst>
        </xdr:cNvPr>
        <xdr:cNvSpPr/>
      </xdr:nvSpPr>
      <xdr:spPr>
        <a:xfrm>
          <a:off x="3761014" y="790121"/>
          <a:ext cx="905329" cy="918936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46</xdr:row>
      <xdr:rowOff>152400</xdr:rowOff>
    </xdr:from>
    <xdr:to>
      <xdr:col>5</xdr:col>
      <xdr:colOff>635000</xdr:colOff>
      <xdr:row>51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CD81965-1190-4441-AE3E-49C5F25A6061}"/>
            </a:ext>
          </a:extLst>
        </xdr:cNvPr>
        <xdr:cNvCxnSpPr/>
      </xdr:nvCxnSpPr>
      <xdr:spPr>
        <a:xfrm flipV="1">
          <a:off x="3748314" y="764721"/>
          <a:ext cx="968829" cy="944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51</xdr:row>
      <xdr:rowOff>76200</xdr:rowOff>
    </xdr:from>
    <xdr:to>
      <xdr:col>5</xdr:col>
      <xdr:colOff>127000</xdr:colOff>
      <xdr:row>53</xdr:row>
      <xdr:rowOff>88900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C261DF05-8208-1948-8A2D-95C7F39BF2F1}"/>
            </a:ext>
          </a:extLst>
        </xdr:cNvPr>
        <xdr:cNvCxnSpPr>
          <a:stCxn id="49" idx="4"/>
          <a:endCxn id="45" idx="6"/>
        </xdr:cNvCxnSpPr>
      </xdr:nvCxnSpPr>
      <xdr:spPr>
        <a:xfrm rot="5400000">
          <a:off x="3552372" y="1473199"/>
          <a:ext cx="420914" cy="892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51</xdr:row>
      <xdr:rowOff>76200</xdr:rowOff>
    </xdr:from>
    <xdr:to>
      <xdr:col>9</xdr:col>
      <xdr:colOff>12700</xdr:colOff>
      <xdr:row>53</xdr:row>
      <xdr:rowOff>88900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8F02D3AD-A89B-E546-B44E-0D2E238EE65F}"/>
            </a:ext>
          </a:extLst>
        </xdr:cNvPr>
        <xdr:cNvCxnSpPr>
          <a:stCxn id="49" idx="4"/>
        </xdr:cNvCxnSpPr>
      </xdr:nvCxnSpPr>
      <xdr:spPr>
        <a:xfrm rot="16200000" flipH="1">
          <a:off x="5574393" y="343807"/>
          <a:ext cx="420914" cy="315141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50798</xdr:colOff>
      <xdr:row>44</xdr:row>
      <xdr:rowOff>12701</xdr:rowOff>
    </xdr:from>
    <xdr:to>
      <xdr:col>13</xdr:col>
      <xdr:colOff>868678</xdr:colOff>
      <xdr:row>46</xdr:row>
      <xdr:rowOff>123618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97931F2-A381-6746-A0E3-F7B89DF2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512" y="216808"/>
          <a:ext cx="2412637" cy="519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38100</xdr:colOff>
      <xdr:row>47</xdr:row>
      <xdr:rowOff>177800</xdr:rowOff>
    </xdr:from>
    <xdr:to>
      <xdr:col>13</xdr:col>
      <xdr:colOff>855980</xdr:colOff>
      <xdr:row>50</xdr:row>
      <xdr:rowOff>73578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DF47248-4663-F942-BC7D-F5880EB0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8814" y="994229"/>
          <a:ext cx="2425337" cy="5080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50799</xdr:colOff>
      <xdr:row>44</xdr:row>
      <xdr:rowOff>12700</xdr:rowOff>
    </xdr:from>
    <xdr:to>
      <xdr:col>17</xdr:col>
      <xdr:colOff>766816</xdr:colOff>
      <xdr:row>47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4706AA6-856C-BA48-ABB1-B64741E6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7228" y="216807"/>
          <a:ext cx="2348874" cy="599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88900</xdr:colOff>
      <xdr:row>47</xdr:row>
      <xdr:rowOff>177800</xdr:rowOff>
    </xdr:from>
    <xdr:to>
      <xdr:col>17</xdr:col>
      <xdr:colOff>785702</xdr:colOff>
      <xdr:row>51</xdr:row>
      <xdr:rowOff>32512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B4EDB9D-7D51-BA41-AE1F-318EDD4E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5329" y="994229"/>
          <a:ext cx="2329659" cy="67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26428</xdr:colOff>
      <xdr:row>45</xdr:row>
      <xdr:rowOff>123810</xdr:rowOff>
    </xdr:from>
    <xdr:to>
      <xdr:col>31</xdr:col>
      <xdr:colOff>394727</xdr:colOff>
      <xdr:row>74</xdr:row>
      <xdr:rowOff>98412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B6BDBB8D-C05C-F442-83DF-73EB1345B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635000</xdr:colOff>
      <xdr:row>66</xdr:row>
      <xdr:rowOff>50800</xdr:rowOff>
    </xdr:from>
    <xdr:to>
      <xdr:col>3</xdr:col>
      <xdr:colOff>635000</xdr:colOff>
      <xdr:row>72</xdr:row>
      <xdr:rowOff>12700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828140C-263D-A649-8DE8-B9C6F416D292}"/>
            </a:ext>
          </a:extLst>
        </xdr:cNvPr>
        <xdr:cNvCxnSpPr/>
      </xdr:nvCxnSpPr>
      <xdr:spPr>
        <a:xfrm flipV="1">
          <a:off x="3084286" y="4745264"/>
          <a:ext cx="0" cy="1186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66</xdr:row>
      <xdr:rowOff>12700</xdr:rowOff>
    </xdr:from>
    <xdr:to>
      <xdr:col>3</xdr:col>
      <xdr:colOff>165100</xdr:colOff>
      <xdr:row>72</xdr:row>
      <xdr:rowOff>25400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EEFE315-6B4B-FC4B-8F53-57DD2887176D}"/>
            </a:ext>
          </a:extLst>
        </xdr:cNvPr>
        <xdr:cNvCxnSpPr/>
      </xdr:nvCxnSpPr>
      <xdr:spPr>
        <a:xfrm>
          <a:off x="2614386" y="4707164"/>
          <a:ext cx="0" cy="1237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45</xdr:row>
      <xdr:rowOff>114300</xdr:rowOff>
    </xdr:from>
    <xdr:to>
      <xdr:col>8</xdr:col>
      <xdr:colOff>114300</xdr:colOff>
      <xdr:row>46</xdr:row>
      <xdr:rowOff>88900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DC7C114-7A7E-264C-9AD1-F84750F79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3671" y="522514"/>
          <a:ext cx="1582058" cy="17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88900</xdr:colOff>
      <xdr:row>61</xdr:row>
      <xdr:rowOff>63500</xdr:rowOff>
    </xdr:from>
    <xdr:to>
      <xdr:col>1</xdr:col>
      <xdr:colOff>736600</xdr:colOff>
      <xdr:row>62</xdr:row>
      <xdr:rowOff>192958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916BFFF-C559-4E41-AFE6-2A44D62C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3737429"/>
          <a:ext cx="1464129" cy="333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215900</xdr:colOff>
      <xdr:row>59</xdr:row>
      <xdr:rowOff>127000</xdr:rowOff>
    </xdr:from>
    <xdr:to>
      <xdr:col>6</xdr:col>
      <xdr:colOff>241300</xdr:colOff>
      <xdr:row>63</xdr:row>
      <xdr:rowOff>55306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688ADC1-DDBC-B34A-8116-93D9308B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8043" y="3392714"/>
          <a:ext cx="841828" cy="744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520700</xdr:colOff>
      <xdr:row>60</xdr:row>
      <xdr:rowOff>88899</xdr:rowOff>
    </xdr:from>
    <xdr:to>
      <xdr:col>7</xdr:col>
      <xdr:colOff>711200</xdr:colOff>
      <xdr:row>62</xdr:row>
      <xdr:rowOff>13290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2B308431-84FA-C34C-9994-E3B89AC3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271" y="3558720"/>
          <a:ext cx="1006929" cy="332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63</xdr:row>
      <xdr:rowOff>139700</xdr:rowOff>
    </xdr:from>
    <xdr:to>
      <xdr:col>2</xdr:col>
      <xdr:colOff>413656</xdr:colOff>
      <xdr:row>65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1E0BCF7-90D0-F74A-946B-0313DAB9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221843"/>
          <a:ext cx="1932213" cy="31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355600</xdr:colOff>
      <xdr:row>65</xdr:row>
      <xdr:rowOff>50800</xdr:rowOff>
    </xdr:from>
    <xdr:to>
      <xdr:col>6</xdr:col>
      <xdr:colOff>685800</xdr:colOff>
      <xdr:row>66</xdr:row>
      <xdr:rowOff>25400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31E17EB-D6CC-3C4F-BDB9-2372F42B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743" y="4541157"/>
          <a:ext cx="1146628" cy="178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88900</xdr:colOff>
      <xdr:row>45</xdr:row>
      <xdr:rowOff>63500</xdr:rowOff>
    </xdr:from>
    <xdr:to>
      <xdr:col>29</xdr:col>
      <xdr:colOff>381000</xdr:colOff>
      <xdr:row>51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12C2D2F-BB9E-2C4A-AF99-4EF934B9228C}"/>
            </a:ext>
          </a:extLst>
        </xdr:cNvPr>
        <xdr:cNvCxnSpPr/>
      </xdr:nvCxnSpPr>
      <xdr:spPr>
        <a:xfrm>
          <a:off x="22377400" y="9207500"/>
          <a:ext cx="194310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F9756B3-996B-C74A-86C0-F2CEF3553FE1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1FC8A4F-5678-FA40-951E-A51F18ACF7BC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96B88951-321F-534A-B5A5-47B1F6142D8D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22A2055-976B-FC46-9777-67DA0FBC8E12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9F279C2-F86E-654C-AE13-6260E97BBC8A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8E04450A-C7AD-E54A-AFED-2BA41F045496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8A77CF-4F83-E841-AFCA-000068F6171E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6FD72D-53CC-E74A-BBD9-A075D8C55E06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259E191D-208A-3848-B7D4-5B82A0684392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AAEE0D51-0F4D-9D48-85BE-FCF376D888FA}"/>
            </a:ext>
          </a:extLst>
        </xdr:cNvPr>
        <xdr:cNvCxnSpPr>
          <a:stCxn id="8" idx="4"/>
        </xdr:cNvCxnSpPr>
      </xdr:nvCxnSpPr>
      <xdr:spPr>
        <a:xfrm rot="16200000" flipH="1">
          <a:off x="5638800" y="317500"/>
          <a:ext cx="419100" cy="318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69EF41F6-62B2-0E44-9D81-860DE720A607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2652B42-1F19-4C4D-8737-2FC7F2E0391B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C20E566E-BBB4-3E47-A25B-35D89EA1DDE6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8650F025-E41E-534C-94B4-F506AB7F1CD7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7B56D67-C3CC-8F47-B9EF-4A09C66C277E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30</xdr:row>
      <xdr:rowOff>50800</xdr:rowOff>
    </xdr:from>
    <xdr:to>
      <xdr:col>10</xdr:col>
      <xdr:colOff>711200</xdr:colOff>
      <xdr:row>44</xdr:row>
      <xdr:rowOff>25400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98BAB16-FAD4-A042-8DAB-B16871DEE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660400</xdr:colOff>
      <xdr:row>22</xdr:row>
      <xdr:rowOff>177800</xdr:rowOff>
    </xdr:from>
    <xdr:to>
      <xdr:col>24</xdr:col>
      <xdr:colOff>508000</xdr:colOff>
      <xdr:row>50</xdr:row>
      <xdr:rowOff>139700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E9C1630-7DEE-484C-A2AC-928D461BB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38100</xdr:rowOff>
    </xdr:from>
    <xdr:to>
      <xdr:col>4</xdr:col>
      <xdr:colOff>50800</xdr:colOff>
      <xdr:row>23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1FAC15A-FD5C-F247-823A-47A35E4EB681}"/>
            </a:ext>
          </a:extLst>
        </xdr:cNvPr>
        <xdr:cNvGrpSpPr/>
      </xdr:nvGrpSpPr>
      <xdr:grpSpPr>
        <a:xfrm>
          <a:off x="2476500" y="1663700"/>
          <a:ext cx="876300" cy="3136900"/>
          <a:chOff x="3187700" y="1168400"/>
          <a:chExt cx="914400" cy="31369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9B42072-F0C0-324C-B09C-7922CDD13253}"/>
              </a:ext>
            </a:extLst>
          </xdr:cNvPr>
          <xdr:cNvSpPr/>
        </xdr:nvSpPr>
        <xdr:spPr>
          <a:xfrm>
            <a:off x="3187700" y="1651000"/>
            <a:ext cx="914400" cy="2222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P = 101</a:t>
            </a:r>
            <a:r>
              <a:rPr lang="en-US" sz="1100" baseline="0">
                <a:solidFill>
                  <a:sysClr val="windowText" lastClr="000000"/>
                </a:solidFill>
              </a:rPr>
              <a:t> kPa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4C0821E-C30D-6F4A-9BE5-E4C569BA1D1A}"/>
              </a:ext>
            </a:extLst>
          </xdr:cNvPr>
          <xdr:cNvSpPr/>
        </xdr:nvSpPr>
        <xdr:spPr>
          <a:xfrm>
            <a:off x="3187700" y="11684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ED96E697-318E-6749-8CB9-2C9FB27EC217}"/>
              </a:ext>
            </a:extLst>
          </xdr:cNvPr>
          <xdr:cNvSpPr/>
        </xdr:nvSpPr>
        <xdr:spPr>
          <a:xfrm>
            <a:off x="3187700" y="3390900"/>
            <a:ext cx="914400" cy="914400"/>
          </a:xfrm>
          <a:prstGeom prst="ellips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16</xdr:row>
      <xdr:rowOff>6350</xdr:rowOff>
    </xdr:from>
    <xdr:to>
      <xdr:col>2</xdr:col>
      <xdr:colOff>850900</xdr:colOff>
      <xdr:row>16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8C0A33-ED1F-1244-9B30-BCF782F3131D}"/>
            </a:ext>
          </a:extLst>
        </xdr:cNvPr>
        <xdr:cNvCxnSpPr>
          <a:endCxn id="3" idx="1"/>
        </xdr:cNvCxnSpPr>
      </xdr:nvCxnSpPr>
      <xdr:spPr>
        <a:xfrm flipV="1">
          <a:off x="0" y="3257550"/>
          <a:ext cx="247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6</xdr:row>
      <xdr:rowOff>25400</xdr:rowOff>
    </xdr:from>
    <xdr:to>
      <xdr:col>4</xdr:col>
      <xdr:colOff>495300</xdr:colOff>
      <xdr:row>8</xdr:row>
      <xdr:rowOff>38100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60E818FF-E361-DD4D-B86F-4DA91505728F}"/>
            </a:ext>
          </a:extLst>
        </xdr:cNvPr>
        <xdr:cNvCxnSpPr>
          <a:stCxn id="4" idx="0"/>
          <a:endCxn id="8" idx="2"/>
        </xdr:cNvCxnSpPr>
      </xdr:nvCxnSpPr>
      <xdr:spPr>
        <a:xfrm rot="5400000" flipH="1" flipV="1">
          <a:off x="3136900" y="10033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</xdr:row>
      <xdr:rowOff>177800</xdr:rowOff>
    </xdr:from>
    <xdr:to>
      <xdr:col>5</xdr:col>
      <xdr:colOff>584200</xdr:colOff>
      <xdr:row>8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6D0874F-306C-EF46-8B05-2D68AABEFDA8}"/>
            </a:ext>
          </a:extLst>
        </xdr:cNvPr>
        <xdr:cNvSpPr/>
      </xdr:nvSpPr>
      <xdr:spPr>
        <a:xfrm>
          <a:off x="3797300" y="7874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482600</xdr:colOff>
      <xdr:row>3</xdr:row>
      <xdr:rowOff>152400</xdr:rowOff>
    </xdr:from>
    <xdr:to>
      <xdr:col>5</xdr:col>
      <xdr:colOff>635000</xdr:colOff>
      <xdr:row>8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73527FD-4D22-F640-8811-2DB090B76ED1}"/>
            </a:ext>
          </a:extLst>
        </xdr:cNvPr>
        <xdr:cNvCxnSpPr/>
      </xdr:nvCxnSpPr>
      <xdr:spPr>
        <a:xfrm flipV="1">
          <a:off x="3784600" y="762000"/>
          <a:ext cx="9779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8</xdr:row>
      <xdr:rowOff>76200</xdr:rowOff>
    </xdr:from>
    <xdr:to>
      <xdr:col>5</xdr:col>
      <xdr:colOff>127000</xdr:colOff>
      <xdr:row>10</xdr:row>
      <xdr:rowOff>88900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C0E24A53-AE23-A64C-8BC2-CD73F8ECCD4A}"/>
            </a:ext>
          </a:extLst>
        </xdr:cNvPr>
        <xdr:cNvCxnSpPr>
          <a:stCxn id="8" idx="4"/>
          <a:endCxn id="4" idx="6"/>
        </xdr:cNvCxnSpPr>
      </xdr:nvCxnSpPr>
      <xdr:spPr>
        <a:xfrm rot="5400000">
          <a:off x="3594100" y="1460500"/>
          <a:ext cx="419100" cy="901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8</xdr:row>
      <xdr:rowOff>76200</xdr:rowOff>
    </xdr:from>
    <xdr:to>
      <xdr:col>9</xdr:col>
      <xdr:colOff>12700</xdr:colOff>
      <xdr:row>10</xdr:row>
      <xdr:rowOff>88900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B732BBEF-5FA0-2340-B226-1C69E5D68C81}"/>
            </a:ext>
          </a:extLst>
        </xdr:cNvPr>
        <xdr:cNvCxnSpPr>
          <a:stCxn id="8" idx="4"/>
        </xdr:cNvCxnSpPr>
      </xdr:nvCxnSpPr>
      <xdr:spPr>
        <a:xfrm rot="16200000" flipH="1">
          <a:off x="5727700" y="228600"/>
          <a:ext cx="419100" cy="3365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23</xdr:row>
      <xdr:rowOff>127000</xdr:rowOff>
    </xdr:from>
    <xdr:to>
      <xdr:col>4</xdr:col>
      <xdr:colOff>482600</xdr:colOff>
      <xdr:row>24</xdr:row>
      <xdr:rowOff>165100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7268F1E9-36C0-F24F-AC14-CE0BEB4D2CC3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3219450" y="44767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482600</xdr:colOff>
      <xdr:row>22</xdr:row>
      <xdr:rowOff>114300</xdr:rowOff>
    </xdr:from>
    <xdr:to>
      <xdr:col>5</xdr:col>
      <xdr:colOff>571500</xdr:colOff>
      <xdr:row>27</xdr:row>
      <xdr:rowOff>12700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EE57C67-869F-394C-9914-ADFAF59B6F8A}"/>
            </a:ext>
          </a:extLst>
        </xdr:cNvPr>
        <xdr:cNvSpPr/>
      </xdr:nvSpPr>
      <xdr:spPr>
        <a:xfrm>
          <a:off x="3784600" y="4584700"/>
          <a:ext cx="914400" cy="91440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50800</xdr:colOff>
      <xdr:row>21</xdr:row>
      <xdr:rowOff>76200</xdr:rowOff>
    </xdr:from>
    <xdr:to>
      <xdr:col>5</xdr:col>
      <xdr:colOff>114300</xdr:colOff>
      <xdr:row>22</xdr:row>
      <xdr:rowOff>114300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4198BA8A-1A0B-014E-9F3A-4D7D2FF9C8D7}"/>
            </a:ext>
          </a:extLst>
        </xdr:cNvPr>
        <xdr:cNvCxnSpPr>
          <a:stCxn id="13" idx="0"/>
          <a:endCxn id="5" idx="6"/>
        </xdr:cNvCxnSpPr>
      </xdr:nvCxnSpPr>
      <xdr:spPr>
        <a:xfrm rot="16200000" flipV="1">
          <a:off x="3676650" y="4019550"/>
          <a:ext cx="241300" cy="88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21</xdr:row>
      <xdr:rowOff>76200</xdr:rowOff>
    </xdr:from>
    <xdr:to>
      <xdr:col>8</xdr:col>
      <xdr:colOff>787400</xdr:colOff>
      <xdr:row>22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B6CB533B-3C47-4F45-9D09-0D1C6980B50A}"/>
            </a:ext>
          </a:extLst>
        </xdr:cNvPr>
        <xdr:cNvCxnSpPr>
          <a:stCxn id="13" idx="0"/>
        </xdr:cNvCxnSpPr>
      </xdr:nvCxnSpPr>
      <xdr:spPr>
        <a:xfrm rot="5400000" flipH="1" flipV="1">
          <a:off x="5695950" y="2889250"/>
          <a:ext cx="241300" cy="31496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</xdr:row>
      <xdr:rowOff>38100</xdr:rowOff>
    </xdr:from>
    <xdr:to>
      <xdr:col>5</xdr:col>
      <xdr:colOff>711200</xdr:colOff>
      <xdr:row>27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3B947C9-B6B9-304B-89C4-FBD9DB803055}"/>
            </a:ext>
          </a:extLst>
        </xdr:cNvPr>
        <xdr:cNvCxnSpPr/>
      </xdr:nvCxnSpPr>
      <xdr:spPr>
        <a:xfrm flipH="1">
          <a:off x="3632200" y="4508500"/>
          <a:ext cx="12065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1</xdr:row>
      <xdr:rowOff>25400</xdr:rowOff>
    </xdr:from>
    <xdr:to>
      <xdr:col>25</xdr:col>
      <xdr:colOff>203200</xdr:colOff>
      <xdr:row>30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AA6721-B787-3643-8CE0-2A6BCD530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28</xdr:row>
      <xdr:rowOff>165100</xdr:rowOff>
    </xdr:from>
    <xdr:to>
      <xdr:col>22</xdr:col>
      <xdr:colOff>520700</xdr:colOff>
      <xdr:row>42</xdr:row>
      <xdr:rowOff>63500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692F070-8667-064A-89C9-85D38A0AD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</xdr:row>
      <xdr:rowOff>12700</xdr:rowOff>
    </xdr:from>
    <xdr:to>
      <xdr:col>4</xdr:col>
      <xdr:colOff>25400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3B3AF99-36D8-F942-9BC1-B8F346024136}"/>
            </a:ext>
          </a:extLst>
        </xdr:cNvPr>
        <xdr:cNvSpPr/>
      </xdr:nvSpPr>
      <xdr:spPr>
        <a:xfrm>
          <a:off x="2489200" y="1028700"/>
          <a:ext cx="838200" cy="181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3</xdr:row>
      <xdr:rowOff>0</xdr:rowOff>
    </xdr:from>
    <xdr:to>
      <xdr:col>3</xdr:col>
      <xdr:colOff>228600</xdr:colOff>
      <xdr:row>5</xdr:row>
      <xdr:rowOff>5080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B0C3B30-2AA5-574C-A743-9D5B4A1A0BE4}"/>
            </a:ext>
          </a:extLst>
        </xdr:cNvPr>
        <xdr:cNvCxnSpPr/>
      </xdr:nvCxnSpPr>
      <xdr:spPr>
        <a:xfrm>
          <a:off x="2705100" y="60960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3</xdr:row>
      <xdr:rowOff>0</xdr:rowOff>
    </xdr:from>
    <xdr:to>
      <xdr:col>3</xdr:col>
      <xdr:colOff>228600</xdr:colOff>
      <xdr:row>3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63FF94C-BF0C-C847-A8E2-FF87812DA92C}"/>
            </a:ext>
          </a:extLst>
        </xdr:cNvPr>
        <xdr:cNvCxnSpPr/>
      </xdr:nvCxnSpPr>
      <xdr:spPr>
        <a:xfrm flipH="1">
          <a:off x="1866900" y="60960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3</xdr:row>
      <xdr:rowOff>0</xdr:rowOff>
    </xdr:from>
    <xdr:to>
      <xdr:col>3</xdr:col>
      <xdr:colOff>622300</xdr:colOff>
      <xdr:row>5</xdr:row>
      <xdr:rowOff>41656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49DC45-1A16-7042-9586-73DFD9760425}"/>
            </a:ext>
          </a:extLst>
        </xdr:cNvPr>
        <xdr:cNvCxnSpPr/>
      </xdr:nvCxnSpPr>
      <xdr:spPr>
        <a:xfrm flipV="1">
          <a:off x="3098800" y="609600"/>
          <a:ext cx="0" cy="4480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3</xdr:row>
      <xdr:rowOff>0</xdr:rowOff>
    </xdr:from>
    <xdr:to>
      <xdr:col>5</xdr:col>
      <xdr:colOff>25400</xdr:colOff>
      <xdr:row>3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B491CB0-2BA0-C448-B345-6AC533B43BE2}"/>
            </a:ext>
          </a:extLst>
        </xdr:cNvPr>
        <xdr:cNvCxnSpPr/>
      </xdr:nvCxnSpPr>
      <xdr:spPr>
        <a:xfrm>
          <a:off x="3098800" y="609600"/>
          <a:ext cx="1054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16</xdr:row>
      <xdr:rowOff>12700</xdr:rowOff>
    </xdr:from>
    <xdr:to>
      <xdr:col>3</xdr:col>
      <xdr:colOff>259080</xdr:colOff>
      <xdr:row>16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A9DEBCC-2DA0-7540-808D-3B667F88FD9B}"/>
            </a:ext>
          </a:extLst>
        </xdr:cNvPr>
        <xdr:cNvCxnSpPr/>
      </xdr:nvCxnSpPr>
      <xdr:spPr>
        <a:xfrm flipH="1">
          <a:off x="1638300" y="3263900"/>
          <a:ext cx="1097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254000</xdr:colOff>
      <xdr:row>14</xdr:row>
      <xdr:rowOff>0</xdr:rowOff>
    </xdr:from>
    <xdr:to>
      <xdr:col>3</xdr:col>
      <xdr:colOff>254000</xdr:colOff>
      <xdr:row>16</xdr:row>
      <xdr:rowOff>5080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F588DF4-8C3D-DD49-9724-5769DB1616FE}"/>
            </a:ext>
          </a:extLst>
        </xdr:cNvPr>
        <xdr:cNvCxnSpPr/>
      </xdr:nvCxnSpPr>
      <xdr:spPr>
        <a:xfrm flipV="1">
          <a:off x="2730500" y="2844800"/>
          <a:ext cx="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13</xdr:row>
      <xdr:rowOff>190500</xdr:rowOff>
    </xdr:from>
    <xdr:to>
      <xdr:col>3</xdr:col>
      <xdr:colOff>596900</xdr:colOff>
      <xdr:row>16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3CC43BC-CB22-A349-BA35-A2A279841F6B}"/>
            </a:ext>
          </a:extLst>
        </xdr:cNvPr>
        <xdr:cNvCxnSpPr/>
      </xdr:nvCxnSpPr>
      <xdr:spPr>
        <a:xfrm flipV="1">
          <a:off x="3073400" y="28321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16</xdr:row>
      <xdr:rowOff>0</xdr:rowOff>
    </xdr:from>
    <xdr:to>
      <xdr:col>5</xdr:col>
      <xdr:colOff>12700</xdr:colOff>
      <xdr:row>16</xdr:row>
      <xdr:rowOff>12700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94F2F94-48BA-1241-A1E4-2E6F32115CF5}"/>
            </a:ext>
          </a:extLst>
        </xdr:cNvPr>
        <xdr:cNvCxnSpPr/>
      </xdr:nvCxnSpPr>
      <xdr:spPr>
        <a:xfrm flipH="1" flipV="1">
          <a:off x="3073400" y="3251200"/>
          <a:ext cx="1066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762000</xdr:colOff>
      <xdr:row>0</xdr:row>
      <xdr:rowOff>12700</xdr:rowOff>
    </xdr:from>
    <xdr:to>
      <xdr:col>17</xdr:col>
      <xdr:colOff>139700</xdr:colOff>
      <xdr:row>10</xdr:row>
      <xdr:rowOff>139700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5CB0D24-7BD7-9646-9277-4FCE64342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292100</xdr:colOff>
      <xdr:row>19</xdr:row>
      <xdr:rowOff>14484</xdr:rowOff>
    </xdr:from>
    <xdr:to>
      <xdr:col>7</xdr:col>
      <xdr:colOff>228600</xdr:colOff>
      <xdr:row>34</xdr:row>
      <xdr:rowOff>75885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3C46B-9292-9644-8439-131839B6A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" y="3875284"/>
          <a:ext cx="5715000" cy="3109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FBEB-1799-BA4E-A048-B472F0C45AA0}">
  <dimension ref="A1:AJ30"/>
  <sheetViews>
    <sheetView topLeftCell="T1" workbookViewId="0">
      <selection activeCell="AJ2" sqref="AJ2:AJ30"/>
    </sheetView>
  </sheetViews>
  <sheetFormatPr baseColWidth="10" defaultRowHeight="16" x14ac:dyDescent="0.2"/>
  <cols>
    <col min="3" max="3" width="11.6640625" bestFit="1" customWidth="1"/>
    <col min="14" max="14" width="11.5" bestFit="1" customWidth="1"/>
    <col min="18" max="18" width="12.83203125" bestFit="1" customWidth="1"/>
  </cols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v>0.8</v>
      </c>
      <c r="AI2" s="32">
        <v>0.8</v>
      </c>
      <c r="AJ2">
        <v>1</v>
      </c>
    </row>
    <row r="3" spans="1:36" x14ac:dyDescent="0.2">
      <c r="A3" s="1" t="s">
        <v>0</v>
      </c>
      <c r="B3" s="2" t="s">
        <v>1</v>
      </c>
      <c r="C3" s="2" t="s">
        <v>4</v>
      </c>
      <c r="D3" s="2"/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2">
        <v>0.77132544326241148</v>
      </c>
      <c r="AI3" s="32">
        <v>0.8</v>
      </c>
    </row>
    <row r="4" spans="1:36" x14ac:dyDescent="0.2">
      <c r="A4" s="1">
        <v>1</v>
      </c>
      <c r="B4" s="2" t="s">
        <v>2</v>
      </c>
      <c r="C4" s="2">
        <v>46.07</v>
      </c>
      <c r="D4" s="2"/>
      <c r="E4" s="2"/>
      <c r="F4" s="2"/>
      <c r="G4" s="2"/>
      <c r="H4" s="2"/>
      <c r="I4" s="3"/>
      <c r="J4" s="10">
        <v>1.9E-2</v>
      </c>
      <c r="K4" s="11">
        <v>0.17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v>0.77132544326241148</v>
      </c>
      <c r="AI4" s="32">
        <v>0.78206497762105887</v>
      </c>
      <c r="AJ4">
        <v>2</v>
      </c>
    </row>
    <row r="5" spans="1:36" x14ac:dyDescent="0.2">
      <c r="A5" s="1">
        <v>2</v>
      </c>
      <c r="B5" s="2" t="s">
        <v>3</v>
      </c>
      <c r="C5" s="2">
        <v>18.010000000000002</v>
      </c>
      <c r="D5" s="2"/>
      <c r="E5" s="2"/>
      <c r="F5" s="2"/>
      <c r="G5" s="2"/>
      <c r="H5" s="2"/>
      <c r="I5" s="3"/>
      <c r="J5" s="10">
        <v>7.2099999999999997E-2</v>
      </c>
      <c r="K5" s="11">
        <v>0.3891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v>0.74793677489412913</v>
      </c>
      <c r="AI5" s="32">
        <v>0.78206497762105887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9.6600000000000005E-2</v>
      </c>
      <c r="K6" s="11">
        <v>0.4375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v>0.74793677489412913</v>
      </c>
      <c r="AI6" s="32">
        <v>0.76743611013977364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0.12379999999999999</v>
      </c>
      <c r="K7" s="11">
        <v>0.47039999999999998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v>0.72401093509092906</v>
      </c>
      <c r="AI7" s="32">
        <v>0.76743611013977364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0.1661</v>
      </c>
      <c r="K8" s="11">
        <v>0.50890000000000002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v>0.72401093509092906</v>
      </c>
      <c r="AI8" s="32">
        <v>0.7524712590269107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0.8</v>
      </c>
      <c r="I9" s="3"/>
      <c r="J9" s="10">
        <v>0.23369999999999999</v>
      </c>
      <c r="K9" s="11">
        <v>0.54449999999999998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0.69933633174437126</v>
      </c>
      <c r="AI9" s="32">
        <v>0.7524712590269107</v>
      </c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0.26079999999999998</v>
      </c>
      <c r="K10" s="11">
        <v>0.55800000000000005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0.02</v>
      </c>
      <c r="V10" s="27">
        <f>H24</f>
        <v>0.02</v>
      </c>
      <c r="W10" s="28"/>
      <c r="AG10" s="34" t="s">
        <v>39</v>
      </c>
      <c r="AH10" s="32">
        <v>0.69933633174437126</v>
      </c>
      <c r="AI10" s="32">
        <v>0.73703808015471917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0.32729999999999998</v>
      </c>
      <c r="K11" s="11">
        <v>0.58260000000000001</v>
      </c>
      <c r="L11" s="14"/>
      <c r="M11" s="15"/>
      <c r="N11" s="15"/>
      <c r="O11" s="16"/>
      <c r="P11" s="76" t="s">
        <v>30</v>
      </c>
      <c r="Q11" s="77"/>
      <c r="R11" s="77"/>
      <c r="S11" s="78"/>
      <c r="T11" s="26" t="s">
        <v>25</v>
      </c>
      <c r="U11" s="27">
        <f>((1 / (F12 + 1)) * H9 - (1 / ( 1- S14)) * B13) / (-F12 / (F12 + 1) + S14 / (S14 - 1))</f>
        <v>0.17053045186640473</v>
      </c>
      <c r="V11" s="27">
        <f>R24</f>
        <v>0.40628683693516709</v>
      </c>
      <c r="W11" s="28"/>
      <c r="AG11" s="34" t="s">
        <v>40</v>
      </c>
      <c r="AH11" s="32">
        <v>0.6735293394108739</v>
      </c>
      <c r="AI11" s="32">
        <v>0.73703808015471917</v>
      </c>
    </row>
    <row r="12" spans="1:36" x14ac:dyDescent="0.2">
      <c r="A12" s="4" t="s">
        <v>5</v>
      </c>
      <c r="B12" s="2">
        <v>1000</v>
      </c>
      <c r="C12" s="2" t="s">
        <v>8</v>
      </c>
      <c r="D12" s="2"/>
      <c r="E12" s="5" t="s">
        <v>10</v>
      </c>
      <c r="F12" s="2">
        <v>1.67</v>
      </c>
      <c r="G12" s="2"/>
      <c r="H12" s="2"/>
      <c r="I12" s="3"/>
      <c r="J12" s="10">
        <v>0.39650000000000002</v>
      </c>
      <c r="K12" s="11">
        <v>0.61219999999999997</v>
      </c>
      <c r="L12" s="14"/>
      <c r="M12" s="15"/>
      <c r="N12" s="15"/>
      <c r="O12" s="16"/>
      <c r="P12" s="20" t="s">
        <v>31</v>
      </c>
      <c r="Q12" s="21">
        <f>(B13 / C5) / (B13 / C5 + (1 - B13) / C4)</f>
        <v>0.39006011345356018</v>
      </c>
      <c r="R12" s="21" t="s">
        <v>32</v>
      </c>
      <c r="S12" s="22">
        <f>(H9 / C4) / (H9 / C4 + (1 - H9) / C5)</f>
        <v>0.60993988654643982</v>
      </c>
      <c r="T12" s="26"/>
      <c r="U12" s="27"/>
      <c r="V12" s="27"/>
      <c r="W12" s="28"/>
      <c r="AG12" s="34" t="s">
        <v>39</v>
      </c>
      <c r="AH12" s="32">
        <v>0.6735293394108739</v>
      </c>
      <c r="AI12" s="32">
        <v>0.72089662802103349</v>
      </c>
      <c r="AJ12">
        <v>6</v>
      </c>
    </row>
    <row r="13" spans="1:36" x14ac:dyDescent="0.2">
      <c r="A13" s="4" t="s">
        <v>6</v>
      </c>
      <c r="B13" s="2">
        <v>0.2</v>
      </c>
      <c r="C13" s="2"/>
      <c r="D13" s="2"/>
      <c r="E13" s="82" t="s">
        <v>12</v>
      </c>
      <c r="F13" s="82"/>
      <c r="G13" s="82"/>
      <c r="H13" s="2"/>
      <c r="I13" s="3"/>
      <c r="J13" s="10">
        <v>0.51980000000000004</v>
      </c>
      <c r="K13" s="11">
        <v>0.65990000000000004</v>
      </c>
      <c r="L13" s="64" t="s">
        <v>27</v>
      </c>
      <c r="M13" s="65"/>
      <c r="N13" s="65"/>
      <c r="O13" s="66"/>
      <c r="P13" s="20" t="s">
        <v>33</v>
      </c>
      <c r="Q13" s="21">
        <v>290</v>
      </c>
      <c r="R13" s="21" t="s">
        <v>35</v>
      </c>
      <c r="S13" s="22">
        <v>80</v>
      </c>
      <c r="T13" s="26"/>
      <c r="U13" s="27"/>
      <c r="V13" s="27"/>
      <c r="W13" s="28"/>
      <c r="AG13" s="34" t="s">
        <v>40</v>
      </c>
      <c r="AH13" s="32">
        <v>0.64293772700309826</v>
      </c>
      <c r="AI13" s="32">
        <v>0.72089662802103349</v>
      </c>
    </row>
    <row r="14" spans="1:36" x14ac:dyDescent="0.2">
      <c r="A14" s="4" t="s">
        <v>7</v>
      </c>
      <c r="B14" s="2">
        <v>80</v>
      </c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0.57320000000000004</v>
      </c>
      <c r="K14" s="11">
        <v>0.68410000000000004</v>
      </c>
      <c r="L14" s="14"/>
      <c r="M14" s="15"/>
      <c r="N14" s="15"/>
      <c r="O14" s="16"/>
      <c r="P14" s="20" t="s">
        <v>34</v>
      </c>
      <c r="Q14" s="21">
        <v>50</v>
      </c>
      <c r="R14" s="21" t="s">
        <v>36</v>
      </c>
      <c r="S14" s="22">
        <f>(Q13 - S13) / (Q13 - Q14)</f>
        <v>0.875</v>
      </c>
      <c r="T14" s="26"/>
      <c r="U14" s="27"/>
      <c r="V14" s="27"/>
      <c r="W14" s="28"/>
      <c r="AG14" s="34" t="s">
        <v>39</v>
      </c>
      <c r="AH14" s="32">
        <v>0.64293772700309826</v>
      </c>
      <c r="AI14" s="32">
        <v>0.70176254835025254</v>
      </c>
      <c r="AJ14">
        <v>7</v>
      </c>
    </row>
    <row r="15" spans="1:36" x14ac:dyDescent="0.2">
      <c r="A15" s="1"/>
      <c r="B15" s="2"/>
      <c r="C15" s="2"/>
      <c r="D15" s="2"/>
      <c r="E15" s="82" t="s">
        <v>13</v>
      </c>
      <c r="F15" s="82"/>
      <c r="G15" s="82"/>
      <c r="H15" s="2"/>
      <c r="I15" s="3"/>
      <c r="J15" s="10">
        <v>0.67630000000000001</v>
      </c>
      <c r="K15" s="11">
        <v>0.73850000000000005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>
        <v>0.60667442527409987</v>
      </c>
      <c r="AI15" s="32">
        <v>0.70176254835025254</v>
      </c>
    </row>
    <row r="16" spans="1:36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>
        <v>0.74719999999999998</v>
      </c>
      <c r="K16" s="11">
        <v>0.78149999999999997</v>
      </c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2">
        <v>0.60667442527409987</v>
      </c>
      <c r="AI16" s="32">
        <v>0.67908100756844447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0.89429999999999998</v>
      </c>
      <c r="K17" s="11">
        <v>0.89429999999999998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>
        <v>0.56212503322954277</v>
      </c>
      <c r="AI17" s="32">
        <v>0.67908100756844447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>
        <v>1</v>
      </c>
      <c r="K18" s="11">
        <v>1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>
        <v>0.56212503322954277</v>
      </c>
      <c r="AI18" s="32">
        <v>0.65121678108364667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>
        <v>0.49735469827282247</v>
      </c>
      <c r="AI19" s="32">
        <v>0.65121678108364667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0.8</v>
      </c>
      <c r="N20" s="15">
        <f>H9</f>
        <v>0.8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>
        <v>0.49735469827282247</v>
      </c>
      <c r="AI20" s="32">
        <v>0.61070499854517357</v>
      </c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0.29962546816479402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>
        <v>0.39300492903128431</v>
      </c>
      <c r="AI21" s="32">
        <v>0.61070499854517357</v>
      </c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>
        <v>0.39300492903128431</v>
      </c>
      <c r="AI22" s="32">
        <v>0.54543753988099053</v>
      </c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0.2</v>
      </c>
      <c r="R23" s="21">
        <f>B13</f>
        <v>0.2</v>
      </c>
      <c r="S23" s="22"/>
      <c r="T23" s="26"/>
      <c r="U23" s="27"/>
      <c r="V23" s="27"/>
      <c r="W23" s="28"/>
      <c r="AG23" s="34" t="s">
        <v>40</v>
      </c>
      <c r="AH23" s="32">
        <v>0.23558202450184026</v>
      </c>
      <c r="AI23" s="32">
        <v>0.54543753988099053</v>
      </c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v>0.02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U11</f>
        <v>0.17053045186640473</v>
      </c>
      <c r="R24" s="21">
        <f>S14 / (S14 - 1) * Q24 + 1 / (1 - S14) * B13</f>
        <v>0.40628683693516709</v>
      </c>
      <c r="S24" s="22"/>
      <c r="T24" s="26"/>
      <c r="U24" s="27"/>
      <c r="V24" s="27"/>
      <c r="W24" s="28"/>
      <c r="AG24" s="34" t="s">
        <v>39</v>
      </c>
      <c r="AH24" s="32">
        <v>0.23558202450184026</v>
      </c>
      <c r="AI24" s="32">
        <v>0.44697452468841692</v>
      </c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>
        <v>0.10443304168768816</v>
      </c>
      <c r="AI25" s="32">
        <v>0.44697452468841692</v>
      </c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>
        <v>0.10443304168768816</v>
      </c>
      <c r="AI26" s="32">
        <v>0.44697452468841692</v>
      </c>
      <c r="AJ26">
        <v>13</v>
      </c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>
        <v>0.10443304168768816</v>
      </c>
      <c r="AI27" s="32">
        <v>0.23666959875532817</v>
      </c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>
        <v>3.5157716539972274E-2</v>
      </c>
      <c r="AI28" s="32">
        <v>0.23666959875532817</v>
      </c>
      <c r="AJ28">
        <v>14</v>
      </c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>
        <v>3.5157716539972274E-2</v>
      </c>
      <c r="AI29" s="32">
        <v>5.8897288254885785E-2</v>
      </c>
    </row>
    <row r="30" spans="1:36" x14ac:dyDescent="0.2">
      <c r="AG30" s="34" t="s">
        <v>39</v>
      </c>
      <c r="AH30" s="32">
        <v>6.5826380990754701E-3</v>
      </c>
      <c r="AI30" s="32">
        <v>5.8897288254885785E-2</v>
      </c>
      <c r="AJ30">
        <v>15</v>
      </c>
    </row>
  </sheetData>
  <mergeCells count="13">
    <mergeCell ref="P16:S16"/>
    <mergeCell ref="T3:W3"/>
    <mergeCell ref="E13:G13"/>
    <mergeCell ref="E14:G14"/>
    <mergeCell ref="E15:G15"/>
    <mergeCell ref="E16:G16"/>
    <mergeCell ref="T1:W1"/>
    <mergeCell ref="J1:K1"/>
    <mergeCell ref="L13:O13"/>
    <mergeCell ref="A1:I1"/>
    <mergeCell ref="L1:O1"/>
    <mergeCell ref="P1:S1"/>
    <mergeCell ref="P11:S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5F9-489A-AD43-B494-D29F1E698795}">
  <dimension ref="A1:AJ59"/>
  <sheetViews>
    <sheetView workbookViewId="0">
      <selection activeCell="AJ20" sqref="AJ20:AJ30"/>
    </sheetView>
  </sheetViews>
  <sheetFormatPr baseColWidth="10" defaultRowHeight="16" x14ac:dyDescent="0.2"/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5">
        <v>0.96</v>
      </c>
      <c r="AI2" s="35">
        <v>0.96</v>
      </c>
      <c r="AJ2">
        <v>1</v>
      </c>
    </row>
    <row r="3" spans="1:36" x14ac:dyDescent="0.2">
      <c r="A3" s="1" t="s">
        <v>0</v>
      </c>
      <c r="B3" s="2" t="s">
        <v>1</v>
      </c>
      <c r="C3" s="2"/>
      <c r="D3" s="2"/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5">
        <v>0.9</v>
      </c>
      <c r="AI3" s="35">
        <v>0.96</v>
      </c>
    </row>
    <row r="4" spans="1:36" x14ac:dyDescent="0.2">
      <c r="A4" s="1">
        <v>1</v>
      </c>
      <c r="B4" s="2" t="s">
        <v>41</v>
      </c>
      <c r="C4" s="2"/>
      <c r="D4" s="2"/>
      <c r="E4" s="2"/>
      <c r="F4" s="2"/>
      <c r="G4" s="2"/>
      <c r="H4" s="2"/>
      <c r="I4" s="3"/>
      <c r="J4" s="10">
        <v>0.1</v>
      </c>
      <c r="K4" s="11">
        <v>0.21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5">
        <v>0.9</v>
      </c>
      <c r="AI4" s="35">
        <v>0.91885714285714293</v>
      </c>
      <c r="AJ4">
        <v>2</v>
      </c>
    </row>
    <row r="5" spans="1:36" x14ac:dyDescent="0.2">
      <c r="A5" s="1">
        <v>2</v>
      </c>
      <c r="B5" s="2" t="s">
        <v>42</v>
      </c>
      <c r="C5" s="2"/>
      <c r="D5" s="2"/>
      <c r="E5" s="2"/>
      <c r="F5" s="2"/>
      <c r="G5" s="2"/>
      <c r="H5" s="2"/>
      <c r="I5" s="3"/>
      <c r="J5" s="10">
        <v>0.2</v>
      </c>
      <c r="K5" s="11">
        <v>0.37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5">
        <v>0.81771428571428584</v>
      </c>
      <c r="AI5" s="35">
        <v>0.91885714285714293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0.3</v>
      </c>
      <c r="K6" s="11">
        <v>0.51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5">
        <v>0.81771428571428584</v>
      </c>
      <c r="AI6" s="35">
        <v>0.86243265306122463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0.4</v>
      </c>
      <c r="K7" s="11">
        <v>0.65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5">
        <v>0.70486530612244924</v>
      </c>
      <c r="AI7" s="35">
        <v>0.86243265306122463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>
        <v>46.51</v>
      </c>
      <c r="I8" s="3" t="s">
        <v>43</v>
      </c>
      <c r="J8" s="10">
        <v>0.5</v>
      </c>
      <c r="K8" s="11">
        <v>0.72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5">
        <v>0.70486530612244924</v>
      </c>
      <c r="AI8" s="35">
        <v>0.78505049562682228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0.96</v>
      </c>
      <c r="I9" s="3"/>
      <c r="J9" s="10">
        <v>0.6</v>
      </c>
      <c r="K9" s="11">
        <v>0.79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5">
        <v>0.59292927946688889</v>
      </c>
      <c r="AI9" s="35">
        <v>0.78505049562682228</v>
      </c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0.7</v>
      </c>
      <c r="K10" s="11">
        <v>0.86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0.16729726614346113</v>
      </c>
      <c r="V10" s="27">
        <f>H24</f>
        <v>0.16729726614346113</v>
      </c>
      <c r="W10" s="28"/>
      <c r="AG10" s="34" t="s">
        <v>39</v>
      </c>
      <c r="AH10" s="35">
        <v>0.59292927946688889</v>
      </c>
      <c r="AI10" s="35">
        <v>0.70829436306300952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0.8</v>
      </c>
      <c r="K11" s="11">
        <v>0.91</v>
      </c>
      <c r="L11" s="14"/>
      <c r="M11" s="15"/>
      <c r="N11" s="15"/>
      <c r="O11" s="16"/>
      <c r="P11" s="76"/>
      <c r="Q11" s="77"/>
      <c r="R11" s="77"/>
      <c r="S11" s="78"/>
      <c r="T11" s="26" t="s">
        <v>25</v>
      </c>
      <c r="U11" s="27">
        <f>Q23</f>
        <v>0.5</v>
      </c>
      <c r="V11" s="27">
        <f>F12 / (F12 + 1 ) * U11 + (1 / (F12 + 1)) * H9</f>
        <v>0.64457142857142857</v>
      </c>
      <c r="W11" s="28"/>
      <c r="AG11" s="34" t="s">
        <v>40</v>
      </c>
      <c r="AH11" s="35">
        <v>0.48327766151858509</v>
      </c>
      <c r="AI11" s="35">
        <v>0.70829436306300952</v>
      </c>
    </row>
    <row r="12" spans="1:36" x14ac:dyDescent="0.2">
      <c r="A12" s="4" t="s">
        <v>5</v>
      </c>
      <c r="B12" s="2">
        <v>100</v>
      </c>
      <c r="C12" s="2" t="s">
        <v>8</v>
      </c>
      <c r="D12" s="2"/>
      <c r="E12" s="5" t="s">
        <v>10</v>
      </c>
      <c r="F12" s="2">
        <f>M55 * 2</f>
        <v>2.1818181818181817</v>
      </c>
      <c r="G12" s="2"/>
      <c r="H12" s="2"/>
      <c r="I12" s="3"/>
      <c r="J12" s="10">
        <v>0.9</v>
      </c>
      <c r="K12" s="11">
        <v>0.96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5">
        <v>0.48327766151858509</v>
      </c>
      <c r="AI12" s="35">
        <v>0.70829436306300952</v>
      </c>
      <c r="AJ12">
        <v>6</v>
      </c>
    </row>
    <row r="13" spans="1:36" x14ac:dyDescent="0.2">
      <c r="A13" s="4" t="s">
        <v>6</v>
      </c>
      <c r="B13" s="2">
        <v>0.5</v>
      </c>
      <c r="C13" s="2"/>
      <c r="D13" s="2"/>
      <c r="E13" s="82" t="s">
        <v>12</v>
      </c>
      <c r="F13" s="82"/>
      <c r="G13" s="82"/>
      <c r="H13" s="2"/>
      <c r="I13" s="3"/>
      <c r="J13" s="10">
        <v>0.95</v>
      </c>
      <c r="K13" s="11">
        <v>0.98</v>
      </c>
      <c r="L13" s="64" t="s">
        <v>27</v>
      </c>
      <c r="M13" s="65"/>
      <c r="N13" s="65"/>
      <c r="O13" s="66"/>
      <c r="P13" s="20"/>
      <c r="Q13" s="21"/>
      <c r="R13" s="21"/>
      <c r="S13" s="22"/>
      <c r="T13" s="26"/>
      <c r="U13" s="27"/>
      <c r="V13" s="27"/>
      <c r="W13" s="28"/>
      <c r="AG13" s="34" t="s">
        <v>40</v>
      </c>
      <c r="AH13" s="35">
        <v>0.48327766151858509</v>
      </c>
      <c r="AI13" s="35">
        <v>0.62058260112835262</v>
      </c>
    </row>
    <row r="14" spans="1:36" x14ac:dyDescent="0.2">
      <c r="A14" s="4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1</v>
      </c>
      <c r="K14" s="11">
        <v>1</v>
      </c>
      <c r="L14" s="14"/>
      <c r="M14" s="15"/>
      <c r="N14" s="15"/>
      <c r="O14" s="16"/>
      <c r="P14" s="20"/>
      <c r="Q14" s="21"/>
      <c r="R14" s="21" t="s">
        <v>36</v>
      </c>
      <c r="S14" s="22">
        <f xml:space="preserve"> 0</f>
        <v>0</v>
      </c>
      <c r="T14" s="26"/>
      <c r="U14" s="27"/>
      <c r="V14" s="27"/>
      <c r="W14" s="28"/>
      <c r="AG14" s="34" t="s">
        <v>39</v>
      </c>
      <c r="AH14" s="35">
        <v>0.37898757223453761</v>
      </c>
      <c r="AI14" s="35">
        <v>0.62058260112835262</v>
      </c>
      <c r="AJ14">
        <v>7</v>
      </c>
    </row>
    <row r="15" spans="1:36" x14ac:dyDescent="0.2">
      <c r="A15" s="1"/>
      <c r="B15" s="2"/>
      <c r="C15" s="2"/>
      <c r="D15" s="2"/>
      <c r="E15" s="82" t="s">
        <v>13</v>
      </c>
      <c r="F15" s="82"/>
      <c r="G15" s="82"/>
      <c r="H15" s="2"/>
      <c r="I15" s="3"/>
      <c r="J15" s="10"/>
      <c r="K15" s="11"/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5">
        <v>0.37898757223453761</v>
      </c>
      <c r="AI15" s="35">
        <v>0.47097452097625658</v>
      </c>
    </row>
    <row r="16" spans="1:36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/>
      <c r="K16" s="11"/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5">
        <v>0.27212465784018325</v>
      </c>
      <c r="AI16" s="35">
        <v>0.47097452097625658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11"/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5">
        <v>0.27212465784018325</v>
      </c>
      <c r="AI17" s="35">
        <v>0.31767562582953779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11"/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5">
        <v>0.16729726614346113</v>
      </c>
      <c r="AI18" s="35">
        <v>0.31767562582953779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5">
        <v>0.16729726614346113</v>
      </c>
      <c r="AI19" s="35">
        <v>0.16729676503113894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0.96</v>
      </c>
      <c r="N20" s="15">
        <f>H9</f>
        <v>0.96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/>
      <c r="AI20" s="32"/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0.30171428571428571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/>
      <c r="AI21" s="32"/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/>
      <c r="AI22" s="32"/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>
        <v>53.48</v>
      </c>
      <c r="I23" s="3" t="s">
        <v>43</v>
      </c>
      <c r="J23" s="10"/>
      <c r="K23" s="11"/>
      <c r="L23" s="14"/>
      <c r="M23" s="15"/>
      <c r="N23" s="15"/>
      <c r="O23" s="16"/>
      <c r="P23" s="20" t="s">
        <v>24</v>
      </c>
      <c r="Q23" s="21">
        <f>B13</f>
        <v>0.5</v>
      </c>
      <c r="R23" s="21">
        <f>B13</f>
        <v>0.5</v>
      </c>
      <c r="S23" s="22"/>
      <c r="T23" s="26"/>
      <c r="U23" s="27"/>
      <c r="V23" s="27"/>
      <c r="W23" s="28"/>
      <c r="AG23" s="34" t="s">
        <v>40</v>
      </c>
      <c r="AH23" s="32"/>
      <c r="AI23" s="32"/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f>AH19</f>
        <v>0.16729726614346113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U11</f>
        <v>0.5</v>
      </c>
      <c r="R24" s="21">
        <f>V11</f>
        <v>0.64457142857142857</v>
      </c>
      <c r="S24" s="22"/>
      <c r="T24" s="26"/>
      <c r="U24" s="27"/>
      <c r="V24" s="27"/>
      <c r="W24" s="28"/>
      <c r="AG24" s="34" t="s">
        <v>39</v>
      </c>
      <c r="AH24" s="32"/>
      <c r="AI24" s="32"/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/>
      <c r="AI25" s="32"/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  <row r="31" spans="1:36" x14ac:dyDescent="0.2">
      <c r="A31" s="67" t="s">
        <v>22</v>
      </c>
      <c r="B31" s="68"/>
      <c r="C31" s="68"/>
      <c r="D31" s="68"/>
      <c r="E31" s="68"/>
      <c r="F31" s="68"/>
      <c r="G31" s="68"/>
      <c r="H31" s="68"/>
      <c r="I31" s="69"/>
      <c r="J31" s="62" t="s">
        <v>19</v>
      </c>
      <c r="K31" s="63"/>
      <c r="L31" s="70" t="s">
        <v>23</v>
      </c>
      <c r="M31" s="71"/>
      <c r="N31" s="71"/>
      <c r="O31" s="72"/>
      <c r="P31" s="73" t="s">
        <v>28</v>
      </c>
      <c r="Q31" s="74"/>
      <c r="R31" s="74"/>
      <c r="S31" s="75"/>
      <c r="T31" s="59" t="s">
        <v>37</v>
      </c>
      <c r="U31" s="60"/>
      <c r="V31" s="60"/>
      <c r="W31" s="61"/>
      <c r="AG31" s="33"/>
      <c r="AH31" s="33" t="s">
        <v>20</v>
      </c>
      <c r="AI31" s="33" t="s">
        <v>21</v>
      </c>
    </row>
    <row r="32" spans="1:36" x14ac:dyDescent="0.2">
      <c r="A32" s="1"/>
      <c r="B32" s="2"/>
      <c r="C32" s="2"/>
      <c r="D32" s="2"/>
      <c r="E32" s="2"/>
      <c r="F32" s="2"/>
      <c r="G32" s="2"/>
      <c r="H32" s="2"/>
      <c r="I32" s="3"/>
      <c r="J32" s="10" t="s">
        <v>20</v>
      </c>
      <c r="K32" s="11" t="s">
        <v>21</v>
      </c>
      <c r="L32" s="14"/>
      <c r="M32" s="15"/>
      <c r="N32" s="15"/>
      <c r="O32" s="16"/>
      <c r="P32" s="20"/>
      <c r="Q32" s="21"/>
      <c r="R32" s="21"/>
      <c r="S32" s="22"/>
      <c r="T32" s="26"/>
      <c r="U32" s="27"/>
      <c r="V32" s="27"/>
      <c r="W32" s="28"/>
      <c r="AG32" s="34" t="s">
        <v>39</v>
      </c>
      <c r="AH32" s="35"/>
      <c r="AI32" s="35"/>
    </row>
    <row r="33" spans="1:35" x14ac:dyDescent="0.2">
      <c r="A33" s="1" t="s">
        <v>0</v>
      </c>
      <c r="B33" s="2" t="s">
        <v>1</v>
      </c>
      <c r="C33" s="2"/>
      <c r="D33" s="2"/>
      <c r="E33" s="2"/>
      <c r="F33" s="2"/>
      <c r="G33" s="2"/>
      <c r="H33" s="2"/>
      <c r="I33" s="3"/>
      <c r="J33" s="10">
        <v>0</v>
      </c>
      <c r="K33" s="11">
        <v>0</v>
      </c>
      <c r="L33" s="14"/>
      <c r="M33" s="15"/>
      <c r="N33" s="15"/>
      <c r="O33" s="16"/>
      <c r="P33" s="20"/>
      <c r="Q33" s="21"/>
      <c r="R33" s="21"/>
      <c r="S33" s="22"/>
      <c r="T33" s="79" t="s">
        <v>38</v>
      </c>
      <c r="U33" s="80"/>
      <c r="V33" s="80"/>
      <c r="W33" s="81"/>
      <c r="AG33" s="34" t="s">
        <v>40</v>
      </c>
      <c r="AH33" s="35"/>
      <c r="AI33" s="35"/>
    </row>
    <row r="34" spans="1:35" x14ac:dyDescent="0.2">
      <c r="A34" s="1">
        <v>1</v>
      </c>
      <c r="B34" s="2" t="s">
        <v>41</v>
      </c>
      <c r="C34" s="2"/>
      <c r="D34" s="2"/>
      <c r="E34" s="2"/>
      <c r="F34" s="2"/>
      <c r="G34" s="2"/>
      <c r="H34" s="2"/>
      <c r="I34" s="3"/>
      <c r="J34" s="10">
        <v>0.1</v>
      </c>
      <c r="K34" s="11">
        <v>0.21</v>
      </c>
      <c r="L34" s="14"/>
      <c r="M34" s="15"/>
      <c r="N34" s="15"/>
      <c r="O34" s="16"/>
      <c r="P34" s="20"/>
      <c r="Q34" s="21"/>
      <c r="R34" s="21"/>
      <c r="S34" s="22"/>
      <c r="T34" s="26"/>
      <c r="U34" s="27"/>
      <c r="V34" s="27"/>
      <c r="W34" s="28"/>
      <c r="AG34" s="34" t="s">
        <v>39</v>
      </c>
      <c r="AH34" s="35"/>
      <c r="AI34" s="35"/>
    </row>
    <row r="35" spans="1:35" x14ac:dyDescent="0.2">
      <c r="A35" s="1">
        <v>2</v>
      </c>
      <c r="B35" s="2" t="s">
        <v>42</v>
      </c>
      <c r="C35" s="2"/>
      <c r="D35" s="2"/>
      <c r="E35" s="2"/>
      <c r="F35" s="2"/>
      <c r="G35" s="2"/>
      <c r="H35" s="2"/>
      <c r="I35" s="3"/>
      <c r="J35" s="10">
        <v>0.2</v>
      </c>
      <c r="K35" s="11">
        <v>0.37</v>
      </c>
      <c r="L35" s="14"/>
      <c r="M35" s="15"/>
      <c r="N35" s="15"/>
      <c r="O35" s="16"/>
      <c r="P35" s="20"/>
      <c r="Q35" s="21"/>
      <c r="R35" s="21"/>
      <c r="S35" s="22"/>
      <c r="T35" s="26"/>
      <c r="U35" s="27" t="s">
        <v>20</v>
      </c>
      <c r="V35" s="27" t="s">
        <v>21</v>
      </c>
      <c r="W35" s="28"/>
      <c r="AG35" s="34" t="s">
        <v>40</v>
      </c>
      <c r="AH35" s="35"/>
      <c r="AI35" s="35"/>
    </row>
    <row r="36" spans="1:35" x14ac:dyDescent="0.2">
      <c r="A36" s="1"/>
      <c r="B36" s="2"/>
      <c r="C36" s="2"/>
      <c r="D36" s="2"/>
      <c r="E36" s="2"/>
      <c r="F36" s="2"/>
      <c r="G36" s="2"/>
      <c r="H36" s="2"/>
      <c r="I36" s="3"/>
      <c r="J36" s="10">
        <v>0.3</v>
      </c>
      <c r="K36" s="11">
        <v>0.51</v>
      </c>
      <c r="L36" s="14"/>
      <c r="M36" s="15"/>
      <c r="N36" s="15"/>
      <c r="O36" s="16"/>
      <c r="P36" s="20"/>
      <c r="Q36" s="21"/>
      <c r="R36" s="21"/>
      <c r="S36" s="22"/>
      <c r="T36" s="26" t="s">
        <v>24</v>
      </c>
      <c r="U36" s="27" t="s">
        <v>18</v>
      </c>
      <c r="V36" s="27" t="s">
        <v>18</v>
      </c>
      <c r="W36" s="28"/>
      <c r="AG36" s="34" t="s">
        <v>39</v>
      </c>
      <c r="AH36" s="35"/>
      <c r="AI36" s="35"/>
    </row>
    <row r="37" spans="1:35" x14ac:dyDescent="0.2">
      <c r="A37" s="1"/>
      <c r="B37" s="2"/>
      <c r="C37" s="2"/>
      <c r="D37" s="2"/>
      <c r="E37" s="2"/>
      <c r="F37" s="2"/>
      <c r="G37" s="2"/>
      <c r="H37" s="2"/>
      <c r="I37" s="3"/>
      <c r="J37" s="10">
        <v>0.4</v>
      </c>
      <c r="K37" s="11">
        <v>0.65</v>
      </c>
      <c r="L37" s="14"/>
      <c r="M37" s="15"/>
      <c r="N37" s="15"/>
      <c r="O37" s="16"/>
      <c r="P37" s="20"/>
      <c r="Q37" s="21"/>
      <c r="R37" s="21"/>
      <c r="S37" s="22"/>
      <c r="T37" s="26" t="s">
        <v>25</v>
      </c>
      <c r="U37" s="27" t="s">
        <v>20</v>
      </c>
      <c r="V37" s="27" t="s">
        <v>21</v>
      </c>
      <c r="W37" s="28"/>
      <c r="AG37" s="34" t="s">
        <v>40</v>
      </c>
      <c r="AH37" s="35"/>
      <c r="AI37" s="35"/>
    </row>
    <row r="38" spans="1:35" x14ac:dyDescent="0.2">
      <c r="A38" s="1"/>
      <c r="B38" s="2"/>
      <c r="C38" s="2"/>
      <c r="D38" s="2"/>
      <c r="E38" s="2"/>
      <c r="F38" s="2"/>
      <c r="G38" s="2" t="s">
        <v>15</v>
      </c>
      <c r="H38" s="2">
        <v>46.51</v>
      </c>
      <c r="I38" s="3" t="s">
        <v>43</v>
      </c>
      <c r="J38" s="10">
        <v>0.5</v>
      </c>
      <c r="K38" s="11">
        <v>0.72</v>
      </c>
      <c r="L38" s="14"/>
      <c r="M38" s="15"/>
      <c r="N38" s="15"/>
      <c r="O38" s="16"/>
      <c r="P38" s="20"/>
      <c r="Q38" s="21"/>
      <c r="R38" s="21"/>
      <c r="S38" s="22"/>
      <c r="T38" s="26"/>
      <c r="U38" s="27"/>
      <c r="V38" s="27"/>
      <c r="W38" s="28"/>
      <c r="AG38" s="34" t="s">
        <v>39</v>
      </c>
      <c r="AH38" s="35"/>
      <c r="AI38" s="35"/>
    </row>
    <row r="39" spans="1:35" x14ac:dyDescent="0.2">
      <c r="A39" s="1"/>
      <c r="B39" s="2"/>
      <c r="C39" s="2"/>
      <c r="D39" s="2"/>
      <c r="E39" s="2"/>
      <c r="F39" s="2"/>
      <c r="G39" s="2" t="s">
        <v>16</v>
      </c>
      <c r="H39" s="2">
        <v>0.96</v>
      </c>
      <c r="I39" s="3"/>
      <c r="J39" s="10">
        <v>0.6</v>
      </c>
      <c r="K39" s="11">
        <v>0.79</v>
      </c>
      <c r="L39" s="14"/>
      <c r="M39" s="15"/>
      <c r="N39" s="15"/>
      <c r="O39" s="16"/>
      <c r="P39" s="20"/>
      <c r="Q39" s="21"/>
      <c r="R39" s="21"/>
      <c r="S39" s="22"/>
      <c r="T39" s="26"/>
      <c r="U39" s="27" t="s">
        <v>20</v>
      </c>
      <c r="V39" s="27" t="s">
        <v>21</v>
      </c>
      <c r="W39" s="28"/>
      <c r="AG39" s="34" t="s">
        <v>40</v>
      </c>
      <c r="AH39" s="35"/>
      <c r="AI39" s="35"/>
    </row>
    <row r="40" spans="1:35" x14ac:dyDescent="0.2">
      <c r="A40" s="1"/>
      <c r="B40" s="2"/>
      <c r="C40" s="2"/>
      <c r="D40" s="2"/>
      <c r="E40" s="2"/>
      <c r="F40" s="2"/>
      <c r="G40" s="2"/>
      <c r="H40" s="2"/>
      <c r="I40" s="3"/>
      <c r="J40" s="10">
        <v>0.7</v>
      </c>
      <c r="K40" s="11">
        <v>0.86</v>
      </c>
      <c r="L40" s="14"/>
      <c r="M40" s="15"/>
      <c r="N40" s="15"/>
      <c r="O40" s="16"/>
      <c r="P40" s="20"/>
      <c r="Q40" s="21"/>
      <c r="R40" s="21"/>
      <c r="S40" s="22"/>
      <c r="T40" s="26" t="s">
        <v>24</v>
      </c>
      <c r="U40" s="27"/>
      <c r="V40" s="27"/>
      <c r="W40" s="28"/>
      <c r="AG40" s="34" t="s">
        <v>39</v>
      </c>
      <c r="AH40" s="35"/>
      <c r="AI40" s="35"/>
    </row>
    <row r="41" spans="1:35" x14ac:dyDescent="0.2">
      <c r="A41" s="1"/>
      <c r="B41" s="2"/>
      <c r="C41" s="2"/>
      <c r="D41" s="2"/>
      <c r="E41" s="2"/>
      <c r="F41" s="2"/>
      <c r="G41" s="2"/>
      <c r="H41" s="2"/>
      <c r="I41" s="3"/>
      <c r="J41" s="10">
        <v>0.8</v>
      </c>
      <c r="K41" s="11">
        <v>0.91</v>
      </c>
      <c r="L41" s="14"/>
      <c r="M41" s="15"/>
      <c r="N41" s="15"/>
      <c r="O41" s="16"/>
      <c r="P41" s="76"/>
      <c r="Q41" s="77"/>
      <c r="R41" s="77"/>
      <c r="S41" s="78"/>
      <c r="T41" s="26" t="s">
        <v>25</v>
      </c>
      <c r="U41" s="27"/>
      <c r="V41" s="27"/>
      <c r="W41" s="28"/>
      <c r="AG41" s="34" t="s">
        <v>40</v>
      </c>
      <c r="AH41" s="35"/>
      <c r="AI41" s="35"/>
    </row>
    <row r="42" spans="1:35" x14ac:dyDescent="0.2">
      <c r="A42" s="4" t="s">
        <v>5</v>
      </c>
      <c r="B42" s="2">
        <v>100</v>
      </c>
      <c r="C42" s="2" t="s">
        <v>8</v>
      </c>
      <c r="D42" s="2"/>
      <c r="E42" s="5" t="s">
        <v>10</v>
      </c>
      <c r="F42" s="2">
        <f>M55</f>
        <v>1.0909090909090908</v>
      </c>
      <c r="G42" s="2"/>
      <c r="H42" s="2"/>
      <c r="I42" s="3"/>
      <c r="J42" s="10">
        <v>0.9</v>
      </c>
      <c r="K42" s="11">
        <v>0.96</v>
      </c>
      <c r="L42" s="14"/>
      <c r="M42" s="15"/>
      <c r="N42" s="15"/>
      <c r="O42" s="16"/>
      <c r="P42" s="20"/>
      <c r="Q42" s="21"/>
      <c r="R42" s="21"/>
      <c r="S42" s="22"/>
      <c r="T42" s="26"/>
      <c r="U42" s="27"/>
      <c r="V42" s="27"/>
      <c r="W42" s="28"/>
      <c r="AG42" s="34" t="s">
        <v>39</v>
      </c>
      <c r="AH42" s="35"/>
      <c r="AI42" s="35"/>
    </row>
    <row r="43" spans="1:35" x14ac:dyDescent="0.2">
      <c r="A43" s="4" t="s">
        <v>6</v>
      </c>
      <c r="B43" s="2">
        <v>0.5</v>
      </c>
      <c r="C43" s="2"/>
      <c r="D43" s="2"/>
      <c r="E43" s="82" t="s">
        <v>12</v>
      </c>
      <c r="F43" s="82"/>
      <c r="G43" s="82"/>
      <c r="H43" s="2"/>
      <c r="I43" s="3"/>
      <c r="J43" s="10">
        <v>0.95</v>
      </c>
      <c r="K43" s="11">
        <v>0.98</v>
      </c>
      <c r="L43" s="64" t="s">
        <v>27</v>
      </c>
      <c r="M43" s="65"/>
      <c r="N43" s="65"/>
      <c r="O43" s="66"/>
      <c r="P43" s="20"/>
      <c r="Q43" s="21"/>
      <c r="R43" s="21"/>
      <c r="S43" s="22"/>
      <c r="T43" s="26"/>
      <c r="U43" s="27"/>
      <c r="V43" s="27"/>
      <c r="W43" s="28"/>
      <c r="AG43" s="34" t="s">
        <v>40</v>
      </c>
      <c r="AH43" s="35"/>
      <c r="AI43" s="35"/>
    </row>
    <row r="44" spans="1:35" x14ac:dyDescent="0.2">
      <c r="A44" s="4" t="s">
        <v>7</v>
      </c>
      <c r="B44" s="2"/>
      <c r="C44" s="2" t="s">
        <v>9</v>
      </c>
      <c r="D44" s="2"/>
      <c r="E44" s="82" t="s">
        <v>11</v>
      </c>
      <c r="F44" s="82"/>
      <c r="G44" s="82"/>
      <c r="H44" s="2"/>
      <c r="I44" s="3"/>
      <c r="J44" s="10">
        <v>1</v>
      </c>
      <c r="K44" s="11">
        <v>1</v>
      </c>
      <c r="L44" s="14"/>
      <c r="M44" s="15"/>
      <c r="N44" s="15"/>
      <c r="O44" s="16"/>
      <c r="P44" s="20"/>
      <c r="Q44" s="21"/>
      <c r="R44" s="21" t="s">
        <v>36</v>
      </c>
      <c r="S44" s="22">
        <f xml:space="preserve"> 0</f>
        <v>0</v>
      </c>
      <c r="T44" s="26"/>
      <c r="U44" s="27"/>
      <c r="V44" s="27"/>
      <c r="W44" s="28"/>
      <c r="AG44" s="34" t="s">
        <v>39</v>
      </c>
      <c r="AH44" s="35"/>
      <c r="AI44" s="35"/>
    </row>
    <row r="45" spans="1:35" x14ac:dyDescent="0.2">
      <c r="A45" s="1"/>
      <c r="B45" s="2"/>
      <c r="C45" s="2"/>
      <c r="D45" s="2"/>
      <c r="E45" s="82" t="s">
        <v>13</v>
      </c>
      <c r="F45" s="82"/>
      <c r="G45" s="82"/>
      <c r="H45" s="2"/>
      <c r="I45" s="3"/>
      <c r="J45" s="10"/>
      <c r="K45" s="11"/>
      <c r="L45" s="14"/>
      <c r="M45" s="15" t="s">
        <v>20</v>
      </c>
      <c r="N45" s="15" t="s">
        <v>21</v>
      </c>
      <c r="O45" s="16"/>
      <c r="P45" s="20"/>
      <c r="Q45" s="21"/>
      <c r="R45" s="21"/>
      <c r="S45" s="22"/>
      <c r="T45" s="26"/>
      <c r="U45" s="27"/>
      <c r="V45" s="27"/>
      <c r="W45" s="28"/>
      <c r="AG45" s="34" t="s">
        <v>40</v>
      </c>
      <c r="AH45" s="35"/>
      <c r="AI45" s="35"/>
    </row>
    <row r="46" spans="1:35" x14ac:dyDescent="0.2">
      <c r="A46" s="1"/>
      <c r="B46" s="2"/>
      <c r="C46" s="2"/>
      <c r="D46" s="2"/>
      <c r="E46" s="82" t="s">
        <v>14</v>
      </c>
      <c r="F46" s="82"/>
      <c r="G46" s="82"/>
      <c r="H46" s="2"/>
      <c r="I46" s="3"/>
      <c r="J46" s="10"/>
      <c r="K46" s="11"/>
      <c r="L46" s="14" t="s">
        <v>24</v>
      </c>
      <c r="M46" s="15" t="s">
        <v>16</v>
      </c>
      <c r="N46" s="15" t="s">
        <v>16</v>
      </c>
      <c r="O46" s="16"/>
      <c r="P46" s="76" t="s">
        <v>29</v>
      </c>
      <c r="Q46" s="77"/>
      <c r="R46" s="77"/>
      <c r="S46" s="78"/>
      <c r="T46" s="26"/>
      <c r="U46" s="27"/>
      <c r="V46" s="27"/>
      <c r="W46" s="28"/>
      <c r="AG46" s="34" t="s">
        <v>39</v>
      </c>
      <c r="AH46" s="35"/>
      <c r="AI46" s="35"/>
    </row>
    <row r="47" spans="1:35" x14ac:dyDescent="0.2">
      <c r="A47" s="1"/>
      <c r="B47" s="2"/>
      <c r="C47" s="2"/>
      <c r="D47" s="2"/>
      <c r="E47" s="2"/>
      <c r="F47" s="2"/>
      <c r="G47" s="2"/>
      <c r="H47" s="2"/>
      <c r="I47" s="3"/>
      <c r="J47" s="10"/>
      <c r="K47" s="11"/>
      <c r="L47" s="14" t="s">
        <v>25</v>
      </c>
      <c r="M47" s="15">
        <v>0</v>
      </c>
      <c r="N47" s="15" t="s">
        <v>26</v>
      </c>
      <c r="O47" s="16"/>
      <c r="P47" s="20"/>
      <c r="Q47" s="21"/>
      <c r="R47" s="21"/>
      <c r="S47" s="22"/>
      <c r="T47" s="26"/>
      <c r="U47" s="27"/>
      <c r="V47" s="27"/>
      <c r="W47" s="28"/>
      <c r="AG47" s="34" t="s">
        <v>40</v>
      </c>
      <c r="AH47" s="35"/>
      <c r="AI47" s="35"/>
    </row>
    <row r="48" spans="1:35" x14ac:dyDescent="0.2">
      <c r="A48" s="1"/>
      <c r="B48" s="2"/>
      <c r="C48" s="2"/>
      <c r="D48" s="2"/>
      <c r="E48" s="2"/>
      <c r="F48" s="2"/>
      <c r="G48" s="2"/>
      <c r="H48" s="2"/>
      <c r="I48" s="3"/>
      <c r="J48" s="10"/>
      <c r="K48" s="11"/>
      <c r="L48" s="14"/>
      <c r="M48" s="15"/>
      <c r="N48" s="15"/>
      <c r="O48" s="16"/>
      <c r="P48" s="20"/>
      <c r="Q48" s="21" t="s">
        <v>20</v>
      </c>
      <c r="R48" s="21" t="s">
        <v>21</v>
      </c>
      <c r="S48" s="22"/>
      <c r="T48" s="26"/>
      <c r="U48" s="27"/>
      <c r="V48" s="27"/>
      <c r="W48" s="28"/>
      <c r="AG48" s="34" t="s">
        <v>39</v>
      </c>
      <c r="AH48" s="35"/>
      <c r="AI48" s="35"/>
    </row>
    <row r="49" spans="1:35" x14ac:dyDescent="0.2">
      <c r="A49" s="1"/>
      <c r="B49" s="2"/>
      <c r="C49" s="2"/>
      <c r="D49" s="2"/>
      <c r="E49" s="2"/>
      <c r="F49" s="2"/>
      <c r="G49" s="2"/>
      <c r="H49" s="2"/>
      <c r="I49" s="3"/>
      <c r="J49" s="10"/>
      <c r="K49" s="11"/>
      <c r="L49" s="14"/>
      <c r="M49" s="15" t="s">
        <v>20</v>
      </c>
      <c r="N49" s="15" t="s">
        <v>21</v>
      </c>
      <c r="O49" s="16"/>
      <c r="P49" s="20" t="s">
        <v>24</v>
      </c>
      <c r="Q49" s="21" t="s">
        <v>6</v>
      </c>
      <c r="R49" s="21" t="s">
        <v>6</v>
      </c>
      <c r="S49" s="22"/>
      <c r="T49" s="26"/>
      <c r="U49" s="27"/>
      <c r="V49" s="27"/>
      <c r="W49" s="28"/>
      <c r="AG49" s="34" t="s">
        <v>40</v>
      </c>
      <c r="AH49" s="35"/>
      <c r="AI49" s="35"/>
    </row>
    <row r="50" spans="1:35" x14ac:dyDescent="0.2">
      <c r="A50" s="1"/>
      <c r="B50" s="2"/>
      <c r="C50" s="2"/>
      <c r="D50" s="2"/>
      <c r="E50" s="2"/>
      <c r="F50" s="2"/>
      <c r="G50" s="2"/>
      <c r="H50" s="2"/>
      <c r="I50" s="3"/>
      <c r="J50" s="10"/>
      <c r="K50" s="11"/>
      <c r="L50" s="14" t="s">
        <v>24</v>
      </c>
      <c r="M50" s="15">
        <f>H39</f>
        <v>0.96</v>
      </c>
      <c r="N50" s="15">
        <f>H39</f>
        <v>0.96</v>
      </c>
      <c r="O50" s="16"/>
      <c r="P50" s="20" t="s">
        <v>25</v>
      </c>
      <c r="Q50" s="21" t="s">
        <v>20</v>
      </c>
      <c r="R50" s="21" t="s">
        <v>21</v>
      </c>
      <c r="S50" s="22"/>
      <c r="T50" s="26"/>
      <c r="U50" s="27"/>
      <c r="V50" s="27"/>
      <c r="W50" s="28"/>
      <c r="AG50" s="34" t="s">
        <v>39</v>
      </c>
      <c r="AH50" s="32"/>
      <c r="AI50" s="32"/>
    </row>
    <row r="51" spans="1:35" x14ac:dyDescent="0.2">
      <c r="A51" s="1"/>
      <c r="B51" s="2"/>
      <c r="C51" s="2"/>
      <c r="D51" s="2"/>
      <c r="E51" s="2"/>
      <c r="F51" s="2"/>
      <c r="G51" s="2"/>
      <c r="H51" s="2"/>
      <c r="I51" s="3"/>
      <c r="J51" s="10"/>
      <c r="K51" s="11"/>
      <c r="L51" s="14" t="s">
        <v>25</v>
      </c>
      <c r="M51" s="15">
        <v>0</v>
      </c>
      <c r="N51" s="15">
        <f>H39 / (F42 + 1)</f>
        <v>0.45913043478260868</v>
      </c>
      <c r="O51" s="16"/>
      <c r="P51" s="20"/>
      <c r="Q51" s="21"/>
      <c r="R51" s="21"/>
      <c r="S51" s="22"/>
      <c r="T51" s="26"/>
      <c r="U51" s="27"/>
      <c r="V51" s="27"/>
      <c r="W51" s="28"/>
      <c r="AG51" s="34" t="s">
        <v>40</v>
      </c>
      <c r="AH51" s="32"/>
      <c r="AI51" s="32"/>
    </row>
    <row r="52" spans="1:35" x14ac:dyDescent="0.2">
      <c r="A52" s="1"/>
      <c r="B52" s="2"/>
      <c r="C52" s="2"/>
      <c r="D52" s="2"/>
      <c r="E52" s="2"/>
      <c r="F52" s="2"/>
      <c r="G52" s="2"/>
      <c r="H52" s="2"/>
      <c r="I52" s="3"/>
      <c r="J52" s="10"/>
      <c r="K52" s="11"/>
      <c r="L52" s="14"/>
      <c r="M52" s="15"/>
      <c r="N52" s="15"/>
      <c r="O52" s="16"/>
      <c r="P52" s="20"/>
      <c r="Q52" s="21" t="s">
        <v>20</v>
      </c>
      <c r="R52" s="21" t="s">
        <v>21</v>
      </c>
      <c r="S52" s="22"/>
      <c r="T52" s="26"/>
      <c r="U52" s="27"/>
      <c r="V52" s="27"/>
      <c r="W52" s="28"/>
      <c r="AG52" s="34" t="s">
        <v>39</v>
      </c>
      <c r="AH52" s="32"/>
      <c r="AI52" s="32"/>
    </row>
    <row r="53" spans="1:35" x14ac:dyDescent="0.2">
      <c r="A53" s="1"/>
      <c r="B53" s="2"/>
      <c r="C53" s="2"/>
      <c r="D53" s="2"/>
      <c r="E53" s="2"/>
      <c r="F53" s="2"/>
      <c r="G53" s="2" t="s">
        <v>17</v>
      </c>
      <c r="H53" s="2">
        <v>53.48</v>
      </c>
      <c r="I53" s="3" t="s">
        <v>43</v>
      </c>
      <c r="J53" s="10"/>
      <c r="K53" s="11"/>
      <c r="L53" s="14" t="s">
        <v>45</v>
      </c>
      <c r="M53" s="15">
        <f>(R54 - N50) / (Q54 - M50)</f>
        <v>0.52173913043478259</v>
      </c>
      <c r="N53" s="15"/>
      <c r="O53" s="16"/>
      <c r="P53" s="20" t="s">
        <v>24</v>
      </c>
      <c r="Q53" s="21">
        <f>B43</f>
        <v>0.5</v>
      </c>
      <c r="R53" s="21">
        <f>B43</f>
        <v>0.5</v>
      </c>
      <c r="S53" s="22"/>
      <c r="T53" s="26"/>
      <c r="U53" s="27"/>
      <c r="V53" s="27"/>
      <c r="W53" s="28"/>
      <c r="AG53" s="34" t="s">
        <v>40</v>
      </c>
      <c r="AH53" s="32"/>
      <c r="AI53" s="32"/>
    </row>
    <row r="54" spans="1:35" x14ac:dyDescent="0.2">
      <c r="A54" s="1"/>
      <c r="B54" s="2"/>
      <c r="C54" s="2"/>
      <c r="D54" s="2"/>
      <c r="E54" s="2"/>
      <c r="F54" s="2"/>
      <c r="G54" s="2" t="s">
        <v>18</v>
      </c>
      <c r="H54" s="2">
        <v>0.1</v>
      </c>
      <c r="I54" s="3"/>
      <c r="J54" s="10"/>
      <c r="K54" s="11"/>
      <c r="L54" s="14" t="s">
        <v>46</v>
      </c>
      <c r="M54" s="15">
        <f>R54 - M53 * Q54</f>
        <v>0.45913043478260868</v>
      </c>
      <c r="N54" s="15"/>
      <c r="O54" s="16"/>
      <c r="P54" s="20" t="s">
        <v>25</v>
      </c>
      <c r="Q54" s="21">
        <v>0.5</v>
      </c>
      <c r="R54" s="21">
        <f>K38</f>
        <v>0.72</v>
      </c>
      <c r="S54" s="22"/>
      <c r="T54" s="26"/>
      <c r="U54" s="27"/>
      <c r="V54" s="27"/>
      <c r="W54" s="28"/>
      <c r="AG54" s="34" t="s">
        <v>39</v>
      </c>
      <c r="AH54" s="32"/>
      <c r="AI54" s="32"/>
    </row>
    <row r="55" spans="1:35" x14ac:dyDescent="0.2">
      <c r="A55" s="1"/>
      <c r="B55" s="2"/>
      <c r="C55" s="2"/>
      <c r="D55" s="2"/>
      <c r="E55" s="2"/>
      <c r="F55" s="2"/>
      <c r="G55" s="2"/>
      <c r="H55" s="2"/>
      <c r="I55" s="3"/>
      <c r="J55" s="10"/>
      <c r="K55" s="11"/>
      <c r="L55" s="14" t="s">
        <v>44</v>
      </c>
      <c r="M55" s="15">
        <f>H39 / M54 - 1</f>
        <v>1.0909090909090908</v>
      </c>
      <c r="N55" s="15"/>
      <c r="O55" s="16"/>
      <c r="P55" s="20"/>
      <c r="Q55" s="21"/>
      <c r="R55" s="21"/>
      <c r="S55" s="22"/>
      <c r="T55" s="26"/>
      <c r="U55" s="27"/>
      <c r="V55" s="27"/>
      <c r="W55" s="28"/>
      <c r="AG55" s="34" t="s">
        <v>40</v>
      </c>
      <c r="AH55" s="32"/>
      <c r="AI55" s="32"/>
    </row>
    <row r="56" spans="1:35" x14ac:dyDescent="0.2">
      <c r="A56" s="1"/>
      <c r="B56" s="2"/>
      <c r="C56" s="2"/>
      <c r="D56" s="2"/>
      <c r="E56" s="2"/>
      <c r="F56" s="2"/>
      <c r="G56" s="2"/>
      <c r="H56" s="2"/>
      <c r="I56" s="3"/>
      <c r="J56" s="10"/>
      <c r="K56" s="11"/>
      <c r="L56" s="14"/>
      <c r="M56" s="15"/>
      <c r="N56" s="15"/>
      <c r="O56" s="16"/>
      <c r="P56" s="20"/>
      <c r="Q56" s="21"/>
      <c r="R56" s="21"/>
      <c r="S56" s="22"/>
      <c r="T56" s="26"/>
      <c r="U56" s="27"/>
      <c r="V56" s="27"/>
      <c r="W56" s="28"/>
      <c r="AG56" s="34" t="s">
        <v>39</v>
      </c>
      <c r="AH56" s="32"/>
      <c r="AI56" s="32"/>
    </row>
    <row r="57" spans="1:35" x14ac:dyDescent="0.2">
      <c r="A57" s="1"/>
      <c r="B57" s="2"/>
      <c r="C57" s="2"/>
      <c r="D57" s="2"/>
      <c r="E57" s="2"/>
      <c r="F57" s="2"/>
      <c r="G57" s="2"/>
      <c r="H57" s="2"/>
      <c r="I57" s="3"/>
      <c r="J57" s="10"/>
      <c r="K57" s="11"/>
      <c r="L57" s="14"/>
      <c r="M57" s="15"/>
      <c r="N57" s="15"/>
      <c r="O57" s="16"/>
      <c r="P57" s="20"/>
      <c r="Q57" s="21"/>
      <c r="R57" s="21"/>
      <c r="S57" s="22"/>
      <c r="T57" s="26"/>
      <c r="U57" s="27"/>
      <c r="V57" s="27"/>
      <c r="W57" s="28"/>
      <c r="AG57" s="34" t="s">
        <v>40</v>
      </c>
      <c r="AH57" s="32"/>
      <c r="AI57" s="32"/>
    </row>
    <row r="58" spans="1:35" x14ac:dyDescent="0.2">
      <c r="A58" s="1"/>
      <c r="B58" s="2"/>
      <c r="C58" s="2"/>
      <c r="D58" s="2"/>
      <c r="E58" s="2"/>
      <c r="F58" s="2"/>
      <c r="G58" s="2"/>
      <c r="H58" s="2"/>
      <c r="I58" s="3"/>
      <c r="J58" s="10"/>
      <c r="K58" s="11"/>
      <c r="L58" s="14"/>
      <c r="M58" s="15"/>
      <c r="N58" s="15"/>
      <c r="O58" s="16"/>
      <c r="P58" s="20"/>
      <c r="Q58" s="21"/>
      <c r="R58" s="21"/>
      <c r="S58" s="22"/>
      <c r="T58" s="26"/>
      <c r="U58" s="27"/>
      <c r="V58" s="27"/>
      <c r="W58" s="28"/>
      <c r="AG58" s="34" t="s">
        <v>39</v>
      </c>
      <c r="AH58" s="32"/>
      <c r="AI58" s="32"/>
    </row>
    <row r="59" spans="1:35" x14ac:dyDescent="0.2">
      <c r="A59" s="7"/>
      <c r="B59" s="8"/>
      <c r="C59" s="8"/>
      <c r="D59" s="8"/>
      <c r="E59" s="8"/>
      <c r="F59" s="8"/>
      <c r="G59" s="8"/>
      <c r="H59" s="8"/>
      <c r="I59" s="9"/>
      <c r="J59" s="12"/>
      <c r="K59" s="13"/>
      <c r="L59" s="17"/>
      <c r="M59" s="18"/>
      <c r="N59" s="18"/>
      <c r="O59" s="19"/>
      <c r="P59" s="23"/>
      <c r="Q59" s="24"/>
      <c r="R59" s="24"/>
      <c r="S59" s="25"/>
      <c r="T59" s="29"/>
      <c r="U59" s="30"/>
      <c r="V59" s="30"/>
      <c r="W59" s="31"/>
      <c r="AG59" s="34" t="s">
        <v>40</v>
      </c>
      <c r="AH59" s="32"/>
      <c r="AI59" s="32"/>
    </row>
  </sheetData>
  <mergeCells count="26">
    <mergeCell ref="T3:W3"/>
    <mergeCell ref="A1:I1"/>
    <mergeCell ref="J1:K1"/>
    <mergeCell ref="L1:O1"/>
    <mergeCell ref="P1:S1"/>
    <mergeCell ref="T1:W1"/>
    <mergeCell ref="T31:W31"/>
    <mergeCell ref="T33:W33"/>
    <mergeCell ref="P11:S11"/>
    <mergeCell ref="E13:G13"/>
    <mergeCell ref="L13:O13"/>
    <mergeCell ref="E14:G14"/>
    <mergeCell ref="E15:G15"/>
    <mergeCell ref="E16:G16"/>
    <mergeCell ref="P16:S16"/>
    <mergeCell ref="E46:G46"/>
    <mergeCell ref="P46:S46"/>
    <mergeCell ref="A31:I31"/>
    <mergeCell ref="J31:K31"/>
    <mergeCell ref="L31:O31"/>
    <mergeCell ref="P31:S31"/>
    <mergeCell ref="P41:S41"/>
    <mergeCell ref="E43:G43"/>
    <mergeCell ref="L43:O43"/>
    <mergeCell ref="E44:G44"/>
    <mergeCell ref="E45:G4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3945-7B64-FA4D-9B50-A5C74E3C2E51}">
  <dimension ref="A1:AJ29"/>
  <sheetViews>
    <sheetView zoomScaleNormal="100" workbookViewId="0">
      <selection sqref="A1:AJ29"/>
    </sheetView>
  </sheetViews>
  <sheetFormatPr baseColWidth="10" defaultRowHeight="16" x14ac:dyDescent="0.2"/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f>H9</f>
        <v>0.97445134110561482</v>
      </c>
      <c r="AI2" s="32">
        <f>H9</f>
        <v>0.97445134110561482</v>
      </c>
      <c r="AJ2">
        <v>1</v>
      </c>
    </row>
    <row r="3" spans="1:36" x14ac:dyDescent="0.2">
      <c r="A3" s="1" t="s">
        <v>48</v>
      </c>
      <c r="B3" s="2" t="s">
        <v>1</v>
      </c>
      <c r="C3" s="2" t="s">
        <v>4</v>
      </c>
      <c r="D3" s="5" t="s">
        <v>47</v>
      </c>
      <c r="E3" s="2"/>
      <c r="F3" s="2"/>
      <c r="G3" s="2"/>
      <c r="H3" s="2"/>
      <c r="I3" s="3"/>
      <c r="J3" s="10">
        <v>0</v>
      </c>
      <c r="K3" s="11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2">
        <f>0.9341</f>
        <v>0.93410000000000004</v>
      </c>
      <c r="AI3" s="32">
        <f>AI2</f>
        <v>0.97445134110561482</v>
      </c>
    </row>
    <row r="4" spans="1:36" x14ac:dyDescent="0.2">
      <c r="A4" s="1">
        <v>1</v>
      </c>
      <c r="B4" s="2" t="s">
        <v>41</v>
      </c>
      <c r="C4" s="2">
        <v>78.11</v>
      </c>
      <c r="D4" s="2">
        <f>1 - D5</f>
        <v>0.4</v>
      </c>
      <c r="E4" s="2">
        <f>(D4 / C4) / (D4 / C4 + D5 / C5)</f>
        <v>0.44021881942619628</v>
      </c>
      <c r="F4" s="2"/>
      <c r="G4" s="2"/>
      <c r="H4" s="2"/>
      <c r="I4" s="3"/>
      <c r="J4" s="10">
        <v>0.1</v>
      </c>
      <c r="K4" s="11">
        <v>0.21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f>AH3</f>
        <v>0.93410000000000004</v>
      </c>
      <c r="AI4" s="32">
        <v>0.94520000000000004</v>
      </c>
      <c r="AJ4">
        <v>2</v>
      </c>
    </row>
    <row r="5" spans="1:36" x14ac:dyDescent="0.2">
      <c r="A5" s="1">
        <v>2</v>
      </c>
      <c r="B5" s="2" t="s">
        <v>42</v>
      </c>
      <c r="C5" s="2">
        <v>92.14</v>
      </c>
      <c r="D5" s="2">
        <v>0.6</v>
      </c>
      <c r="E5" s="2">
        <f>(D5 / C5) / (D5 / C5 +  D4 / C4)</f>
        <v>0.55978118057380377</v>
      </c>
      <c r="F5" s="2"/>
      <c r="G5" s="2"/>
      <c r="H5" s="2"/>
      <c r="I5" s="3"/>
      <c r="J5" s="10">
        <v>0.2</v>
      </c>
      <c r="K5" s="11">
        <v>0.37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f>0.8712</f>
        <v>0.87119999999999997</v>
      </c>
      <c r="AI5" s="32">
        <f>AI4</f>
        <v>0.94520000000000004</v>
      </c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0.3</v>
      </c>
      <c r="K6" s="11">
        <v>0.51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f>AH5</f>
        <v>0.87119999999999997</v>
      </c>
      <c r="AI6" s="32">
        <f>0.8949</f>
        <v>0.89490000000000003</v>
      </c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0.4</v>
      </c>
      <c r="K7" s="11">
        <v>0.65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v>0.76800000000000002</v>
      </c>
      <c r="AI7" s="32">
        <f>AI6</f>
        <v>0.89490000000000003</v>
      </c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>
        <f>(B13 - H24) * B12 / (H9 - H24)</f>
        <v>152.9277098520042</v>
      </c>
      <c r="I8" s="3"/>
      <c r="J8" s="10">
        <v>0.5</v>
      </c>
      <c r="K8" s="11">
        <v>0.72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f>AH7</f>
        <v>0.76800000000000002</v>
      </c>
      <c r="AI8" s="32">
        <f>0.815</f>
        <v>0.81499999999999995</v>
      </c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f>(H10 / C4) / (H10 / C4 + (1 - H10) / C5)</f>
        <v>0.97445134110561482</v>
      </c>
      <c r="I9" s="3"/>
      <c r="J9" s="10">
        <v>0.6</v>
      </c>
      <c r="K9" s="11">
        <v>0.79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0.63500000000000001</v>
      </c>
      <c r="AI9" s="32">
        <f>AI8</f>
        <v>0.81499999999999995</v>
      </c>
    </row>
    <row r="10" spans="1:36" x14ac:dyDescent="0.2">
      <c r="A10" s="1"/>
      <c r="B10" s="2"/>
      <c r="C10" s="2"/>
      <c r="D10" s="2"/>
      <c r="E10" s="2"/>
      <c r="F10" s="2"/>
      <c r="G10" s="2" t="s">
        <v>32</v>
      </c>
      <c r="H10" s="2">
        <f xml:space="preserve"> 0.97</f>
        <v>0.97</v>
      </c>
      <c r="I10" s="3"/>
      <c r="J10" s="10">
        <v>0.7</v>
      </c>
      <c r="K10" s="11">
        <v>0.86</v>
      </c>
      <c r="L10" s="14"/>
      <c r="M10" s="15"/>
      <c r="N10" s="15"/>
      <c r="O10" s="16"/>
      <c r="P10" s="20"/>
      <c r="Q10" s="21"/>
      <c r="R10" s="21"/>
      <c r="S10" s="22"/>
      <c r="T10" s="26" t="s">
        <v>24</v>
      </c>
      <c r="U10" s="27">
        <f>H24</f>
        <v>2.3507920592520042E-2</v>
      </c>
      <c r="V10" s="27">
        <f>H24</f>
        <v>2.3507920592520042E-2</v>
      </c>
      <c r="W10" s="28"/>
      <c r="AG10" s="34" t="s">
        <v>39</v>
      </c>
      <c r="AH10" s="32">
        <f>AH9</f>
        <v>0.63500000000000001</v>
      </c>
      <c r="AI10" s="32">
        <f>0.712</f>
        <v>0.71199999999999997</v>
      </c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0.8</v>
      </c>
      <c r="K11" s="11">
        <v>0.91</v>
      </c>
      <c r="L11" s="14"/>
      <c r="M11" s="15"/>
      <c r="N11" s="15"/>
      <c r="O11" s="16"/>
      <c r="P11" s="76"/>
      <c r="Q11" s="77"/>
      <c r="R11" s="77"/>
      <c r="S11" s="78"/>
      <c r="T11" s="26" t="s">
        <v>25</v>
      </c>
      <c r="U11" s="27">
        <f>Q24</f>
        <v>0.44021881942619628</v>
      </c>
      <c r="V11" s="27">
        <v>0.56000000000000005</v>
      </c>
      <c r="W11" s="28"/>
      <c r="AG11" s="34" t="s">
        <v>40</v>
      </c>
      <c r="AH11" s="32">
        <f>0.487</f>
        <v>0.48699999999999999</v>
      </c>
      <c r="AI11" s="32">
        <f>AI10</f>
        <v>0.71199999999999997</v>
      </c>
    </row>
    <row r="12" spans="1:36" x14ac:dyDescent="0.2">
      <c r="A12" s="4" t="s">
        <v>5</v>
      </c>
      <c r="B12" s="2">
        <f xml:space="preserve"> 30 * 1000 * D4 / C4 + 30 * 1000 * D5 / C5</f>
        <v>348.98439158881558</v>
      </c>
      <c r="C12" s="2" t="s">
        <v>8</v>
      </c>
      <c r="D12" s="2"/>
      <c r="E12" s="5" t="s">
        <v>10</v>
      </c>
      <c r="F12" s="2">
        <v>3.5</v>
      </c>
      <c r="G12" s="2"/>
      <c r="H12" s="2"/>
      <c r="I12" s="3"/>
      <c r="J12" s="10">
        <v>0.9</v>
      </c>
      <c r="K12" s="11">
        <v>0.96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2">
        <f>AH11</f>
        <v>0.48699999999999999</v>
      </c>
      <c r="AI12" s="32">
        <f>0.5961</f>
        <v>0.59609999999999996</v>
      </c>
      <c r="AJ12">
        <v>6</v>
      </c>
    </row>
    <row r="13" spans="1:36" x14ac:dyDescent="0.2">
      <c r="A13" s="4" t="s">
        <v>6</v>
      </c>
      <c r="B13" s="2">
        <f>E4</f>
        <v>0.44021881942619628</v>
      </c>
      <c r="C13" s="2"/>
      <c r="D13" s="2"/>
      <c r="E13" s="82" t="s">
        <v>12</v>
      </c>
      <c r="F13" s="82"/>
      <c r="G13" s="82"/>
      <c r="H13" s="2"/>
      <c r="I13" s="3"/>
      <c r="J13" s="10">
        <v>0.95</v>
      </c>
      <c r="K13" s="11">
        <v>0.98</v>
      </c>
      <c r="L13" s="64" t="s">
        <v>27</v>
      </c>
      <c r="M13" s="65"/>
      <c r="N13" s="65"/>
      <c r="O13" s="66"/>
      <c r="P13" s="20"/>
      <c r="Q13" s="21"/>
      <c r="R13" s="77" t="s">
        <v>51</v>
      </c>
      <c r="S13" s="78"/>
      <c r="T13" s="26"/>
      <c r="U13" s="27"/>
      <c r="V13" s="27"/>
      <c r="W13" s="28"/>
      <c r="AG13" s="34" t="s">
        <v>40</v>
      </c>
      <c r="AH13" s="32">
        <v>0.36199999999999999</v>
      </c>
      <c r="AI13" s="32">
        <f>AI12</f>
        <v>0.59609999999999996</v>
      </c>
    </row>
    <row r="14" spans="1:36" x14ac:dyDescent="0.2">
      <c r="A14" s="4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1</v>
      </c>
      <c r="K14" s="11">
        <v>1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32">
        <f>AH13</f>
        <v>0.36199999999999999</v>
      </c>
      <c r="AI14" s="32">
        <v>0.45800000000000002</v>
      </c>
      <c r="AJ14">
        <v>7</v>
      </c>
    </row>
    <row r="15" spans="1:36" x14ac:dyDescent="0.2">
      <c r="A15" s="83" t="s">
        <v>50</v>
      </c>
      <c r="B15" s="82"/>
      <c r="C15" s="82"/>
      <c r="D15" s="2"/>
      <c r="E15" s="82" t="s">
        <v>13</v>
      </c>
      <c r="F15" s="82"/>
      <c r="G15" s="82"/>
      <c r="H15" s="2"/>
      <c r="I15" s="3"/>
      <c r="J15" s="37"/>
      <c r="K15" s="37"/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>
        <f>0.263</f>
        <v>0.26300000000000001</v>
      </c>
      <c r="AI15" s="32">
        <f>AI14</f>
        <v>0.45800000000000002</v>
      </c>
    </row>
    <row r="16" spans="1:36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/>
      <c r="K16" s="11"/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2">
        <f>AH15</f>
        <v>0.26300000000000001</v>
      </c>
      <c r="AI16" s="32">
        <f>0.335</f>
        <v>0.33500000000000002</v>
      </c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11"/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>
        <f>0.177</f>
        <v>0.17699999999999999</v>
      </c>
      <c r="AI17" s="32">
        <f>AI16</f>
        <v>0.33500000000000002</v>
      </c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11"/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>
        <f>AH17</f>
        <v>0.17699999999999999</v>
      </c>
      <c r="AI18" s="32">
        <v>0.223</v>
      </c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11"/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>
        <f>0.109</f>
        <v>0.109</v>
      </c>
      <c r="AI19" s="32">
        <f>AI18</f>
        <v>0.223</v>
      </c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11"/>
      <c r="L20" s="14" t="s">
        <v>24</v>
      </c>
      <c r="M20" s="15">
        <f>H9</f>
        <v>0.97445134110561482</v>
      </c>
      <c r="N20" s="15">
        <f>H9</f>
        <v>0.97445134110561482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>
        <f>AH19</f>
        <v>0.109</v>
      </c>
      <c r="AI20" s="32">
        <f>0.135</f>
        <v>0.13500000000000001</v>
      </c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H9 / (F12 + 1)</f>
        <v>0.21654474246791441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>
        <v>6.4000000000000001E-2</v>
      </c>
      <c r="AI21" s="32">
        <f>AI20</f>
        <v>0.13500000000000001</v>
      </c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>
        <f>AH21</f>
        <v>6.4000000000000001E-2</v>
      </c>
      <c r="AI22" s="32">
        <f>0.077</f>
        <v>7.6999999999999999E-2</v>
      </c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>
        <f>(B13 - H9) * B12 / (H24 - H9)</f>
        <v>196.05668173681138</v>
      </c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0.44021881942619628</v>
      </c>
      <c r="R23" s="21">
        <f>B13</f>
        <v>0.44021881942619628</v>
      </c>
      <c r="S23" s="22"/>
      <c r="T23" s="26"/>
      <c r="U23" s="27"/>
      <c r="V23" s="27"/>
      <c r="W23" s="28"/>
      <c r="AG23" s="34" t="s">
        <v>40</v>
      </c>
      <c r="AH23" s="32">
        <v>3.6999999999999998E-2</v>
      </c>
      <c r="AI23" s="32">
        <f>AI22</f>
        <v>7.6999999999999999E-2</v>
      </c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f>(H25 / C4) / (H25 / C4 + (1 - H25) / C5)</f>
        <v>2.3507920592520042E-2</v>
      </c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0.44021881942619628</v>
      </c>
      <c r="R24" s="21">
        <v>0.67800000000000005</v>
      </c>
      <c r="S24" s="22"/>
      <c r="T24" s="26"/>
      <c r="U24" s="27"/>
      <c r="V24" s="27"/>
      <c r="W24" s="28"/>
      <c r="AG24" s="34" t="s">
        <v>39</v>
      </c>
      <c r="AH24" s="32">
        <f>AH23</f>
        <v>3.6999999999999998E-2</v>
      </c>
      <c r="AI24" s="32">
        <f>0.041</f>
        <v>4.1000000000000002E-2</v>
      </c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 t="s">
        <v>49</v>
      </c>
      <c r="H25" s="2">
        <f>1 - 0.98</f>
        <v>2.0000000000000018E-2</v>
      </c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>
        <f>0.019</f>
        <v>1.9E-2</v>
      </c>
      <c r="AI25" s="32">
        <f>AI24</f>
        <v>4.1000000000000002E-2</v>
      </c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</sheetData>
  <mergeCells count="15">
    <mergeCell ref="T1:W1"/>
    <mergeCell ref="P11:S11"/>
    <mergeCell ref="E15:G15"/>
    <mergeCell ref="E16:G16"/>
    <mergeCell ref="E13:G13"/>
    <mergeCell ref="L13:O13"/>
    <mergeCell ref="E14:G14"/>
    <mergeCell ref="T3:W3"/>
    <mergeCell ref="P16:S16"/>
    <mergeCell ref="A15:C15"/>
    <mergeCell ref="R13:S13"/>
    <mergeCell ref="A1:I1"/>
    <mergeCell ref="J1:K1"/>
    <mergeCell ref="L1:O1"/>
    <mergeCell ref="P1:S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B701-7D7A-5D4C-9B0D-3F95BC4C312A}">
  <dimension ref="A1:AM29"/>
  <sheetViews>
    <sheetView topLeftCell="O1" zoomScaleNormal="100" workbookViewId="0">
      <selection activeCell="G35" sqref="G35"/>
    </sheetView>
  </sheetViews>
  <sheetFormatPr baseColWidth="10" defaultRowHeight="16" x14ac:dyDescent="0.2"/>
  <cols>
    <col min="38" max="38" width="14" bestFit="1" customWidth="1"/>
  </cols>
  <sheetData>
    <row r="1" spans="1:39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AG1" s="33"/>
      <c r="AH1" s="33" t="s">
        <v>20</v>
      </c>
      <c r="AI1" s="33" t="s">
        <v>21</v>
      </c>
    </row>
    <row r="2" spans="1:39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AG2" s="34" t="s">
        <v>39</v>
      </c>
      <c r="AH2" s="32">
        <f>$H$9</f>
        <v>0.95</v>
      </c>
      <c r="AI2" s="32">
        <f>$H$9</f>
        <v>0.95</v>
      </c>
      <c r="AL2" t="s">
        <v>56</v>
      </c>
      <c r="AM2">
        <f>(AH10 - B26) / (AH10 - AH11)</f>
        <v>0.26229508196721307</v>
      </c>
    </row>
    <row r="3" spans="1:39" x14ac:dyDescent="0.2">
      <c r="A3" s="1" t="s">
        <v>48</v>
      </c>
      <c r="B3" s="2" t="s">
        <v>1</v>
      </c>
      <c r="C3" s="2" t="s">
        <v>4</v>
      </c>
      <c r="D3" s="6"/>
      <c r="E3" s="2"/>
      <c r="F3" s="2"/>
      <c r="G3" s="2"/>
      <c r="H3" s="2"/>
      <c r="I3" s="3"/>
      <c r="J3" s="10">
        <v>0</v>
      </c>
      <c r="K3" s="37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32">
        <v>0.76900000000000002</v>
      </c>
      <c r="AI3" s="32">
        <f>AI2</f>
        <v>0.95</v>
      </c>
      <c r="AJ3">
        <v>1</v>
      </c>
      <c r="AL3" t="s">
        <v>57</v>
      </c>
      <c r="AM3">
        <f>4 + AM2</f>
        <v>4.2622950819672134</v>
      </c>
    </row>
    <row r="4" spans="1:39" x14ac:dyDescent="0.2">
      <c r="A4" s="1">
        <v>1</v>
      </c>
      <c r="B4" s="2" t="s">
        <v>52</v>
      </c>
      <c r="C4" s="2"/>
      <c r="D4" s="2"/>
      <c r="E4" s="2"/>
      <c r="F4" s="2"/>
      <c r="G4" s="2"/>
      <c r="H4" s="2"/>
      <c r="I4" s="3"/>
      <c r="J4" s="10">
        <v>4.3499999999999997E-2</v>
      </c>
      <c r="K4" s="11">
        <v>0.34100000000000003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32">
        <f>AH3</f>
        <v>0.76900000000000002</v>
      </c>
      <c r="AI4" s="32">
        <v>0.89</v>
      </c>
    </row>
    <row r="5" spans="1:39" x14ac:dyDescent="0.2">
      <c r="A5" s="1">
        <v>2</v>
      </c>
      <c r="B5" s="2" t="s">
        <v>53</v>
      </c>
      <c r="C5" s="2"/>
      <c r="D5" s="2"/>
      <c r="E5" s="2"/>
      <c r="F5" s="2"/>
      <c r="G5" s="2"/>
      <c r="H5" s="2"/>
      <c r="I5" s="3"/>
      <c r="J5" s="10">
        <v>8.72E-2</v>
      </c>
      <c r="K5" s="11">
        <v>0.51200000000000001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32">
        <v>0.48</v>
      </c>
      <c r="AI5" s="32">
        <f>AI4</f>
        <v>0.89</v>
      </c>
      <c r="AJ5">
        <v>2</v>
      </c>
    </row>
    <row r="6" spans="1:39" x14ac:dyDescent="0.2">
      <c r="A6" s="1"/>
      <c r="B6" s="2"/>
      <c r="C6" s="2"/>
      <c r="D6" s="2"/>
      <c r="E6" s="2"/>
      <c r="F6" s="2"/>
      <c r="G6" s="2"/>
      <c r="H6" s="2"/>
      <c r="I6" s="3"/>
      <c r="J6" s="10">
        <v>0.12479999999999999</v>
      </c>
      <c r="K6" s="11">
        <v>0.625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32">
        <f>AH5</f>
        <v>0.48</v>
      </c>
      <c r="AI6" s="32">
        <v>0.79400000000000004</v>
      </c>
    </row>
    <row r="7" spans="1:39" x14ac:dyDescent="0.2">
      <c r="A7" s="1"/>
      <c r="B7" s="2"/>
      <c r="C7" s="2"/>
      <c r="D7" s="2"/>
      <c r="E7" s="2"/>
      <c r="F7" s="2"/>
      <c r="G7" s="2"/>
      <c r="H7" s="2"/>
      <c r="I7" s="3"/>
      <c r="J7" s="10">
        <v>0.219</v>
      </c>
      <c r="K7" s="11">
        <v>0.78500000000000003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32">
        <f>0.244</f>
        <v>0.24399999999999999</v>
      </c>
      <c r="AI7" s="32">
        <f>AI6</f>
        <v>0.79400000000000004</v>
      </c>
      <c r="AJ7">
        <v>3</v>
      </c>
    </row>
    <row r="8" spans="1:39" x14ac:dyDescent="0.2">
      <c r="A8" s="1"/>
      <c r="B8" s="2"/>
      <c r="C8" s="2"/>
      <c r="D8" s="2"/>
      <c r="E8" s="2"/>
      <c r="F8" s="2"/>
      <c r="G8" s="6" t="s">
        <v>15</v>
      </c>
      <c r="H8" s="2"/>
      <c r="I8" s="3"/>
      <c r="J8" s="10">
        <v>0.27500000000000002</v>
      </c>
      <c r="K8" s="11">
        <v>0.80700000000000005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32">
        <f>AH7</f>
        <v>0.24399999999999999</v>
      </c>
      <c r="AI8" s="32">
        <v>0.42599999999999999</v>
      </c>
    </row>
    <row r="9" spans="1:39" x14ac:dyDescent="0.2">
      <c r="A9" s="1"/>
      <c r="B9" s="2"/>
      <c r="C9" s="2"/>
      <c r="D9" s="2"/>
      <c r="E9" s="2"/>
      <c r="F9" s="2"/>
      <c r="G9" s="6" t="s">
        <v>16</v>
      </c>
      <c r="H9" s="2">
        <v>0.95</v>
      </c>
      <c r="I9" s="3"/>
      <c r="J9" s="10">
        <v>0.40799999999999997</v>
      </c>
      <c r="K9" s="11">
        <v>0.87250000000000005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32">
        <v>6.6000000000000003E-2</v>
      </c>
      <c r="AI9" s="32">
        <f>AI8</f>
        <v>0.42599999999999999</v>
      </c>
      <c r="AJ9">
        <v>4</v>
      </c>
    </row>
    <row r="10" spans="1:39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0.48</v>
      </c>
      <c r="K10" s="11">
        <v>0.8901</v>
      </c>
      <c r="L10" s="14" t="s">
        <v>55</v>
      </c>
      <c r="M10" s="15">
        <f>F12 / (F12 + 1)</f>
        <v>0.33333333333333331</v>
      </c>
      <c r="N10" s="15"/>
      <c r="O10" s="16"/>
      <c r="P10" s="20"/>
      <c r="Q10" s="21"/>
      <c r="R10" s="21"/>
      <c r="S10" s="22"/>
      <c r="T10" s="26" t="s">
        <v>24</v>
      </c>
      <c r="U10" s="27">
        <f>B26</f>
        <v>0.05</v>
      </c>
      <c r="V10" s="27">
        <v>0</v>
      </c>
      <c r="W10" s="28"/>
      <c r="AG10" s="34" t="s">
        <v>39</v>
      </c>
      <c r="AH10" s="32">
        <f>AH9</f>
        <v>6.6000000000000003E-2</v>
      </c>
      <c r="AI10" s="32">
        <v>3.7999999999999999E-2</v>
      </c>
    </row>
    <row r="11" spans="1:39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0.58979999999999999</v>
      </c>
      <c r="K11" s="11">
        <v>0.91590000000000005</v>
      </c>
      <c r="L11" s="14" t="s">
        <v>26</v>
      </c>
      <c r="M11" s="15">
        <f>H9 / (F12 + 1)</f>
        <v>0.6333333333333333</v>
      </c>
      <c r="N11" s="15"/>
      <c r="O11" s="16"/>
      <c r="P11" s="76"/>
      <c r="Q11" s="77"/>
      <c r="R11" s="77"/>
      <c r="S11" s="78"/>
      <c r="T11" s="26" t="s">
        <v>25</v>
      </c>
      <c r="U11" s="27">
        <f>Q24</f>
        <v>0.4</v>
      </c>
      <c r="V11" s="27">
        <v>0.76700000000000002</v>
      </c>
      <c r="W11" s="28"/>
      <c r="AG11" s="34" t="s">
        <v>40</v>
      </c>
      <c r="AH11" s="32">
        <v>5.0000000000000001E-3</v>
      </c>
      <c r="AI11" s="32">
        <f>AI10</f>
        <v>3.7999999999999999E-2</v>
      </c>
      <c r="AJ11">
        <v>5</v>
      </c>
    </row>
    <row r="12" spans="1:39" x14ac:dyDescent="0.2">
      <c r="A12" s="36" t="s">
        <v>5</v>
      </c>
      <c r="B12" s="40">
        <v>100</v>
      </c>
      <c r="C12" s="2" t="s">
        <v>8</v>
      </c>
      <c r="D12" s="2"/>
      <c r="E12" s="40" t="s">
        <v>10</v>
      </c>
      <c r="F12" s="2">
        <v>0.5</v>
      </c>
      <c r="G12" s="2"/>
      <c r="H12" s="2"/>
      <c r="I12" s="3"/>
      <c r="J12" s="10">
        <v>0.6512</v>
      </c>
      <c r="K12" s="11">
        <v>0.92600000000000005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32"/>
      <c r="AI12" s="32"/>
    </row>
    <row r="13" spans="1:39" x14ac:dyDescent="0.2">
      <c r="A13" s="36" t="s">
        <v>6</v>
      </c>
      <c r="B13" s="40">
        <v>0.4</v>
      </c>
      <c r="C13" s="2"/>
      <c r="D13" s="2"/>
      <c r="E13" s="82" t="s">
        <v>12</v>
      </c>
      <c r="F13" s="82"/>
      <c r="G13" s="82"/>
      <c r="H13" s="2"/>
      <c r="I13" s="3"/>
      <c r="J13" s="10">
        <v>0.74</v>
      </c>
      <c r="K13" s="11">
        <v>0.94630000000000003</v>
      </c>
      <c r="L13" s="64" t="s">
        <v>27</v>
      </c>
      <c r="M13" s="65"/>
      <c r="N13" s="65"/>
      <c r="O13" s="66"/>
      <c r="P13" s="20"/>
      <c r="Q13" s="21"/>
      <c r="R13" s="77" t="s">
        <v>51</v>
      </c>
      <c r="S13" s="78"/>
      <c r="T13" s="26"/>
      <c r="U13" s="27"/>
      <c r="V13" s="27"/>
      <c r="W13" s="28"/>
      <c r="AG13" s="34" t="s">
        <v>40</v>
      </c>
      <c r="AH13" s="32"/>
      <c r="AI13" s="32"/>
    </row>
    <row r="14" spans="1:39" x14ac:dyDescent="0.2">
      <c r="A14" s="36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0.80120000000000002</v>
      </c>
      <c r="K14" s="11">
        <v>0.95450000000000002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32"/>
      <c r="AI14" s="32"/>
    </row>
    <row r="15" spans="1:39" x14ac:dyDescent="0.2">
      <c r="A15" s="83" t="s">
        <v>50</v>
      </c>
      <c r="B15" s="82"/>
      <c r="C15" s="82"/>
      <c r="D15" s="2"/>
      <c r="E15" s="82" t="s">
        <v>13</v>
      </c>
      <c r="F15" s="82"/>
      <c r="G15" s="82"/>
      <c r="H15" s="2"/>
      <c r="I15" s="3"/>
      <c r="J15" s="37">
        <v>0.88400000000000001</v>
      </c>
      <c r="K15" s="37">
        <v>0.97499999999999998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32"/>
      <c r="AI15" s="32"/>
    </row>
    <row r="16" spans="1:39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>
        <v>0.93940000000000001</v>
      </c>
      <c r="K16" s="11">
        <v>0.98609999999999998</v>
      </c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32"/>
      <c r="AI16" s="32"/>
    </row>
    <row r="17" spans="1:35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0.97699999999999998</v>
      </c>
      <c r="K17" s="11">
        <v>0.99480000000000002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32"/>
      <c r="AI17" s="32"/>
    </row>
    <row r="18" spans="1:35" x14ac:dyDescent="0.2">
      <c r="A18" s="1"/>
      <c r="B18" s="2"/>
      <c r="C18" s="2"/>
      <c r="D18" s="2"/>
      <c r="E18" s="2"/>
      <c r="F18" s="2"/>
      <c r="G18" s="2"/>
      <c r="H18" s="2"/>
      <c r="I18" s="3"/>
      <c r="J18" s="10">
        <v>0.99099999999999999</v>
      </c>
      <c r="K18" s="11">
        <v>0.998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32"/>
      <c r="AI18" s="32"/>
    </row>
    <row r="19" spans="1:35" x14ac:dyDescent="0.2">
      <c r="A19" s="1"/>
      <c r="B19" s="2"/>
      <c r="C19" s="2"/>
      <c r="D19" s="2"/>
      <c r="E19" s="2"/>
      <c r="F19" s="2"/>
      <c r="G19" s="2"/>
      <c r="H19" s="2"/>
      <c r="I19" s="3"/>
      <c r="J19" s="10">
        <v>0.99729999999999996</v>
      </c>
      <c r="K19" s="11">
        <v>0.99929999999999997</v>
      </c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32"/>
      <c r="AI19" s="32"/>
    </row>
    <row r="20" spans="1:35" x14ac:dyDescent="0.2">
      <c r="A20" s="1"/>
      <c r="B20" s="2"/>
      <c r="C20" s="2"/>
      <c r="D20" s="2"/>
      <c r="E20" s="2"/>
      <c r="F20" s="2"/>
      <c r="G20" s="2"/>
      <c r="H20" s="2"/>
      <c r="I20" s="3"/>
      <c r="J20" s="10">
        <v>1</v>
      </c>
      <c r="K20" s="11">
        <v>1</v>
      </c>
      <c r="L20" s="14" t="s">
        <v>24</v>
      </c>
      <c r="M20" s="15">
        <f>H9</f>
        <v>0.95</v>
      </c>
      <c r="N20" s="15">
        <f>H9</f>
        <v>0.95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32"/>
      <c r="AI20" s="32"/>
    </row>
    <row r="21" spans="1:35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M21 * M10 + M11</f>
        <v>0.6333333333333333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32"/>
      <c r="AI21" s="32"/>
    </row>
    <row r="22" spans="1:35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32"/>
      <c r="AI22" s="32"/>
    </row>
    <row r="23" spans="1:35" x14ac:dyDescent="0.2">
      <c r="A23" s="1"/>
      <c r="B23" s="2"/>
      <c r="C23" s="2"/>
      <c r="D23" s="2"/>
      <c r="E23" s="2"/>
      <c r="F23" s="2"/>
      <c r="G23" s="2"/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0.4</v>
      </c>
      <c r="R23" s="21">
        <f>B13</f>
        <v>0.4</v>
      </c>
      <c r="S23" s="22"/>
      <c r="T23" s="26"/>
      <c r="U23" s="27"/>
      <c r="V23" s="27"/>
      <c r="W23" s="28"/>
      <c r="AG23" s="34" t="s">
        <v>40</v>
      </c>
      <c r="AH23" s="32"/>
      <c r="AI23" s="32"/>
    </row>
    <row r="24" spans="1:35" x14ac:dyDescent="0.2">
      <c r="A24" s="1"/>
      <c r="B24" s="2"/>
      <c r="C24" s="2"/>
      <c r="D24" s="2"/>
      <c r="E24" s="2"/>
      <c r="F24" s="2"/>
      <c r="G24" s="2"/>
      <c r="H24" s="2"/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0.4</v>
      </c>
      <c r="R24" s="21">
        <v>0.76700000000000002</v>
      </c>
      <c r="S24" s="22"/>
      <c r="T24" s="26"/>
      <c r="U24" s="27"/>
      <c r="V24" s="27"/>
      <c r="W24" s="28"/>
      <c r="AG24" s="34" t="s">
        <v>39</v>
      </c>
      <c r="AH24" s="32"/>
      <c r="AI24" s="32"/>
    </row>
    <row r="25" spans="1:35" x14ac:dyDescent="0.2">
      <c r="A25" s="1" t="s">
        <v>17</v>
      </c>
      <c r="B25" s="2"/>
      <c r="C25" s="2"/>
      <c r="D25" s="2"/>
      <c r="E25" s="2" t="s">
        <v>54</v>
      </c>
      <c r="F25" s="2"/>
      <c r="G25" s="2"/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32"/>
      <c r="AI25" s="32"/>
    </row>
    <row r="26" spans="1:35" x14ac:dyDescent="0.2">
      <c r="A26" s="1" t="s">
        <v>18</v>
      </c>
      <c r="B26" s="2">
        <v>0.05</v>
      </c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32"/>
      <c r="AI26" s="32"/>
    </row>
    <row r="27" spans="1:35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32"/>
      <c r="AI27" s="32"/>
    </row>
    <row r="28" spans="1:35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32"/>
      <c r="AI28" s="32"/>
    </row>
    <row r="29" spans="1:35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32"/>
      <c r="AI29" s="32"/>
    </row>
  </sheetData>
  <mergeCells count="15">
    <mergeCell ref="E16:G16"/>
    <mergeCell ref="P16:S16"/>
    <mergeCell ref="P11:S11"/>
    <mergeCell ref="E13:G13"/>
    <mergeCell ref="L13:O13"/>
    <mergeCell ref="R13:S13"/>
    <mergeCell ref="E14:G14"/>
    <mergeCell ref="P1:S1"/>
    <mergeCell ref="T1:W1"/>
    <mergeCell ref="T3:W3"/>
    <mergeCell ref="A15:C15"/>
    <mergeCell ref="E15:G15"/>
    <mergeCell ref="A1:I1"/>
    <mergeCell ref="J1:K1"/>
    <mergeCell ref="L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9C94-AF8A-D24F-8A09-BC188032F6A8}">
  <dimension ref="A1:AN85"/>
  <sheetViews>
    <sheetView topLeftCell="T1" zoomScaleNormal="100" workbookViewId="0">
      <selection activeCell="AI11" sqref="AI11"/>
    </sheetView>
  </sheetViews>
  <sheetFormatPr baseColWidth="10" defaultRowHeight="16" x14ac:dyDescent="0.2"/>
  <cols>
    <col min="39" max="39" width="18.6640625" bestFit="1" customWidth="1"/>
  </cols>
  <sheetData>
    <row r="1" spans="1:40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63"/>
      <c r="L1" s="70" t="s">
        <v>23</v>
      </c>
      <c r="M1" s="71"/>
      <c r="N1" s="71"/>
      <c r="O1" s="72"/>
      <c r="P1" s="73" t="s">
        <v>28</v>
      </c>
      <c r="Q1" s="74"/>
      <c r="R1" s="74"/>
      <c r="S1" s="75"/>
      <c r="T1" s="59" t="s">
        <v>37</v>
      </c>
      <c r="U1" s="60"/>
      <c r="V1" s="60"/>
      <c r="W1" s="61"/>
      <c r="Y1" s="84" t="s">
        <v>68</v>
      </c>
      <c r="Z1" s="84"/>
      <c r="AA1" s="84"/>
      <c r="AB1" s="84"/>
      <c r="AC1" s="84"/>
      <c r="AD1" s="84"/>
      <c r="AE1" s="84"/>
      <c r="AG1" s="33"/>
      <c r="AH1" s="33" t="s">
        <v>20</v>
      </c>
      <c r="AI1" s="33" t="s">
        <v>21</v>
      </c>
    </row>
    <row r="2" spans="1:40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11" t="s">
        <v>21</v>
      </c>
      <c r="L2" s="14"/>
      <c r="M2" s="15"/>
      <c r="N2" s="15"/>
      <c r="O2" s="16"/>
      <c r="P2" s="20"/>
      <c r="Q2" s="21"/>
      <c r="R2" s="21"/>
      <c r="S2" s="22"/>
      <c r="T2" s="26"/>
      <c r="U2" s="27"/>
      <c r="V2" s="27"/>
      <c r="W2" s="28"/>
      <c r="Y2" s="84"/>
      <c r="Z2" s="84"/>
      <c r="AA2" s="84"/>
      <c r="AB2" s="84"/>
      <c r="AC2" s="84"/>
      <c r="AD2" s="84"/>
      <c r="AE2" s="84"/>
      <c r="AG2" s="34" t="s">
        <v>39</v>
      </c>
      <c r="AH2" s="42">
        <v>0.85</v>
      </c>
      <c r="AI2" s="42">
        <v>0.85</v>
      </c>
      <c r="AL2" s="45" t="s">
        <v>64</v>
      </c>
      <c r="AM2" s="45" t="s">
        <v>54</v>
      </c>
      <c r="AN2" s="45">
        <f>F25</f>
        <v>50.823529411764724</v>
      </c>
    </row>
    <row r="3" spans="1:40" x14ac:dyDescent="0.2">
      <c r="A3" s="1" t="s">
        <v>48</v>
      </c>
      <c r="B3" s="2" t="s">
        <v>1</v>
      </c>
      <c r="C3" s="2" t="s">
        <v>4</v>
      </c>
      <c r="D3" s="38"/>
      <c r="E3" s="2"/>
      <c r="F3" s="2"/>
      <c r="G3" s="2"/>
      <c r="H3" s="2"/>
      <c r="I3" s="3"/>
      <c r="J3" s="10">
        <v>0</v>
      </c>
      <c r="K3" s="37">
        <v>0</v>
      </c>
      <c r="L3" s="14"/>
      <c r="M3" s="15"/>
      <c r="N3" s="15"/>
      <c r="O3" s="16"/>
      <c r="P3" s="20"/>
      <c r="Q3" s="21"/>
      <c r="R3" s="21"/>
      <c r="S3" s="22"/>
      <c r="T3" s="79" t="s">
        <v>38</v>
      </c>
      <c r="U3" s="80"/>
      <c r="V3" s="80"/>
      <c r="W3" s="81"/>
      <c r="AG3" s="34" t="s">
        <v>40</v>
      </c>
      <c r="AH3" s="42">
        <v>0.83652934397163126</v>
      </c>
      <c r="AI3" s="42">
        <v>0.85</v>
      </c>
      <c r="AJ3">
        <v>1</v>
      </c>
      <c r="AL3" s="44"/>
      <c r="AM3" s="44" t="s">
        <v>59</v>
      </c>
      <c r="AN3" s="44">
        <f>(AH41-U10) / (AH41 - AH42)</f>
        <v>0.33218550215462472</v>
      </c>
    </row>
    <row r="4" spans="1:40" x14ac:dyDescent="0.2">
      <c r="A4" s="1">
        <v>1</v>
      </c>
      <c r="B4" s="2"/>
      <c r="C4" s="2"/>
      <c r="D4" s="2"/>
      <c r="E4" s="2"/>
      <c r="F4" s="2"/>
      <c r="G4" s="41"/>
      <c r="H4" s="2"/>
      <c r="I4" s="3"/>
      <c r="J4" s="10">
        <v>1.9E-2</v>
      </c>
      <c r="K4" s="11">
        <v>0.17</v>
      </c>
      <c r="L4" s="14"/>
      <c r="M4" s="15"/>
      <c r="N4" s="15"/>
      <c r="O4" s="16"/>
      <c r="P4" s="20"/>
      <c r="Q4" s="21"/>
      <c r="R4" s="21"/>
      <c r="S4" s="22"/>
      <c r="T4" s="26"/>
      <c r="U4" s="27"/>
      <c r="V4" s="27"/>
      <c r="W4" s="28"/>
      <c r="AG4" s="34" t="s">
        <v>39</v>
      </c>
      <c r="AH4" s="42">
        <v>0.83652934397163126</v>
      </c>
      <c r="AI4" s="42">
        <v>0.83989700797872346</v>
      </c>
      <c r="AL4" s="45" t="s">
        <v>65</v>
      </c>
      <c r="AM4" s="45" t="s">
        <v>60</v>
      </c>
      <c r="AN4" s="45">
        <f xml:space="preserve"> 20 + AN3</f>
        <v>20.332185502154626</v>
      </c>
    </row>
    <row r="5" spans="1:40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7.2099999999999997E-2</v>
      </c>
      <c r="K5" s="11">
        <v>0.3891</v>
      </c>
      <c r="L5" s="14"/>
      <c r="M5" s="15"/>
      <c r="N5" s="15"/>
      <c r="O5" s="16"/>
      <c r="P5" s="20"/>
      <c r="Q5" s="21"/>
      <c r="R5" s="21"/>
      <c r="S5" s="22"/>
      <c r="T5" s="26"/>
      <c r="U5" s="27" t="s">
        <v>20</v>
      </c>
      <c r="V5" s="27" t="s">
        <v>21</v>
      </c>
      <c r="W5" s="28"/>
      <c r="AG5" s="34" t="s">
        <v>40</v>
      </c>
      <c r="AH5" s="42">
        <v>0.82335425419920416</v>
      </c>
      <c r="AI5" s="42">
        <v>0.83989700797872346</v>
      </c>
      <c r="AJ5">
        <v>2</v>
      </c>
      <c r="AL5" s="44" t="s">
        <v>66</v>
      </c>
      <c r="AM5" s="44" t="s">
        <v>61</v>
      </c>
      <c r="AN5" s="44">
        <v>17</v>
      </c>
    </row>
    <row r="6" spans="1:40" x14ac:dyDescent="0.2">
      <c r="A6" s="1"/>
      <c r="B6" s="2"/>
      <c r="C6" s="2"/>
      <c r="D6" s="2"/>
      <c r="E6" s="2"/>
      <c r="F6" s="2"/>
      <c r="G6" s="2"/>
      <c r="H6" s="2"/>
      <c r="I6" s="3"/>
      <c r="J6" s="10">
        <v>9.6600000000000005E-2</v>
      </c>
      <c r="K6" s="11">
        <v>0.4375</v>
      </c>
      <c r="L6" s="14"/>
      <c r="M6" s="15"/>
      <c r="N6" s="15"/>
      <c r="O6" s="16"/>
      <c r="P6" s="20"/>
      <c r="Q6" s="21"/>
      <c r="R6" s="21"/>
      <c r="S6" s="22"/>
      <c r="T6" s="26" t="s">
        <v>24</v>
      </c>
      <c r="U6" s="27" t="s">
        <v>18</v>
      </c>
      <c r="V6" s="27" t="s">
        <v>18</v>
      </c>
      <c r="W6" s="28"/>
      <c r="AG6" s="34" t="s">
        <v>39</v>
      </c>
      <c r="AH6" s="42">
        <v>0.82335425419920416</v>
      </c>
      <c r="AI6" s="42">
        <v>0.83001569064940317</v>
      </c>
      <c r="AL6" s="45" t="s">
        <v>67</v>
      </c>
      <c r="AM6" s="45" t="s">
        <v>44</v>
      </c>
      <c r="AN6" s="45">
        <f>M55</f>
        <v>1.9970845481049575</v>
      </c>
    </row>
    <row r="7" spans="1:40" x14ac:dyDescent="0.2">
      <c r="A7" s="1"/>
      <c r="B7" s="2"/>
      <c r="C7" s="2"/>
      <c r="D7" s="2"/>
      <c r="E7" s="2"/>
      <c r="F7" s="2"/>
      <c r="G7" s="2"/>
      <c r="H7" s="2"/>
      <c r="I7" s="3"/>
      <c r="J7" s="10">
        <v>0.12379999999999999</v>
      </c>
      <c r="K7" s="11">
        <v>0.47039999999999998</v>
      </c>
      <c r="L7" s="14"/>
      <c r="M7" s="15"/>
      <c r="N7" s="15"/>
      <c r="O7" s="16"/>
      <c r="P7" s="20"/>
      <c r="Q7" s="21"/>
      <c r="R7" s="21"/>
      <c r="S7" s="22"/>
      <c r="T7" s="26" t="s">
        <v>25</v>
      </c>
      <c r="U7" s="27" t="s">
        <v>20</v>
      </c>
      <c r="V7" s="27" t="s">
        <v>21</v>
      </c>
      <c r="W7" s="28"/>
      <c r="AG7" s="34" t="s">
        <v>40</v>
      </c>
      <c r="AH7" s="42">
        <v>0.81046824551885832</v>
      </c>
      <c r="AI7" s="42">
        <v>0.83001569064940317</v>
      </c>
      <c r="AJ7">
        <v>3</v>
      </c>
    </row>
    <row r="8" spans="1:40" x14ac:dyDescent="0.2">
      <c r="A8" s="1"/>
      <c r="B8" s="2"/>
      <c r="C8" s="2"/>
      <c r="D8" s="2"/>
      <c r="E8" s="2"/>
      <c r="F8" s="2"/>
      <c r="G8" s="38" t="s">
        <v>15</v>
      </c>
      <c r="H8" s="2">
        <f>0.9 * B13 * B12 / H9</f>
        <v>12.705882352941178</v>
      </c>
      <c r="I8" s="3" t="s">
        <v>8</v>
      </c>
      <c r="J8" s="10">
        <v>0.1661</v>
      </c>
      <c r="K8" s="11">
        <v>0.50890000000000002</v>
      </c>
      <c r="L8" s="14"/>
      <c r="M8" s="15"/>
      <c r="N8" s="15"/>
      <c r="O8" s="16"/>
      <c r="P8" s="20"/>
      <c r="Q8" s="21"/>
      <c r="R8" s="21"/>
      <c r="S8" s="22"/>
      <c r="T8" s="26"/>
      <c r="U8" s="27"/>
      <c r="V8" s="27"/>
      <c r="W8" s="28"/>
      <c r="AG8" s="34" t="s">
        <v>39</v>
      </c>
      <c r="AH8" s="42">
        <v>0.81046824551885832</v>
      </c>
      <c r="AI8" s="42">
        <v>0.82035118413914376</v>
      </c>
    </row>
    <row r="9" spans="1:40" x14ac:dyDescent="0.2">
      <c r="A9" s="1"/>
      <c r="B9" s="2"/>
      <c r="C9" s="2"/>
      <c r="D9" s="2"/>
      <c r="E9" s="2"/>
      <c r="F9" s="2"/>
      <c r="G9" s="38" t="s">
        <v>16</v>
      </c>
      <c r="H9" s="2">
        <v>0.85</v>
      </c>
      <c r="I9" s="3"/>
      <c r="J9" s="10">
        <v>0.23369999999999999</v>
      </c>
      <c r="K9" s="11">
        <v>0.54449999999999998</v>
      </c>
      <c r="L9" s="14"/>
      <c r="M9" s="15"/>
      <c r="N9" s="15"/>
      <c r="O9" s="16"/>
      <c r="P9" s="20"/>
      <c r="Q9" s="21"/>
      <c r="R9" s="21"/>
      <c r="S9" s="22"/>
      <c r="T9" s="26"/>
      <c r="U9" s="27" t="s">
        <v>20</v>
      </c>
      <c r="V9" s="27" t="s">
        <v>21</v>
      </c>
      <c r="W9" s="28"/>
      <c r="AG9" s="34" t="s">
        <v>40</v>
      </c>
      <c r="AH9" s="42">
        <v>0.79786497506088705</v>
      </c>
      <c r="AI9" s="42">
        <v>0.82035118413914376</v>
      </c>
      <c r="AJ9">
        <v>4</v>
      </c>
    </row>
    <row r="10" spans="1:40" x14ac:dyDescent="0.2">
      <c r="A10" s="1"/>
      <c r="B10" s="2"/>
      <c r="C10" s="2"/>
      <c r="D10" s="2"/>
      <c r="E10" s="2"/>
      <c r="F10" s="2"/>
      <c r="G10" s="2"/>
      <c r="H10" s="2"/>
      <c r="I10" s="3"/>
      <c r="J10" s="10">
        <v>0.26079999999999998</v>
      </c>
      <c r="K10" s="11">
        <v>0.55800000000000005</v>
      </c>
      <c r="L10" s="14" t="s">
        <v>55</v>
      </c>
      <c r="M10" s="15">
        <f>F12 / (F12 + 1)</f>
        <v>0.75</v>
      </c>
      <c r="N10" s="15"/>
      <c r="O10" s="16"/>
      <c r="P10" s="20"/>
      <c r="Q10" s="21"/>
      <c r="R10" s="21"/>
      <c r="S10" s="22"/>
      <c r="T10" s="26" t="s">
        <v>24</v>
      </c>
      <c r="U10" s="27">
        <f>B26</f>
        <v>8.6882453151618348E-3</v>
      </c>
      <c r="V10" s="27">
        <v>0</v>
      </c>
      <c r="W10" s="28"/>
      <c r="AG10" s="34" t="s">
        <v>39</v>
      </c>
      <c r="AH10" s="42">
        <v>0.79786497506088705</v>
      </c>
      <c r="AI10" s="42">
        <v>0.81089873129566536</v>
      </c>
    </row>
    <row r="11" spans="1:40" x14ac:dyDescent="0.2">
      <c r="A11" s="1"/>
      <c r="B11" s="2"/>
      <c r="C11" s="2"/>
      <c r="D11" s="2"/>
      <c r="E11" s="2"/>
      <c r="F11" s="2"/>
      <c r="G11" s="2"/>
      <c r="H11" s="2"/>
      <c r="I11" s="3"/>
      <c r="J11" s="10">
        <v>0.32729999999999998</v>
      </c>
      <c r="K11" s="11">
        <v>0.58260000000000001</v>
      </c>
      <c r="L11" s="14" t="s">
        <v>26</v>
      </c>
      <c r="M11" s="15">
        <f>H9 / (F12 + 1)</f>
        <v>0.21249999999999999</v>
      </c>
      <c r="N11" s="15"/>
      <c r="O11" s="16"/>
      <c r="P11" s="76"/>
      <c r="Q11" s="77"/>
      <c r="R11" s="77"/>
      <c r="S11" s="78"/>
      <c r="T11" s="26" t="s">
        <v>25</v>
      </c>
      <c r="U11" s="27">
        <f>Q24</f>
        <v>0.12</v>
      </c>
      <c r="V11" s="27">
        <v>0.30399999999999999</v>
      </c>
      <c r="W11" s="28"/>
      <c r="AG11" s="34" t="s">
        <v>40</v>
      </c>
      <c r="AH11" s="42">
        <v>0.78553823912759202</v>
      </c>
      <c r="AI11" s="42">
        <v>0.81089873129566536</v>
      </c>
      <c r="AJ11">
        <v>5</v>
      </c>
    </row>
    <row r="12" spans="1:40" x14ac:dyDescent="0.2">
      <c r="A12" s="39" t="s">
        <v>5</v>
      </c>
      <c r="B12" s="40">
        <v>100</v>
      </c>
      <c r="C12" s="2" t="s">
        <v>8</v>
      </c>
      <c r="D12" s="2"/>
      <c r="E12" s="40" t="s">
        <v>10</v>
      </c>
      <c r="F12" s="2">
        <v>3</v>
      </c>
      <c r="G12" s="2"/>
      <c r="H12" s="2"/>
      <c r="I12" s="3"/>
      <c r="J12" s="10">
        <v>0.39650000000000002</v>
      </c>
      <c r="K12" s="11">
        <v>0.61219999999999997</v>
      </c>
      <c r="L12" s="14"/>
      <c r="M12" s="15"/>
      <c r="N12" s="15"/>
      <c r="O12" s="16"/>
      <c r="P12" s="20"/>
      <c r="Q12" s="21"/>
      <c r="R12" s="21"/>
      <c r="S12" s="22"/>
      <c r="T12" s="26"/>
      <c r="U12" s="27"/>
      <c r="V12" s="27"/>
      <c r="W12" s="28"/>
      <c r="AG12" s="34" t="s">
        <v>39</v>
      </c>
      <c r="AH12" s="42">
        <v>0.78553823912759202</v>
      </c>
      <c r="AI12" s="42">
        <v>0.80165367934569398</v>
      </c>
    </row>
    <row r="13" spans="1:40" x14ac:dyDescent="0.2">
      <c r="A13" s="39" t="s">
        <v>6</v>
      </c>
      <c r="B13" s="40">
        <v>0.12</v>
      </c>
      <c r="C13" s="2"/>
      <c r="D13" s="2"/>
      <c r="E13" s="82" t="s">
        <v>12</v>
      </c>
      <c r="F13" s="82"/>
      <c r="G13" s="82"/>
      <c r="H13" s="2"/>
      <c r="I13" s="3"/>
      <c r="J13" s="10">
        <v>0.50790000000000002</v>
      </c>
      <c r="K13" s="11">
        <v>0.65639999999999998</v>
      </c>
      <c r="L13" s="64" t="s">
        <v>27</v>
      </c>
      <c r="M13" s="65"/>
      <c r="N13" s="65"/>
      <c r="O13" s="66"/>
      <c r="P13" s="20"/>
      <c r="Q13" s="21"/>
      <c r="R13" s="77" t="s">
        <v>51</v>
      </c>
      <c r="S13" s="78"/>
      <c r="T13" s="26"/>
      <c r="U13" s="27"/>
      <c r="V13" s="27"/>
      <c r="W13" s="28"/>
      <c r="AG13" s="34" t="s">
        <v>40</v>
      </c>
      <c r="AH13" s="42">
        <v>0.77348197013964182</v>
      </c>
      <c r="AI13" s="42">
        <v>0.80165367934569398</v>
      </c>
      <c r="AJ13">
        <v>6</v>
      </c>
    </row>
    <row r="14" spans="1:40" x14ac:dyDescent="0.2">
      <c r="A14" s="39" t="s">
        <v>7</v>
      </c>
      <c r="B14" s="2"/>
      <c r="C14" s="2" t="s">
        <v>9</v>
      </c>
      <c r="D14" s="2"/>
      <c r="E14" s="82" t="s">
        <v>11</v>
      </c>
      <c r="F14" s="82"/>
      <c r="G14" s="82"/>
      <c r="H14" s="2"/>
      <c r="I14" s="3"/>
      <c r="J14" s="10">
        <v>0.51980000000000004</v>
      </c>
      <c r="K14" s="11">
        <v>0.65990000000000004</v>
      </c>
      <c r="L14" s="14"/>
      <c r="M14" s="15"/>
      <c r="N14" s="15"/>
      <c r="O14" s="16"/>
      <c r="P14" s="20"/>
      <c r="Q14" s="21"/>
      <c r="R14" s="21" t="s">
        <v>36</v>
      </c>
      <c r="S14" s="22">
        <v>1</v>
      </c>
      <c r="T14" s="26"/>
      <c r="U14" s="27"/>
      <c r="V14" s="27"/>
      <c r="W14" s="28"/>
      <c r="AG14" s="34" t="s">
        <v>39</v>
      </c>
      <c r="AH14" s="42">
        <v>0.77348197013964182</v>
      </c>
      <c r="AI14" s="42">
        <v>0.79261147760473138</v>
      </c>
    </row>
    <row r="15" spans="1:40" x14ac:dyDescent="0.2">
      <c r="A15" s="83" t="s">
        <v>50</v>
      </c>
      <c r="B15" s="82"/>
      <c r="C15" s="82"/>
      <c r="D15" s="2"/>
      <c r="E15" s="82" t="s">
        <v>13</v>
      </c>
      <c r="F15" s="82"/>
      <c r="G15" s="82"/>
      <c r="H15" s="2"/>
      <c r="I15" s="3"/>
      <c r="J15" s="37">
        <v>0.57320000000000004</v>
      </c>
      <c r="K15" s="37">
        <v>0.68410000000000004</v>
      </c>
      <c r="L15" s="14"/>
      <c r="M15" s="15" t="s">
        <v>20</v>
      </c>
      <c r="N15" s="15" t="s">
        <v>21</v>
      </c>
      <c r="O15" s="16"/>
      <c r="P15" s="20"/>
      <c r="Q15" s="21"/>
      <c r="R15" s="21"/>
      <c r="S15" s="22"/>
      <c r="T15" s="26"/>
      <c r="U15" s="27"/>
      <c r="V15" s="27"/>
      <c r="W15" s="28"/>
      <c r="AG15" s="34" t="s">
        <v>40</v>
      </c>
      <c r="AH15" s="42">
        <v>0.76169023364943256</v>
      </c>
      <c r="AI15" s="42">
        <v>0.79261147760473138</v>
      </c>
      <c r="AJ15">
        <v>7</v>
      </c>
    </row>
    <row r="16" spans="1:40" x14ac:dyDescent="0.2">
      <c r="A16" s="1"/>
      <c r="B16" s="2"/>
      <c r="C16" s="2"/>
      <c r="D16" s="2"/>
      <c r="E16" s="82" t="s">
        <v>14</v>
      </c>
      <c r="F16" s="82"/>
      <c r="G16" s="82"/>
      <c r="H16" s="2"/>
      <c r="I16" s="3"/>
      <c r="J16" s="10">
        <v>0.67630000000000001</v>
      </c>
      <c r="K16" s="11">
        <v>0.73850000000000005</v>
      </c>
      <c r="L16" s="14" t="s">
        <v>24</v>
      </c>
      <c r="M16" s="15" t="s">
        <v>16</v>
      </c>
      <c r="N16" s="15" t="s">
        <v>16</v>
      </c>
      <c r="O16" s="16"/>
      <c r="P16" s="76" t="s">
        <v>29</v>
      </c>
      <c r="Q16" s="77"/>
      <c r="R16" s="77"/>
      <c r="S16" s="78"/>
      <c r="T16" s="26"/>
      <c r="U16" s="27"/>
      <c r="V16" s="27"/>
      <c r="W16" s="28"/>
      <c r="AG16" s="34" t="s">
        <v>39</v>
      </c>
      <c r="AH16" s="42">
        <v>0.76169023364943256</v>
      </c>
      <c r="AI16" s="42">
        <v>0.78376767523707447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>
        <v>0.74719999999999998</v>
      </c>
      <c r="K17" s="11">
        <v>0.78149999999999997</v>
      </c>
      <c r="L17" s="14" t="s">
        <v>25</v>
      </c>
      <c r="M17" s="15">
        <v>0</v>
      </c>
      <c r="N17" s="15" t="s">
        <v>26</v>
      </c>
      <c r="O17" s="16"/>
      <c r="P17" s="20"/>
      <c r="Q17" s="21"/>
      <c r="R17" s="21"/>
      <c r="S17" s="22"/>
      <c r="T17" s="26"/>
      <c r="U17" s="27"/>
      <c r="V17" s="27"/>
      <c r="W17" s="28"/>
      <c r="AG17" s="34" t="s">
        <v>40</v>
      </c>
      <c r="AH17" s="42">
        <v>0.75015722541997931</v>
      </c>
      <c r="AI17" s="42">
        <v>0.78376767523707447</v>
      </c>
      <c r="AJ17">
        <v>8</v>
      </c>
    </row>
    <row r="18" spans="1:36" x14ac:dyDescent="0.2">
      <c r="A18" s="1"/>
      <c r="B18" s="2"/>
      <c r="C18" s="2"/>
      <c r="D18" s="2"/>
      <c r="E18" s="2"/>
      <c r="F18" s="41"/>
      <c r="G18" s="2"/>
      <c r="H18" s="2"/>
      <c r="I18" s="3"/>
      <c r="J18" s="10">
        <v>0.89429999999999998</v>
      </c>
      <c r="K18" s="11">
        <v>0.89429999999999998</v>
      </c>
      <c r="L18" s="14"/>
      <c r="M18" s="15"/>
      <c r="N18" s="15"/>
      <c r="O18" s="16"/>
      <c r="P18" s="20"/>
      <c r="Q18" s="21" t="s">
        <v>20</v>
      </c>
      <c r="R18" s="21" t="s">
        <v>21</v>
      </c>
      <c r="S18" s="22"/>
      <c r="T18" s="26"/>
      <c r="U18" s="27"/>
      <c r="V18" s="27"/>
      <c r="W18" s="28"/>
      <c r="AG18" s="34" t="s">
        <v>39</v>
      </c>
      <c r="AH18" s="42">
        <v>0.75015722541997931</v>
      </c>
      <c r="AI18" s="42">
        <v>0.77511791906498451</v>
      </c>
    </row>
    <row r="19" spans="1:36" x14ac:dyDescent="0.2">
      <c r="A19" s="1"/>
      <c r="B19" s="2"/>
      <c r="C19" s="2"/>
      <c r="D19" s="2"/>
      <c r="E19" s="2"/>
      <c r="F19" s="41"/>
      <c r="G19" s="41"/>
      <c r="H19" s="41"/>
      <c r="I19" s="3"/>
      <c r="J19" s="10">
        <v>1</v>
      </c>
      <c r="K19" s="11">
        <v>1</v>
      </c>
      <c r="L19" s="14"/>
      <c r="M19" s="15" t="s">
        <v>20</v>
      </c>
      <c r="N19" s="15" t="s">
        <v>21</v>
      </c>
      <c r="O19" s="16"/>
      <c r="P19" s="20" t="s">
        <v>24</v>
      </c>
      <c r="Q19" s="21" t="s">
        <v>6</v>
      </c>
      <c r="R19" s="21" t="s">
        <v>6</v>
      </c>
      <c r="S19" s="22"/>
      <c r="T19" s="26"/>
      <c r="U19" s="27"/>
      <c r="V19" s="27"/>
      <c r="W19" s="28"/>
      <c r="AG19" s="34" t="s">
        <v>40</v>
      </c>
      <c r="AH19" s="42">
        <v>0.73667698748156751</v>
      </c>
      <c r="AI19" s="42">
        <v>0.77511791906498451</v>
      </c>
      <c r="AJ19">
        <v>9</v>
      </c>
    </row>
    <row r="20" spans="1:36" x14ac:dyDescent="0.2">
      <c r="A20" s="1"/>
      <c r="B20" s="2"/>
      <c r="C20" s="2"/>
      <c r="D20" s="2"/>
      <c r="E20" s="2"/>
      <c r="F20" s="41"/>
      <c r="G20" s="2"/>
      <c r="H20" s="2"/>
      <c r="I20" s="3"/>
      <c r="J20" s="10"/>
      <c r="K20" s="11"/>
      <c r="L20" s="14" t="s">
        <v>24</v>
      </c>
      <c r="M20" s="15">
        <f>H9</f>
        <v>0.85</v>
      </c>
      <c r="N20" s="15">
        <f>H9</f>
        <v>0.85</v>
      </c>
      <c r="O20" s="16"/>
      <c r="P20" s="20" t="s">
        <v>25</v>
      </c>
      <c r="Q20" s="21" t="s">
        <v>20</v>
      </c>
      <c r="R20" s="21" t="s">
        <v>21</v>
      </c>
      <c r="S20" s="22"/>
      <c r="T20" s="26"/>
      <c r="U20" s="27"/>
      <c r="V20" s="27"/>
      <c r="W20" s="28"/>
      <c r="AG20" s="34" t="s">
        <v>39</v>
      </c>
      <c r="AH20" s="42">
        <v>0.73667698748156751</v>
      </c>
      <c r="AI20" s="42">
        <v>0.7650077406111756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11"/>
      <c r="L21" s="14" t="s">
        <v>25</v>
      </c>
      <c r="M21" s="15">
        <v>0</v>
      </c>
      <c r="N21" s="15">
        <f>M21 * M10 + M11</f>
        <v>0.21249999999999999</v>
      </c>
      <c r="O21" s="16"/>
      <c r="P21" s="20"/>
      <c r="Q21" s="21"/>
      <c r="R21" s="21"/>
      <c r="S21" s="22"/>
      <c r="T21" s="26"/>
      <c r="U21" s="27"/>
      <c r="V21" s="27"/>
      <c r="W21" s="28"/>
      <c r="AG21" s="34" t="s">
        <v>40</v>
      </c>
      <c r="AH21" s="42">
        <v>0.72000694905424067</v>
      </c>
      <c r="AI21" s="42">
        <v>0.7650077406111756</v>
      </c>
      <c r="AJ21">
        <v>10</v>
      </c>
    </row>
    <row r="22" spans="1:36" x14ac:dyDescent="0.2">
      <c r="A22" s="41"/>
      <c r="B22" s="2"/>
      <c r="C22" s="2"/>
      <c r="D22" s="2"/>
      <c r="E22" s="2"/>
      <c r="F22" s="2" t="s">
        <v>58</v>
      </c>
      <c r="G22" s="2">
        <f>H8 * F12</f>
        <v>38.117647058823536</v>
      </c>
      <c r="H22" s="2"/>
      <c r="I22" s="3"/>
      <c r="J22" s="10"/>
      <c r="K22" s="11"/>
      <c r="L22" s="14"/>
      <c r="M22" s="15"/>
      <c r="N22" s="15"/>
      <c r="O22" s="16"/>
      <c r="P22" s="20"/>
      <c r="Q22" s="21" t="s">
        <v>20</v>
      </c>
      <c r="R22" s="21" t="s">
        <v>21</v>
      </c>
      <c r="S22" s="22"/>
      <c r="T22" s="26"/>
      <c r="U22" s="27"/>
      <c r="V22" s="27"/>
      <c r="W22" s="28"/>
      <c r="AG22" s="34" t="s">
        <v>39</v>
      </c>
      <c r="AH22" s="42">
        <v>0.72000694905424067</v>
      </c>
      <c r="AI22" s="42">
        <v>0.75250521179068053</v>
      </c>
    </row>
    <row r="23" spans="1:36" x14ac:dyDescent="0.2">
      <c r="A23" s="1"/>
      <c r="B23" s="2"/>
      <c r="C23" s="2"/>
      <c r="D23" s="2"/>
      <c r="E23" s="2"/>
      <c r="F23" s="2"/>
      <c r="G23" s="2"/>
      <c r="H23" s="2"/>
      <c r="I23" s="3"/>
      <c r="J23" s="10"/>
      <c r="K23" s="11"/>
      <c r="L23" s="14"/>
      <c r="M23" s="15"/>
      <c r="N23" s="15"/>
      <c r="O23" s="16"/>
      <c r="P23" s="20" t="s">
        <v>24</v>
      </c>
      <c r="Q23" s="21">
        <f>B13</f>
        <v>0.12</v>
      </c>
      <c r="R23" s="21">
        <f>B13</f>
        <v>0.12</v>
      </c>
      <c r="S23" s="22"/>
      <c r="T23" s="26"/>
      <c r="U23" s="27"/>
      <c r="V23" s="27"/>
      <c r="W23" s="28"/>
      <c r="AG23" s="34" t="s">
        <v>40</v>
      </c>
      <c r="AH23" s="42">
        <v>0.69939231432463367</v>
      </c>
      <c r="AI23" s="42">
        <v>0.75250521179068053</v>
      </c>
      <c r="AJ23">
        <v>11</v>
      </c>
    </row>
    <row r="24" spans="1:36" x14ac:dyDescent="0.2">
      <c r="A24" s="1"/>
      <c r="B24" s="2"/>
      <c r="C24" s="2"/>
      <c r="D24" s="2"/>
      <c r="E24" s="2"/>
      <c r="F24" s="41"/>
      <c r="G24" s="2"/>
      <c r="H24" s="2"/>
      <c r="I24" s="3"/>
      <c r="J24" s="10"/>
      <c r="K24" s="11"/>
      <c r="L24" s="14"/>
      <c r="M24" s="15"/>
      <c r="N24" s="15"/>
      <c r="O24" s="16"/>
      <c r="P24" s="20" t="s">
        <v>25</v>
      </c>
      <c r="Q24" s="21">
        <f>Q23</f>
        <v>0.12</v>
      </c>
      <c r="R24" s="21">
        <v>0.30399999999999999</v>
      </c>
      <c r="S24" s="22"/>
      <c r="T24" s="26"/>
      <c r="U24" s="27"/>
      <c r="V24" s="27"/>
      <c r="W24" s="28"/>
      <c r="AG24" s="34" t="s">
        <v>39</v>
      </c>
      <c r="AH24" s="42">
        <v>0.69939231432463367</v>
      </c>
      <c r="AI24" s="42">
        <v>0.73704423574347533</v>
      </c>
    </row>
    <row r="25" spans="1:36" x14ac:dyDescent="0.2">
      <c r="A25" s="1" t="s">
        <v>17</v>
      </c>
      <c r="B25" s="2">
        <f>G22 + B12</f>
        <v>138.11764705882354</v>
      </c>
      <c r="C25" s="2"/>
      <c r="D25" s="2"/>
      <c r="E25" s="2" t="s">
        <v>54</v>
      </c>
      <c r="F25" s="2">
        <f>B25 + H8 - B12</f>
        <v>50.823529411764724</v>
      </c>
      <c r="G25" s="2" t="s">
        <v>8</v>
      </c>
      <c r="H25" s="2"/>
      <c r="I25" s="3"/>
      <c r="J25" s="10"/>
      <c r="K25" s="11"/>
      <c r="L25" s="14"/>
      <c r="M25" s="15"/>
      <c r="N25" s="15"/>
      <c r="O25" s="16"/>
      <c r="P25" s="20"/>
      <c r="Q25" s="21"/>
      <c r="R25" s="21"/>
      <c r="S25" s="22"/>
      <c r="T25" s="26"/>
      <c r="U25" s="27"/>
      <c r="V25" s="27"/>
      <c r="W25" s="28"/>
      <c r="AG25" s="34" t="s">
        <v>40</v>
      </c>
      <c r="AH25" s="42">
        <v>0.67354100560941732</v>
      </c>
      <c r="AI25" s="42">
        <v>0.73704423574347533</v>
      </c>
      <c r="AJ25">
        <v>12</v>
      </c>
    </row>
    <row r="26" spans="1:36" x14ac:dyDescent="0.2">
      <c r="A26" s="1" t="s">
        <v>18</v>
      </c>
      <c r="B26" s="2">
        <f>(B13 * B12 - H9 * H8) / B25</f>
        <v>8.6882453151618348E-3</v>
      </c>
      <c r="C26" s="2"/>
      <c r="D26" s="2"/>
      <c r="E26" s="2"/>
      <c r="F26" s="2"/>
      <c r="G26" s="2"/>
      <c r="H26" s="2"/>
      <c r="I26" s="3"/>
      <c r="J26" s="10"/>
      <c r="K26" s="11"/>
      <c r="L26" s="14"/>
      <c r="M26" s="15"/>
      <c r="N26" s="15"/>
      <c r="O26" s="16"/>
      <c r="P26" s="20"/>
      <c r="Q26" s="21"/>
      <c r="R26" s="21"/>
      <c r="S26" s="22"/>
      <c r="T26" s="26"/>
      <c r="U26" s="27"/>
      <c r="V26" s="27"/>
      <c r="W26" s="28"/>
      <c r="AG26" s="34" t="s">
        <v>39</v>
      </c>
      <c r="AH26" s="42">
        <v>0.67354100560941732</v>
      </c>
      <c r="AI26" s="42">
        <v>0.71765575420706307</v>
      </c>
    </row>
    <row r="27" spans="1:36" x14ac:dyDescent="0.2">
      <c r="A27" s="1"/>
      <c r="B27" s="2"/>
      <c r="C27" s="2"/>
      <c r="D27" s="2"/>
      <c r="E27" s="2"/>
      <c r="F27" s="2"/>
      <c r="G27" s="41"/>
      <c r="H27" s="2"/>
      <c r="I27" s="3"/>
      <c r="J27" s="10"/>
      <c r="K27" s="11"/>
      <c r="L27" s="14"/>
      <c r="M27" s="15"/>
      <c r="N27" s="15"/>
      <c r="O27" s="16"/>
      <c r="P27" s="20"/>
      <c r="Q27" s="21"/>
      <c r="R27" s="21"/>
      <c r="S27" s="22"/>
      <c r="T27" s="26"/>
      <c r="U27" s="27"/>
      <c r="V27" s="27"/>
      <c r="W27" s="28"/>
      <c r="AG27" s="34" t="s">
        <v>40</v>
      </c>
      <c r="AH27" s="42">
        <v>0.63679555622698891</v>
      </c>
      <c r="AI27" s="42">
        <v>0.71765575420706307</v>
      </c>
      <c r="AJ27">
        <v>13</v>
      </c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11"/>
      <c r="L28" s="14"/>
      <c r="M28" s="15"/>
      <c r="N28" s="15"/>
      <c r="O28" s="16"/>
      <c r="P28" s="20"/>
      <c r="Q28" s="21"/>
      <c r="R28" s="21"/>
      <c r="S28" s="22"/>
      <c r="T28" s="26"/>
      <c r="U28" s="27"/>
      <c r="V28" s="27"/>
      <c r="W28" s="28"/>
      <c r="AG28" s="34" t="s">
        <v>39</v>
      </c>
      <c r="AH28" s="42">
        <v>0.63679555622698891</v>
      </c>
      <c r="AI28" s="42">
        <v>0.69009666717024165</v>
      </c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13"/>
      <c r="L29" s="17"/>
      <c r="M29" s="18"/>
      <c r="N29" s="18"/>
      <c r="O29" s="19"/>
      <c r="P29" s="23"/>
      <c r="Q29" s="24"/>
      <c r="R29" s="24"/>
      <c r="S29" s="25"/>
      <c r="T29" s="29"/>
      <c r="U29" s="30"/>
      <c r="V29" s="30"/>
      <c r="W29" s="31"/>
      <c r="AG29" s="34" t="s">
        <v>40</v>
      </c>
      <c r="AH29" s="42">
        <v>0.58456500708183656</v>
      </c>
      <c r="AI29" s="42">
        <v>0.69009666717024165</v>
      </c>
      <c r="AJ29">
        <v>14</v>
      </c>
    </row>
    <row r="30" spans="1:36" x14ac:dyDescent="0.2">
      <c r="AG30" s="34" t="s">
        <v>39</v>
      </c>
      <c r="AH30" s="42">
        <v>0.58456500708183656</v>
      </c>
      <c r="AI30" s="42">
        <v>0.65092375531137747</v>
      </c>
    </row>
    <row r="31" spans="1:36" x14ac:dyDescent="0.2">
      <c r="AG31" s="34" t="s">
        <v>40</v>
      </c>
      <c r="AH31" s="42">
        <v>0.49659725429544738</v>
      </c>
      <c r="AI31" s="42">
        <v>0.65092375531137747</v>
      </c>
      <c r="AJ31">
        <v>15</v>
      </c>
    </row>
    <row r="32" spans="1:36" x14ac:dyDescent="0.2">
      <c r="AG32" s="34" t="s">
        <v>39</v>
      </c>
      <c r="AH32" s="42">
        <v>0.49659725429544738</v>
      </c>
      <c r="AI32" s="42">
        <v>0.58494794072158551</v>
      </c>
    </row>
    <row r="33" spans="1:36" x14ac:dyDescent="0.2">
      <c r="AG33" s="34" t="s">
        <v>40</v>
      </c>
      <c r="AH33" s="42">
        <v>0.33278910465992295</v>
      </c>
      <c r="AI33" s="42">
        <v>0.58494794072158551</v>
      </c>
      <c r="AJ33">
        <v>16</v>
      </c>
    </row>
    <row r="34" spans="1:36" x14ac:dyDescent="0.2">
      <c r="AG34" s="34" t="s">
        <v>39</v>
      </c>
      <c r="AH34" s="42">
        <v>0.33278910465992295</v>
      </c>
      <c r="AI34" s="42">
        <v>0.46209182849494224</v>
      </c>
    </row>
    <row r="35" spans="1:36" x14ac:dyDescent="0.2">
      <c r="AG35" s="34" t="s">
        <v>40</v>
      </c>
      <c r="AH35" s="42">
        <v>0.11693123814779419</v>
      </c>
      <c r="AI35" s="42">
        <v>0.46209182849494224</v>
      </c>
      <c r="AJ35">
        <v>17</v>
      </c>
    </row>
    <row r="36" spans="1:36" x14ac:dyDescent="0.2">
      <c r="AG36" s="34" t="s">
        <v>39</v>
      </c>
      <c r="AH36" s="42">
        <v>0.11693123814779419</v>
      </c>
      <c r="AI36" s="42">
        <v>0.46209182849494224</v>
      </c>
    </row>
    <row r="37" spans="1:36" x14ac:dyDescent="0.2">
      <c r="AG37" s="34" t="s">
        <v>40</v>
      </c>
      <c r="AH37" s="42">
        <v>0.11693123814779419</v>
      </c>
      <c r="AI37" s="42">
        <v>0.29561900191303297</v>
      </c>
      <c r="AJ37">
        <v>18</v>
      </c>
    </row>
    <row r="38" spans="1:36" x14ac:dyDescent="0.2">
      <c r="AG38" s="34" t="s">
        <v>39</v>
      </c>
      <c r="AH38" s="42">
        <v>4.9444404388781608E-2</v>
      </c>
      <c r="AI38" s="42">
        <v>0.29561900191303297</v>
      </c>
    </row>
    <row r="39" spans="1:36" x14ac:dyDescent="0.2">
      <c r="AG39" s="34" t="s">
        <v>40</v>
      </c>
      <c r="AH39" s="42">
        <v>4.9444404388781608E-2</v>
      </c>
      <c r="AI39" s="42">
        <v>0.1113078523778589</v>
      </c>
      <c r="AJ39">
        <v>19</v>
      </c>
    </row>
    <row r="40" spans="1:36" x14ac:dyDescent="0.2">
      <c r="AG40" s="34" t="s">
        <v>39</v>
      </c>
      <c r="AH40" s="42">
        <v>1.2440289383407759E-2</v>
      </c>
      <c r="AI40" s="42">
        <v>0.1113078523778589</v>
      </c>
    </row>
    <row r="41" spans="1:36" x14ac:dyDescent="0.2">
      <c r="AG41" s="34" t="s">
        <v>40</v>
      </c>
      <c r="AH41" s="42">
        <v>1.2440289383407759E-2</v>
      </c>
      <c r="AI41" s="42">
        <v>1.0247088458683003E-2</v>
      </c>
      <c r="AJ41">
        <v>20</v>
      </c>
    </row>
    <row r="42" spans="1:36" x14ac:dyDescent="0.2">
      <c r="AG42" s="34" t="s">
        <v>39</v>
      </c>
      <c r="AH42" s="42">
        <v>1.145262827735159E-3</v>
      </c>
      <c r="AI42" s="42">
        <v>1.0247088458683003E-2</v>
      </c>
    </row>
    <row r="43" spans="1:36" x14ac:dyDescent="0.2">
      <c r="A43" s="85" t="s">
        <v>62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</row>
    <row r="44" spans="1:36" x14ac:dyDescent="0.2">
      <c r="A44" s="67" t="s">
        <v>22</v>
      </c>
      <c r="B44" s="68"/>
      <c r="C44" s="68"/>
      <c r="D44" s="68"/>
      <c r="E44" s="68"/>
      <c r="F44" s="68"/>
      <c r="G44" s="68"/>
      <c r="H44" s="68"/>
      <c r="I44" s="69"/>
      <c r="J44" s="62" t="s">
        <v>19</v>
      </c>
      <c r="K44" s="63"/>
      <c r="L44" s="70" t="s">
        <v>23</v>
      </c>
      <c r="M44" s="71"/>
      <c r="N44" s="71"/>
      <c r="O44" s="72"/>
      <c r="P44" s="73" t="s">
        <v>28</v>
      </c>
      <c r="Q44" s="74"/>
      <c r="R44" s="74"/>
      <c r="S44" s="75"/>
      <c r="T44" s="59" t="s">
        <v>37</v>
      </c>
      <c r="U44" s="60"/>
      <c r="V44" s="60"/>
      <c r="W44" s="61"/>
      <c r="AG44" s="33"/>
      <c r="AH44" s="33" t="s">
        <v>20</v>
      </c>
      <c r="AI44" s="33" t="s">
        <v>21</v>
      </c>
    </row>
    <row r="45" spans="1:36" x14ac:dyDescent="0.2">
      <c r="A45" s="1"/>
      <c r="B45" s="2"/>
      <c r="C45" s="2"/>
      <c r="D45" s="2"/>
      <c r="E45" s="2"/>
      <c r="F45" s="2"/>
      <c r="G45" s="2"/>
      <c r="H45" s="2"/>
      <c r="I45" s="3"/>
      <c r="J45" s="10" t="s">
        <v>20</v>
      </c>
      <c r="K45" s="11" t="s">
        <v>21</v>
      </c>
      <c r="L45" s="14"/>
      <c r="M45" s="15"/>
      <c r="N45" s="15"/>
      <c r="O45" s="16"/>
      <c r="P45" s="20"/>
      <c r="Q45" s="21"/>
      <c r="R45" s="21"/>
      <c r="S45" s="22"/>
      <c r="T45" s="26"/>
      <c r="U45" s="27"/>
      <c r="V45" s="27"/>
      <c r="W45" s="28"/>
      <c r="Y45" s="85" t="s">
        <v>63</v>
      </c>
      <c r="Z45" s="85"/>
      <c r="AA45" s="85"/>
      <c r="AB45" s="85"/>
      <c r="AC45" s="85"/>
      <c r="AD45" s="85"/>
      <c r="AE45" s="85"/>
      <c r="AG45" s="34" t="s">
        <v>39</v>
      </c>
      <c r="AH45" s="42"/>
      <c r="AI45" s="42"/>
    </row>
    <row r="46" spans="1:36" x14ac:dyDescent="0.2">
      <c r="A46" s="1" t="s">
        <v>48</v>
      </c>
      <c r="B46" s="2" t="s">
        <v>1</v>
      </c>
      <c r="C46" s="2" t="s">
        <v>4</v>
      </c>
      <c r="D46" s="38"/>
      <c r="E46" s="2"/>
      <c r="F46" s="2"/>
      <c r="G46" s="2"/>
      <c r="H46" s="2"/>
      <c r="I46" s="3"/>
      <c r="J46" s="10">
        <v>0</v>
      </c>
      <c r="K46" s="37">
        <v>0</v>
      </c>
      <c r="L46" s="14"/>
      <c r="M46" s="15"/>
      <c r="N46" s="15"/>
      <c r="O46" s="16"/>
      <c r="P46" s="20"/>
      <c r="Q46" s="21"/>
      <c r="R46" s="21"/>
      <c r="S46" s="22"/>
      <c r="T46" s="79" t="s">
        <v>38</v>
      </c>
      <c r="U46" s="80"/>
      <c r="V46" s="80"/>
      <c r="W46" s="81"/>
      <c r="AG46" s="34" t="s">
        <v>40</v>
      </c>
      <c r="AH46" s="42"/>
      <c r="AI46" s="42"/>
      <c r="AJ46">
        <v>1</v>
      </c>
    </row>
    <row r="47" spans="1:36" x14ac:dyDescent="0.2">
      <c r="A47" s="1">
        <v>1</v>
      </c>
      <c r="B47" s="2"/>
      <c r="C47" s="2"/>
      <c r="D47" s="2"/>
      <c r="E47" s="2"/>
      <c r="F47" s="2"/>
      <c r="G47" s="41"/>
      <c r="H47" s="2"/>
      <c r="I47" s="3"/>
      <c r="J47" s="10">
        <v>1.9E-2</v>
      </c>
      <c r="K47" s="11">
        <v>0.17</v>
      </c>
      <c r="L47" s="14"/>
      <c r="M47" s="15"/>
      <c r="N47" s="15"/>
      <c r="O47" s="16"/>
      <c r="P47" s="20"/>
      <c r="Q47" s="21"/>
      <c r="R47" s="21"/>
      <c r="S47" s="22"/>
      <c r="T47" s="26"/>
      <c r="U47" s="27"/>
      <c r="V47" s="27"/>
      <c r="W47" s="28"/>
      <c r="AC47" s="43"/>
      <c r="AD47" s="43"/>
      <c r="AE47" s="43"/>
      <c r="AG47" s="34" t="s">
        <v>39</v>
      </c>
      <c r="AH47" s="42"/>
      <c r="AI47" s="42"/>
    </row>
    <row r="48" spans="1:36" x14ac:dyDescent="0.2">
      <c r="A48" s="1">
        <v>2</v>
      </c>
      <c r="B48" s="2"/>
      <c r="C48" s="2"/>
      <c r="D48" s="2"/>
      <c r="E48" s="2"/>
      <c r="F48" s="2"/>
      <c r="G48" s="2"/>
      <c r="H48" s="2"/>
      <c r="I48" s="3"/>
      <c r="J48" s="10">
        <v>7.2099999999999997E-2</v>
      </c>
      <c r="K48" s="11">
        <v>0.3891</v>
      </c>
      <c r="L48" s="14"/>
      <c r="M48" s="15"/>
      <c r="N48" s="15"/>
      <c r="O48" s="16"/>
      <c r="P48" s="20"/>
      <c r="Q48" s="21"/>
      <c r="R48" s="21"/>
      <c r="S48" s="22"/>
      <c r="T48" s="26"/>
      <c r="U48" s="27" t="s">
        <v>20</v>
      </c>
      <c r="V48" s="27" t="s">
        <v>21</v>
      </c>
      <c r="W48" s="28"/>
      <c r="Y48" s="43"/>
      <c r="Z48" s="43"/>
      <c r="AA48" s="43"/>
      <c r="AB48" s="43"/>
      <c r="AC48" s="43"/>
      <c r="AD48" s="43"/>
      <c r="AE48" s="43"/>
      <c r="AG48" s="34" t="s">
        <v>40</v>
      </c>
      <c r="AH48" s="42"/>
      <c r="AI48" s="42"/>
      <c r="AJ48">
        <v>2</v>
      </c>
    </row>
    <row r="49" spans="1:36" x14ac:dyDescent="0.2">
      <c r="A49" s="1"/>
      <c r="B49" s="2"/>
      <c r="C49" s="2"/>
      <c r="D49" s="2"/>
      <c r="E49" s="2"/>
      <c r="F49" s="2"/>
      <c r="G49" s="2"/>
      <c r="H49" s="2"/>
      <c r="I49" s="3"/>
      <c r="J49" s="10">
        <v>9.6600000000000005E-2</v>
      </c>
      <c r="K49" s="11">
        <v>0.4375</v>
      </c>
      <c r="L49" s="14"/>
      <c r="M49" s="15"/>
      <c r="N49" s="15"/>
      <c r="O49" s="16"/>
      <c r="P49" s="20"/>
      <c r="Q49" s="21"/>
      <c r="R49" s="21"/>
      <c r="S49" s="22"/>
      <c r="T49" s="26" t="s">
        <v>24</v>
      </c>
      <c r="U49" s="27" t="s">
        <v>18</v>
      </c>
      <c r="V49" s="27" t="s">
        <v>18</v>
      </c>
      <c r="W49" s="28"/>
      <c r="Y49" s="43"/>
      <c r="Z49" s="43"/>
      <c r="AA49" s="43"/>
      <c r="AB49" s="43"/>
      <c r="AC49" s="43"/>
      <c r="AD49" s="43"/>
      <c r="AE49" s="43"/>
      <c r="AG49" s="34" t="s">
        <v>39</v>
      </c>
      <c r="AH49" s="42"/>
      <c r="AI49" s="42"/>
    </row>
    <row r="50" spans="1:36" x14ac:dyDescent="0.2">
      <c r="A50" s="1"/>
      <c r="B50" s="2"/>
      <c r="C50" s="2"/>
      <c r="D50" s="2"/>
      <c r="E50" s="2"/>
      <c r="F50" s="2"/>
      <c r="G50" s="2"/>
      <c r="H50" s="2"/>
      <c r="I50" s="3"/>
      <c r="J50" s="10">
        <v>0.12379999999999999</v>
      </c>
      <c r="K50" s="11">
        <v>0.47039999999999998</v>
      </c>
      <c r="L50" s="14"/>
      <c r="M50" s="15"/>
      <c r="N50" s="15"/>
      <c r="O50" s="16"/>
      <c r="P50" s="20"/>
      <c r="Q50" s="21"/>
      <c r="R50" s="21"/>
      <c r="S50" s="22"/>
      <c r="T50" s="26" t="s">
        <v>25</v>
      </c>
      <c r="U50" s="27" t="s">
        <v>20</v>
      </c>
      <c r="V50" s="27" t="s">
        <v>21</v>
      </c>
      <c r="W50" s="28"/>
      <c r="Y50" s="43"/>
      <c r="Z50" s="43"/>
      <c r="AA50" s="43"/>
      <c r="AB50" s="43"/>
      <c r="AC50" s="43"/>
      <c r="AD50" s="43"/>
      <c r="AE50" s="43"/>
      <c r="AG50" s="34" t="s">
        <v>40</v>
      </c>
      <c r="AH50" s="42"/>
      <c r="AI50" s="42"/>
      <c r="AJ50">
        <v>3</v>
      </c>
    </row>
    <row r="51" spans="1:36" x14ac:dyDescent="0.2">
      <c r="A51" s="1"/>
      <c r="B51" s="2"/>
      <c r="C51" s="2"/>
      <c r="D51" s="2"/>
      <c r="E51" s="2"/>
      <c r="F51" s="2"/>
      <c r="G51" s="38" t="s">
        <v>15</v>
      </c>
      <c r="H51" s="2">
        <f>0.9 * B56 * B55 / H52</f>
        <v>12.705882352941178</v>
      </c>
      <c r="I51" s="3" t="s">
        <v>8</v>
      </c>
      <c r="J51" s="10">
        <v>0.1661</v>
      </c>
      <c r="K51" s="11">
        <v>0.50890000000000002</v>
      </c>
      <c r="L51" s="14"/>
      <c r="M51" s="15"/>
      <c r="N51" s="15"/>
      <c r="O51" s="16"/>
      <c r="P51" s="20"/>
      <c r="Q51" s="21"/>
      <c r="R51" s="21"/>
      <c r="S51" s="22"/>
      <c r="T51" s="26"/>
      <c r="U51" s="27"/>
      <c r="V51" s="27"/>
      <c r="W51" s="28"/>
      <c r="Y51" s="43"/>
      <c r="Z51" s="43"/>
      <c r="AA51" s="43"/>
      <c r="AB51" s="43"/>
      <c r="AC51" s="43"/>
      <c r="AD51" s="43"/>
      <c r="AE51" s="43"/>
      <c r="AG51" s="34" t="s">
        <v>39</v>
      </c>
      <c r="AH51" s="42"/>
      <c r="AI51" s="42"/>
    </row>
    <row r="52" spans="1:36" x14ac:dyDescent="0.2">
      <c r="A52" s="1"/>
      <c r="B52" s="2"/>
      <c r="C52" s="2"/>
      <c r="D52" s="2"/>
      <c r="E52" s="2"/>
      <c r="F52" s="2"/>
      <c r="G52" s="38" t="s">
        <v>16</v>
      </c>
      <c r="H52" s="2">
        <v>0.85</v>
      </c>
      <c r="I52" s="3"/>
      <c r="J52" s="10">
        <v>0.23369999999999999</v>
      </c>
      <c r="K52" s="11">
        <v>0.54449999999999998</v>
      </c>
      <c r="L52" s="14"/>
      <c r="M52" s="15"/>
      <c r="N52" s="15"/>
      <c r="O52" s="16"/>
      <c r="P52" s="20"/>
      <c r="Q52" s="21"/>
      <c r="R52" s="21"/>
      <c r="S52" s="22"/>
      <c r="T52" s="26"/>
      <c r="U52" s="27" t="s">
        <v>20</v>
      </c>
      <c r="V52" s="27" t="s">
        <v>21</v>
      </c>
      <c r="W52" s="28"/>
      <c r="Y52" s="43"/>
      <c r="Z52" s="43"/>
      <c r="AA52" s="43"/>
      <c r="AB52" s="43"/>
      <c r="AC52" s="43"/>
      <c r="AD52" s="43"/>
      <c r="AE52" s="43"/>
      <c r="AG52" s="34" t="s">
        <v>40</v>
      </c>
      <c r="AH52" s="42"/>
      <c r="AI52" s="42"/>
      <c r="AJ52">
        <v>4</v>
      </c>
    </row>
    <row r="53" spans="1:36" x14ac:dyDescent="0.2">
      <c r="A53" s="1"/>
      <c r="B53" s="2"/>
      <c r="C53" s="2"/>
      <c r="D53" s="2"/>
      <c r="E53" s="2"/>
      <c r="F53" s="2"/>
      <c r="G53" s="2"/>
      <c r="H53" s="2"/>
      <c r="I53" s="3"/>
      <c r="J53" s="10">
        <v>0.26079999999999998</v>
      </c>
      <c r="K53" s="11">
        <v>0.55800000000000005</v>
      </c>
      <c r="L53" s="14" t="s">
        <v>55</v>
      </c>
      <c r="M53" s="15">
        <f>(K60 - N63) / (J60 - M63)</f>
        <v>0.66634241245136194</v>
      </c>
      <c r="N53" s="15"/>
      <c r="O53" s="16"/>
      <c r="P53" s="20"/>
      <c r="Q53" s="21"/>
      <c r="R53" s="21"/>
      <c r="S53" s="22"/>
      <c r="T53" s="26" t="s">
        <v>24</v>
      </c>
      <c r="U53" s="27">
        <f>B69</f>
        <v>8.6882453151618348E-3</v>
      </c>
      <c r="V53" s="27">
        <v>0</v>
      </c>
      <c r="W53" s="28"/>
      <c r="AG53" s="34" t="s">
        <v>39</v>
      </c>
      <c r="AH53" s="42"/>
      <c r="AI53" s="42"/>
    </row>
    <row r="54" spans="1:36" x14ac:dyDescent="0.2">
      <c r="A54" s="1"/>
      <c r="B54" s="2"/>
      <c r="C54" s="2"/>
      <c r="D54" s="2"/>
      <c r="E54" s="2"/>
      <c r="F54" s="2"/>
      <c r="G54" s="2"/>
      <c r="H54" s="2"/>
      <c r="I54" s="3"/>
      <c r="J54" s="10">
        <v>0.32729999999999998</v>
      </c>
      <c r="K54" s="11">
        <v>0.58260000000000001</v>
      </c>
      <c r="L54" s="14" t="s">
        <v>26</v>
      </c>
      <c r="M54" s="15">
        <f>N63 - M53 * M63</f>
        <v>0.28360894941634229</v>
      </c>
      <c r="N54" s="15"/>
      <c r="O54" s="16"/>
      <c r="P54" s="76"/>
      <c r="Q54" s="77"/>
      <c r="R54" s="77"/>
      <c r="S54" s="78"/>
      <c r="T54" s="26" t="s">
        <v>25</v>
      </c>
      <c r="U54" s="27">
        <f>Q67</f>
        <v>0.12</v>
      </c>
      <c r="V54" s="27">
        <v>0.36499999999999999</v>
      </c>
      <c r="W54" s="28"/>
      <c r="AG54" s="34" t="s">
        <v>40</v>
      </c>
      <c r="AH54" s="42"/>
      <c r="AI54" s="42"/>
      <c r="AJ54">
        <v>5</v>
      </c>
    </row>
    <row r="55" spans="1:36" x14ac:dyDescent="0.2">
      <c r="A55" s="39" t="s">
        <v>5</v>
      </c>
      <c r="B55" s="40">
        <v>100</v>
      </c>
      <c r="C55" s="2" t="s">
        <v>8</v>
      </c>
      <c r="D55" s="2"/>
      <c r="E55" s="40" t="s">
        <v>10</v>
      </c>
      <c r="F55" s="2">
        <v>3</v>
      </c>
      <c r="G55" s="2"/>
      <c r="H55" s="2"/>
      <c r="I55" s="3"/>
      <c r="J55" s="10">
        <v>0.39650000000000002</v>
      </c>
      <c r="K55" s="11">
        <v>0.61219999999999997</v>
      </c>
      <c r="L55" s="14" t="s">
        <v>44</v>
      </c>
      <c r="M55" s="15">
        <f>H52/M54 - 1</f>
        <v>1.9970845481049575</v>
      </c>
      <c r="N55" s="15"/>
      <c r="O55" s="16"/>
      <c r="P55" s="20"/>
      <c r="Q55" s="21"/>
      <c r="R55" s="21"/>
      <c r="S55" s="22"/>
      <c r="T55" s="26"/>
      <c r="U55" s="27"/>
      <c r="V55" s="27"/>
      <c r="W55" s="28"/>
      <c r="AG55" s="34" t="s">
        <v>39</v>
      </c>
      <c r="AH55" s="42"/>
      <c r="AI55" s="42"/>
    </row>
    <row r="56" spans="1:36" x14ac:dyDescent="0.2">
      <c r="A56" s="39" t="s">
        <v>6</v>
      </c>
      <c r="B56" s="40">
        <v>0.12</v>
      </c>
      <c r="C56" s="2"/>
      <c r="D56" s="2"/>
      <c r="E56" s="82" t="s">
        <v>12</v>
      </c>
      <c r="F56" s="82"/>
      <c r="G56" s="82"/>
      <c r="H56" s="2"/>
      <c r="I56" s="3"/>
      <c r="J56" s="10">
        <v>0.50790000000000002</v>
      </c>
      <c r="K56" s="11">
        <v>0.65639999999999998</v>
      </c>
      <c r="L56" s="64" t="s">
        <v>27</v>
      </c>
      <c r="M56" s="65"/>
      <c r="N56" s="65"/>
      <c r="O56" s="66"/>
      <c r="P56" s="20"/>
      <c r="Q56" s="21"/>
      <c r="R56" s="77" t="s">
        <v>51</v>
      </c>
      <c r="S56" s="78"/>
      <c r="T56" s="26"/>
      <c r="U56" s="27"/>
      <c r="V56" s="27"/>
      <c r="W56" s="28"/>
      <c r="AG56" s="34" t="s">
        <v>40</v>
      </c>
      <c r="AH56" s="42"/>
      <c r="AI56" s="42"/>
      <c r="AJ56">
        <v>6</v>
      </c>
    </row>
    <row r="57" spans="1:36" x14ac:dyDescent="0.2">
      <c r="A57" s="39" t="s">
        <v>7</v>
      </c>
      <c r="B57" s="2"/>
      <c r="C57" s="2" t="s">
        <v>9</v>
      </c>
      <c r="D57" s="2"/>
      <c r="E57" s="82" t="s">
        <v>11</v>
      </c>
      <c r="F57" s="82"/>
      <c r="G57" s="82"/>
      <c r="H57" s="2"/>
      <c r="I57" s="3"/>
      <c r="J57" s="10">
        <v>0.51980000000000004</v>
      </c>
      <c r="K57" s="11">
        <v>0.65990000000000004</v>
      </c>
      <c r="L57" s="14"/>
      <c r="M57" s="15"/>
      <c r="N57" s="15"/>
      <c r="O57" s="16"/>
      <c r="P57" s="20"/>
      <c r="Q57" s="21"/>
      <c r="R57" s="21" t="s">
        <v>36</v>
      </c>
      <c r="S57" s="22">
        <v>1</v>
      </c>
      <c r="T57" s="26"/>
      <c r="U57" s="27"/>
      <c r="V57" s="27"/>
      <c r="W57" s="28"/>
      <c r="AG57" s="34" t="s">
        <v>39</v>
      </c>
      <c r="AH57" s="42"/>
      <c r="AI57" s="42"/>
    </row>
    <row r="58" spans="1:36" x14ac:dyDescent="0.2">
      <c r="A58" s="83" t="s">
        <v>50</v>
      </c>
      <c r="B58" s="82"/>
      <c r="C58" s="82"/>
      <c r="D58" s="2"/>
      <c r="E58" s="82" t="s">
        <v>13</v>
      </c>
      <c r="F58" s="82"/>
      <c r="G58" s="82"/>
      <c r="H58" s="2"/>
      <c r="I58" s="3"/>
      <c r="J58" s="37">
        <v>0.57320000000000004</v>
      </c>
      <c r="K58" s="37">
        <v>0.68410000000000004</v>
      </c>
      <c r="L58" s="14"/>
      <c r="M58" s="15" t="s">
        <v>20</v>
      </c>
      <c r="N58" s="15" t="s">
        <v>21</v>
      </c>
      <c r="O58" s="16"/>
      <c r="P58" s="20"/>
      <c r="Q58" s="21"/>
      <c r="R58" s="21"/>
      <c r="S58" s="22"/>
      <c r="T58" s="26"/>
      <c r="U58" s="27"/>
      <c r="V58" s="27"/>
      <c r="W58" s="28"/>
      <c r="AG58" s="34" t="s">
        <v>40</v>
      </c>
      <c r="AH58" s="42"/>
      <c r="AI58" s="42"/>
      <c r="AJ58">
        <v>7</v>
      </c>
    </row>
    <row r="59" spans="1:36" x14ac:dyDescent="0.2">
      <c r="A59" s="1"/>
      <c r="B59" s="2"/>
      <c r="C59" s="2"/>
      <c r="D59" s="2"/>
      <c r="E59" s="82" t="s">
        <v>14</v>
      </c>
      <c r="F59" s="82"/>
      <c r="G59" s="82"/>
      <c r="H59" s="2"/>
      <c r="I59" s="3"/>
      <c r="J59" s="10">
        <v>0.67630000000000001</v>
      </c>
      <c r="K59" s="11">
        <v>0.73850000000000005</v>
      </c>
      <c r="L59" s="14" t="s">
        <v>24</v>
      </c>
      <c r="M59" s="15" t="s">
        <v>16</v>
      </c>
      <c r="N59" s="15" t="s">
        <v>16</v>
      </c>
      <c r="O59" s="16"/>
      <c r="P59" s="76" t="s">
        <v>29</v>
      </c>
      <c r="Q59" s="77"/>
      <c r="R59" s="77"/>
      <c r="S59" s="78"/>
      <c r="T59" s="26"/>
      <c r="U59" s="27"/>
      <c r="V59" s="27"/>
      <c r="W59" s="28"/>
      <c r="AG59" s="34" t="s">
        <v>39</v>
      </c>
      <c r="AH59" s="42"/>
      <c r="AI59" s="42"/>
    </row>
    <row r="60" spans="1:36" x14ac:dyDescent="0.2">
      <c r="A60" s="1"/>
      <c r="B60" s="2"/>
      <c r="C60" s="2"/>
      <c r="D60" s="2"/>
      <c r="E60" s="2"/>
      <c r="F60" s="2"/>
      <c r="G60" s="2"/>
      <c r="H60" s="2"/>
      <c r="I60" s="3"/>
      <c r="J60" s="10">
        <v>0.74719999999999998</v>
      </c>
      <c r="K60" s="11">
        <v>0.78149999999999997</v>
      </c>
      <c r="L60" s="14" t="s">
        <v>25</v>
      </c>
      <c r="M60" s="15">
        <v>0</v>
      </c>
      <c r="N60" s="15" t="s">
        <v>26</v>
      </c>
      <c r="O60" s="16"/>
      <c r="P60" s="20"/>
      <c r="Q60" s="21"/>
      <c r="R60" s="21"/>
      <c r="S60" s="22"/>
      <c r="T60" s="26"/>
      <c r="U60" s="27"/>
      <c r="V60" s="27"/>
      <c r="W60" s="28"/>
      <c r="AG60" s="34" t="s">
        <v>40</v>
      </c>
      <c r="AH60" s="42"/>
      <c r="AI60" s="42"/>
      <c r="AJ60">
        <v>8</v>
      </c>
    </row>
    <row r="61" spans="1:36" x14ac:dyDescent="0.2">
      <c r="A61" s="1"/>
      <c r="B61" s="2"/>
      <c r="C61" s="2"/>
      <c r="D61" s="2"/>
      <c r="E61" s="2"/>
      <c r="F61" s="41"/>
      <c r="G61" s="2"/>
      <c r="H61" s="2"/>
      <c r="I61" s="3"/>
      <c r="J61" s="10">
        <v>0.89429999999999998</v>
      </c>
      <c r="K61" s="11">
        <v>0.89429999999999998</v>
      </c>
      <c r="L61" s="14"/>
      <c r="M61" s="15"/>
      <c r="N61" s="15"/>
      <c r="O61" s="16"/>
      <c r="P61" s="20"/>
      <c r="Q61" s="21" t="s">
        <v>20</v>
      </c>
      <c r="R61" s="21" t="s">
        <v>21</v>
      </c>
      <c r="S61" s="22"/>
      <c r="T61" s="26"/>
      <c r="U61" s="27"/>
      <c r="V61" s="27"/>
      <c r="W61" s="28"/>
      <c r="AG61" s="34" t="s">
        <v>39</v>
      </c>
      <c r="AH61" s="42"/>
      <c r="AI61" s="42"/>
    </row>
    <row r="62" spans="1:36" x14ac:dyDescent="0.2">
      <c r="A62" s="1"/>
      <c r="B62" s="2"/>
      <c r="C62" s="2"/>
      <c r="D62" s="2"/>
      <c r="E62" s="2"/>
      <c r="F62" s="41"/>
      <c r="G62" s="41"/>
      <c r="H62" s="41"/>
      <c r="I62" s="3"/>
      <c r="J62" s="10">
        <v>1</v>
      </c>
      <c r="K62" s="11">
        <v>1</v>
      </c>
      <c r="L62" s="14"/>
      <c r="M62" s="15" t="s">
        <v>20</v>
      </c>
      <c r="N62" s="15" t="s">
        <v>21</v>
      </c>
      <c r="O62" s="16"/>
      <c r="P62" s="20" t="s">
        <v>24</v>
      </c>
      <c r="Q62" s="21" t="s">
        <v>6</v>
      </c>
      <c r="R62" s="21" t="s">
        <v>6</v>
      </c>
      <c r="S62" s="22"/>
      <c r="T62" s="26"/>
      <c r="U62" s="27"/>
      <c r="V62" s="27"/>
      <c r="W62" s="28"/>
      <c r="AG62" s="34" t="s">
        <v>40</v>
      </c>
      <c r="AH62" s="42"/>
      <c r="AI62" s="42"/>
      <c r="AJ62">
        <v>9</v>
      </c>
    </row>
    <row r="63" spans="1:36" x14ac:dyDescent="0.2">
      <c r="A63" s="1"/>
      <c r="B63" s="2"/>
      <c r="C63" s="2"/>
      <c r="D63" s="2"/>
      <c r="E63" s="2"/>
      <c r="F63" s="41"/>
      <c r="G63" s="2"/>
      <c r="H63" s="2"/>
      <c r="I63" s="3"/>
      <c r="J63" s="10"/>
      <c r="K63" s="11"/>
      <c r="L63" s="14" t="s">
        <v>24</v>
      </c>
      <c r="M63" s="15">
        <f>H52</f>
        <v>0.85</v>
      </c>
      <c r="N63" s="15">
        <f>H52</f>
        <v>0.85</v>
      </c>
      <c r="O63" s="16"/>
      <c r="P63" s="20" t="s">
        <v>25</v>
      </c>
      <c r="Q63" s="21" t="s">
        <v>20</v>
      </c>
      <c r="R63" s="21" t="s">
        <v>21</v>
      </c>
      <c r="S63" s="22"/>
      <c r="T63" s="26"/>
      <c r="U63" s="27"/>
      <c r="V63" s="27"/>
      <c r="W63" s="28"/>
      <c r="AG63" s="34" t="s">
        <v>39</v>
      </c>
      <c r="AH63" s="42"/>
      <c r="AI63" s="42"/>
    </row>
    <row r="64" spans="1:36" x14ac:dyDescent="0.2">
      <c r="A64" s="1"/>
      <c r="B64" s="2"/>
      <c r="C64" s="2"/>
      <c r="D64" s="2"/>
      <c r="E64" s="2"/>
      <c r="F64" s="2"/>
      <c r="G64" s="2"/>
      <c r="H64" s="2"/>
      <c r="I64" s="3"/>
      <c r="J64" s="10"/>
      <c r="K64" s="11"/>
      <c r="L64" s="14" t="s">
        <v>25</v>
      </c>
      <c r="M64" s="15">
        <v>0</v>
      </c>
      <c r="N64" s="15">
        <f>M64 * M53 + M54</f>
        <v>0.28360894941634229</v>
      </c>
      <c r="O64" s="16"/>
      <c r="P64" s="20"/>
      <c r="Q64" s="21"/>
      <c r="R64" s="21"/>
      <c r="S64" s="22"/>
      <c r="T64" s="26"/>
      <c r="U64" s="27"/>
      <c r="V64" s="27"/>
      <c r="W64" s="28"/>
      <c r="AG64" s="34" t="s">
        <v>40</v>
      </c>
      <c r="AH64" s="42"/>
      <c r="AI64" s="42"/>
      <c r="AJ64">
        <v>10</v>
      </c>
    </row>
    <row r="65" spans="1:36" x14ac:dyDescent="0.2">
      <c r="A65" s="41"/>
      <c r="B65" s="2"/>
      <c r="C65" s="2"/>
      <c r="D65" s="2"/>
      <c r="E65" s="2"/>
      <c r="F65" s="2" t="s">
        <v>58</v>
      </c>
      <c r="G65" s="2">
        <f>H51 * F55</f>
        <v>38.117647058823536</v>
      </c>
      <c r="H65" s="2"/>
      <c r="I65" s="3"/>
      <c r="J65" s="10"/>
      <c r="K65" s="11"/>
      <c r="L65" s="14"/>
      <c r="M65" s="15"/>
      <c r="N65" s="15"/>
      <c r="O65" s="16"/>
      <c r="P65" s="20"/>
      <c r="Q65" s="21" t="s">
        <v>20</v>
      </c>
      <c r="R65" s="21" t="s">
        <v>21</v>
      </c>
      <c r="S65" s="22"/>
      <c r="T65" s="26"/>
      <c r="U65" s="27"/>
      <c r="V65" s="27"/>
      <c r="W65" s="28"/>
      <c r="AG65" s="34" t="s">
        <v>39</v>
      </c>
      <c r="AH65" s="42"/>
      <c r="AI65" s="42"/>
    </row>
    <row r="66" spans="1:36" x14ac:dyDescent="0.2">
      <c r="A66" s="1"/>
      <c r="B66" s="2"/>
      <c r="C66" s="2"/>
      <c r="D66" s="2"/>
      <c r="E66" s="2"/>
      <c r="F66" s="2"/>
      <c r="G66" s="2"/>
      <c r="H66" s="2"/>
      <c r="I66" s="3"/>
      <c r="J66" s="10"/>
      <c r="K66" s="11"/>
      <c r="L66" s="14"/>
      <c r="M66" s="15"/>
      <c r="N66" s="15"/>
      <c r="O66" s="16"/>
      <c r="P66" s="20" t="s">
        <v>24</v>
      </c>
      <c r="Q66" s="21">
        <f>B56</f>
        <v>0.12</v>
      </c>
      <c r="R66" s="21">
        <f>B56</f>
        <v>0.12</v>
      </c>
      <c r="S66" s="22"/>
      <c r="T66" s="26"/>
      <c r="U66" s="27"/>
      <c r="V66" s="27"/>
      <c r="W66" s="28"/>
      <c r="AG66" s="34" t="s">
        <v>40</v>
      </c>
      <c r="AH66" s="42"/>
      <c r="AI66" s="42"/>
      <c r="AJ66">
        <v>11</v>
      </c>
    </row>
    <row r="67" spans="1:36" x14ac:dyDescent="0.2">
      <c r="A67" s="1"/>
      <c r="B67" s="2"/>
      <c r="C67" s="2"/>
      <c r="D67" s="2"/>
      <c r="E67" s="2"/>
      <c r="F67" s="41"/>
      <c r="G67" s="2"/>
      <c r="H67" s="2"/>
      <c r="I67" s="3"/>
      <c r="J67" s="10"/>
      <c r="K67" s="11"/>
      <c r="L67" s="14"/>
      <c r="M67" s="15"/>
      <c r="N67" s="15"/>
      <c r="O67" s="16"/>
      <c r="P67" s="20" t="s">
        <v>25</v>
      </c>
      <c r="Q67" s="21">
        <f>Q66</f>
        <v>0.12</v>
      </c>
      <c r="R67" s="21">
        <f>V54</f>
        <v>0.36499999999999999</v>
      </c>
      <c r="S67" s="22"/>
      <c r="T67" s="26"/>
      <c r="U67" s="27"/>
      <c r="V67" s="27"/>
      <c r="W67" s="28"/>
      <c r="AG67" s="34" t="s">
        <v>39</v>
      </c>
      <c r="AH67" s="42"/>
      <c r="AI67" s="42"/>
    </row>
    <row r="68" spans="1:36" x14ac:dyDescent="0.2">
      <c r="A68" s="1" t="s">
        <v>17</v>
      </c>
      <c r="B68" s="2">
        <f>G65 + B55</f>
        <v>138.11764705882354</v>
      </c>
      <c r="C68" s="2"/>
      <c r="D68" s="2"/>
      <c r="E68" s="2" t="s">
        <v>54</v>
      </c>
      <c r="F68" s="2">
        <f>B68 + H51 - B55</f>
        <v>50.823529411764724</v>
      </c>
      <c r="G68" s="2" t="s">
        <v>8</v>
      </c>
      <c r="H68" s="2"/>
      <c r="I68" s="3"/>
      <c r="J68" s="10"/>
      <c r="K68" s="11"/>
      <c r="L68" s="14"/>
      <c r="M68" s="15"/>
      <c r="N68" s="15"/>
      <c r="O68" s="16"/>
      <c r="P68" s="20"/>
      <c r="Q68" s="21"/>
      <c r="R68" s="21"/>
      <c r="S68" s="22"/>
      <c r="T68" s="26"/>
      <c r="U68" s="27"/>
      <c r="V68" s="27"/>
      <c r="W68" s="28"/>
      <c r="AG68" s="34" t="s">
        <v>40</v>
      </c>
      <c r="AH68" s="42"/>
      <c r="AI68" s="42"/>
      <c r="AJ68">
        <v>12</v>
      </c>
    </row>
    <row r="69" spans="1:36" x14ac:dyDescent="0.2">
      <c r="A69" s="1" t="s">
        <v>18</v>
      </c>
      <c r="B69" s="2">
        <f>(B56 * B55 - H52 * H51) / B68</f>
        <v>8.6882453151618348E-3</v>
      </c>
      <c r="C69" s="2"/>
      <c r="D69" s="2"/>
      <c r="E69" s="2"/>
      <c r="F69" s="2"/>
      <c r="G69" s="2"/>
      <c r="H69" s="2"/>
      <c r="I69" s="3"/>
      <c r="J69" s="10"/>
      <c r="K69" s="11"/>
      <c r="L69" s="14"/>
      <c r="M69" s="15"/>
      <c r="N69" s="15"/>
      <c r="O69" s="16"/>
      <c r="P69" s="20"/>
      <c r="Q69" s="21"/>
      <c r="R69" s="21"/>
      <c r="S69" s="22"/>
      <c r="T69" s="26"/>
      <c r="U69" s="27"/>
      <c r="V69" s="27"/>
      <c r="W69" s="28"/>
      <c r="AG69" s="34" t="s">
        <v>39</v>
      </c>
      <c r="AH69" s="42"/>
      <c r="AI69" s="42"/>
    </row>
    <row r="70" spans="1:36" x14ac:dyDescent="0.2">
      <c r="A70" s="1"/>
      <c r="B70" s="2"/>
      <c r="C70" s="2"/>
      <c r="D70" s="2"/>
      <c r="E70" s="2"/>
      <c r="F70" s="2"/>
      <c r="G70" s="41"/>
      <c r="H70" s="2"/>
      <c r="I70" s="3"/>
      <c r="J70" s="10"/>
      <c r="K70" s="11"/>
      <c r="L70" s="14"/>
      <c r="M70" s="15"/>
      <c r="N70" s="15"/>
      <c r="O70" s="16"/>
      <c r="P70" s="20"/>
      <c r="Q70" s="21"/>
      <c r="R70" s="21"/>
      <c r="S70" s="22"/>
      <c r="T70" s="26"/>
      <c r="U70" s="27"/>
      <c r="V70" s="27"/>
      <c r="W70" s="28"/>
      <c r="AG70" s="34" t="s">
        <v>40</v>
      </c>
      <c r="AH70" s="42"/>
      <c r="AI70" s="42"/>
      <c r="AJ70">
        <v>13</v>
      </c>
    </row>
    <row r="71" spans="1:36" x14ac:dyDescent="0.2">
      <c r="A71" s="1"/>
      <c r="B71" s="2"/>
      <c r="C71" s="2"/>
      <c r="D71" s="2"/>
      <c r="E71" s="2"/>
      <c r="F71" s="2"/>
      <c r="G71" s="2"/>
      <c r="H71" s="2"/>
      <c r="I71" s="3"/>
      <c r="J71" s="10"/>
      <c r="K71" s="11"/>
      <c r="L71" s="14"/>
      <c r="M71" s="15"/>
      <c r="N71" s="15"/>
      <c r="O71" s="16"/>
      <c r="P71" s="20"/>
      <c r="Q71" s="21"/>
      <c r="R71" s="21"/>
      <c r="S71" s="22"/>
      <c r="T71" s="26"/>
      <c r="U71" s="27"/>
      <c r="V71" s="27"/>
      <c r="W71" s="28"/>
      <c r="AG71" s="34" t="s">
        <v>39</v>
      </c>
      <c r="AH71" s="42"/>
      <c r="AI71" s="42"/>
    </row>
    <row r="72" spans="1:36" x14ac:dyDescent="0.2">
      <c r="A72" s="7"/>
      <c r="B72" s="8"/>
      <c r="C72" s="8"/>
      <c r="D72" s="8"/>
      <c r="E72" s="8"/>
      <c r="F72" s="8"/>
      <c r="G72" s="8"/>
      <c r="H72" s="8"/>
      <c r="I72" s="9"/>
      <c r="J72" s="12"/>
      <c r="K72" s="13"/>
      <c r="L72" s="17"/>
      <c r="M72" s="18"/>
      <c r="N72" s="18"/>
      <c r="O72" s="19"/>
      <c r="P72" s="23"/>
      <c r="Q72" s="24"/>
      <c r="R72" s="24"/>
      <c r="S72" s="25"/>
      <c r="T72" s="29"/>
      <c r="U72" s="30"/>
      <c r="V72" s="30"/>
      <c r="W72" s="31"/>
      <c r="AG72" s="34" t="s">
        <v>40</v>
      </c>
      <c r="AH72" s="42"/>
      <c r="AI72" s="42"/>
      <c r="AJ72">
        <v>14</v>
      </c>
    </row>
    <row r="73" spans="1:36" x14ac:dyDescent="0.2">
      <c r="AG73" s="34" t="s">
        <v>39</v>
      </c>
      <c r="AH73" s="42"/>
      <c r="AI73" s="42"/>
    </row>
    <row r="74" spans="1:36" x14ac:dyDescent="0.2">
      <c r="AG74" s="34" t="s">
        <v>40</v>
      </c>
      <c r="AH74" s="42"/>
      <c r="AI74" s="42"/>
      <c r="AJ74">
        <v>15</v>
      </c>
    </row>
    <row r="75" spans="1:36" x14ac:dyDescent="0.2">
      <c r="AG75" s="34" t="s">
        <v>39</v>
      </c>
      <c r="AH75" s="42"/>
      <c r="AI75" s="42"/>
    </row>
    <row r="76" spans="1:36" x14ac:dyDescent="0.2">
      <c r="AG76" s="34" t="s">
        <v>40</v>
      </c>
      <c r="AH76" s="42"/>
      <c r="AI76" s="42"/>
      <c r="AJ76">
        <v>16</v>
      </c>
    </row>
    <row r="77" spans="1:36" x14ac:dyDescent="0.2">
      <c r="AG77" s="34" t="s">
        <v>39</v>
      </c>
      <c r="AH77" s="42"/>
      <c r="AI77" s="42"/>
    </row>
    <row r="78" spans="1:36" x14ac:dyDescent="0.2">
      <c r="AG78" s="34" t="s">
        <v>40</v>
      </c>
      <c r="AH78" s="42"/>
      <c r="AI78" s="42"/>
      <c r="AJ78">
        <v>17</v>
      </c>
    </row>
    <row r="79" spans="1:36" x14ac:dyDescent="0.2">
      <c r="AG79" s="34" t="s">
        <v>39</v>
      </c>
      <c r="AH79" s="42"/>
      <c r="AI79" s="42"/>
    </row>
    <row r="80" spans="1:36" x14ac:dyDescent="0.2">
      <c r="AG80" s="34" t="s">
        <v>40</v>
      </c>
      <c r="AH80" s="42"/>
      <c r="AI80" s="42"/>
      <c r="AJ80">
        <v>18</v>
      </c>
    </row>
    <row r="81" spans="33:36" x14ac:dyDescent="0.2">
      <c r="AG81" s="34" t="s">
        <v>39</v>
      </c>
      <c r="AH81" s="42"/>
      <c r="AI81" s="42"/>
    </row>
    <row r="82" spans="33:36" x14ac:dyDescent="0.2">
      <c r="AG82" s="34" t="s">
        <v>40</v>
      </c>
      <c r="AH82" s="42"/>
      <c r="AI82" s="42"/>
      <c r="AJ82">
        <v>19</v>
      </c>
    </row>
    <row r="83" spans="33:36" x14ac:dyDescent="0.2">
      <c r="AG83" s="34" t="s">
        <v>39</v>
      </c>
      <c r="AH83" s="42"/>
      <c r="AI83" s="42"/>
    </row>
    <row r="84" spans="33:36" x14ac:dyDescent="0.2">
      <c r="AG84" s="34" t="s">
        <v>40</v>
      </c>
      <c r="AH84" s="42"/>
      <c r="AI84" s="42"/>
      <c r="AJ84">
        <v>20</v>
      </c>
    </row>
    <row r="85" spans="33:36" x14ac:dyDescent="0.2">
      <c r="AG85" s="34" t="s">
        <v>39</v>
      </c>
      <c r="AH85" s="42"/>
      <c r="AI85" s="42"/>
    </row>
  </sheetData>
  <mergeCells count="33">
    <mergeCell ref="T3:W3"/>
    <mergeCell ref="A1:I1"/>
    <mergeCell ref="J1:K1"/>
    <mergeCell ref="L1:O1"/>
    <mergeCell ref="P1:S1"/>
    <mergeCell ref="T1:W1"/>
    <mergeCell ref="A44:I44"/>
    <mergeCell ref="J44:K44"/>
    <mergeCell ref="L44:O44"/>
    <mergeCell ref="P44:S44"/>
    <mergeCell ref="P11:S11"/>
    <mergeCell ref="E13:G13"/>
    <mergeCell ref="L13:O13"/>
    <mergeCell ref="R13:S13"/>
    <mergeCell ref="E14:G14"/>
    <mergeCell ref="A15:C15"/>
    <mergeCell ref="E15:G15"/>
    <mergeCell ref="Y1:AE2"/>
    <mergeCell ref="E57:G57"/>
    <mergeCell ref="A58:C58"/>
    <mergeCell ref="E58:G58"/>
    <mergeCell ref="E59:G59"/>
    <mergeCell ref="P59:S59"/>
    <mergeCell ref="A43:AJ43"/>
    <mergeCell ref="Y45:AE45"/>
    <mergeCell ref="T44:W44"/>
    <mergeCell ref="T46:W46"/>
    <mergeCell ref="P54:S54"/>
    <mergeCell ref="E56:G56"/>
    <mergeCell ref="L56:O56"/>
    <mergeCell ref="R56:S56"/>
    <mergeCell ref="E16:G16"/>
    <mergeCell ref="P16:S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DDE5-4778-1841-8D61-9EFD037E33A1}">
  <dimension ref="A1:AJ33"/>
  <sheetViews>
    <sheetView topLeftCell="E2" workbookViewId="0">
      <selection activeCell="Q20" sqref="Q20"/>
    </sheetView>
  </sheetViews>
  <sheetFormatPr baseColWidth="10" defaultRowHeight="16" x14ac:dyDescent="0.2"/>
  <cols>
    <col min="9" max="9" width="13.1640625" bestFit="1" customWidth="1"/>
    <col min="12" max="12" width="13.1640625" bestFit="1" customWidth="1"/>
    <col min="13" max="13" width="15.33203125" bestFit="1" customWidth="1"/>
  </cols>
  <sheetData>
    <row r="1" spans="1:36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88"/>
      <c r="L1" s="73" t="s">
        <v>69</v>
      </c>
      <c r="M1" s="74"/>
      <c r="N1" s="75"/>
      <c r="O1" s="53"/>
      <c r="P1" s="53"/>
      <c r="Q1" s="53"/>
      <c r="R1" s="53"/>
      <c r="S1" s="53"/>
      <c r="T1" s="53"/>
      <c r="U1" s="86" t="s">
        <v>82</v>
      </c>
      <c r="V1" s="86"/>
      <c r="W1" s="53"/>
      <c r="X1" s="53"/>
      <c r="Y1" s="53"/>
      <c r="Z1" s="53"/>
      <c r="AG1" s="33"/>
      <c r="AH1" s="33" t="s">
        <v>20</v>
      </c>
      <c r="AI1" s="33" t="s">
        <v>21</v>
      </c>
    </row>
    <row r="2" spans="1:36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50" t="s">
        <v>21</v>
      </c>
      <c r="L2" s="20" t="s">
        <v>70</v>
      </c>
      <c r="M2" s="77" t="s">
        <v>72</v>
      </c>
      <c r="N2" s="78"/>
      <c r="O2" s="54"/>
      <c r="P2" s="54"/>
      <c r="Q2" s="54"/>
      <c r="R2" s="54"/>
      <c r="S2" s="54"/>
      <c r="T2" s="54"/>
      <c r="W2" s="54"/>
      <c r="X2" s="54" t="s">
        <v>44</v>
      </c>
      <c r="Y2" s="54">
        <f>N29</f>
        <v>1.4745805786723785</v>
      </c>
      <c r="Z2" s="54"/>
      <c r="AG2" s="34" t="s">
        <v>39</v>
      </c>
      <c r="AH2" s="32"/>
      <c r="AI2" s="32"/>
      <c r="AJ2">
        <v>1</v>
      </c>
    </row>
    <row r="3" spans="1:36" x14ac:dyDescent="0.2">
      <c r="A3" s="1" t="s">
        <v>48</v>
      </c>
      <c r="B3" s="2" t="s">
        <v>1</v>
      </c>
      <c r="C3" s="2"/>
      <c r="D3" s="46"/>
      <c r="E3" s="2"/>
      <c r="F3" s="2"/>
      <c r="G3" s="2"/>
      <c r="H3" s="2"/>
      <c r="I3" s="3"/>
      <c r="J3" s="10">
        <v>0</v>
      </c>
      <c r="K3" s="50">
        <v>0</v>
      </c>
      <c r="L3" s="20" t="s">
        <v>71</v>
      </c>
      <c r="M3" s="77"/>
      <c r="N3" s="78"/>
      <c r="O3" s="54"/>
      <c r="P3" s="54"/>
      <c r="Q3" s="54"/>
      <c r="R3" s="54"/>
      <c r="S3" s="54"/>
      <c r="T3" s="54"/>
      <c r="U3" s="54"/>
      <c r="V3" s="54"/>
      <c r="W3" s="54"/>
      <c r="X3" s="54" t="s">
        <v>85</v>
      </c>
      <c r="Y3" s="54">
        <f>4</f>
        <v>4</v>
      </c>
      <c r="Z3" s="54"/>
      <c r="AG3" s="34" t="s">
        <v>40</v>
      </c>
      <c r="AH3" s="32"/>
      <c r="AI3" s="32"/>
    </row>
    <row r="4" spans="1:36" x14ac:dyDescent="0.2">
      <c r="A4" s="1">
        <v>1</v>
      </c>
      <c r="B4" s="2"/>
      <c r="C4" s="2"/>
      <c r="D4" s="2"/>
      <c r="E4" s="2"/>
      <c r="F4" s="2"/>
      <c r="G4" s="2"/>
      <c r="H4" s="2"/>
      <c r="I4" s="3"/>
      <c r="J4" s="10">
        <v>0.1</v>
      </c>
      <c r="K4" s="50">
        <v>0.36</v>
      </c>
      <c r="L4" s="20"/>
      <c r="M4" s="21" t="s">
        <v>73</v>
      </c>
      <c r="N4" s="22" t="s">
        <v>74</v>
      </c>
      <c r="O4" s="54"/>
      <c r="P4" s="54"/>
      <c r="Q4" s="54"/>
      <c r="R4" s="54"/>
      <c r="S4" s="54"/>
      <c r="T4" s="54"/>
      <c r="U4" s="87" t="s">
        <v>83</v>
      </c>
      <c r="V4" s="87"/>
      <c r="W4" s="54"/>
      <c r="X4" s="54" t="s">
        <v>86</v>
      </c>
      <c r="Y4" s="54">
        <v>3</v>
      </c>
      <c r="Z4" s="54"/>
      <c r="AG4" s="34" t="s">
        <v>39</v>
      </c>
      <c r="AH4" s="32"/>
      <c r="AI4" s="32"/>
      <c r="AJ4">
        <v>2</v>
      </c>
    </row>
    <row r="5" spans="1:36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0.3</v>
      </c>
      <c r="K5" s="50">
        <v>0.7</v>
      </c>
      <c r="L5" s="20">
        <v>0</v>
      </c>
      <c r="M5" s="21">
        <v>7000</v>
      </c>
      <c r="N5" s="52">
        <v>15700</v>
      </c>
      <c r="O5" s="54"/>
      <c r="P5" s="54"/>
      <c r="Q5" s="54"/>
      <c r="R5" s="54"/>
      <c r="S5" s="54"/>
      <c r="T5" s="54"/>
      <c r="U5" s="54" t="s">
        <v>20</v>
      </c>
      <c r="V5" s="54" t="s">
        <v>77</v>
      </c>
      <c r="W5" s="54"/>
      <c r="X5" s="54"/>
      <c r="Y5" s="54"/>
      <c r="Z5" s="54"/>
      <c r="AG5" s="34" t="s">
        <v>40</v>
      </c>
      <c r="AH5" s="32"/>
      <c r="AI5" s="32"/>
    </row>
    <row r="6" spans="1:36" x14ac:dyDescent="0.2">
      <c r="A6" s="1"/>
      <c r="B6" s="2"/>
      <c r="C6" s="2"/>
      <c r="D6" s="2"/>
      <c r="E6" s="2"/>
      <c r="F6" s="2"/>
      <c r="G6" s="2"/>
      <c r="H6" s="2"/>
      <c r="I6" s="3"/>
      <c r="J6" s="10">
        <v>0.5</v>
      </c>
      <c r="K6" s="50">
        <v>0.85</v>
      </c>
      <c r="L6" s="20">
        <v>0.1</v>
      </c>
      <c r="M6" s="21">
        <v>6300</v>
      </c>
      <c r="N6" s="52">
        <v>15400</v>
      </c>
      <c r="O6" s="54"/>
      <c r="P6" s="54"/>
      <c r="Q6" s="54"/>
      <c r="R6" s="54"/>
      <c r="S6" s="54"/>
      <c r="T6" s="54"/>
      <c r="U6" s="54">
        <f>M17</f>
        <v>0.94</v>
      </c>
      <c r="V6" s="54">
        <f>N17</f>
        <v>3040</v>
      </c>
      <c r="W6" s="54"/>
      <c r="X6" s="54"/>
      <c r="Y6" s="54"/>
      <c r="Z6" s="54"/>
      <c r="AG6" s="34" t="s">
        <v>39</v>
      </c>
      <c r="AH6" s="32"/>
      <c r="AI6" s="32"/>
      <c r="AJ6">
        <v>3</v>
      </c>
    </row>
    <row r="7" spans="1:36" x14ac:dyDescent="0.2">
      <c r="A7" s="1"/>
      <c r="B7" s="2"/>
      <c r="C7" s="2"/>
      <c r="D7" s="2"/>
      <c r="E7" s="2"/>
      <c r="F7" s="2"/>
      <c r="G7" s="2"/>
      <c r="H7" s="2"/>
      <c r="I7" s="3"/>
      <c r="J7" s="10">
        <v>0.57999999999999996</v>
      </c>
      <c r="K7" s="50">
        <v>0.9</v>
      </c>
      <c r="L7" s="20">
        <v>0.3</v>
      </c>
      <c r="M7" s="21">
        <v>5000</v>
      </c>
      <c r="N7" s="52">
        <v>14700</v>
      </c>
      <c r="O7" s="54"/>
      <c r="P7" s="54"/>
      <c r="Q7" s="54"/>
      <c r="R7" s="54"/>
      <c r="S7" s="54"/>
      <c r="T7" s="54"/>
      <c r="U7" s="54">
        <f>M18</f>
        <v>0.94</v>
      </c>
      <c r="V7" s="54">
        <f>N18</f>
        <v>10940</v>
      </c>
      <c r="W7" s="54"/>
      <c r="X7" s="54"/>
      <c r="Y7" s="54"/>
      <c r="Z7" s="54"/>
      <c r="AG7" s="34" t="s">
        <v>40</v>
      </c>
      <c r="AH7" s="32"/>
      <c r="AI7" s="32"/>
    </row>
    <row r="8" spans="1:36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0.7</v>
      </c>
      <c r="K8" s="50">
        <v>0.95</v>
      </c>
      <c r="L8" s="20">
        <v>0.5</v>
      </c>
      <c r="M8" s="21">
        <v>4100</v>
      </c>
      <c r="N8" s="52">
        <v>13900</v>
      </c>
      <c r="O8" s="54"/>
      <c r="P8" s="54"/>
      <c r="Q8" s="54"/>
      <c r="R8" s="54"/>
      <c r="S8" s="54"/>
      <c r="T8" s="54"/>
      <c r="U8" s="54">
        <f>M22</f>
        <v>0.94</v>
      </c>
      <c r="V8" s="54">
        <f>N23</f>
        <v>28413.779857267684</v>
      </c>
      <c r="W8" s="54"/>
      <c r="X8" s="54"/>
      <c r="Y8" s="54"/>
      <c r="Z8" s="54"/>
      <c r="AG8" s="34" t="s">
        <v>39</v>
      </c>
      <c r="AH8" s="32"/>
      <c r="AI8" s="32"/>
      <c r="AJ8">
        <v>4</v>
      </c>
    </row>
    <row r="9" spans="1:36" x14ac:dyDescent="0.2">
      <c r="A9" s="1"/>
      <c r="B9" s="2"/>
      <c r="C9" s="2"/>
      <c r="D9" s="2"/>
      <c r="E9" s="2"/>
      <c r="F9" s="2"/>
      <c r="G9" s="2" t="s">
        <v>16</v>
      </c>
      <c r="H9" s="2">
        <v>0.94</v>
      </c>
      <c r="I9" s="3"/>
      <c r="J9" s="10">
        <v>1</v>
      </c>
      <c r="K9" s="50">
        <v>1</v>
      </c>
      <c r="L9" s="20">
        <v>0.7</v>
      </c>
      <c r="M9" s="21">
        <v>3400</v>
      </c>
      <c r="N9" s="52">
        <v>12900</v>
      </c>
      <c r="O9" s="54"/>
      <c r="P9" s="54"/>
      <c r="Q9" s="54"/>
      <c r="R9" s="54"/>
      <c r="S9" s="54"/>
      <c r="T9" s="54"/>
      <c r="U9" s="54">
        <f>U8</f>
        <v>0.94</v>
      </c>
      <c r="V9" s="54">
        <f>V7</f>
        <v>10940</v>
      </c>
      <c r="W9" s="54"/>
      <c r="X9" s="54"/>
      <c r="Y9" s="54"/>
      <c r="Z9" s="54"/>
      <c r="AG9" s="34" t="s">
        <v>40</v>
      </c>
      <c r="AH9" s="32"/>
      <c r="AI9" s="32"/>
    </row>
    <row r="10" spans="1:36" x14ac:dyDescent="0.2">
      <c r="A10" s="1"/>
      <c r="B10" s="2"/>
      <c r="C10" s="2"/>
      <c r="D10" s="2"/>
      <c r="E10" s="2"/>
      <c r="F10" s="2"/>
      <c r="G10" s="2"/>
      <c r="H10" s="2"/>
      <c r="I10" s="3"/>
      <c r="J10" s="10"/>
      <c r="K10" s="50"/>
      <c r="L10" s="20">
        <v>0.9</v>
      </c>
      <c r="M10" s="21">
        <v>3100</v>
      </c>
      <c r="N10" s="52">
        <v>11600</v>
      </c>
      <c r="O10" s="54"/>
      <c r="P10" s="54"/>
      <c r="Q10" s="54"/>
      <c r="R10" s="54"/>
      <c r="S10" s="54"/>
      <c r="T10" s="54"/>
      <c r="U10" s="54">
        <v>0.66</v>
      </c>
      <c r="V10" s="54">
        <f>M8 + (M9 - M8) / (L9 - L8) * (U10 - L8)</f>
        <v>3540</v>
      </c>
      <c r="W10" s="54"/>
      <c r="X10" s="54"/>
      <c r="Y10" s="54"/>
      <c r="Z10" s="54"/>
      <c r="AG10" s="34" t="s">
        <v>39</v>
      </c>
      <c r="AH10" s="32"/>
      <c r="AI10" s="32"/>
      <c r="AJ10">
        <v>5</v>
      </c>
    </row>
    <row r="11" spans="1:36" x14ac:dyDescent="0.2">
      <c r="A11" s="1"/>
      <c r="B11" s="2"/>
      <c r="C11" s="2"/>
      <c r="D11" s="2"/>
      <c r="E11" s="2"/>
      <c r="F11" s="2"/>
      <c r="G11" s="2"/>
      <c r="H11" s="2"/>
      <c r="I11" s="3"/>
      <c r="J11" s="10"/>
      <c r="K11" s="50"/>
      <c r="L11" s="20">
        <v>1</v>
      </c>
      <c r="M11" s="21">
        <v>3000</v>
      </c>
      <c r="N11" s="52">
        <v>10000</v>
      </c>
      <c r="O11" s="54"/>
      <c r="P11" s="54"/>
      <c r="Q11" s="54"/>
      <c r="R11" s="54"/>
      <c r="S11" s="54"/>
      <c r="T11" s="54"/>
      <c r="U11" s="54">
        <f>U8</f>
        <v>0.94</v>
      </c>
      <c r="V11" s="54">
        <f>V8</f>
        <v>28413.779857267684</v>
      </c>
      <c r="W11" s="54"/>
      <c r="X11" s="54"/>
      <c r="Y11" s="54"/>
      <c r="Z11" s="54"/>
      <c r="AG11" s="34" t="s">
        <v>40</v>
      </c>
      <c r="AH11" s="32"/>
      <c r="AI11" s="32"/>
    </row>
    <row r="12" spans="1:36" x14ac:dyDescent="0.2">
      <c r="A12" s="47" t="s">
        <v>5</v>
      </c>
      <c r="B12" s="2">
        <v>14500</v>
      </c>
      <c r="C12" s="2" t="s">
        <v>8</v>
      </c>
      <c r="D12" s="2"/>
      <c r="E12" s="46" t="s">
        <v>10</v>
      </c>
      <c r="F12" s="2">
        <f>1.5 * N29</f>
        <v>2.2118708680085675</v>
      </c>
      <c r="G12" s="2"/>
      <c r="H12" s="2"/>
      <c r="I12" s="3"/>
      <c r="J12" s="10"/>
      <c r="K12" s="50"/>
      <c r="L12" s="20"/>
      <c r="M12" s="21"/>
      <c r="N12" s="22"/>
      <c r="O12" s="54"/>
      <c r="P12" s="54"/>
      <c r="Q12" s="54"/>
      <c r="R12" s="54"/>
      <c r="S12" s="54"/>
      <c r="T12" s="54"/>
      <c r="U12" s="54">
        <v>0.76100000000000001</v>
      </c>
      <c r="V12" s="54">
        <f>N9 + (N10 - N9) / (L10 - L9) * (U12 - L9)</f>
        <v>12503.5</v>
      </c>
      <c r="W12" s="54"/>
      <c r="X12" s="54"/>
      <c r="Y12" s="54"/>
      <c r="Z12" s="54"/>
      <c r="AG12" s="34" t="s">
        <v>39</v>
      </c>
      <c r="AH12" s="32"/>
      <c r="AI12" s="32"/>
      <c r="AJ12">
        <v>6</v>
      </c>
    </row>
    <row r="13" spans="1:36" x14ac:dyDescent="0.2">
      <c r="A13" s="47" t="s">
        <v>6</v>
      </c>
      <c r="B13" s="2">
        <f>0.6</f>
        <v>0.6</v>
      </c>
      <c r="C13" s="2"/>
      <c r="D13" s="2"/>
      <c r="E13" s="46"/>
      <c r="F13" s="48"/>
      <c r="G13" s="48"/>
      <c r="H13" s="2"/>
      <c r="I13" s="3"/>
      <c r="J13" s="10"/>
      <c r="K13" s="50"/>
      <c r="L13" s="20"/>
      <c r="M13" s="21"/>
      <c r="N13" s="22"/>
      <c r="O13" s="54"/>
      <c r="P13" s="54"/>
      <c r="Q13" s="54"/>
      <c r="R13" s="54"/>
      <c r="S13" s="54"/>
      <c r="T13" s="54"/>
      <c r="U13" s="54">
        <v>0.376</v>
      </c>
      <c r="V13" s="54">
        <f>M7 + (M8 - M7) / (L8 - L7) * (U13 - L7)</f>
        <v>4658</v>
      </c>
      <c r="W13" s="54"/>
      <c r="X13" s="54"/>
      <c r="Y13" s="54"/>
      <c r="Z13" s="54"/>
      <c r="AG13" s="34" t="s">
        <v>40</v>
      </c>
      <c r="AH13" s="32"/>
      <c r="AI13" s="32"/>
    </row>
    <row r="14" spans="1:36" x14ac:dyDescent="0.2">
      <c r="A14" s="47" t="s">
        <v>7</v>
      </c>
      <c r="B14" s="2"/>
      <c r="C14" s="2" t="s">
        <v>9</v>
      </c>
      <c r="D14" s="2"/>
      <c r="E14" s="48"/>
      <c r="F14" s="48"/>
      <c r="G14" s="48"/>
      <c r="H14" s="2"/>
      <c r="I14" s="3"/>
      <c r="J14" s="10"/>
      <c r="K14" s="50"/>
      <c r="L14" s="20" t="s">
        <v>75</v>
      </c>
      <c r="M14" s="21" t="s">
        <v>76</v>
      </c>
      <c r="N14" s="22" t="s">
        <v>77</v>
      </c>
      <c r="O14" s="54"/>
      <c r="P14" s="54"/>
      <c r="Q14" s="54"/>
      <c r="R14" s="54"/>
      <c r="S14" s="54"/>
      <c r="T14" s="54"/>
      <c r="U14" s="54">
        <f>U11</f>
        <v>0.94</v>
      </c>
      <c r="V14" s="54">
        <f>V11</f>
        <v>28413.779857267684</v>
      </c>
      <c r="W14" s="54"/>
      <c r="X14" s="54"/>
      <c r="Y14" s="54"/>
      <c r="Z14" s="54"/>
      <c r="AG14" s="34" t="s">
        <v>39</v>
      </c>
      <c r="AH14" s="32"/>
      <c r="AI14" s="32"/>
      <c r="AJ14">
        <v>7</v>
      </c>
    </row>
    <row r="15" spans="1:36" x14ac:dyDescent="0.2">
      <c r="A15" s="83" t="s">
        <v>87</v>
      </c>
      <c r="B15" s="82"/>
      <c r="C15" s="82"/>
      <c r="D15" s="2"/>
      <c r="E15" s="48"/>
      <c r="F15" s="48"/>
      <c r="G15" s="48"/>
      <c r="H15" s="2"/>
      <c r="I15" s="3"/>
      <c r="J15" s="37"/>
      <c r="K15" s="37"/>
      <c r="L15" s="20" t="str" cm="1">
        <f t="array" ref="L15:M15">G24:H24</f>
        <v>x_B</v>
      </c>
      <c r="M15" s="21">
        <v>0.1</v>
      </c>
      <c r="N15" s="22">
        <v>6300</v>
      </c>
      <c r="O15" s="54"/>
      <c r="P15" s="54"/>
      <c r="Q15" s="54"/>
      <c r="R15" s="54"/>
      <c r="S15" s="54"/>
      <c r="T15" s="54"/>
      <c r="U15" s="54">
        <f>0.585</f>
        <v>0.58499999999999996</v>
      </c>
      <c r="V15" s="54">
        <f>N8 + (N9 - N8) / (L9 - L8) * (U15 - L8)</f>
        <v>13475</v>
      </c>
      <c r="W15" s="54"/>
      <c r="X15" s="54"/>
      <c r="Y15" s="54"/>
      <c r="Z15" s="54"/>
      <c r="AG15" s="34" t="s">
        <v>40</v>
      </c>
      <c r="AH15" s="32"/>
      <c r="AI15" s="32"/>
    </row>
    <row r="16" spans="1:36" x14ac:dyDescent="0.2">
      <c r="A16" s="1"/>
      <c r="B16" s="2"/>
      <c r="C16" s="2"/>
      <c r="D16" s="2"/>
      <c r="E16" s="48"/>
      <c r="F16" s="48"/>
      <c r="G16" s="48"/>
      <c r="H16" s="2"/>
      <c r="I16" s="3"/>
      <c r="J16" s="10"/>
      <c r="K16" s="50"/>
      <c r="L16" s="55" t="str" cm="1">
        <f t="array" ref="L16:M16">A13:B13</f>
        <v>z</v>
      </c>
      <c r="M16" s="55">
        <v>0.6</v>
      </c>
      <c r="N16" s="22">
        <v>14500</v>
      </c>
      <c r="O16" s="54"/>
      <c r="P16" s="54"/>
      <c r="Q16" s="54"/>
      <c r="R16" s="54"/>
      <c r="S16" s="54"/>
      <c r="T16" s="54"/>
      <c r="U16" s="54">
        <v>0.23200000000000001</v>
      </c>
      <c r="V16" s="54">
        <f>M6 + (M7 - M6) / (L7 - L6) * (U16 - L6)</f>
        <v>5442</v>
      </c>
      <c r="W16" s="54"/>
      <c r="X16" s="54"/>
      <c r="Y16" s="54"/>
      <c r="Z16" s="54"/>
      <c r="AG16" s="34" t="s">
        <v>39</v>
      </c>
      <c r="AH16" s="32"/>
      <c r="AI16" s="32"/>
      <c r="AJ16">
        <v>8</v>
      </c>
    </row>
    <row r="17" spans="1:36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50"/>
      <c r="L17" s="20" t="str" cm="1">
        <f t="array" ref="L17:M17">G9:H9</f>
        <v>x_D</v>
      </c>
      <c r="M17" s="21">
        <v>0.94</v>
      </c>
      <c r="N17" s="22">
        <v>3040</v>
      </c>
      <c r="O17" s="54"/>
      <c r="P17" s="54"/>
      <c r="Q17" s="54"/>
      <c r="R17" s="54"/>
      <c r="S17" s="54"/>
      <c r="T17" s="54"/>
      <c r="U17" s="54">
        <f>M24</f>
        <v>0.1</v>
      </c>
      <c r="V17" s="54">
        <f>N24</f>
        <v>-5961.4409665701241</v>
      </c>
      <c r="W17" s="54"/>
      <c r="X17" s="54"/>
      <c r="Y17" s="54"/>
      <c r="Z17" s="54"/>
      <c r="AG17" s="34" t="s">
        <v>40</v>
      </c>
      <c r="AH17" s="32"/>
      <c r="AI17" s="32"/>
    </row>
    <row r="18" spans="1:36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50"/>
      <c r="L18" s="20" t="s">
        <v>78</v>
      </c>
      <c r="M18" s="21">
        <f>M17</f>
        <v>0.94</v>
      </c>
      <c r="N18" s="22">
        <v>10940</v>
      </c>
      <c r="O18" s="54"/>
      <c r="P18" s="54"/>
      <c r="Q18" s="54"/>
      <c r="R18" s="54"/>
      <c r="S18" s="54"/>
      <c r="T18" s="54"/>
      <c r="U18" s="54">
        <f>0.335</f>
        <v>0.33500000000000002</v>
      </c>
      <c r="V18" s="54">
        <f>N7 + (N8 - N7) / (L8 - L7) * (U18 - L7)</f>
        <v>14560</v>
      </c>
      <c r="W18" s="54"/>
      <c r="X18" s="54"/>
      <c r="Y18" s="54"/>
      <c r="Z18" s="54"/>
      <c r="AG18" s="34" t="s">
        <v>39</v>
      </c>
      <c r="AH18" s="32"/>
      <c r="AI18" s="32"/>
      <c r="AJ18">
        <v>9</v>
      </c>
    </row>
    <row r="19" spans="1:36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50"/>
      <c r="L19" s="20" t="s">
        <v>24</v>
      </c>
      <c r="M19" s="56">
        <v>0.219</v>
      </c>
      <c r="N19" s="22">
        <f>6300 + (6300 - 5000) / (0.1 - 0.3) * (M19 - 0.1)</f>
        <v>5526.5</v>
      </c>
      <c r="O19" s="54"/>
      <c r="P19" s="54"/>
      <c r="Q19" s="54"/>
      <c r="R19" s="54"/>
      <c r="S19" s="54"/>
      <c r="T19" s="54"/>
      <c r="U19">
        <v>9.2999999999999999E-2</v>
      </c>
      <c r="V19">
        <f>M5 + (M6 - M5) / (L6 - L5) * (U19 - L5)</f>
        <v>6349</v>
      </c>
      <c r="W19" s="54"/>
      <c r="X19" s="54"/>
      <c r="Y19" s="54"/>
      <c r="Z19" s="54"/>
      <c r="AG19" s="34" t="s">
        <v>40</v>
      </c>
      <c r="AH19" s="32"/>
      <c r="AI19" s="32"/>
    </row>
    <row r="20" spans="1:36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50"/>
      <c r="L20" s="20" t="s">
        <v>25</v>
      </c>
      <c r="M20" s="21">
        <f>0.36 + (0.36 - 0.7) / (0.1 - 0.3) * (M19- 0.1)</f>
        <v>0.56230000000000002</v>
      </c>
      <c r="N20" s="22">
        <f>14700 + (14700 - 13900) / (0.3 - 0.5) * (M20 - 0.3)</f>
        <v>13650.8</v>
      </c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G20" s="34" t="s">
        <v>39</v>
      </c>
      <c r="AH20" s="32"/>
      <c r="AI20" s="32"/>
      <c r="AJ20">
        <v>10</v>
      </c>
    </row>
    <row r="21" spans="1:36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50"/>
      <c r="L21" s="20" t="s">
        <v>79</v>
      </c>
      <c r="M21" s="21">
        <f>M16</f>
        <v>0.6</v>
      </c>
      <c r="N21" s="22">
        <f>(N20 - N19) / ( M20 - M19) * M21 + (N19 - (N20 - N19) / (M20 - M19) * M19)</f>
        <v>14542.98208563938</v>
      </c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G21" s="34" t="s">
        <v>40</v>
      </c>
      <c r="AH21" s="32"/>
      <c r="AI21" s="32"/>
    </row>
    <row r="22" spans="1:36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50"/>
      <c r="L22" s="20" t="s">
        <v>80</v>
      </c>
      <c r="M22" s="21">
        <f>M17</f>
        <v>0.94</v>
      </c>
      <c r="N22" s="22">
        <f>(N20 - N19) / ( M20 - M19) * M22 + (N19 - (N20 - N19) / (M20 - M19) * M19)</f>
        <v>22589.186571511789</v>
      </c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G22" s="34" t="s">
        <v>39</v>
      </c>
      <c r="AH22" s="32"/>
      <c r="AI22" s="32"/>
      <c r="AJ22">
        <v>11</v>
      </c>
    </row>
    <row r="23" spans="1:36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50"/>
      <c r="L23" s="21" t="s">
        <v>81</v>
      </c>
      <c r="M23" s="55">
        <f>M22</f>
        <v>0.94</v>
      </c>
      <c r="N23" s="22">
        <f>F12 * (N18 - N17) + N18</f>
        <v>28413.779857267684</v>
      </c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G23" s="34" t="s">
        <v>40</v>
      </c>
      <c r="AH23" s="32"/>
      <c r="AI23" s="32"/>
    </row>
    <row r="24" spans="1:36" x14ac:dyDescent="0.2">
      <c r="A24" s="1"/>
      <c r="B24" s="2"/>
      <c r="C24" s="2"/>
      <c r="D24" s="2"/>
      <c r="E24" s="2"/>
      <c r="F24" s="2"/>
      <c r="G24" s="2" t="s">
        <v>18</v>
      </c>
      <c r="H24" s="2">
        <v>0.1</v>
      </c>
      <c r="I24" s="3"/>
      <c r="J24" s="10"/>
      <c r="K24" s="50"/>
      <c r="L24" s="20" t="s">
        <v>84</v>
      </c>
      <c r="M24" s="21">
        <f>M15</f>
        <v>0.1</v>
      </c>
      <c r="N24" s="22">
        <f>N23 + (N23 - N16) / (M23 - M16) * (M24 - M23)</f>
        <v>-5961.4409665701241</v>
      </c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G24" s="34" t="s">
        <v>39</v>
      </c>
      <c r="AH24" s="32"/>
      <c r="AI24" s="32"/>
      <c r="AJ24">
        <v>12</v>
      </c>
    </row>
    <row r="25" spans="1:36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50"/>
      <c r="L25" s="20"/>
      <c r="M25" s="21"/>
      <c r="N25" s="22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G25" s="34" t="s">
        <v>40</v>
      </c>
      <c r="AH25" s="32"/>
      <c r="AI25" s="32"/>
    </row>
    <row r="26" spans="1:36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50"/>
      <c r="L26" s="55"/>
      <c r="M26" s="55"/>
      <c r="N26" s="55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G26" s="34" t="s">
        <v>39</v>
      </c>
      <c r="AH26" s="32"/>
      <c r="AI26" s="32"/>
    </row>
    <row r="27" spans="1:36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50"/>
      <c r="L27" s="55"/>
      <c r="M27" s="55"/>
      <c r="N27" s="55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G27" s="34" t="s">
        <v>40</v>
      </c>
      <c r="AH27" s="32"/>
      <c r="AI27" s="32"/>
    </row>
    <row r="28" spans="1:36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50"/>
      <c r="L28" s="20"/>
      <c r="M28" s="21"/>
      <c r="N28" s="22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G28" s="34" t="s">
        <v>39</v>
      </c>
      <c r="AH28" s="32"/>
      <c r="AI28" s="32"/>
    </row>
    <row r="29" spans="1:36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51"/>
      <c r="L29" s="23"/>
      <c r="M29" s="21" t="s">
        <v>44</v>
      </c>
      <c r="N29" s="22">
        <f>(N22 - N18) / (N18 - N17)</f>
        <v>1.4745805786723785</v>
      </c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G29" s="34" t="s">
        <v>40</v>
      </c>
      <c r="AH29" s="32"/>
      <c r="AI29" s="32"/>
    </row>
    <row r="30" spans="1:36" x14ac:dyDescent="0.2"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2" spans="1:36" x14ac:dyDescent="0.2">
      <c r="L32" t="s">
        <v>20</v>
      </c>
      <c r="M32" t="s">
        <v>21</v>
      </c>
    </row>
    <row r="33" spans="12:13" x14ac:dyDescent="0.2">
      <c r="L33">
        <v>9.2999999999999999E-2</v>
      </c>
      <c r="M33">
        <v>0.33500000000000002</v>
      </c>
    </row>
  </sheetData>
  <mergeCells count="8">
    <mergeCell ref="U1:V1"/>
    <mergeCell ref="U4:V4"/>
    <mergeCell ref="A15:C15"/>
    <mergeCell ref="A1:I1"/>
    <mergeCell ref="J1:K1"/>
    <mergeCell ref="L1:N1"/>
    <mergeCell ref="M2:N2"/>
    <mergeCell ref="M3:N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D254-E623-7F41-9D09-BAB6DD5BFA61}">
  <dimension ref="A1:AB30"/>
  <sheetViews>
    <sheetView tabSelected="1" topLeftCell="K1" workbookViewId="0">
      <selection activeCell="N25" sqref="N25"/>
    </sheetView>
  </sheetViews>
  <sheetFormatPr baseColWidth="10" defaultRowHeight="16" x14ac:dyDescent="0.2"/>
  <sheetData>
    <row r="1" spans="1:28" x14ac:dyDescent="0.2">
      <c r="A1" s="67" t="s">
        <v>22</v>
      </c>
      <c r="B1" s="68"/>
      <c r="C1" s="68"/>
      <c r="D1" s="68"/>
      <c r="E1" s="68"/>
      <c r="F1" s="68"/>
      <c r="G1" s="68"/>
      <c r="H1" s="68"/>
      <c r="I1" s="69"/>
      <c r="J1" s="62" t="s">
        <v>19</v>
      </c>
      <c r="K1" s="88"/>
      <c r="L1" s="73" t="s">
        <v>69</v>
      </c>
      <c r="M1" s="74"/>
      <c r="N1" s="75"/>
      <c r="O1" s="53"/>
      <c r="P1" s="53"/>
      <c r="Q1" s="53"/>
      <c r="R1" s="53"/>
      <c r="S1" s="53"/>
      <c r="T1" s="53"/>
      <c r="U1" s="86"/>
      <c r="V1" s="86"/>
      <c r="AA1" t="s">
        <v>92</v>
      </c>
    </row>
    <row r="2" spans="1:28" x14ac:dyDescent="0.2">
      <c r="A2" s="1"/>
      <c r="B2" s="2"/>
      <c r="C2" s="2"/>
      <c r="D2" s="2"/>
      <c r="E2" s="2"/>
      <c r="F2" s="2"/>
      <c r="G2" s="2"/>
      <c r="H2" s="2"/>
      <c r="I2" s="3"/>
      <c r="J2" s="10" t="s">
        <v>20</v>
      </c>
      <c r="K2" s="50" t="s">
        <v>21</v>
      </c>
      <c r="L2" s="20" t="s">
        <v>70</v>
      </c>
      <c r="M2" s="77" t="s">
        <v>72</v>
      </c>
      <c r="N2" s="78"/>
      <c r="O2" s="54"/>
      <c r="P2" s="54"/>
      <c r="Q2" s="54"/>
      <c r="R2" s="54"/>
      <c r="S2" s="54"/>
      <c r="T2" s="54"/>
      <c r="AA2" t="s">
        <v>20</v>
      </c>
      <c r="AB2" t="s">
        <v>77</v>
      </c>
    </row>
    <row r="3" spans="1:28" x14ac:dyDescent="0.2">
      <c r="A3" s="1" t="s">
        <v>48</v>
      </c>
      <c r="B3" s="2" t="s">
        <v>1</v>
      </c>
      <c r="C3" s="2"/>
      <c r="D3" s="46"/>
      <c r="E3" s="2"/>
      <c r="F3" s="2"/>
      <c r="G3" s="2"/>
      <c r="H3" s="2"/>
      <c r="I3" s="3"/>
      <c r="J3" s="10">
        <v>0</v>
      </c>
      <c r="K3" s="50">
        <v>0</v>
      </c>
      <c r="L3" s="20" t="s">
        <v>71</v>
      </c>
      <c r="M3" s="77"/>
      <c r="N3" s="78"/>
      <c r="O3" s="54"/>
      <c r="P3" s="54"/>
      <c r="Q3" s="54"/>
      <c r="R3" s="54"/>
      <c r="S3" s="54"/>
      <c r="T3" s="54"/>
      <c r="U3" s="54"/>
      <c r="V3" s="54"/>
      <c r="AA3">
        <f>M23</f>
        <v>0.95</v>
      </c>
      <c r="AB3">
        <f>N24</f>
        <v>10800</v>
      </c>
    </row>
    <row r="4" spans="1:28" x14ac:dyDescent="0.2">
      <c r="A4" s="1">
        <v>1</v>
      </c>
      <c r="B4" s="2"/>
      <c r="C4" s="2"/>
      <c r="D4" s="2"/>
      <c r="E4" s="2"/>
      <c r="F4" s="2"/>
      <c r="G4" s="2"/>
      <c r="H4" s="2"/>
      <c r="I4" s="3"/>
      <c r="J4" s="10">
        <v>0.1</v>
      </c>
      <c r="K4" s="50">
        <v>0.36</v>
      </c>
      <c r="L4" s="20"/>
      <c r="M4" s="21" t="s">
        <v>73</v>
      </c>
      <c r="N4" s="22" t="s">
        <v>74</v>
      </c>
      <c r="O4" s="54"/>
      <c r="P4" s="54"/>
      <c r="Q4" s="54"/>
      <c r="R4" s="54"/>
      <c r="S4" s="54"/>
      <c r="T4" s="54"/>
      <c r="U4" s="87"/>
      <c r="V4" s="87"/>
      <c r="AA4">
        <f>0.7</f>
        <v>0.7</v>
      </c>
      <c r="AB4">
        <f>M9</f>
        <v>3400</v>
      </c>
    </row>
    <row r="5" spans="1:28" x14ac:dyDescent="0.2">
      <c r="A5" s="1">
        <v>2</v>
      </c>
      <c r="B5" s="2"/>
      <c r="C5" s="2"/>
      <c r="D5" s="2"/>
      <c r="E5" s="2"/>
      <c r="F5" s="2"/>
      <c r="G5" s="2"/>
      <c r="H5" s="2"/>
      <c r="I5" s="3"/>
      <c r="J5" s="10">
        <v>0.3</v>
      </c>
      <c r="K5" s="50">
        <v>0.7</v>
      </c>
      <c r="L5" s="20">
        <v>0</v>
      </c>
      <c r="M5" s="21">
        <v>7000</v>
      </c>
      <c r="N5" s="52">
        <v>15700</v>
      </c>
      <c r="O5" s="54"/>
      <c r="P5" s="54"/>
      <c r="Q5" s="54"/>
      <c r="R5" s="54"/>
      <c r="S5" s="54"/>
      <c r="T5" s="54"/>
      <c r="U5" s="54"/>
      <c r="V5" s="54"/>
      <c r="AA5">
        <f>AA3</f>
        <v>0.95</v>
      </c>
      <c r="AB5">
        <f>N25</f>
        <v>20100</v>
      </c>
    </row>
    <row r="6" spans="1:28" x14ac:dyDescent="0.2">
      <c r="A6" s="1"/>
      <c r="B6" s="2"/>
      <c r="C6" s="2"/>
      <c r="D6" s="2"/>
      <c r="E6" s="2"/>
      <c r="F6" s="2"/>
      <c r="G6" s="2"/>
      <c r="H6" s="2"/>
      <c r="I6" s="3"/>
      <c r="J6" s="10">
        <v>0.5</v>
      </c>
      <c r="K6" s="50">
        <v>0.85</v>
      </c>
      <c r="L6" s="20">
        <v>0.1</v>
      </c>
      <c r="M6" s="21">
        <v>6300</v>
      </c>
      <c r="N6" s="52">
        <v>15400</v>
      </c>
      <c r="O6" s="54"/>
      <c r="P6" s="54"/>
      <c r="Q6" s="54"/>
      <c r="R6" s="54"/>
      <c r="S6" s="54"/>
      <c r="T6" s="54"/>
      <c r="U6" s="54"/>
      <c r="V6" s="54"/>
      <c r="AA6">
        <f>0.83</f>
        <v>0.83</v>
      </c>
      <c r="AB6">
        <f>N9 + (N10 - N9) / (L10 - L9) * (AA6 - L9)</f>
        <v>12055</v>
      </c>
    </row>
    <row r="7" spans="1:28" x14ac:dyDescent="0.2">
      <c r="A7" s="1"/>
      <c r="B7" s="2"/>
      <c r="C7" s="2"/>
      <c r="D7" s="2"/>
      <c r="E7" s="2"/>
      <c r="F7" s="2"/>
      <c r="G7" s="2"/>
      <c r="H7" s="2"/>
      <c r="I7" s="3"/>
      <c r="J7" s="10">
        <v>0.57999999999999996</v>
      </c>
      <c r="K7" s="50">
        <v>0.9</v>
      </c>
      <c r="L7" s="20">
        <v>0.3</v>
      </c>
      <c r="M7" s="21">
        <v>5000</v>
      </c>
      <c r="N7" s="52">
        <v>14700</v>
      </c>
      <c r="O7" s="54"/>
      <c r="P7" s="54"/>
      <c r="Q7" s="54"/>
      <c r="R7" s="54"/>
      <c r="S7" s="54"/>
      <c r="T7" s="54"/>
      <c r="U7" s="54"/>
      <c r="V7" s="54"/>
      <c r="AA7">
        <v>0.47</v>
      </c>
      <c r="AB7">
        <f>M7 + (M8 - M7) / (L8 - L7) * (AA7 - L7)</f>
        <v>4235</v>
      </c>
    </row>
    <row r="8" spans="1:28" x14ac:dyDescent="0.2">
      <c r="A8" s="1"/>
      <c r="B8" s="2"/>
      <c r="C8" s="2"/>
      <c r="D8" s="2"/>
      <c r="E8" s="2"/>
      <c r="F8" s="2"/>
      <c r="G8" s="2" t="s">
        <v>15</v>
      </c>
      <c r="H8" s="2"/>
      <c r="I8" s="3"/>
      <c r="J8" s="10">
        <v>0.7</v>
      </c>
      <c r="K8" s="50">
        <v>0.95</v>
      </c>
      <c r="L8" s="20">
        <v>0.5</v>
      </c>
      <c r="M8" s="21">
        <v>4100</v>
      </c>
      <c r="N8" s="52">
        <v>13900</v>
      </c>
      <c r="O8" s="54"/>
      <c r="P8" s="54"/>
      <c r="Q8" s="54"/>
      <c r="R8" s="54"/>
      <c r="S8" s="54"/>
      <c r="T8" s="54"/>
      <c r="U8" s="54"/>
      <c r="V8" s="54"/>
      <c r="AA8">
        <f>AA5</f>
        <v>0.95</v>
      </c>
      <c r="AB8">
        <f>AB5</f>
        <v>20100</v>
      </c>
    </row>
    <row r="9" spans="1:28" x14ac:dyDescent="0.2">
      <c r="A9" s="1"/>
      <c r="B9" s="2"/>
      <c r="C9" s="2"/>
      <c r="D9" s="2"/>
      <c r="E9" s="2"/>
      <c r="F9" s="2"/>
      <c r="G9" s="2" t="s">
        <v>16</v>
      </c>
      <c r="H9" s="2">
        <v>0.95</v>
      </c>
      <c r="I9" s="3"/>
      <c r="J9" s="10">
        <v>1</v>
      </c>
      <c r="K9" s="50">
        <v>1</v>
      </c>
      <c r="L9" s="20">
        <v>0.7</v>
      </c>
      <c r="M9" s="21">
        <v>3400</v>
      </c>
      <c r="N9" s="52">
        <v>12900</v>
      </c>
      <c r="O9" s="54"/>
      <c r="P9" s="54"/>
      <c r="Q9" s="54"/>
      <c r="R9" s="54"/>
      <c r="S9" s="54"/>
      <c r="T9" s="54"/>
      <c r="U9" s="54"/>
      <c r="V9" s="54"/>
      <c r="AA9">
        <f>0.727</f>
        <v>0.72699999999999998</v>
      </c>
      <c r="AB9">
        <f>N9+ (N10 - N9) / (L10 - L9) * (AA9 - L9)</f>
        <v>12724.5</v>
      </c>
    </row>
    <row r="10" spans="1:28" x14ac:dyDescent="0.2">
      <c r="A10" s="1"/>
      <c r="B10" s="2"/>
      <c r="C10" s="2"/>
      <c r="D10" s="2"/>
      <c r="E10" s="2"/>
      <c r="F10" s="2"/>
      <c r="G10" s="2"/>
      <c r="H10" s="2"/>
      <c r="I10" s="3"/>
      <c r="J10" s="10"/>
      <c r="K10" s="50"/>
      <c r="L10" s="20">
        <v>0.9</v>
      </c>
      <c r="M10" s="21">
        <v>3100</v>
      </c>
      <c r="N10" s="52">
        <v>11600</v>
      </c>
      <c r="O10" s="54"/>
      <c r="P10" s="54"/>
      <c r="Q10" s="54"/>
      <c r="R10" s="54"/>
      <c r="S10" s="54"/>
      <c r="T10" s="54"/>
      <c r="U10" s="54"/>
      <c r="V10" s="54"/>
      <c r="AA10">
        <v>0.33500000000000002</v>
      </c>
      <c r="AB10">
        <f>M7+ (M8 - M7) / (L8 - L7) * (AA10 - L7)</f>
        <v>4842.5</v>
      </c>
    </row>
    <row r="11" spans="1:28" x14ac:dyDescent="0.2">
      <c r="A11" s="1"/>
      <c r="B11" s="2"/>
      <c r="C11" s="2"/>
      <c r="D11" s="2"/>
      <c r="E11" s="2"/>
      <c r="F11" s="2"/>
      <c r="G11" s="2"/>
      <c r="H11" s="2"/>
      <c r="I11" s="3"/>
      <c r="J11" s="10"/>
      <c r="K11" s="50"/>
      <c r="L11" s="20">
        <v>1</v>
      </c>
      <c r="M11" s="21">
        <v>3000</v>
      </c>
      <c r="N11" s="52">
        <v>10000</v>
      </c>
      <c r="O11" s="54"/>
      <c r="P11" s="54"/>
      <c r="Q11" s="54"/>
      <c r="R11" s="54"/>
      <c r="S11" s="54"/>
      <c r="T11" s="54"/>
      <c r="U11" s="54"/>
      <c r="V11" s="54"/>
      <c r="AA11">
        <f>M26</f>
        <v>0.1</v>
      </c>
      <c r="AB11">
        <f>N26</f>
        <v>-3931.8181818181838</v>
      </c>
    </row>
    <row r="12" spans="1:28" x14ac:dyDescent="0.2">
      <c r="A12" s="47" t="s">
        <v>5</v>
      </c>
      <c r="B12" s="2">
        <v>14500</v>
      </c>
      <c r="C12" s="2" t="s">
        <v>8</v>
      </c>
      <c r="D12" s="2"/>
      <c r="E12" s="46" t="s">
        <v>10</v>
      </c>
      <c r="F12" s="2">
        <f>1.2</f>
        <v>1.2</v>
      </c>
      <c r="G12" s="2"/>
      <c r="H12" s="2"/>
      <c r="I12" s="3"/>
      <c r="J12" s="10"/>
      <c r="K12" s="50"/>
      <c r="L12" s="20"/>
      <c r="M12" s="21"/>
      <c r="N12" s="22"/>
      <c r="O12" s="54"/>
      <c r="P12" s="54"/>
      <c r="Q12" s="54"/>
      <c r="R12" s="54"/>
      <c r="S12" s="54"/>
      <c r="T12" s="54"/>
      <c r="U12" s="54"/>
      <c r="V12" s="54"/>
      <c r="AA12">
        <f>0.569</f>
        <v>0.56899999999999995</v>
      </c>
      <c r="AB12">
        <f>N8 + (N9 - N8) / (L9 - L8) * (AA12 - L8)</f>
        <v>13555</v>
      </c>
    </row>
    <row r="13" spans="1:28" x14ac:dyDescent="0.2">
      <c r="A13" s="47" t="s">
        <v>6</v>
      </c>
      <c r="B13" s="2">
        <f>0.4</f>
        <v>0.4</v>
      </c>
      <c r="C13" s="2"/>
      <c r="D13" s="2"/>
      <c r="E13" s="46"/>
      <c r="F13" s="48"/>
      <c r="G13" s="48"/>
      <c r="H13" s="2"/>
      <c r="I13" s="3"/>
      <c r="J13" s="10"/>
      <c r="K13" s="50"/>
      <c r="L13" s="20"/>
      <c r="M13" s="21"/>
      <c r="N13" s="22"/>
      <c r="O13" s="54"/>
      <c r="P13" s="54"/>
      <c r="Q13" s="54"/>
      <c r="R13" s="54"/>
      <c r="S13" s="54"/>
      <c r="T13" s="54"/>
      <c r="U13" s="54"/>
      <c r="V13" s="54"/>
      <c r="AA13">
        <v>0.222</v>
      </c>
      <c r="AB13">
        <f>M6 + (M7 - M6) / (L7 - L6) * (AA13 - L6)</f>
        <v>5507</v>
      </c>
    </row>
    <row r="14" spans="1:28" x14ac:dyDescent="0.2">
      <c r="A14" s="47" t="s">
        <v>7</v>
      </c>
      <c r="B14" s="2"/>
      <c r="C14" s="2" t="s">
        <v>9</v>
      </c>
      <c r="D14" s="2"/>
      <c r="E14" s="48"/>
      <c r="F14" s="48"/>
      <c r="G14" s="48"/>
      <c r="H14" s="2"/>
      <c r="I14" s="3"/>
      <c r="J14" s="10"/>
      <c r="K14" s="50"/>
      <c r="L14" s="20"/>
      <c r="M14" s="21"/>
      <c r="N14" s="22"/>
      <c r="O14" s="54"/>
      <c r="P14" s="54"/>
      <c r="Q14" s="54"/>
      <c r="R14" s="54"/>
      <c r="S14" s="54"/>
      <c r="T14" s="54"/>
      <c r="U14" s="54"/>
      <c r="V14" s="54"/>
      <c r="AA14">
        <f>AA11</f>
        <v>0.1</v>
      </c>
      <c r="AB14">
        <f>AB11</f>
        <v>-3931.8181818181838</v>
      </c>
    </row>
    <row r="15" spans="1:28" x14ac:dyDescent="0.2">
      <c r="A15" s="83" t="s">
        <v>50</v>
      </c>
      <c r="B15" s="82"/>
      <c r="C15" s="82"/>
      <c r="D15" s="2"/>
      <c r="E15" s="48"/>
      <c r="F15" s="48"/>
      <c r="G15" s="48"/>
      <c r="H15" s="2"/>
      <c r="I15" s="3"/>
      <c r="J15" s="37"/>
      <c r="K15" s="37"/>
      <c r="L15" s="20" t="s">
        <v>89</v>
      </c>
      <c r="M15" s="21">
        <v>0.77500000000000002</v>
      </c>
      <c r="N15" s="22">
        <f>N9 + (N10 - N9) / (L10 - L9) * (M15 - L9)</f>
        <v>12412.5</v>
      </c>
      <c r="O15" s="54"/>
      <c r="P15" s="54"/>
      <c r="Q15" s="54"/>
      <c r="R15" s="54"/>
      <c r="S15" s="54"/>
      <c r="T15" s="54"/>
      <c r="U15" s="54"/>
      <c r="V15" s="54"/>
      <c r="AA15">
        <v>0.34</v>
      </c>
      <c r="AB15">
        <f>N7 + (N8 - N7) / (L8 - L7) * (AA15 - L7)</f>
        <v>14540</v>
      </c>
    </row>
    <row r="16" spans="1:28" x14ac:dyDescent="0.2">
      <c r="A16" s="1"/>
      <c r="B16" s="2"/>
      <c r="C16" s="2"/>
      <c r="D16" s="2"/>
      <c r="E16" s="48"/>
      <c r="F16" s="48"/>
      <c r="G16" s="48"/>
      <c r="H16" s="2"/>
      <c r="I16" s="3"/>
      <c r="J16" s="10"/>
      <c r="K16" s="50"/>
      <c r="L16" s="49" t="s">
        <v>90</v>
      </c>
      <c r="M16" s="21">
        <f>M23</f>
        <v>0.95</v>
      </c>
      <c r="N16" s="22">
        <f>N22 + (N15 - N22) / (M15 -M22) * (M16 - M22)</f>
        <v>16081.666666666666</v>
      </c>
      <c r="O16" s="54"/>
      <c r="P16" s="54"/>
      <c r="Q16" s="54"/>
      <c r="R16" s="54"/>
      <c r="S16" s="54"/>
      <c r="T16" s="54"/>
      <c r="U16" s="54"/>
      <c r="V16" s="54"/>
      <c r="AA16">
        <v>9.5000000000000001E-2</v>
      </c>
      <c r="AB16">
        <f>M5 + (M6 - M5) / (L6 - L5) * (AA16 - L5)</f>
        <v>6335</v>
      </c>
    </row>
    <row r="17" spans="1:22" x14ac:dyDescent="0.2">
      <c r="A17" s="1"/>
      <c r="B17" s="2"/>
      <c r="C17" s="2"/>
      <c r="D17" s="2"/>
      <c r="E17" s="2"/>
      <c r="F17" s="2"/>
      <c r="G17" s="2"/>
      <c r="H17" s="2"/>
      <c r="I17" s="3"/>
      <c r="J17" s="10"/>
      <c r="K17" s="50"/>
      <c r="L17" s="49" t="s">
        <v>91</v>
      </c>
      <c r="M17" s="21">
        <f>M26</f>
        <v>0.1</v>
      </c>
      <c r="N17" s="22">
        <f>N22 + (N15 - N22) / (M15 -M22) * (M17 - M22)</f>
        <v>-1740.0000000000009</v>
      </c>
      <c r="O17" s="54"/>
      <c r="P17" s="54"/>
      <c r="Q17" s="54"/>
      <c r="R17" s="54"/>
      <c r="S17" s="54"/>
      <c r="T17" s="54"/>
      <c r="U17" s="54"/>
      <c r="V17" s="54"/>
    </row>
    <row r="18" spans="1:22" x14ac:dyDescent="0.2">
      <c r="A18" s="1"/>
      <c r="B18" s="2"/>
      <c r="C18" s="2"/>
      <c r="D18" s="2"/>
      <c r="E18" s="2"/>
      <c r="F18" s="2"/>
      <c r="G18" s="2"/>
      <c r="H18" s="2"/>
      <c r="I18" s="3"/>
      <c r="J18" s="10"/>
      <c r="K18" s="50"/>
      <c r="L18" s="20"/>
      <c r="M18" s="21" t="s">
        <v>44</v>
      </c>
      <c r="N18" s="22">
        <f>(N16 - N24) / (N24 - N23)</f>
        <v>0.68150537634408592</v>
      </c>
      <c r="O18" s="54"/>
      <c r="P18" s="54" t="s">
        <v>20</v>
      </c>
      <c r="Q18" s="54" t="s">
        <v>21</v>
      </c>
      <c r="R18" s="54"/>
      <c r="S18" s="54"/>
      <c r="T18" s="54"/>
      <c r="U18" s="54"/>
      <c r="V18" s="54"/>
    </row>
    <row r="19" spans="1:22" x14ac:dyDescent="0.2">
      <c r="A19" s="1"/>
      <c r="B19" s="2"/>
      <c r="C19" s="2"/>
      <c r="D19" s="2"/>
      <c r="E19" s="2"/>
      <c r="F19" s="2"/>
      <c r="G19" s="2"/>
      <c r="H19" s="2"/>
      <c r="I19" s="3"/>
      <c r="J19" s="10"/>
      <c r="K19" s="50"/>
      <c r="L19" s="20"/>
      <c r="M19" s="21"/>
      <c r="N19" s="22"/>
      <c r="O19" s="54"/>
      <c r="P19" s="54">
        <v>9.5000000000000001E-2</v>
      </c>
      <c r="Q19" s="54">
        <v>0.34</v>
      </c>
      <c r="R19" s="54"/>
      <c r="S19" s="54"/>
      <c r="T19" s="54"/>
    </row>
    <row r="20" spans="1:22" x14ac:dyDescent="0.2">
      <c r="A20" s="1"/>
      <c r="B20" s="2"/>
      <c r="C20" s="2"/>
      <c r="D20" s="2"/>
      <c r="E20" s="2"/>
      <c r="F20" s="2"/>
      <c r="G20" s="2"/>
      <c r="H20" s="2"/>
      <c r="I20" s="3"/>
      <c r="J20" s="10"/>
      <c r="K20" s="50"/>
      <c r="L20" s="20"/>
      <c r="M20" s="21"/>
      <c r="N20" s="22"/>
      <c r="O20" s="54"/>
      <c r="P20" s="54"/>
      <c r="Q20" s="54"/>
      <c r="R20" s="54"/>
      <c r="S20" s="54"/>
      <c r="T20" s="54"/>
      <c r="U20" s="54"/>
      <c r="V20" s="54"/>
    </row>
    <row r="21" spans="1:22" x14ac:dyDescent="0.2">
      <c r="A21" s="1"/>
      <c r="B21" s="2"/>
      <c r="C21" s="2"/>
      <c r="D21" s="2"/>
      <c r="E21" s="2"/>
      <c r="F21" s="2"/>
      <c r="G21" s="2"/>
      <c r="H21" s="2"/>
      <c r="I21" s="3"/>
      <c r="J21" s="10"/>
      <c r="K21" s="50"/>
      <c r="L21" s="20" t="s">
        <v>18</v>
      </c>
      <c r="M21" s="21">
        <v>0.1</v>
      </c>
      <c r="N21" s="22">
        <f>M6 + (M7 - M6) / (L7 - L6) * (M21 - L6)</f>
        <v>6300</v>
      </c>
      <c r="O21" s="54"/>
      <c r="P21" s="54"/>
      <c r="Q21" s="54"/>
      <c r="R21" s="54"/>
      <c r="S21" s="54"/>
      <c r="T21" s="54"/>
      <c r="U21" s="54"/>
      <c r="V21" s="54"/>
    </row>
    <row r="22" spans="1:22" x14ac:dyDescent="0.2">
      <c r="A22" s="1"/>
      <c r="B22" s="2"/>
      <c r="C22" s="2"/>
      <c r="D22" s="2"/>
      <c r="E22" s="2"/>
      <c r="F22" s="2"/>
      <c r="G22" s="2"/>
      <c r="H22" s="2"/>
      <c r="I22" s="3"/>
      <c r="J22" s="10"/>
      <c r="K22" s="50"/>
      <c r="L22" s="20" t="s">
        <v>6</v>
      </c>
      <c r="M22" s="21">
        <f>B13</f>
        <v>0.4</v>
      </c>
      <c r="N22" s="22">
        <f>M7 + (M8 - M7) / (L8 - L7) * (M22 - L7)</f>
        <v>4550</v>
      </c>
      <c r="O22" s="54"/>
      <c r="P22" s="54"/>
      <c r="Q22" s="54"/>
      <c r="R22" s="54"/>
      <c r="S22" s="54"/>
      <c r="T22" s="54"/>
      <c r="U22" s="54"/>
      <c r="V22" s="54"/>
    </row>
    <row r="23" spans="1:22" x14ac:dyDescent="0.2">
      <c r="A23" s="1"/>
      <c r="B23" s="2"/>
      <c r="C23" s="2"/>
      <c r="D23" s="2"/>
      <c r="E23" s="2"/>
      <c r="F23" s="2"/>
      <c r="G23" s="2" t="s">
        <v>17</v>
      </c>
      <c r="H23" s="2"/>
      <c r="I23" s="3"/>
      <c r="J23" s="10"/>
      <c r="K23" s="50"/>
      <c r="L23" s="20" t="s">
        <v>16</v>
      </c>
      <c r="M23" s="21">
        <f>H9</f>
        <v>0.95</v>
      </c>
      <c r="N23" s="22">
        <f>M10 + (M11 - M10) / (L11 - L10) * (M23 - L10)</f>
        <v>3050</v>
      </c>
      <c r="O23" s="54"/>
      <c r="P23" s="54"/>
      <c r="Q23" s="54"/>
      <c r="R23" s="54"/>
      <c r="S23" s="54"/>
      <c r="T23" s="54"/>
      <c r="U23" s="54"/>
      <c r="V23" s="54"/>
    </row>
    <row r="24" spans="1:22" x14ac:dyDescent="0.2">
      <c r="A24" s="1"/>
      <c r="B24" s="2"/>
      <c r="C24" s="2"/>
      <c r="D24" s="2"/>
      <c r="E24" s="2"/>
      <c r="F24" s="2"/>
      <c r="G24" s="2" t="s">
        <v>18</v>
      </c>
      <c r="H24" s="2">
        <v>0.1</v>
      </c>
      <c r="I24" s="3"/>
      <c r="J24" s="10"/>
      <c r="K24" s="50"/>
      <c r="L24" s="20" t="s">
        <v>88</v>
      </c>
      <c r="M24" s="21">
        <f>M23</f>
        <v>0.95</v>
      </c>
      <c r="N24" s="22">
        <f>N10 + (N11 - N10) / (L11 - L10) * (M24 - L10)</f>
        <v>10800</v>
      </c>
      <c r="O24" s="54"/>
      <c r="P24" s="54"/>
      <c r="Q24" s="54"/>
      <c r="R24" s="54"/>
      <c r="S24" s="54"/>
      <c r="T24" s="54"/>
      <c r="U24" s="54"/>
      <c r="V24" s="54"/>
    </row>
    <row r="25" spans="1:22" x14ac:dyDescent="0.2">
      <c r="A25" s="1"/>
      <c r="B25" s="2"/>
      <c r="C25" s="2"/>
      <c r="D25" s="2"/>
      <c r="E25" s="2"/>
      <c r="F25" s="2"/>
      <c r="G25" s="2"/>
      <c r="H25" s="2"/>
      <c r="I25" s="3"/>
      <c r="J25" s="10"/>
      <c r="K25" s="50"/>
      <c r="L25" s="20" t="s">
        <v>81</v>
      </c>
      <c r="M25" s="21">
        <f>M24</f>
        <v>0.95</v>
      </c>
      <c r="N25" s="22">
        <f>F12 * (N24 - N23) + 'Tarea de Ponchon Savarit'!N24</f>
        <v>20100</v>
      </c>
      <c r="O25" s="54"/>
      <c r="P25" s="54"/>
      <c r="Q25" s="54"/>
      <c r="R25" s="54"/>
      <c r="S25" s="54"/>
      <c r="T25" s="54"/>
      <c r="U25" s="54"/>
      <c r="V25" s="54"/>
    </row>
    <row r="26" spans="1:22" x14ac:dyDescent="0.2">
      <c r="A26" s="1"/>
      <c r="B26" s="2"/>
      <c r="C26" s="2"/>
      <c r="D26" s="2"/>
      <c r="E26" s="2"/>
      <c r="F26" s="2"/>
      <c r="G26" s="2"/>
      <c r="H26" s="2"/>
      <c r="I26" s="3"/>
      <c r="J26" s="10"/>
      <c r="K26" s="50"/>
      <c r="L26" s="20" t="s">
        <v>84</v>
      </c>
      <c r="M26" s="21">
        <f>M21</f>
        <v>0.1</v>
      </c>
      <c r="N26" s="22">
        <f>N25 + (N25 - N22) / (M25 - M22) * (M26 - M25)</f>
        <v>-3931.8181818181838</v>
      </c>
      <c r="O26" s="54"/>
      <c r="P26" s="54"/>
      <c r="Q26" s="54"/>
      <c r="R26" s="54"/>
      <c r="S26" s="54"/>
      <c r="T26" s="54"/>
      <c r="U26" s="54"/>
      <c r="V26" s="54"/>
    </row>
    <row r="27" spans="1:22" x14ac:dyDescent="0.2">
      <c r="A27" s="1"/>
      <c r="B27" s="2"/>
      <c r="C27" s="2"/>
      <c r="D27" s="2"/>
      <c r="E27" s="2"/>
      <c r="F27" s="2"/>
      <c r="G27" s="2"/>
      <c r="H27" s="2"/>
      <c r="I27" s="3"/>
      <c r="J27" s="10"/>
      <c r="K27" s="50"/>
      <c r="L27" s="20"/>
      <c r="M27" s="21"/>
      <c r="N27" s="22"/>
      <c r="O27" s="54"/>
      <c r="P27" s="54"/>
      <c r="Q27" s="54"/>
      <c r="R27" s="54"/>
      <c r="S27" s="54"/>
      <c r="T27" s="54"/>
      <c r="U27" s="54"/>
      <c r="V27" s="54"/>
    </row>
    <row r="28" spans="1:22" x14ac:dyDescent="0.2">
      <c r="A28" s="1"/>
      <c r="B28" s="2"/>
      <c r="C28" s="2"/>
      <c r="D28" s="2"/>
      <c r="E28" s="2"/>
      <c r="F28" s="2"/>
      <c r="G28" s="2"/>
      <c r="H28" s="2"/>
      <c r="I28" s="3"/>
      <c r="J28" s="10"/>
      <c r="K28" s="50"/>
      <c r="L28" s="20"/>
      <c r="M28" s="21"/>
      <c r="N28" s="22"/>
      <c r="O28" s="54"/>
      <c r="P28" s="54"/>
      <c r="Q28" s="54"/>
      <c r="R28" s="54"/>
      <c r="S28" s="54"/>
      <c r="T28" s="54"/>
      <c r="U28" s="54"/>
      <c r="V28" s="54"/>
    </row>
    <row r="29" spans="1:22" x14ac:dyDescent="0.2">
      <c r="A29" s="7"/>
      <c r="B29" s="8"/>
      <c r="C29" s="8"/>
      <c r="D29" s="8"/>
      <c r="E29" s="8"/>
      <c r="F29" s="8"/>
      <c r="G29" s="8"/>
      <c r="H29" s="8"/>
      <c r="I29" s="9"/>
      <c r="J29" s="12"/>
      <c r="K29" s="51"/>
      <c r="L29" s="23"/>
      <c r="M29" s="24"/>
      <c r="N29" s="25"/>
      <c r="O29" s="54"/>
      <c r="P29" s="54"/>
      <c r="Q29" s="54"/>
      <c r="R29" s="54"/>
      <c r="S29" s="54"/>
      <c r="T29" s="54"/>
      <c r="U29" s="54"/>
      <c r="V29" s="54"/>
    </row>
    <row r="30" spans="1:22" x14ac:dyDescent="0.2">
      <c r="O30" s="54"/>
      <c r="P30" s="54"/>
      <c r="Q30" s="54"/>
      <c r="R30" s="54"/>
      <c r="S30" s="54"/>
      <c r="T30" s="54"/>
      <c r="U30" s="54"/>
      <c r="V30" s="54"/>
    </row>
  </sheetData>
  <mergeCells count="8">
    <mergeCell ref="U4:V4"/>
    <mergeCell ref="A15:C15"/>
    <mergeCell ref="A1:I1"/>
    <mergeCell ref="J1:K1"/>
    <mergeCell ref="L1:N1"/>
    <mergeCell ref="U1:V1"/>
    <mergeCell ref="M2:N2"/>
    <mergeCell ref="M3:N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FE68-BACC-BD43-99F7-9C2766AA18BE}">
  <dimension ref="A1:X23"/>
  <sheetViews>
    <sheetView workbookViewId="0">
      <selection activeCell="J15" sqref="I12:L15"/>
    </sheetView>
  </sheetViews>
  <sheetFormatPr baseColWidth="10" defaultRowHeight="16" x14ac:dyDescent="0.2"/>
  <cols>
    <col min="9" max="9" width="11.5" bestFit="1" customWidth="1"/>
    <col min="16" max="16" width="11.5" bestFit="1" customWidth="1"/>
  </cols>
  <sheetData>
    <row r="1" spans="1:24" x14ac:dyDescent="0.2">
      <c r="A1" s="44" t="s">
        <v>93</v>
      </c>
      <c r="B1" s="44">
        <v>100</v>
      </c>
    </row>
    <row r="2" spans="1:24" x14ac:dyDescent="0.2">
      <c r="A2" s="44" t="s">
        <v>3</v>
      </c>
      <c r="B2" s="44">
        <v>0</v>
      </c>
      <c r="I2" s="89" t="s">
        <v>100</v>
      </c>
      <c r="J2" s="89"/>
      <c r="K2" s="89"/>
      <c r="L2" s="89"/>
      <c r="N2" s="85"/>
      <c r="O2" s="85"/>
      <c r="P2" s="85"/>
      <c r="Q2" s="85"/>
      <c r="S2" s="57" t="s">
        <v>113</v>
      </c>
      <c r="T2" s="44">
        <v>8</v>
      </c>
    </row>
    <row r="3" spans="1:24" x14ac:dyDescent="0.2">
      <c r="I3" s="44" t="s">
        <v>101</v>
      </c>
      <c r="J3" s="44">
        <v>101</v>
      </c>
      <c r="K3" s="44" t="s">
        <v>102</v>
      </c>
      <c r="L3" s="44">
        <f>CONVERT(J3, "kPa", "Torr")</f>
        <v>757.56229953121147</v>
      </c>
      <c r="V3" t="s">
        <v>64</v>
      </c>
      <c r="W3" t="s">
        <v>110</v>
      </c>
      <c r="X3">
        <f>(L20 - L21) / (K20 - K21)</f>
        <v>1.0513092602047089</v>
      </c>
    </row>
    <row r="4" spans="1:24" x14ac:dyDescent="0.2">
      <c r="A4" s="57" t="s">
        <v>94</v>
      </c>
      <c r="B4" s="44">
        <v>0</v>
      </c>
      <c r="F4" s="57" t="s">
        <v>78</v>
      </c>
      <c r="G4" s="44">
        <f>G5 / (1 + G5)</f>
        <v>8.7463556851311956E-3</v>
      </c>
      <c r="S4" s="57" t="s">
        <v>103</v>
      </c>
      <c r="T4" s="57" t="s">
        <v>104</v>
      </c>
      <c r="V4" t="s">
        <v>65</v>
      </c>
      <c r="W4" t="s">
        <v>113</v>
      </c>
      <c r="X4">
        <f>T2</f>
        <v>8</v>
      </c>
    </row>
    <row r="5" spans="1:24" x14ac:dyDescent="0.2">
      <c r="A5" s="57" t="s">
        <v>95</v>
      </c>
      <c r="B5" s="44">
        <f>B4 / (1 - B4)</f>
        <v>0</v>
      </c>
      <c r="F5" s="57" t="s">
        <v>105</v>
      </c>
      <c r="G5" s="44">
        <f>(B1 * G17 * 0.05) / (B1 * (1 - G17))</f>
        <v>8.8235294117647058E-3</v>
      </c>
      <c r="I5" s="57" t="s">
        <v>20</v>
      </c>
      <c r="J5" s="57" t="s">
        <v>21</v>
      </c>
      <c r="K5" s="57" t="s">
        <v>103</v>
      </c>
      <c r="L5" s="57" t="s">
        <v>104</v>
      </c>
      <c r="S5" s="44">
        <f>O14</f>
        <v>0</v>
      </c>
      <c r="T5" s="44">
        <f>O15</f>
        <v>8.8235294117647058E-3</v>
      </c>
      <c r="V5" t="s">
        <v>66</v>
      </c>
      <c r="W5" t="s">
        <v>97</v>
      </c>
      <c r="X5">
        <f>Q14</f>
        <v>0.12757202103661525</v>
      </c>
    </row>
    <row r="6" spans="1:24" x14ac:dyDescent="0.2">
      <c r="I6" s="44">
        <v>0</v>
      </c>
      <c r="J6" s="44">
        <v>0</v>
      </c>
      <c r="K6" s="44">
        <f>I6 / (1 - I6)</f>
        <v>0</v>
      </c>
      <c r="L6" s="44">
        <f>J6 / (1 - J6)</f>
        <v>0</v>
      </c>
      <c r="S6" s="44">
        <v>7.4999999999999997E-3</v>
      </c>
      <c r="T6" s="44">
        <f>T5</f>
        <v>8.8235294117647058E-3</v>
      </c>
    </row>
    <row r="7" spans="1:24" x14ac:dyDescent="0.2">
      <c r="I7" s="44">
        <f>3.3/100</f>
        <v>3.3000000000000002E-2</v>
      </c>
      <c r="J7" s="44">
        <f>30 / L3</f>
        <v>3.9600703491401767E-2</v>
      </c>
      <c r="K7" s="44">
        <f t="shared" ref="K7:K8" si="0">I7 / (1 - I7)</f>
        <v>3.412616339193382E-2</v>
      </c>
      <c r="L7" s="44">
        <f t="shared" ref="L7:L10" si="1">J7 / (1 - J7)</f>
        <v>4.1233582360341962E-2</v>
      </c>
      <c r="S7" s="44">
        <f>S6</f>
        <v>7.4999999999999997E-3</v>
      </c>
      <c r="T7" s="44">
        <v>1.95E-2</v>
      </c>
    </row>
    <row r="8" spans="1:24" x14ac:dyDescent="0.2">
      <c r="I8" s="44">
        <f>7.2 / 100</f>
        <v>7.2000000000000008E-2</v>
      </c>
      <c r="J8" s="44">
        <f>62.8 / L3</f>
        <v>8.2897472642001035E-2</v>
      </c>
      <c r="K8" s="44">
        <f t="shared" si="0"/>
        <v>7.758620689655174E-2</v>
      </c>
      <c r="L8" s="44">
        <f t="shared" si="1"/>
        <v>9.0390627186268002E-2</v>
      </c>
      <c r="S8" s="44">
        <f>0.016</f>
        <v>1.6E-2</v>
      </c>
      <c r="T8" s="44">
        <f>T7</f>
        <v>1.95E-2</v>
      </c>
    </row>
    <row r="9" spans="1:24" x14ac:dyDescent="0.2">
      <c r="I9" s="44">
        <f>11.7/100</f>
        <v>0.11699999999999999</v>
      </c>
      <c r="J9" s="44">
        <f>85.4 /L3</f>
        <v>0.11273000260552371</v>
      </c>
      <c r="K9" s="44">
        <f>I9 / (1 - I9)</f>
        <v>0.13250283125707812</v>
      </c>
      <c r="L9" s="44">
        <f t="shared" si="1"/>
        <v>0.12705264793869103</v>
      </c>
      <c r="S9" s="44">
        <f>S8</f>
        <v>1.6E-2</v>
      </c>
      <c r="T9" s="44">
        <v>3.1E-2</v>
      </c>
    </row>
    <row r="10" spans="1:24" x14ac:dyDescent="0.2">
      <c r="I10" s="44">
        <f>17.1/100</f>
        <v>0.17100000000000001</v>
      </c>
      <c r="J10" s="44">
        <f>103 / L3</f>
        <v>0.13596241532047942</v>
      </c>
      <c r="K10" s="44">
        <f>I10 / (1 - I10)</f>
        <v>0.20627261761158025</v>
      </c>
      <c r="L10" s="44">
        <f t="shared" si="1"/>
        <v>0.15735706146499301</v>
      </c>
      <c r="S10" s="44">
        <f>0.0255</f>
        <v>2.5499999999999998E-2</v>
      </c>
      <c r="T10" s="44">
        <f>T9</f>
        <v>3.1E-2</v>
      </c>
    </row>
    <row r="11" spans="1:24" x14ac:dyDescent="0.2">
      <c r="S11" s="44">
        <f>S10</f>
        <v>2.5499999999999998E-2</v>
      </c>
      <c r="T11" s="44">
        <f>0.042</f>
        <v>4.2000000000000003E-2</v>
      </c>
    </row>
    <row r="12" spans="1:24" x14ac:dyDescent="0.2">
      <c r="I12" s="89" t="s">
        <v>114</v>
      </c>
      <c r="J12" s="89"/>
      <c r="K12" s="89"/>
      <c r="L12" s="89"/>
      <c r="N12" s="89" t="s">
        <v>115</v>
      </c>
      <c r="O12" s="89"/>
      <c r="P12" s="89"/>
      <c r="Q12" s="89"/>
      <c r="S12" s="44">
        <f>0.0345</f>
        <v>3.4500000000000003E-2</v>
      </c>
      <c r="T12" s="44">
        <f>T11</f>
        <v>4.2000000000000003E-2</v>
      </c>
    </row>
    <row r="13" spans="1:24" x14ac:dyDescent="0.2">
      <c r="I13" s="90" t="s">
        <v>106</v>
      </c>
      <c r="J13" s="90"/>
      <c r="K13" s="90" t="s">
        <v>107</v>
      </c>
      <c r="L13" s="90"/>
      <c r="N13" s="90" t="s">
        <v>106</v>
      </c>
      <c r="O13" s="90"/>
      <c r="P13" s="90" t="s">
        <v>107</v>
      </c>
      <c r="Q13" s="90"/>
      <c r="S13" s="44">
        <f>S12</f>
        <v>3.4500000000000003E-2</v>
      </c>
      <c r="T13" s="44">
        <f>S13 * $O$23 + $O$15</f>
        <v>5.4161241258092782E-2</v>
      </c>
    </row>
    <row r="14" spans="1:24" x14ac:dyDescent="0.2">
      <c r="I14" s="33" t="s">
        <v>95</v>
      </c>
      <c r="J14" s="44">
        <f>B5</f>
        <v>0</v>
      </c>
      <c r="K14" s="33" t="s">
        <v>97</v>
      </c>
      <c r="L14" s="44">
        <f>IF(1, (L15 - (L8 - (L20 - L8) / (K20 - K8) * K8))  / ((L20 - L8) / (K20 - K8)), "me dio flojera hacerlo a mano")</f>
        <v>0.15946502629576906</v>
      </c>
      <c r="N14" s="44" t="s">
        <v>95</v>
      </c>
      <c r="O14" s="44">
        <f>B5</f>
        <v>0</v>
      </c>
      <c r="P14" s="44" t="s">
        <v>97</v>
      </c>
      <c r="Q14" s="44">
        <f>(Q15 - (O15 - O23 * O14)) / O23</f>
        <v>0.12757202103661525</v>
      </c>
      <c r="S14" s="44">
        <v>4.5499999999999999E-2</v>
      </c>
      <c r="T14" s="44">
        <f>T13</f>
        <v>5.4161241258092782E-2</v>
      </c>
    </row>
    <row r="15" spans="1:24" x14ac:dyDescent="0.2">
      <c r="I15" s="33" t="s">
        <v>105</v>
      </c>
      <c r="J15" s="44">
        <f>G5</f>
        <v>8.8235294117647058E-3</v>
      </c>
      <c r="K15" s="33" t="s">
        <v>99</v>
      </c>
      <c r="L15" s="44">
        <f>G18</f>
        <v>0.17647058823529413</v>
      </c>
      <c r="N15" s="44" t="s">
        <v>105</v>
      </c>
      <c r="O15" s="44">
        <f>G5</f>
        <v>8.8235294117647058E-3</v>
      </c>
      <c r="P15" s="44" t="s">
        <v>99</v>
      </c>
      <c r="Q15" s="44">
        <f>G18</f>
        <v>0.17647058823529413</v>
      </c>
      <c r="S15" s="44">
        <f>S14</f>
        <v>4.5499999999999999E-2</v>
      </c>
      <c r="T15" s="44">
        <f>S15 * $O$23 + $O$15</f>
        <v>6.8616743585907525E-2</v>
      </c>
    </row>
    <row r="16" spans="1:24" x14ac:dyDescent="0.2">
      <c r="S16" s="44">
        <v>5.8000000000000003E-2</v>
      </c>
      <c r="T16" s="44">
        <f t="shared" ref="T16" si="2">T15</f>
        <v>6.8616743585907525E-2</v>
      </c>
    </row>
    <row r="17" spans="1:20" x14ac:dyDescent="0.2">
      <c r="A17" s="57" t="s">
        <v>96</v>
      </c>
      <c r="B17" s="44"/>
      <c r="F17" s="57" t="s">
        <v>98</v>
      </c>
      <c r="G17" s="44">
        <v>0.15</v>
      </c>
      <c r="S17" s="44">
        <f>S16</f>
        <v>5.8000000000000003E-2</v>
      </c>
      <c r="T17" s="44">
        <f>S17 * $O$23 + $O$15</f>
        <v>8.5043450776606105E-2</v>
      </c>
    </row>
    <row r="18" spans="1:20" x14ac:dyDescent="0.2">
      <c r="A18" s="57" t="s">
        <v>97</v>
      </c>
      <c r="B18" s="44"/>
      <c r="F18" s="57" t="s">
        <v>99</v>
      </c>
      <c r="G18" s="44">
        <f>G17 / (1 - G17)</f>
        <v>0.17647058823529413</v>
      </c>
      <c r="I18" s="89" t="s">
        <v>108</v>
      </c>
      <c r="J18" s="89"/>
      <c r="K18" s="89" t="s">
        <v>109</v>
      </c>
      <c r="L18" s="89"/>
      <c r="N18" s="89" t="s">
        <v>112</v>
      </c>
      <c r="O18" s="89"/>
      <c r="S18" s="44">
        <v>7.2999999999999995E-2</v>
      </c>
      <c r="T18" s="44">
        <f t="shared" ref="T18:T22" si="3">T17</f>
        <v>8.5043450776606105E-2</v>
      </c>
    </row>
    <row r="19" spans="1:20" x14ac:dyDescent="0.2">
      <c r="I19" s="33" t="s">
        <v>103</v>
      </c>
      <c r="J19" s="33" t="s">
        <v>104</v>
      </c>
      <c r="K19" s="33" t="s">
        <v>103</v>
      </c>
      <c r="L19" s="33" t="s">
        <v>104</v>
      </c>
      <c r="N19" s="33" t="s">
        <v>103</v>
      </c>
      <c r="O19" s="33" t="s">
        <v>104</v>
      </c>
      <c r="S19" s="44">
        <f>S18</f>
        <v>7.2999999999999995E-2</v>
      </c>
      <c r="T19" s="44">
        <f>S19 * $O$23 + $O$15</f>
        <v>0.10475549940544439</v>
      </c>
    </row>
    <row r="20" spans="1:20" x14ac:dyDescent="0.2">
      <c r="I20" s="44">
        <v>0</v>
      </c>
      <c r="J20" s="44">
        <f>G18</f>
        <v>0.17647058823529413</v>
      </c>
      <c r="K20" s="44">
        <f>J14</f>
        <v>0</v>
      </c>
      <c r="L20" s="44">
        <f>J15</f>
        <v>8.8235294117647058E-3</v>
      </c>
      <c r="N20" s="44">
        <f>O14</f>
        <v>0</v>
      </c>
      <c r="O20" s="44">
        <f>O15</f>
        <v>8.8235294117647058E-3</v>
      </c>
      <c r="S20" s="44">
        <v>9.9000000000000005E-2</v>
      </c>
      <c r="T20" s="44">
        <f t="shared" si="3"/>
        <v>0.10475549940544439</v>
      </c>
    </row>
    <row r="21" spans="1:20" x14ac:dyDescent="0.2">
      <c r="I21" s="44">
        <f>K10</f>
        <v>0.20627261761158025</v>
      </c>
      <c r="J21" s="44">
        <f>G18</f>
        <v>0.17647058823529413</v>
      </c>
      <c r="K21" s="44">
        <f>IF(1, (L15 - (L8 - (L20 - L8) / (K20 - K8) * K8))  / ((L20 - L8) / (K20 - K8)), "me dio flojera hacerlo a mano")</f>
        <v>0.15946502629576906</v>
      </c>
      <c r="L21" s="44">
        <f>IF(1, (L20 - L8) / (K20 - K8) * K21 + L8 - (L20 - L8) / (K20 - K8) * K8, "me dio flojera hacerlo a mano")</f>
        <v>0.17647058823529413</v>
      </c>
      <c r="N21" s="44">
        <f>Q14</f>
        <v>0.12757202103661525</v>
      </c>
      <c r="O21" s="44">
        <f>Q15</f>
        <v>0.17647058823529413</v>
      </c>
      <c r="S21" s="44">
        <f>S20</f>
        <v>9.9000000000000005E-2</v>
      </c>
      <c r="T21" s="44">
        <f>S21 * $O$23 + $O$15</f>
        <v>0.13892305036209746</v>
      </c>
    </row>
    <row r="22" spans="1:20" x14ac:dyDescent="0.2">
      <c r="S22" s="44">
        <f>0.1589</f>
        <v>0.15890000000000001</v>
      </c>
      <c r="T22" s="44">
        <f t="shared" si="3"/>
        <v>0.13892305036209746</v>
      </c>
    </row>
    <row r="23" spans="1:20" x14ac:dyDescent="0.2">
      <c r="I23" s="57" t="s">
        <v>110</v>
      </c>
      <c r="J23" s="58">
        <f>(L20 - L21) / (K20 - K21)</f>
        <v>1.0513092602047089</v>
      </c>
      <c r="N23" s="57" t="s">
        <v>111</v>
      </c>
      <c r="O23" s="44">
        <f>J23 * 1.25</f>
        <v>1.3141365752558862</v>
      </c>
      <c r="S23" s="44">
        <f>S22</f>
        <v>0.15890000000000001</v>
      </c>
      <c r="T23" s="44">
        <f>Q15</f>
        <v>0.17647058823529413</v>
      </c>
    </row>
  </sheetData>
  <mergeCells count="11">
    <mergeCell ref="I2:L2"/>
    <mergeCell ref="N2:Q2"/>
    <mergeCell ref="I12:L12"/>
    <mergeCell ref="N12:Q12"/>
    <mergeCell ref="I13:J13"/>
    <mergeCell ref="K13:L13"/>
    <mergeCell ref="I18:J18"/>
    <mergeCell ref="K18:L18"/>
    <mergeCell ref="N13:O13"/>
    <mergeCell ref="P13:Q13"/>
    <mergeCell ref="N18:O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mccabe-thiele</vt:lpstr>
      <vt:lpstr>240121</vt:lpstr>
      <vt:lpstr>713</vt:lpstr>
      <vt:lpstr>Vapor Vivo</vt:lpstr>
      <vt:lpstr>732</vt:lpstr>
      <vt:lpstr>Ponchon-Savarit</vt:lpstr>
      <vt:lpstr>Tarea de Ponchon Savarit</vt:lpstr>
      <vt:lpstr>Absorción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Saldaña</dc:creator>
  <cp:lastModifiedBy>SERGIO SAMUEL SALDAÑA FLORES</cp:lastModifiedBy>
  <dcterms:created xsi:type="dcterms:W3CDTF">2022-01-24T00:08:18Z</dcterms:created>
  <dcterms:modified xsi:type="dcterms:W3CDTF">2022-02-22T04:12:31Z</dcterms:modified>
</cp:coreProperties>
</file>