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pslab/"/>
    </mc:Choice>
  </mc:AlternateContent>
  <xr:revisionPtr revIDLastSave="0" documentId="13_ncr:1_{998E19FD-5711-2445-B18E-379409B90CA2}" xr6:coauthVersionLast="47" xr6:coauthVersionMax="47" xr10:uidLastSave="{00000000-0000-0000-0000-000000000000}"/>
  <bookViews>
    <workbookView xWindow="-40" yWindow="500" windowWidth="28040" windowHeight="16940" activeTab="2" xr2:uid="{609CFCCE-31DA-1448-98C5-04C77A187878}"/>
  </bookViews>
  <sheets>
    <sheet name="Sheet1" sheetId="1" r:id="rId1"/>
    <sheet name="Problema 1" sheetId="2" r:id="rId2"/>
    <sheet name="Problema 2" sheetId="3" r:id="rId3"/>
    <sheet name="Problema 3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0" i="3" l="1"/>
  <c r="AB29" i="3"/>
  <c r="AA29" i="3"/>
  <c r="AB28" i="3"/>
  <c r="AA27" i="3"/>
  <c r="AB27" i="3"/>
  <c r="AB26" i="3"/>
  <c r="AA26" i="3"/>
  <c r="AB25" i="3"/>
  <c r="AA25" i="3"/>
  <c r="AA24" i="3"/>
  <c r="AB24" i="3"/>
  <c r="AB23" i="3"/>
  <c r="AA23" i="3"/>
  <c r="AB22" i="3"/>
  <c r="AA22" i="3"/>
  <c r="AA21" i="3"/>
  <c r="AB21" i="3" s="1"/>
  <c r="AB20" i="3"/>
  <c r="AA20" i="3"/>
  <c r="AB19" i="3"/>
  <c r="AA19" i="3"/>
  <c r="AA18" i="3"/>
  <c r="AB18" i="3"/>
  <c r="AB17" i="3"/>
  <c r="AA17" i="3"/>
  <c r="AB16" i="3"/>
  <c r="AA15" i="3"/>
  <c r="AB15" i="3"/>
  <c r="AB14" i="3"/>
  <c r="AA14" i="3"/>
  <c r="AB13" i="3"/>
  <c r="AA12" i="3"/>
  <c r="AB12" i="3" s="1"/>
  <c r="AB11" i="3"/>
  <c r="AA11" i="3"/>
  <c r="AB10" i="3"/>
  <c r="AA10" i="3"/>
  <c r="AA9" i="3"/>
  <c r="AB9" i="3"/>
  <c r="AB8" i="3"/>
  <c r="AA8" i="3"/>
  <c r="AB7" i="3"/>
  <c r="AB4" i="3"/>
  <c r="AB6" i="3"/>
  <c r="AA7" i="3"/>
  <c r="AA6" i="3"/>
  <c r="AA5" i="3"/>
  <c r="AB5" i="3"/>
  <c r="AA4" i="3"/>
  <c r="AB3" i="3"/>
  <c r="N6" i="3"/>
  <c r="N12" i="3"/>
  <c r="N14" i="3"/>
  <c r="N31" i="3"/>
  <c r="F12" i="3"/>
  <c r="N30" i="3"/>
  <c r="N22" i="3"/>
  <c r="N21" i="3"/>
  <c r="M21" i="3"/>
  <c r="AM4" i="2"/>
  <c r="K15" i="4"/>
  <c r="L15" i="4" s="1"/>
  <c r="K14" i="4"/>
  <c r="L14" i="4" s="1"/>
  <c r="K13" i="4"/>
  <c r="L13" i="4" s="1"/>
  <c r="K12" i="4"/>
  <c r="L12" i="4" s="1"/>
  <c r="S11" i="4"/>
  <c r="K11" i="4"/>
  <c r="L11" i="4" s="1"/>
  <c r="O10" i="4"/>
  <c r="K10" i="4"/>
  <c r="L10" i="4" s="1"/>
  <c r="O9" i="4"/>
  <c r="K9" i="4"/>
  <c r="L9" i="4" s="1"/>
  <c r="S8" i="4"/>
  <c r="S9" i="4" s="1"/>
  <c r="K8" i="4"/>
  <c r="L8" i="4" s="1"/>
  <c r="J8" i="4" s="1"/>
  <c r="S6" i="4"/>
  <c r="S7" i="4" s="1"/>
  <c r="W5" i="4"/>
  <c r="S5" i="4"/>
  <c r="Q5" i="4"/>
  <c r="Q10" i="4" s="1"/>
  <c r="B5" i="4"/>
  <c r="O4" i="4"/>
  <c r="P9" i="4" s="1"/>
  <c r="S3" i="4"/>
  <c r="L3" i="4"/>
  <c r="E2" i="4"/>
  <c r="E1" i="4"/>
  <c r="O12" i="4" s="1"/>
  <c r="W3" i="4" l="1"/>
  <c r="O5" i="4"/>
  <c r="Q12" i="4"/>
  <c r="W2" i="4" l="1"/>
  <c r="Q4" i="4"/>
  <c r="P10" i="4" s="1"/>
  <c r="W4" i="4"/>
  <c r="Q9" i="4"/>
  <c r="T3" i="4"/>
  <c r="T4" i="4" s="1"/>
  <c r="T11" i="4" l="1"/>
  <c r="T9" i="4"/>
  <c r="T10" i="4" s="1"/>
  <c r="T7" i="4"/>
  <c r="T8" i="4" s="1"/>
  <c r="T5" i="4"/>
  <c r="T6" i="4" s="1"/>
  <c r="N29" i="3" l="1"/>
  <c r="N28" i="3"/>
  <c r="M28" i="3"/>
  <c r="N27" i="3"/>
  <c r="B13" i="3"/>
  <c r="AM5" i="2" l="1"/>
  <c r="M32" i="3"/>
  <c r="M29" i="3"/>
  <c r="M22" i="3" s="1"/>
  <c r="AM2" i="2"/>
  <c r="AH17" i="2"/>
  <c r="AH16" i="2"/>
  <c r="AI16" i="2"/>
  <c r="AI17" i="2"/>
  <c r="AH15" i="2"/>
  <c r="AH13" i="2"/>
  <c r="AH14" i="2"/>
  <c r="AI14" i="2" s="1"/>
  <c r="AI15" i="2" s="1"/>
  <c r="AH9" i="2"/>
  <c r="AH10" i="2" s="1"/>
  <c r="AI10" i="2" s="1"/>
  <c r="AI11" i="2" s="1"/>
  <c r="AH7" i="2"/>
  <c r="AI6" i="2"/>
  <c r="AI7" i="2"/>
  <c r="AI8" i="2"/>
  <c r="AI9" i="2" s="1"/>
  <c r="AI4" i="2"/>
  <c r="AH12" i="2"/>
  <c r="AI12" i="2" s="1"/>
  <c r="AI13" i="2" s="1"/>
  <c r="AH8" i="2"/>
  <c r="AH6" i="2"/>
  <c r="AH5" i="2"/>
  <c r="AI5" i="2"/>
  <c r="AH4" i="2"/>
  <c r="U11" i="2"/>
  <c r="N18" i="2"/>
  <c r="F13" i="2" s="1"/>
  <c r="F12" i="2" s="1"/>
  <c r="N22" i="2" s="1"/>
  <c r="M18" i="2"/>
  <c r="Q24" i="2"/>
  <c r="R24" i="2"/>
  <c r="Q14" i="2"/>
  <c r="Q13" i="2"/>
  <c r="N21" i="2"/>
  <c r="M21" i="2"/>
  <c r="B19" i="2"/>
  <c r="H9" i="2"/>
  <c r="H8" i="2"/>
  <c r="B12" i="2"/>
  <c r="M23" i="3" l="1"/>
  <c r="N23" i="3"/>
  <c r="AA3" i="3"/>
  <c r="M30" i="3"/>
  <c r="M17" i="2"/>
  <c r="AI2" i="2"/>
  <c r="AI3" i="2" s="1"/>
  <c r="AH2" i="2"/>
  <c r="N17" i="2"/>
  <c r="U10" i="2"/>
  <c r="V10" i="2"/>
  <c r="M31" i="3" l="1"/>
  <c r="R23" i="2"/>
  <c r="H23" i="2"/>
  <c r="Q23" i="2"/>
  <c r="N24" i="3" l="1"/>
  <c r="N32" i="3"/>
</calcChain>
</file>

<file path=xl/sharedStrings.xml><?xml version="1.0" encoding="utf-8"?>
<sst xmlns="http://schemas.openxmlformats.org/spreadsheetml/2006/main" count="194" uniqueCount="89">
  <si>
    <t>a)</t>
  </si>
  <si>
    <t>Liquido subenfriado</t>
  </si>
  <si>
    <t>b)</t>
  </si>
  <si>
    <t>Diagrama</t>
  </si>
  <si>
    <t>Datos ELV</t>
  </si>
  <si>
    <t>Enriquecimiento</t>
  </si>
  <si>
    <t>Alimentación</t>
  </si>
  <si>
    <t>Agotamiento</t>
  </si>
  <si>
    <t>x</t>
  </si>
  <si>
    <t>y</t>
  </si>
  <si>
    <t>OP</t>
  </si>
  <si>
    <t>Sub</t>
  </si>
  <si>
    <t>Nombre</t>
  </si>
  <si>
    <t>Coordenadas para linea de agotamiento</t>
  </si>
  <si>
    <t>EQ</t>
  </si>
  <si>
    <t>P_1</t>
  </si>
  <si>
    <t>x_B</t>
  </si>
  <si>
    <t>P_2</t>
  </si>
  <si>
    <t>D</t>
  </si>
  <si>
    <t>x_D</t>
  </si>
  <si>
    <t>F</t>
  </si>
  <si>
    <t>kmol / h</t>
  </si>
  <si>
    <t>R</t>
  </si>
  <si>
    <t>z</t>
  </si>
  <si>
    <t>Coordenadas para linea de enriquecimiento</t>
  </si>
  <si>
    <t>T</t>
  </si>
  <si>
    <t>˚F</t>
  </si>
  <si>
    <t>q</t>
  </si>
  <si>
    <t>Liq Sat.</t>
  </si>
  <si>
    <t>Supociciones</t>
  </si>
  <si>
    <t>Super flujo molar cte.</t>
  </si>
  <si>
    <t>Coordenadas para linea de alimentación</t>
  </si>
  <si>
    <t>x_D / (R + 1)</t>
  </si>
  <si>
    <t>B</t>
  </si>
  <si>
    <t>2-pentanol</t>
  </si>
  <si>
    <t>1,,2,4-trimetilbenceno</t>
  </si>
  <si>
    <t>V / L</t>
  </si>
  <si>
    <t>R_min</t>
  </si>
  <si>
    <t>Minimo</t>
  </si>
  <si>
    <t>1.5 * Minimo</t>
  </si>
  <si>
    <t>Datos</t>
  </si>
  <si>
    <t>L</t>
  </si>
  <si>
    <t>L vaporizados por mol de F</t>
  </si>
  <si>
    <t>L vaporizados</t>
  </si>
  <si>
    <t>c)</t>
  </si>
  <si>
    <t>d)</t>
  </si>
  <si>
    <t>Diagrama entalpía-composición</t>
  </si>
  <si>
    <t>Etapa</t>
  </si>
  <si>
    <t>Fracción molar</t>
  </si>
  <si>
    <t>Entalpía cal/gmol</t>
  </si>
  <si>
    <t>H</t>
  </si>
  <si>
    <t xml:space="preserve">Líquido Sat. </t>
  </si>
  <si>
    <t xml:space="preserve">Vapor Sat. </t>
  </si>
  <si>
    <t>eq</t>
  </si>
  <si>
    <t>Q'_min</t>
  </si>
  <si>
    <t>Q''_min</t>
  </si>
  <si>
    <t>x_D_V</t>
  </si>
  <si>
    <t>Q'</t>
  </si>
  <si>
    <t>Q''</t>
  </si>
  <si>
    <t>Acido acetico</t>
  </si>
  <si>
    <t>Agua</t>
  </si>
  <si>
    <t>ácido acético</t>
  </si>
  <si>
    <t>V</t>
  </si>
  <si>
    <t>V'</t>
  </si>
  <si>
    <t>L'</t>
  </si>
  <si>
    <t>Datos equilibrio</t>
  </si>
  <si>
    <t>1.25 min</t>
  </si>
  <si>
    <t>X</t>
  </si>
  <si>
    <t>Y</t>
  </si>
  <si>
    <t>etapas</t>
  </si>
  <si>
    <t>supuesta</t>
  </si>
  <si>
    <t>P (kPa)</t>
  </si>
  <si>
    <t>P (Torr)</t>
  </si>
  <si>
    <t>Top</t>
  </si>
  <si>
    <t>Bottom</t>
  </si>
  <si>
    <t>x_op</t>
  </si>
  <si>
    <t>x_0</t>
  </si>
  <si>
    <t>y_1</t>
  </si>
  <si>
    <t>X_0</t>
  </si>
  <si>
    <t>X_N</t>
  </si>
  <si>
    <t>x_N</t>
  </si>
  <si>
    <t>Y_1</t>
  </si>
  <si>
    <t>Y_N+1</t>
  </si>
  <si>
    <t>x_eq</t>
  </si>
  <si>
    <t>Y = 0.57 X / (1 + 0.43X)</t>
  </si>
  <si>
    <t>Straight</t>
  </si>
  <si>
    <t>Line</t>
  </si>
  <si>
    <t>(L' / V')</t>
  </si>
  <si>
    <t>y_N+1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</si>
</sst>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2" borderId="4" xfId="0" applyFill="1" applyBorder="1"/>
    <xf numFmtId="0" fontId="1" fillId="0" borderId="4" xfId="0" applyFont="1" applyBorder="1"/>
    <xf numFmtId="0" fontId="0" fillId="2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0" xfId="0" applyFill="1" applyBorder="1"/>
    <xf numFmtId="0" fontId="0" fillId="4" borderId="0" xfId="0" applyFill="1" applyBorder="1"/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4" borderId="0" xfId="0" applyFill="1" applyBorder="1" applyAlignment="1">
      <alignment horizontal="center"/>
    </xf>
    <xf numFmtId="2" fontId="0" fillId="5" borderId="0" xfId="0" applyNumberFormat="1" applyFill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/>
    <xf numFmtId="0" fontId="0" fillId="5" borderId="0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/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" fillId="5" borderId="6" xfId="0" applyFont="1" applyFill="1" applyBorder="1"/>
    <xf numFmtId="0" fontId="0" fillId="7" borderId="4" xfId="0" applyFill="1" applyBorder="1"/>
    <xf numFmtId="0" fontId="0" fillId="0" borderId="4" xfId="0" applyBorder="1"/>
    <xf numFmtId="0" fontId="0" fillId="4" borderId="4" xfId="0" applyFill="1" applyBorder="1"/>
    <xf numFmtId="0" fontId="0" fillId="7" borderId="4" xfId="0" applyFill="1" applyBorder="1" applyAlignment="1">
      <alignment horizontal="center"/>
    </xf>
    <xf numFmtId="0" fontId="0" fillId="7" borderId="16" xfId="0" applyFill="1" applyBorder="1"/>
    <xf numFmtId="0" fontId="0" fillId="0" borderId="16" xfId="0" applyBorder="1"/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Equilibrio EVL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1'!$J$3:$J$12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'Problema 1'!$K$3:$K$12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0.68</c:v>
                </c:pt>
                <c:pt idx="5">
                  <c:v>0.72</c:v>
                </c:pt>
                <c:pt idx="6">
                  <c:v>0.78</c:v>
                </c:pt>
                <c:pt idx="7">
                  <c:v>0.85</c:v>
                </c:pt>
                <c:pt idx="8">
                  <c:v>0.95099999999999996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B-9F48-BFFD-FE207EE565F9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EB-9F48-BFFD-FE207EE565F9}"/>
            </c:ext>
          </c:extLst>
        </c:ser>
        <c:ser>
          <c:idx val="2"/>
          <c:order val="2"/>
          <c:tx>
            <c:v>Ecuación Enriquecimiento Minimo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1'!$M$17:$M$18</c:f>
              <c:numCache>
                <c:formatCode>General</c:formatCode>
                <c:ptCount val="2"/>
                <c:pt idx="0">
                  <c:v>0.9</c:v>
                </c:pt>
                <c:pt idx="1">
                  <c:v>0</c:v>
                </c:pt>
              </c:numCache>
            </c:numRef>
          </c:xVal>
          <c:yVal>
            <c:numRef>
              <c:f>'Problema 1'!$N$17:$N$18</c:f>
              <c:numCache>
                <c:formatCode>General</c:formatCode>
                <c:ptCount val="2"/>
                <c:pt idx="0">
                  <c:v>0.9</c:v>
                </c:pt>
                <c:pt idx="1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B-9F48-BFFD-FE207EE565F9}"/>
            </c:ext>
          </c:extLst>
        </c:ser>
        <c:ser>
          <c:idx val="3"/>
          <c:order val="3"/>
          <c:tx>
            <c:v>Equación Enriquecimiento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1'!$M$21:$M$22</c:f>
              <c:numCache>
                <c:formatCode>General</c:formatCode>
                <c:ptCount val="2"/>
                <c:pt idx="0">
                  <c:v>0.9</c:v>
                </c:pt>
                <c:pt idx="1">
                  <c:v>0</c:v>
                </c:pt>
              </c:numCache>
            </c:numRef>
          </c:xVal>
          <c:yVal>
            <c:numRef>
              <c:f>'Problema 1'!$N$21:$N$22</c:f>
              <c:numCache>
                <c:formatCode>General</c:formatCode>
                <c:ptCount val="2"/>
                <c:pt idx="0">
                  <c:v>0.9</c:v>
                </c:pt>
                <c:pt idx="1">
                  <c:v>0.23773584905660378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B-9F48-BFFD-FE207EE565F9}"/>
            </c:ext>
          </c:extLst>
        </c:ser>
        <c:ser>
          <c:idx val="4"/>
          <c:order val="4"/>
          <c:tx>
            <c:v>Equación Alimentación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'Problema 1'!$Q$23:$Q$24</c:f>
              <c:numCache>
                <c:formatCode>General</c:formatCode>
                <c:ptCount val="2"/>
                <c:pt idx="0">
                  <c:v>0.4</c:v>
                </c:pt>
                <c:pt idx="1">
                  <c:v>0</c:v>
                </c:pt>
              </c:numCache>
            </c:numRef>
          </c:xVal>
          <c:yVal>
            <c:numRef>
              <c:f>'Problema 1'!$R$23:$R$24</c:f>
              <c:numCache>
                <c:formatCode>General</c:formatCode>
                <c:ptCount val="2"/>
                <c:pt idx="0">
                  <c:v>0.4</c:v>
                </c:pt>
                <c:pt idx="1">
                  <c:v>0.33333333333333337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B-9F48-BFFD-FE207EE565F9}"/>
            </c:ext>
          </c:extLst>
        </c:ser>
        <c:ser>
          <c:idx val="5"/>
          <c:order val="5"/>
          <c:tx>
            <c:v>Equación Agotamiento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'Problema 1'!$U$10:$U$11</c:f>
              <c:numCache>
                <c:formatCode>General</c:formatCode>
                <c:ptCount val="2"/>
                <c:pt idx="0">
                  <c:v>0.05</c:v>
                </c:pt>
                <c:pt idx="1">
                  <c:v>0.17</c:v>
                </c:pt>
              </c:numCache>
            </c:numRef>
          </c:xVal>
          <c:yVal>
            <c:numRef>
              <c:f>'Problema 1'!$V$10:$V$11</c:f>
              <c:numCache>
                <c:formatCode>General</c:formatCode>
                <c:ptCount val="2"/>
                <c:pt idx="0">
                  <c:v>0.05</c:v>
                </c:pt>
                <c:pt idx="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B-9F48-BFFD-FE207EE565F9}"/>
            </c:ext>
          </c:extLst>
        </c:ser>
        <c:ser>
          <c:idx val="6"/>
          <c:order val="6"/>
          <c:tx>
            <c:v>Pasos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'Problema 1'!$AH$2:$AH$29</c:f>
              <c:numCache>
                <c:formatCode>General</c:formatCode>
                <c:ptCount val="28"/>
                <c:pt idx="0">
                  <c:v>0.9</c:v>
                </c:pt>
                <c:pt idx="1">
                  <c:v>0.875</c:v>
                </c:pt>
                <c:pt idx="2">
                  <c:v>0.875</c:v>
                </c:pt>
                <c:pt idx="3">
                  <c:v>0.84699999999999998</c:v>
                </c:pt>
                <c:pt idx="4">
                  <c:v>0.84699999999999998</c:v>
                </c:pt>
                <c:pt idx="5">
                  <c:v>0.81</c:v>
                </c:pt>
                <c:pt idx="6">
                  <c:v>0.81</c:v>
                </c:pt>
                <c:pt idx="7">
                  <c:v>0.75</c:v>
                </c:pt>
                <c:pt idx="8">
                  <c:v>0.75</c:v>
                </c:pt>
                <c:pt idx="9">
                  <c:v>0.63</c:v>
                </c:pt>
                <c:pt idx="10">
                  <c:v>0.63</c:v>
                </c:pt>
                <c:pt idx="11">
                  <c:v>0.35399999999999998</c:v>
                </c:pt>
                <c:pt idx="12">
                  <c:v>0.35399999999999998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1.2999999999999999E-2</c:v>
                </c:pt>
              </c:numCache>
            </c:numRef>
          </c:xVal>
          <c:yVal>
            <c:numRef>
              <c:f>'Problema 1'!$AI$2:$AI$29</c:f>
              <c:numCache>
                <c:formatCode>General</c:formatCode>
                <c:ptCount val="28"/>
                <c:pt idx="0">
                  <c:v>0.9</c:v>
                </c:pt>
                <c:pt idx="1">
                  <c:v>0.9</c:v>
                </c:pt>
                <c:pt idx="2">
                  <c:v>0.8816037735849056</c:v>
                </c:pt>
                <c:pt idx="3">
                  <c:v>0.8816037735849056</c:v>
                </c:pt>
                <c:pt idx="4">
                  <c:v>0.86099999999999999</c:v>
                </c:pt>
                <c:pt idx="5">
                  <c:v>0.86099999999999999</c:v>
                </c:pt>
                <c:pt idx="6">
                  <c:v>0.83377358490566045</c:v>
                </c:pt>
                <c:pt idx="7">
                  <c:v>0.83377358490566045</c:v>
                </c:pt>
                <c:pt idx="8">
                  <c:v>0.78962264150943384</c:v>
                </c:pt>
                <c:pt idx="9">
                  <c:v>0.78962264150943384</c:v>
                </c:pt>
                <c:pt idx="10">
                  <c:v>0.70132075471698108</c:v>
                </c:pt>
                <c:pt idx="11">
                  <c:v>0.70132075471698108</c:v>
                </c:pt>
                <c:pt idx="12">
                  <c:v>0.49822641509433963</c:v>
                </c:pt>
                <c:pt idx="13">
                  <c:v>0.49822641509433963</c:v>
                </c:pt>
                <c:pt idx="14">
                  <c:v>0.11458333333333331</c:v>
                </c:pt>
                <c:pt idx="15">
                  <c:v>0.11458333333333331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EB-9F48-BFFD-FE207EE565F9}"/>
            </c:ext>
          </c:extLst>
        </c:ser>
        <c:ser>
          <c:idx val="7"/>
          <c:order val="7"/>
          <c:tx>
            <c:v>Composición Enriquecimiento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'Problema 1'!$H$9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'Problema 1'!$H$9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EB-9F48-BFFD-FE207EE565F9}"/>
            </c:ext>
          </c:extLst>
        </c:ser>
        <c:ser>
          <c:idx val="8"/>
          <c:order val="8"/>
          <c:tx>
            <c:v>Composición Alimentación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'Problema 1'!$B$13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'Problema 1'!$B$13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EB-9F48-BFFD-FE207EE565F9}"/>
            </c:ext>
          </c:extLst>
        </c:ser>
        <c:ser>
          <c:idx val="9"/>
          <c:order val="9"/>
          <c:tx>
            <c:v>Composición Agotamiento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'Problema 1'!$H$24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'Problema 1'!$H$24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EB-9F48-BFFD-FE207EE5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58623"/>
        <c:axId val="1951861263"/>
      </c:scatterChart>
      <c:valAx>
        <c:axId val="1951858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1263"/>
        <c:crosses val="autoZero"/>
        <c:crossBetween val="midCat"/>
        <c:majorUnit val="5.000000000000001E-2"/>
      </c:valAx>
      <c:valAx>
        <c:axId val="1951861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5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Vapor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2'!$L$5:$L$19</c:f>
              <c:numCache>
                <c:formatCode>General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'Problema 2'!$N$5:$N$18</c:f>
              <c:numCache>
                <c:formatCode>General</c:formatCode>
                <c:ptCount val="14"/>
                <c:pt idx="0">
                  <c:v>361.8</c:v>
                </c:pt>
                <c:pt idx="1">
                  <c:v>368.20000000000005</c:v>
                </c:pt>
                <c:pt idx="2">
                  <c:v>374.6</c:v>
                </c:pt>
                <c:pt idx="3">
                  <c:v>395.3</c:v>
                </c:pt>
                <c:pt idx="4">
                  <c:v>423.7</c:v>
                </c:pt>
                <c:pt idx="5">
                  <c:v>461.4</c:v>
                </c:pt>
                <c:pt idx="6">
                  <c:v>510.5</c:v>
                </c:pt>
                <c:pt idx="7">
                  <c:v>541.95000000000005</c:v>
                </c:pt>
                <c:pt idx="8">
                  <c:v>573.4</c:v>
                </c:pt>
                <c:pt idx="9">
                  <c:v>614.70000000000005</c:v>
                </c:pt>
                <c:pt idx="10">
                  <c:v>656</c:v>
                </c:pt>
                <c:pt idx="11">
                  <c:v>767.3</c:v>
                </c:pt>
                <c:pt idx="12">
                  <c:v>921.6</c:v>
                </c:pt>
                <c:pt idx="13">
                  <c:v>1150.4000000000001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E-564C-B1FD-BBAD06C9DCA4}"/>
            </c:ext>
          </c:extLst>
        </c:ser>
        <c:ser>
          <c:idx val="1"/>
          <c:order val="1"/>
          <c:tx>
            <c:v>Liquido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2'!$L$5:$L$18</c:f>
              <c:numCache>
                <c:formatCode>General</c:formatCode>
                <c:ptCount val="14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0.45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'Problema 2'!$M$5:$M$18</c:f>
              <c:numCache>
                <c:formatCode>General</c:formatCode>
                <c:ptCount val="14"/>
                <c:pt idx="0">
                  <c:v>187.5</c:v>
                </c:pt>
                <c:pt idx="1">
                  <c:v>186.9</c:v>
                </c:pt>
                <c:pt idx="2">
                  <c:v>186.5</c:v>
                </c:pt>
                <c:pt idx="3">
                  <c:v>185.2</c:v>
                </c:pt>
                <c:pt idx="4">
                  <c:v>183.8</c:v>
                </c:pt>
                <c:pt idx="5">
                  <c:v>182.9</c:v>
                </c:pt>
                <c:pt idx="6">
                  <c:v>182.4</c:v>
                </c:pt>
                <c:pt idx="7">
                  <c:v>182.3</c:v>
                </c:pt>
                <c:pt idx="8">
                  <c:v>182</c:v>
                </c:pt>
                <c:pt idx="9">
                  <c:v>181.9</c:v>
                </c:pt>
                <c:pt idx="10">
                  <c:v>181.7</c:v>
                </c:pt>
                <c:pt idx="11">
                  <c:v>181.6</c:v>
                </c:pt>
                <c:pt idx="12">
                  <c:v>181.5</c:v>
                </c:pt>
                <c:pt idx="13">
                  <c:v>180.1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E-564C-B1FD-BBAD06C9DCA4}"/>
            </c:ext>
          </c:extLst>
        </c:ser>
        <c:ser>
          <c:idx val="2"/>
          <c:order val="2"/>
          <c:tx>
            <c:v>Global Minima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2'!$M$22:$M$23</c:f>
              <c:numCache>
                <c:formatCode>General</c:formatCode>
                <c:ptCount val="2"/>
                <c:pt idx="0">
                  <c:v>0.95</c:v>
                </c:pt>
                <c:pt idx="1">
                  <c:v>0.05</c:v>
                </c:pt>
              </c:numCache>
            </c:numRef>
          </c:xVal>
          <c:yVal>
            <c:numRef>
              <c:f>'Problema 2'!$N$22:$N$23</c:f>
              <c:numCache>
                <c:formatCode>General</c:formatCode>
                <c:ptCount val="2"/>
                <c:pt idx="0">
                  <c:v>962.8499999999998</c:v>
                </c:pt>
                <c:pt idx="1">
                  <c:v>-598.04999999999995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E-564C-B1FD-BBAD06C9DCA4}"/>
            </c:ext>
          </c:extLst>
        </c:ser>
        <c:ser>
          <c:idx val="3"/>
          <c:order val="3"/>
          <c:tx>
            <c:v>Global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'Problema 2'!$M$31:$M$32</c:f>
              <c:numCache>
                <c:formatCode>General</c:formatCode>
                <c:ptCount val="2"/>
                <c:pt idx="0">
                  <c:v>0.95</c:v>
                </c:pt>
                <c:pt idx="1">
                  <c:v>0.05</c:v>
                </c:pt>
              </c:numCache>
            </c:numRef>
          </c:xVal>
          <c:yVal>
            <c:numRef>
              <c:f>'Problema 2'!$N$31:$N$32</c:f>
              <c:numCache>
                <c:formatCode>General</c:formatCode>
                <c:ptCount val="2"/>
                <c:pt idx="0">
                  <c:v>1260.1749999999997</c:v>
                </c:pt>
                <c:pt idx="1">
                  <c:v>-895.37499999999955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E-564C-B1FD-BBAD06C9DCA4}"/>
            </c:ext>
          </c:extLst>
        </c:ser>
        <c:ser>
          <c:idx val="4"/>
          <c:order val="4"/>
          <c:tx>
            <c:v>"Primer linea"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'Problema 2'!$M$29:$M$30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xVal>
          <c:yVal>
            <c:numRef>
              <c:f>'Problema 2'!$N$29:$N$30</c:f>
              <c:numCache>
                <c:formatCode>General</c:formatCode>
                <c:ptCount val="2"/>
                <c:pt idx="0">
                  <c:v>186.9</c:v>
                </c:pt>
                <c:pt idx="1">
                  <c:v>368.20000000000005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8E-564C-B1FD-BBAD06C9DCA4}"/>
            </c:ext>
          </c:extLst>
        </c:ser>
        <c:ser>
          <c:idx val="5"/>
          <c:order val="5"/>
          <c:tx>
            <c:v>Primer Linea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'Problema 2'!$M$29:$M$31</c:f>
              <c:numCache>
                <c:formatCode>General</c:formatCode>
                <c:ptCount val="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</c:numCache>
            </c:numRef>
          </c:xVal>
          <c:yVal>
            <c:numRef>
              <c:f>'Problema 2'!$N$29:$N$31</c:f>
              <c:numCache>
                <c:formatCode>General</c:formatCode>
                <c:ptCount val="3"/>
                <c:pt idx="0">
                  <c:v>186.9</c:v>
                </c:pt>
                <c:pt idx="1">
                  <c:v>368.20000000000005</c:v>
                </c:pt>
                <c:pt idx="2">
                  <c:v>1260.1749999999997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8E-564C-B1FD-BBAD06C9DCA4}"/>
            </c:ext>
          </c:extLst>
        </c:ser>
        <c:ser>
          <c:idx val="6"/>
          <c:order val="6"/>
          <c:tx>
            <c:v>Pasos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'Problema 2'!$AA$3:$AA$42</c:f>
              <c:numCache>
                <c:formatCode>General</c:formatCode>
                <c:ptCount val="40"/>
                <c:pt idx="0">
                  <c:v>0.95</c:v>
                </c:pt>
                <c:pt idx="1">
                  <c:v>0.9</c:v>
                </c:pt>
                <c:pt idx="2">
                  <c:v>0.95</c:v>
                </c:pt>
                <c:pt idx="3">
                  <c:v>0.90800000000000003</c:v>
                </c:pt>
                <c:pt idx="4">
                  <c:v>0.84499999999999997</c:v>
                </c:pt>
                <c:pt idx="5">
                  <c:v>0.95</c:v>
                </c:pt>
                <c:pt idx="6">
                  <c:v>0.86499999999999999</c:v>
                </c:pt>
                <c:pt idx="7">
                  <c:v>0.78</c:v>
                </c:pt>
                <c:pt idx="8">
                  <c:v>0.95</c:v>
                </c:pt>
                <c:pt idx="9">
                  <c:v>0.81200000000000006</c:v>
                </c:pt>
                <c:pt idx="10">
                  <c:v>0.71</c:v>
                </c:pt>
                <c:pt idx="11">
                  <c:v>0.95</c:v>
                </c:pt>
                <c:pt idx="12">
                  <c:v>0.76</c:v>
                </c:pt>
                <c:pt idx="13">
                  <c:v>0.65</c:v>
                </c:pt>
                <c:pt idx="14">
                  <c:v>0.95</c:v>
                </c:pt>
                <c:pt idx="15">
                  <c:v>0.71499999999999997</c:v>
                </c:pt>
                <c:pt idx="16">
                  <c:v>0.58499999999999996</c:v>
                </c:pt>
                <c:pt idx="17">
                  <c:v>0.95</c:v>
                </c:pt>
                <c:pt idx="18">
                  <c:v>0.66900000000000004</c:v>
                </c:pt>
                <c:pt idx="19">
                  <c:v>0.53</c:v>
                </c:pt>
                <c:pt idx="20">
                  <c:v>0.95</c:v>
                </c:pt>
                <c:pt idx="21">
                  <c:v>0.63500000000000001</c:v>
                </c:pt>
                <c:pt idx="22">
                  <c:v>0.48</c:v>
                </c:pt>
                <c:pt idx="23">
                  <c:v>0.05</c:v>
                </c:pt>
                <c:pt idx="24">
                  <c:v>0.59</c:v>
                </c:pt>
                <c:pt idx="25">
                  <c:v>0.44</c:v>
                </c:pt>
                <c:pt idx="26">
                  <c:v>0.05</c:v>
                </c:pt>
                <c:pt idx="27">
                  <c:v>0.55000000000000004</c:v>
                </c:pt>
              </c:numCache>
            </c:numRef>
          </c:xVal>
          <c:yVal>
            <c:numRef>
              <c:f>'Problema 2'!$AB$3:$AB$42</c:f>
              <c:numCache>
                <c:formatCode>General</c:formatCode>
                <c:ptCount val="40"/>
                <c:pt idx="0">
                  <c:v>368.20000000000005</c:v>
                </c:pt>
                <c:pt idx="1">
                  <c:v>183.8</c:v>
                </c:pt>
                <c:pt idx="2">
                  <c:v>1260.1749999999997</c:v>
                </c:pt>
                <c:pt idx="3">
                  <c:v>373.57600000000002</c:v>
                </c:pt>
                <c:pt idx="4">
                  <c:v>185.785</c:v>
                </c:pt>
                <c:pt idx="5">
                  <c:v>1260.1749999999997</c:v>
                </c:pt>
                <c:pt idx="6">
                  <c:v>381.84500000000003</c:v>
                </c:pt>
                <c:pt idx="7">
                  <c:v>184.92</c:v>
                </c:pt>
                <c:pt idx="8">
                  <c:v>1260.1749999999997</c:v>
                </c:pt>
                <c:pt idx="9">
                  <c:v>392.81600000000003</c:v>
                </c:pt>
                <c:pt idx="10">
                  <c:v>183.94</c:v>
                </c:pt>
                <c:pt idx="11">
                  <c:v>1260.1749999999997</c:v>
                </c:pt>
                <c:pt idx="12">
                  <c:v>406.66</c:v>
                </c:pt>
                <c:pt idx="13">
                  <c:v>183.35000000000002</c:v>
                </c:pt>
                <c:pt idx="14">
                  <c:v>1260.1749999999997</c:v>
                </c:pt>
                <c:pt idx="15">
                  <c:v>419.44</c:v>
                </c:pt>
                <c:pt idx="16">
                  <c:v>182.82500000000002</c:v>
                </c:pt>
                <c:pt idx="17">
                  <c:v>1260.1749999999997</c:v>
                </c:pt>
                <c:pt idx="18">
                  <c:v>435.38699999999994</c:v>
                </c:pt>
                <c:pt idx="19">
                  <c:v>182.55</c:v>
                </c:pt>
                <c:pt idx="20">
                  <c:v>1260.1749999999997</c:v>
                </c:pt>
                <c:pt idx="21">
                  <c:v>448.20499999999998</c:v>
                </c:pt>
                <c:pt idx="22">
                  <c:v>182.32</c:v>
                </c:pt>
                <c:pt idx="23">
                  <c:v>-895.37499999999955</c:v>
                </c:pt>
                <c:pt idx="24">
                  <c:v>466.31</c:v>
                </c:pt>
                <c:pt idx="25">
                  <c:v>182.16</c:v>
                </c:pt>
                <c:pt idx="26">
                  <c:v>-895.37499999999955</c:v>
                </c:pt>
                <c:pt idx="27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8E-564C-B1FD-BBAD06C9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5071"/>
        <c:axId val="1885025823"/>
      </c:scatterChart>
      <c:valAx>
        <c:axId val="19496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25823"/>
        <c:crosses val="autoZero"/>
        <c:crossBetween val="midCat"/>
        <c:majorUnit val="5.000000000000001E-2"/>
      </c:valAx>
      <c:valAx>
        <c:axId val="18850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2'!$J$3:$J$12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0.17499999999999999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'Problema 2'!$K$3:$K$12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0.8</c:v>
                </c:pt>
                <c:pt idx="7">
                  <c:v>0.88</c:v>
                </c:pt>
                <c:pt idx="8">
                  <c:v>0.95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4-8349-A775-3445CB448D88}"/>
            </c:ext>
          </c:extLst>
        </c:ser>
        <c:ser>
          <c:idx val="1"/>
          <c:order val="1"/>
          <c:tx>
            <c:v>Punto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2'!$P$23</c:f>
              <c:numCache>
                <c:formatCode>General</c:formatCode>
                <c:ptCount val="1"/>
                <c:pt idx="0">
                  <c:v>0.44</c:v>
                </c:pt>
              </c:numCache>
            </c:numRef>
          </c:xVal>
          <c:yVal>
            <c:numRef>
              <c:f>'Problema 2'!$Q$23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4-8349-A775-3445CB44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180975"/>
        <c:axId val="1950333887"/>
      </c:scatterChart>
      <c:valAx>
        <c:axId val="19651809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33887"/>
        <c:crosses val="autoZero"/>
        <c:crossBetween val="midCat"/>
      </c:valAx>
      <c:valAx>
        <c:axId val="195033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8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EA4BD6-7A2F-EF44-AA28-F34B69EC033B}"/>
            </a:ext>
          </a:extLst>
        </xdr:cNvPr>
        <xdr:cNvGrpSpPr/>
      </xdr:nvGrpSpPr>
      <xdr:grpSpPr>
        <a:xfrm>
          <a:off x="3136900" y="16637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3D01D0-7A61-D549-B133-A78177BAB6B7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E648BD8C-8EFB-C54A-9774-71DBB7210D01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E9626241-8463-E245-90DE-B53930C6DC9C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34E58CE-6F42-C14A-A130-EB91FC3BC637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B9C21D0-0357-414F-A1C0-1E54D31D6C94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6E4EFBB-69DE-C94A-9A43-11CAAE203D9C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80FD20B-6FFD-2F42-9B3D-F663DDF87C79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EF23E7F6-3457-F949-BE0A-ACEB190A2E66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1B0A6B1B-F3C6-7648-8CE1-4F21507AB75A}"/>
            </a:ext>
          </a:extLst>
        </xdr:cNvPr>
        <xdr:cNvCxnSpPr>
          <a:stCxn id="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979FE9F-4CF2-5F47-AB01-7B5A132299FD}"/>
            </a:ext>
          </a:extLst>
        </xdr:cNvPr>
        <xdr:cNvCxnSpPr>
          <a:stCxn id="5" idx="4"/>
          <a:endCxn id="13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2A3D552-B798-EE49-8632-3E7ED39A04BE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523DD881-47A7-3B46-9726-E7DFD4A7BE60}"/>
            </a:ext>
          </a:extLst>
        </xdr:cNvPr>
        <xdr:cNvCxnSpPr>
          <a:stCxn id="13" idx="0"/>
          <a:endCxn id="5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55838DDF-6F76-7140-BE8A-DA81005382EA}"/>
            </a:ext>
          </a:extLst>
        </xdr:cNvPr>
        <xdr:cNvCxnSpPr>
          <a:stCxn id="13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DE8CA09-160B-6640-A426-CFBBA4A3C1E2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E91783-0366-FD47-91A8-0B6B6272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44D7776-CDB2-AD4C-8274-65280070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045D892-F26B-8645-AACF-32A11AE1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4ABE99A-2865-8941-8B94-B805601B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482600</xdr:colOff>
      <xdr:row>1</xdr:row>
      <xdr:rowOff>63500</xdr:rowOff>
    </xdr:from>
    <xdr:to>
      <xdr:col>31</xdr:col>
      <xdr:colOff>444500</xdr:colOff>
      <xdr:row>29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EC6057-F2B5-D349-AE39-EBE2F0862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38100</xdr:colOff>
      <xdr:row>22</xdr:row>
      <xdr:rowOff>190500</xdr:rowOff>
    </xdr:from>
    <xdr:to>
      <xdr:col>11</xdr:col>
      <xdr:colOff>419100</xdr:colOff>
      <xdr:row>48</xdr:row>
      <xdr:rowOff>63500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7A444A-5915-8142-9BF1-262C82C76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5000" y="4660900"/>
          <a:ext cx="69850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EC654877-E854-F540-97C5-262BAED984B7}"/>
            </a:ext>
          </a:extLst>
        </xdr:cNvPr>
        <xdr:cNvGrpSpPr/>
      </xdr:nvGrpSpPr>
      <xdr:grpSpPr>
        <a:xfrm>
          <a:off x="2467841" y="1683327"/>
          <a:ext cx="873414" cy="3119582"/>
          <a:chOff x="3187700" y="1168400"/>
          <a:chExt cx="914400" cy="3136900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376C62DC-F2A2-284D-A78F-84BAC5799A3F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</a:t>
            </a:r>
            <a:r>
              <a:rPr lang="en-US" sz="1100" baseline="0">
                <a:solidFill>
                  <a:sysClr val="windowText" lastClr="000000"/>
                </a:solidFill>
              </a:rPr>
              <a:t> atm</a:t>
            </a:r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4B4F19FA-FF58-1B45-8A16-8678095BB007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7DE387B9-B832-5B4E-B918-80D26CF12F44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42985D6-30AA-5447-A7A1-4CD444495789}"/>
            </a:ext>
          </a:extLst>
        </xdr:cNvPr>
        <xdr:cNvCxnSpPr>
          <a:endCxn id="42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079DF96C-FE7D-F047-BEEC-26355D5AA523}"/>
            </a:ext>
          </a:extLst>
        </xdr:cNvPr>
        <xdr:cNvCxnSpPr>
          <a:stCxn id="43" idx="0"/>
          <a:endCxn id="47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1A4E773B-D135-BD45-8D7F-CD6711EE588E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1D4E4D9-11B5-0147-8FEE-C8DC1FC7C5BD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49" name="Elbow Connector 48">
          <a:extLst>
            <a:ext uri="{FF2B5EF4-FFF2-40B4-BE49-F238E27FC236}">
              <a16:creationId xmlns:a16="http://schemas.microsoft.com/office/drawing/2014/main" id="{F8B5220B-C351-9A41-8700-D96088074355}"/>
            </a:ext>
          </a:extLst>
        </xdr:cNvPr>
        <xdr:cNvCxnSpPr>
          <a:stCxn id="47" idx="4"/>
          <a:endCxn id="43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50" name="Elbow Connector 49">
          <a:extLst>
            <a:ext uri="{FF2B5EF4-FFF2-40B4-BE49-F238E27FC236}">
              <a16:creationId xmlns:a16="http://schemas.microsoft.com/office/drawing/2014/main" id="{7786DBDD-A672-2243-87B4-7FFDF650E1D1}"/>
            </a:ext>
          </a:extLst>
        </xdr:cNvPr>
        <xdr:cNvCxnSpPr>
          <a:stCxn id="47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2FEE25C0-F082-794A-BACC-F90C1DF5719A}"/>
            </a:ext>
          </a:extLst>
        </xdr:cNvPr>
        <xdr:cNvCxnSpPr>
          <a:stCxn id="44" idx="4"/>
          <a:endCxn id="52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6D64310-C421-0F4A-9049-82CBAEB429A9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41F22C12-F895-F24A-8E58-0B1722849A82}"/>
            </a:ext>
          </a:extLst>
        </xdr:cNvPr>
        <xdr:cNvCxnSpPr>
          <a:stCxn id="52" idx="0"/>
          <a:endCxn id="44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2C80B99B-6CCC-0844-93CA-3DD665517CDF}"/>
            </a:ext>
          </a:extLst>
        </xdr:cNvPr>
        <xdr:cNvCxnSpPr>
          <a:stCxn id="52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F09894-59C2-2340-9D44-F3F4844A68DD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752186</xdr:colOff>
      <xdr:row>5</xdr:row>
      <xdr:rowOff>97560</xdr:rowOff>
    </xdr:from>
    <xdr:to>
      <xdr:col>19</xdr:col>
      <xdr:colOff>187613</xdr:colOff>
      <xdr:row>35</xdr:row>
      <xdr:rowOff>57728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1F8ABA1-1930-7142-920B-CDA663C66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711199</xdr:colOff>
      <xdr:row>39</xdr:row>
      <xdr:rowOff>4040</xdr:rowOff>
    </xdr:from>
    <xdr:to>
      <xdr:col>16</xdr:col>
      <xdr:colOff>142585</xdr:colOff>
      <xdr:row>52</xdr:row>
      <xdr:rowOff>54840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F7FCEF5-2F49-6E4F-9E3D-D85B101C4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23</xdr:row>
      <xdr:rowOff>165100</xdr:rowOff>
    </xdr:from>
    <xdr:to>
      <xdr:col>9</xdr:col>
      <xdr:colOff>673100</xdr:colOff>
      <xdr:row>35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9B9148-A72A-B141-9C25-0E5404F9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" y="4838700"/>
          <a:ext cx="6946900" cy="2336800"/>
        </a:xfrm>
        <a:prstGeom prst="rect">
          <a:avLst/>
        </a:prstGeom>
      </xdr:spPr>
    </xdr:pic>
    <xdr:clientData/>
  </xdr:twoCellAnchor>
  <xdr:twoCellAnchor>
    <xdr:from>
      <xdr:col>3</xdr:col>
      <xdr:colOff>12700</xdr:colOff>
      <xdr:row>5</xdr:row>
      <xdr:rowOff>12700</xdr:rowOff>
    </xdr:from>
    <xdr:to>
      <xdr:col>4</xdr:col>
      <xdr:colOff>25400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B6909B3-C184-3A4A-A522-74BC6DDCAB8D}"/>
            </a:ext>
          </a:extLst>
        </xdr:cNvPr>
        <xdr:cNvSpPr/>
      </xdr:nvSpPr>
      <xdr:spPr>
        <a:xfrm>
          <a:off x="2489200" y="1028700"/>
          <a:ext cx="838200" cy="181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228600</xdr:colOff>
      <xdr:row>3</xdr:row>
      <xdr:rowOff>0</xdr:rowOff>
    </xdr:from>
    <xdr:to>
      <xdr:col>3</xdr:col>
      <xdr:colOff>228600</xdr:colOff>
      <xdr:row>5</xdr:row>
      <xdr:rowOff>5080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90E643-0917-4642-A095-7D232124C87E}"/>
            </a:ext>
          </a:extLst>
        </xdr:cNvPr>
        <xdr:cNvCxnSpPr/>
      </xdr:nvCxnSpPr>
      <xdr:spPr>
        <a:xfrm>
          <a:off x="2705100" y="609600"/>
          <a:ext cx="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215900</xdr:colOff>
      <xdr:row>3</xdr:row>
      <xdr:rowOff>0</xdr:rowOff>
    </xdr:from>
    <xdr:to>
      <xdr:col>3</xdr:col>
      <xdr:colOff>228600</xdr:colOff>
      <xdr:row>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14D80B-10D2-C846-B563-FC626F6036D3}"/>
            </a:ext>
          </a:extLst>
        </xdr:cNvPr>
        <xdr:cNvCxnSpPr/>
      </xdr:nvCxnSpPr>
      <xdr:spPr>
        <a:xfrm flipH="1">
          <a:off x="1866900" y="609600"/>
          <a:ext cx="838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3</xdr:row>
      <xdr:rowOff>0</xdr:rowOff>
    </xdr:from>
    <xdr:to>
      <xdr:col>3</xdr:col>
      <xdr:colOff>622300</xdr:colOff>
      <xdr:row>5</xdr:row>
      <xdr:rowOff>41656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64A8B4-4A27-BB4F-BE49-85416B693662}"/>
            </a:ext>
          </a:extLst>
        </xdr:cNvPr>
        <xdr:cNvCxnSpPr/>
      </xdr:nvCxnSpPr>
      <xdr:spPr>
        <a:xfrm flipV="1">
          <a:off x="3098800" y="609600"/>
          <a:ext cx="0" cy="448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3</xdr:row>
      <xdr:rowOff>0</xdr:rowOff>
    </xdr:from>
    <xdr:to>
      <xdr:col>5</xdr:col>
      <xdr:colOff>25400</xdr:colOff>
      <xdr:row>3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56A44BF-92A6-B24B-B06F-937BE81BEF00}"/>
            </a:ext>
          </a:extLst>
        </xdr:cNvPr>
        <xdr:cNvCxnSpPr/>
      </xdr:nvCxnSpPr>
      <xdr:spPr>
        <a:xfrm>
          <a:off x="3098800" y="609600"/>
          <a:ext cx="1054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16</xdr:row>
      <xdr:rowOff>12700</xdr:rowOff>
    </xdr:from>
    <xdr:to>
      <xdr:col>3</xdr:col>
      <xdr:colOff>259080</xdr:colOff>
      <xdr:row>16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8B15CF7-479B-0B4A-AF09-CD716A5682D7}"/>
            </a:ext>
          </a:extLst>
        </xdr:cNvPr>
        <xdr:cNvCxnSpPr/>
      </xdr:nvCxnSpPr>
      <xdr:spPr>
        <a:xfrm flipH="1">
          <a:off x="1638300" y="326390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254000</xdr:colOff>
      <xdr:row>14</xdr:row>
      <xdr:rowOff>0</xdr:rowOff>
    </xdr:from>
    <xdr:to>
      <xdr:col>3</xdr:col>
      <xdr:colOff>254000</xdr:colOff>
      <xdr:row>16</xdr:row>
      <xdr:rowOff>5080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661F803-A955-6D46-AE77-9BE71DE01EDD}"/>
            </a:ext>
          </a:extLst>
        </xdr:cNvPr>
        <xdr:cNvCxnSpPr/>
      </xdr:nvCxnSpPr>
      <xdr:spPr>
        <a:xfrm flipV="1">
          <a:off x="2730500" y="284480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13</xdr:row>
      <xdr:rowOff>190500</xdr:rowOff>
    </xdr:from>
    <xdr:to>
      <xdr:col>3</xdr:col>
      <xdr:colOff>596900</xdr:colOff>
      <xdr:row>16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F83B79-D6AB-9A44-BA2A-13AB6930D377}"/>
            </a:ext>
          </a:extLst>
        </xdr:cNvPr>
        <xdr:cNvCxnSpPr/>
      </xdr:nvCxnSpPr>
      <xdr:spPr>
        <a:xfrm flipV="1">
          <a:off x="3073400" y="28321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16</xdr:row>
      <xdr:rowOff>0</xdr:rowOff>
    </xdr:from>
    <xdr:to>
      <xdr:col>5</xdr:col>
      <xdr:colOff>12700</xdr:colOff>
      <xdr:row>16</xdr:row>
      <xdr:rowOff>12700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4CC80F7-5CF2-BA44-B95B-1265CCD51F68}"/>
            </a:ext>
          </a:extLst>
        </xdr:cNvPr>
        <xdr:cNvCxnSpPr/>
      </xdr:nvCxnSpPr>
      <xdr:spPr>
        <a:xfrm flipH="1" flipV="1">
          <a:off x="3073400" y="3251200"/>
          <a:ext cx="1066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l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al/Documents/1988456_Absor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abe-thiele"/>
      <sheetName val="240121"/>
      <sheetName val="713"/>
      <sheetName val="Vapor Vivo"/>
      <sheetName val="732"/>
      <sheetName val="Ponchon-Savarit"/>
      <sheetName val="Tarea de Ponchon Savarit"/>
      <sheetName val="Absorción"/>
    </sheetNames>
    <sheetDataSet>
      <sheetData sheetId="0"/>
      <sheetData sheetId="1"/>
      <sheetData sheetId="2">
        <row r="2">
          <cell r="AH2">
            <v>0.97445134110561482</v>
          </cell>
          <cell r="AI2">
            <v>0.97445134110561482</v>
          </cell>
        </row>
        <row r="3">
          <cell r="J3">
            <v>0</v>
          </cell>
          <cell r="K3">
            <v>0</v>
          </cell>
          <cell r="AH3">
            <v>0.93410000000000004</v>
          </cell>
          <cell r="AI3">
            <v>0.97445134110561482</v>
          </cell>
        </row>
        <row r="4">
          <cell r="J4">
            <v>0.1</v>
          </cell>
          <cell r="K4">
            <v>0.21</v>
          </cell>
          <cell r="AH4">
            <v>0.93410000000000004</v>
          </cell>
          <cell r="AI4">
            <v>0.94520000000000004</v>
          </cell>
        </row>
        <row r="5">
          <cell r="J5">
            <v>0.2</v>
          </cell>
          <cell r="K5">
            <v>0.37</v>
          </cell>
          <cell r="AH5">
            <v>0.87119999999999997</v>
          </cell>
          <cell r="AI5">
            <v>0.94520000000000004</v>
          </cell>
        </row>
        <row r="6">
          <cell r="J6">
            <v>0.3</v>
          </cell>
          <cell r="K6">
            <v>0.51</v>
          </cell>
          <cell r="AH6">
            <v>0.87119999999999997</v>
          </cell>
          <cell r="AI6">
            <v>0.89490000000000003</v>
          </cell>
        </row>
        <row r="7">
          <cell r="J7">
            <v>0.4</v>
          </cell>
          <cell r="K7">
            <v>0.65</v>
          </cell>
          <cell r="AH7">
            <v>0.76800000000000002</v>
          </cell>
          <cell r="AI7">
            <v>0.89490000000000003</v>
          </cell>
        </row>
        <row r="8">
          <cell r="J8">
            <v>0.5</v>
          </cell>
          <cell r="K8">
            <v>0.72</v>
          </cell>
          <cell r="AH8">
            <v>0.76800000000000002</v>
          </cell>
          <cell r="AI8">
            <v>0.81499999999999995</v>
          </cell>
        </row>
        <row r="9">
          <cell r="J9">
            <v>0.6</v>
          </cell>
          <cell r="K9">
            <v>0.79</v>
          </cell>
          <cell r="AH9">
            <v>0.63500000000000001</v>
          </cell>
          <cell r="AI9">
            <v>0.81499999999999995</v>
          </cell>
        </row>
        <row r="10">
          <cell r="J10">
            <v>0.7</v>
          </cell>
          <cell r="K10">
            <v>0.86</v>
          </cell>
          <cell r="U10">
            <v>2.3507920592520042E-2</v>
          </cell>
          <cell r="V10">
            <v>2.3507920592520042E-2</v>
          </cell>
          <cell r="AH10">
            <v>0.63500000000000001</v>
          </cell>
          <cell r="AI10">
            <v>0.71199999999999997</v>
          </cell>
        </row>
        <row r="11">
          <cell r="J11">
            <v>0.8</v>
          </cell>
          <cell r="K11">
            <v>0.91</v>
          </cell>
          <cell r="U11">
            <v>0.44021881942619628</v>
          </cell>
          <cell r="V11">
            <v>0.56000000000000005</v>
          </cell>
          <cell r="AH11">
            <v>0.48699999999999999</v>
          </cell>
          <cell r="AI11">
            <v>0.71199999999999997</v>
          </cell>
        </row>
        <row r="12">
          <cell r="J12">
            <v>0.9</v>
          </cell>
          <cell r="K12">
            <v>0.96</v>
          </cell>
          <cell r="AH12">
            <v>0.48699999999999999</v>
          </cell>
          <cell r="AI12">
            <v>0.59609999999999996</v>
          </cell>
        </row>
        <row r="13">
          <cell r="J13">
            <v>0.95</v>
          </cell>
          <cell r="K13">
            <v>0.98</v>
          </cell>
          <cell r="AH13">
            <v>0.36199999999999999</v>
          </cell>
          <cell r="AI13">
            <v>0.59609999999999996</v>
          </cell>
        </row>
        <row r="14">
          <cell r="J14">
            <v>1</v>
          </cell>
          <cell r="K14">
            <v>1</v>
          </cell>
          <cell r="AH14">
            <v>0.36199999999999999</v>
          </cell>
          <cell r="AI14">
            <v>0.45800000000000002</v>
          </cell>
        </row>
        <row r="15">
          <cell r="AH15">
            <v>0.26300000000000001</v>
          </cell>
          <cell r="AI15">
            <v>0.45800000000000002</v>
          </cell>
        </row>
        <row r="16">
          <cell r="AH16">
            <v>0.26300000000000001</v>
          </cell>
          <cell r="AI16">
            <v>0.33500000000000002</v>
          </cell>
        </row>
        <row r="17">
          <cell r="AH17">
            <v>0.17699999999999999</v>
          </cell>
          <cell r="AI17">
            <v>0.33500000000000002</v>
          </cell>
        </row>
        <row r="18">
          <cell r="AH18">
            <v>0.17699999999999999</v>
          </cell>
          <cell r="AI18">
            <v>0.223</v>
          </cell>
        </row>
        <row r="19">
          <cell r="AH19">
            <v>0.109</v>
          </cell>
          <cell r="AI19">
            <v>0.223</v>
          </cell>
        </row>
        <row r="20">
          <cell r="M20">
            <v>0.97445134110561482</v>
          </cell>
          <cell r="N20">
            <v>0.97445134110561482</v>
          </cell>
          <cell r="AH20">
            <v>0.109</v>
          </cell>
          <cell r="AI20">
            <v>0.13500000000000001</v>
          </cell>
        </row>
        <row r="21">
          <cell r="M21">
            <v>0</v>
          </cell>
          <cell r="N21">
            <v>0.21654474246791441</v>
          </cell>
          <cell r="AH21">
            <v>6.4000000000000001E-2</v>
          </cell>
          <cell r="AI21">
            <v>0.13500000000000001</v>
          </cell>
        </row>
        <row r="22">
          <cell r="AH22">
            <v>6.4000000000000001E-2</v>
          </cell>
          <cell r="AI22">
            <v>7.6999999999999999E-2</v>
          </cell>
        </row>
        <row r="23">
          <cell r="Q23">
            <v>0.44021881942619628</v>
          </cell>
          <cell r="R23">
            <v>0.44021881942619628</v>
          </cell>
          <cell r="AH23">
            <v>3.6999999999999998E-2</v>
          </cell>
          <cell r="AI23">
            <v>7.6999999999999999E-2</v>
          </cell>
        </row>
        <row r="24">
          <cell r="Q24">
            <v>0.44021881942619628</v>
          </cell>
          <cell r="R24">
            <v>0.67800000000000005</v>
          </cell>
          <cell r="AH24">
            <v>3.6999999999999998E-2</v>
          </cell>
          <cell r="AI24">
            <v>4.1000000000000002E-2</v>
          </cell>
        </row>
        <row r="25">
          <cell r="AH25">
            <v>1.9E-2</v>
          </cell>
          <cell r="AI25">
            <v>4.1000000000000002E-2</v>
          </cell>
        </row>
      </sheetData>
      <sheetData sheetId="3"/>
      <sheetData sheetId="4"/>
      <sheetData sheetId="5"/>
      <sheetData sheetId="6">
        <row r="3">
          <cell r="J3">
            <v>0</v>
          </cell>
          <cell r="K3">
            <v>0</v>
          </cell>
          <cell r="AA3">
            <v>0.95</v>
          </cell>
          <cell r="AB3">
            <v>10800</v>
          </cell>
        </row>
        <row r="4">
          <cell r="J4">
            <v>0.1</v>
          </cell>
          <cell r="K4">
            <v>0.36</v>
          </cell>
          <cell r="AA4">
            <v>0.7</v>
          </cell>
          <cell r="AB4">
            <v>3400</v>
          </cell>
        </row>
        <row r="5">
          <cell r="J5">
            <v>0.3</v>
          </cell>
          <cell r="K5">
            <v>0.7</v>
          </cell>
          <cell r="L5">
            <v>0</v>
          </cell>
          <cell r="M5">
            <v>7000</v>
          </cell>
          <cell r="N5">
            <v>15700</v>
          </cell>
          <cell r="AA5">
            <v>0.95</v>
          </cell>
          <cell r="AB5">
            <v>20100</v>
          </cell>
        </row>
        <row r="6">
          <cell r="J6">
            <v>0.5</v>
          </cell>
          <cell r="K6">
            <v>0.85</v>
          </cell>
          <cell r="L6">
            <v>0.1</v>
          </cell>
          <cell r="M6">
            <v>6300</v>
          </cell>
          <cell r="N6">
            <v>15400</v>
          </cell>
          <cell r="AA6">
            <v>0.83</v>
          </cell>
          <cell r="AB6">
            <v>12055</v>
          </cell>
        </row>
        <row r="7">
          <cell r="J7">
            <v>0.57999999999999996</v>
          </cell>
          <cell r="K7">
            <v>0.9</v>
          </cell>
          <cell r="L7">
            <v>0.3</v>
          </cell>
          <cell r="M7">
            <v>5000</v>
          </cell>
          <cell r="N7">
            <v>14700</v>
          </cell>
          <cell r="AA7">
            <v>0.47</v>
          </cell>
          <cell r="AB7">
            <v>4235</v>
          </cell>
        </row>
        <row r="8">
          <cell r="J8">
            <v>0.7</v>
          </cell>
          <cell r="K8">
            <v>0.95</v>
          </cell>
          <cell r="L8">
            <v>0.5</v>
          </cell>
          <cell r="M8">
            <v>4100</v>
          </cell>
          <cell r="N8">
            <v>13900</v>
          </cell>
          <cell r="AA8">
            <v>0.95</v>
          </cell>
          <cell r="AB8">
            <v>20100</v>
          </cell>
        </row>
        <row r="9">
          <cell r="J9">
            <v>1</v>
          </cell>
          <cell r="K9">
            <v>1</v>
          </cell>
          <cell r="L9">
            <v>0.7</v>
          </cell>
          <cell r="M9">
            <v>3400</v>
          </cell>
          <cell r="N9">
            <v>12900</v>
          </cell>
          <cell r="AA9">
            <v>0.72699999999999998</v>
          </cell>
          <cell r="AB9">
            <v>12724.5</v>
          </cell>
        </row>
        <row r="10">
          <cell r="L10">
            <v>0.9</v>
          </cell>
          <cell r="M10">
            <v>3100</v>
          </cell>
          <cell r="N10">
            <v>11600</v>
          </cell>
          <cell r="AA10">
            <v>0.33500000000000002</v>
          </cell>
          <cell r="AB10">
            <v>4842.5</v>
          </cell>
        </row>
        <row r="11">
          <cell r="L11">
            <v>1</v>
          </cell>
          <cell r="M11">
            <v>3000</v>
          </cell>
          <cell r="N11">
            <v>10000</v>
          </cell>
          <cell r="AA11">
            <v>0.1</v>
          </cell>
          <cell r="AB11">
            <v>-3931.8181818181838</v>
          </cell>
        </row>
        <row r="12">
          <cell r="AA12">
            <v>0.56899999999999995</v>
          </cell>
          <cell r="AB12">
            <v>13555</v>
          </cell>
        </row>
        <row r="13">
          <cell r="AA13">
            <v>0.222</v>
          </cell>
          <cell r="AB13">
            <v>5507</v>
          </cell>
        </row>
        <row r="14">
          <cell r="AA14">
            <v>0.1</v>
          </cell>
          <cell r="AB14">
            <v>-3931.8181818181838</v>
          </cell>
        </row>
        <row r="15">
          <cell r="AA15">
            <v>0.34</v>
          </cell>
          <cell r="AB15">
            <v>14540</v>
          </cell>
        </row>
        <row r="16">
          <cell r="AA16">
            <v>9.5000000000000001E-2</v>
          </cell>
          <cell r="AB16">
            <v>6335</v>
          </cell>
        </row>
        <row r="19">
          <cell r="P19">
            <v>9.5000000000000001E-2</v>
          </cell>
          <cell r="Q19">
            <v>0.34</v>
          </cell>
        </row>
        <row r="24">
          <cell r="M24">
            <v>0.95</v>
          </cell>
          <cell r="N24">
            <v>10800</v>
          </cell>
        </row>
        <row r="25">
          <cell r="M25">
            <v>0.95</v>
          </cell>
          <cell r="N25">
            <v>20100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</sheetNames>
    <sheetDataSet>
      <sheetData sheetId="0" refreshError="1"/>
      <sheetData sheetId="1" refreshError="1"/>
      <sheetData sheetId="2" refreshError="1"/>
      <sheetData sheetId="3">
        <row r="3">
          <cell r="S3">
            <v>4.1666666666666671E-2</v>
          </cell>
          <cell r="T3">
            <v>0.11111111111111112</v>
          </cell>
        </row>
        <row r="4">
          <cell r="S4">
            <v>1.6999999999999999E-3</v>
          </cell>
          <cell r="T4">
            <v>0.11111111111111112</v>
          </cell>
        </row>
        <row r="5">
          <cell r="S5">
            <v>1.6999999999999999E-3</v>
          </cell>
          <cell r="T5">
            <v>0.1033127371273713</v>
          </cell>
        </row>
        <row r="6">
          <cell r="S6">
            <v>5.0000000000000001E-3</v>
          </cell>
          <cell r="T6">
            <v>0.1033127371273713</v>
          </cell>
        </row>
        <row r="7">
          <cell r="S7">
            <v>5.0000000000000001E-3</v>
          </cell>
          <cell r="T7">
            <v>0.10395663956639568</v>
          </cell>
        </row>
        <row r="8">
          <cell r="K8">
            <v>0.01</v>
          </cell>
          <cell r="L8">
            <v>3.0000000000000001E-3</v>
          </cell>
          <cell r="S8">
            <v>1.17E-2</v>
          </cell>
          <cell r="T8">
            <v>0.10395663956639568</v>
          </cell>
        </row>
        <row r="9">
          <cell r="K9">
            <v>0.02</v>
          </cell>
          <cell r="L9">
            <v>8.0000000000000002E-3</v>
          </cell>
          <cell r="S9">
            <v>1.17E-2</v>
          </cell>
          <cell r="T9">
            <v>0.10526395663956641</v>
          </cell>
        </row>
        <row r="10">
          <cell r="K10">
            <v>0.03</v>
          </cell>
          <cell r="L10">
            <v>1.4999999999999999E-2</v>
          </cell>
          <cell r="S10">
            <v>2.5499999999999998E-2</v>
          </cell>
          <cell r="T10">
            <v>0.10526395663956641</v>
          </cell>
        </row>
        <row r="11">
          <cell r="K11">
            <v>0.04</v>
          </cell>
          <cell r="L11">
            <v>2.3E-2</v>
          </cell>
          <cell r="S11">
            <v>2.5499999999999998E-2</v>
          </cell>
          <cell r="T11">
            <v>0.10795663956639567</v>
          </cell>
        </row>
        <row r="12">
          <cell r="K12">
            <v>0.05</v>
          </cell>
          <cell r="L12">
            <v>3.2000000000000001E-2</v>
          </cell>
        </row>
        <row r="13">
          <cell r="K13">
            <v>0.06</v>
          </cell>
          <cell r="L13">
            <v>4.2999999999999997E-2</v>
          </cell>
        </row>
        <row r="14">
          <cell r="K14">
            <v>7.0000000000000007E-2</v>
          </cell>
          <cell r="L14">
            <v>5.5E-2</v>
          </cell>
        </row>
        <row r="15">
          <cell r="K15">
            <v>0.08</v>
          </cell>
          <cell r="L15">
            <v>6.8000000000000005E-2</v>
          </cell>
        </row>
        <row r="16">
          <cell r="K16">
            <v>0.09</v>
          </cell>
          <cell r="L16">
            <v>8.3000000000000004E-2</v>
          </cell>
        </row>
        <row r="17">
          <cell r="K17">
            <v>0.1</v>
          </cell>
          <cell r="L17">
            <v>9.9000000000000005E-2</v>
          </cell>
        </row>
        <row r="18">
          <cell r="K18">
            <v>0.11</v>
          </cell>
          <cell r="L18">
            <v>0.12</v>
          </cell>
        </row>
        <row r="23">
          <cell r="N23">
            <v>0</v>
          </cell>
          <cell r="O23">
            <v>2.0408163265306124E-2</v>
          </cell>
          <cell r="P23">
            <v>4.1666666666666671E-2</v>
          </cell>
          <cell r="Q23">
            <v>0.11111111111111112</v>
          </cell>
        </row>
        <row r="24">
          <cell r="N24">
            <v>3.5000000000000003E-2</v>
          </cell>
          <cell r="O24">
            <v>2.0408163265306124E-2</v>
          </cell>
          <cell r="P24">
            <v>-0.42318594104308455</v>
          </cell>
          <cell r="Q24">
            <v>2.0408163265306124E-2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4D2F-BBAF-BF48-9A46-DE545BECE058}">
  <dimension ref="A2:B3"/>
  <sheetViews>
    <sheetView workbookViewId="0">
      <selection activeCell="F2" sqref="F2"/>
    </sheetView>
  </sheetViews>
  <sheetFormatPr baseColWidth="10" defaultRowHeight="16" x14ac:dyDescent="0.2"/>
  <cols>
    <col min="2" max="2" width="17.33203125" bestFit="1" customWidth="1"/>
  </cols>
  <sheetData>
    <row r="2" spans="1:2" x14ac:dyDescent="0.2">
      <c r="A2" t="s">
        <v>0</v>
      </c>
      <c r="B2" t="s">
        <v>1</v>
      </c>
    </row>
    <row r="3" spans="1:2" x14ac:dyDescent="0.2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E40E-0C18-4049-98D7-284276102E3F}">
  <dimension ref="A1:AM33"/>
  <sheetViews>
    <sheetView topLeftCell="K1" workbookViewId="0">
      <selection activeCell="AM4" sqref="AM4"/>
    </sheetView>
  </sheetViews>
  <sheetFormatPr baseColWidth="10" defaultRowHeight="16" x14ac:dyDescent="0.2"/>
  <cols>
    <col min="2" max="2" width="19.5" bestFit="1" customWidth="1"/>
    <col min="16" max="16" width="23.33203125" bestFit="1" customWidth="1"/>
  </cols>
  <sheetData>
    <row r="1" spans="1:39" x14ac:dyDescent="0.2">
      <c r="A1" s="1" t="s">
        <v>3</v>
      </c>
      <c r="B1" s="2"/>
      <c r="C1" s="2"/>
      <c r="D1" s="2"/>
      <c r="E1" s="2"/>
      <c r="F1" s="2"/>
      <c r="G1" s="2"/>
      <c r="H1" s="2"/>
      <c r="I1" s="3"/>
      <c r="J1" s="4" t="s">
        <v>4</v>
      </c>
      <c r="K1" s="5"/>
      <c r="L1" s="6" t="s">
        <v>5</v>
      </c>
      <c r="M1" s="7"/>
      <c r="N1" s="7"/>
      <c r="O1" s="8"/>
      <c r="P1" s="9" t="s">
        <v>6</v>
      </c>
      <c r="Q1" s="10"/>
      <c r="R1" s="10"/>
      <c r="S1" s="11"/>
      <c r="T1" s="12" t="s">
        <v>7</v>
      </c>
      <c r="U1" s="13"/>
      <c r="V1" s="13"/>
      <c r="W1" s="14"/>
      <c r="AG1" s="15"/>
      <c r="AH1" s="15" t="s">
        <v>8</v>
      </c>
      <c r="AI1" s="15" t="s">
        <v>9</v>
      </c>
    </row>
    <row r="2" spans="1:39" x14ac:dyDescent="0.2">
      <c r="A2" s="16"/>
      <c r="B2" s="17"/>
      <c r="C2" s="17"/>
      <c r="D2" s="17"/>
      <c r="E2" s="17"/>
      <c r="F2" s="17"/>
      <c r="G2" s="17"/>
      <c r="H2" s="17"/>
      <c r="I2" s="60"/>
      <c r="J2" s="68" t="s">
        <v>8</v>
      </c>
      <c r="K2" s="70" t="s">
        <v>9</v>
      </c>
      <c r="L2" s="61"/>
      <c r="M2" s="22"/>
      <c r="N2" s="22"/>
      <c r="O2" s="23"/>
      <c r="P2" s="24"/>
      <c r="Q2" s="25"/>
      <c r="R2" s="25"/>
      <c r="S2" s="26"/>
      <c r="T2" s="27"/>
      <c r="U2" s="28"/>
      <c r="V2" s="28"/>
      <c r="W2" s="29"/>
      <c r="AG2" s="30" t="s">
        <v>10</v>
      </c>
      <c r="AH2" s="31">
        <f>H9</f>
        <v>0.9</v>
      </c>
      <c r="AI2" s="31">
        <f>H9</f>
        <v>0.9</v>
      </c>
      <c r="AL2" t="s">
        <v>0</v>
      </c>
      <c r="AM2">
        <f>F13</f>
        <v>1.8571428571428572</v>
      </c>
    </row>
    <row r="3" spans="1:39" x14ac:dyDescent="0.2">
      <c r="A3" s="16" t="s">
        <v>11</v>
      </c>
      <c r="B3" s="17" t="s">
        <v>12</v>
      </c>
      <c r="C3" s="17"/>
      <c r="D3" s="32"/>
      <c r="E3" s="17"/>
      <c r="F3" s="17"/>
      <c r="G3" s="17"/>
      <c r="H3" s="17"/>
      <c r="I3" s="60"/>
      <c r="J3" s="69">
        <v>0</v>
      </c>
      <c r="K3" s="71">
        <v>0</v>
      </c>
      <c r="L3" s="61"/>
      <c r="M3" s="22"/>
      <c r="N3" s="22"/>
      <c r="O3" s="23"/>
      <c r="P3" s="24"/>
      <c r="Q3" s="25"/>
      <c r="R3" s="25"/>
      <c r="S3" s="26"/>
      <c r="T3" s="33" t="s">
        <v>13</v>
      </c>
      <c r="U3" s="34"/>
      <c r="V3" s="34"/>
      <c r="W3" s="35"/>
      <c r="AG3" s="30" t="s">
        <v>14</v>
      </c>
      <c r="AH3" s="31">
        <v>0.875</v>
      </c>
      <c r="AI3" s="31">
        <f>AI2</f>
        <v>0.9</v>
      </c>
      <c r="AJ3">
        <v>1</v>
      </c>
      <c r="AL3" t="s">
        <v>2</v>
      </c>
    </row>
    <row r="4" spans="1:39" x14ac:dyDescent="0.2">
      <c r="A4" s="16">
        <v>1</v>
      </c>
      <c r="B4" s="17" t="s">
        <v>34</v>
      </c>
      <c r="C4" s="17"/>
      <c r="D4" s="17"/>
      <c r="E4" s="17"/>
      <c r="F4" s="17"/>
      <c r="G4" s="17"/>
      <c r="H4" s="17"/>
      <c r="I4" s="60"/>
      <c r="J4" s="69">
        <v>0.01</v>
      </c>
      <c r="K4" s="71">
        <v>0.1</v>
      </c>
      <c r="L4" s="61"/>
      <c r="M4" s="22"/>
      <c r="N4" s="22"/>
      <c r="O4" s="23"/>
      <c r="P4" s="24"/>
      <c r="Q4" s="25"/>
      <c r="R4" s="25"/>
      <c r="S4" s="26"/>
      <c r="T4" s="27"/>
      <c r="U4" s="28"/>
      <c r="V4" s="28"/>
      <c r="W4" s="29"/>
      <c r="AG4" s="30" t="s">
        <v>10</v>
      </c>
      <c r="AH4" s="31">
        <f>AH3</f>
        <v>0.875</v>
      </c>
      <c r="AI4" s="31">
        <f>AH4 * ($N$22 - $N$21) / ($M$22 - $M$21) + $N$22</f>
        <v>0.8816037735849056</v>
      </c>
      <c r="AL4" t="s">
        <v>44</v>
      </c>
      <c r="AM4">
        <f>AJ17 + (AH16 - H24) / (AH16 - AH17)</f>
        <v>0.40322580645161282</v>
      </c>
    </row>
    <row r="5" spans="1:39" x14ac:dyDescent="0.2">
      <c r="A5" s="16">
        <v>2</v>
      </c>
      <c r="B5" s="17" t="s">
        <v>35</v>
      </c>
      <c r="C5" s="17"/>
      <c r="D5" s="17"/>
      <c r="E5" s="17"/>
      <c r="F5" s="17"/>
      <c r="G5" s="17"/>
      <c r="H5" s="17"/>
      <c r="I5" s="60"/>
      <c r="J5" s="69">
        <v>0.05</v>
      </c>
      <c r="K5" s="71">
        <v>0.45</v>
      </c>
      <c r="L5" s="61"/>
      <c r="M5" s="22"/>
      <c r="N5" s="22"/>
      <c r="O5" s="23"/>
      <c r="P5" s="24"/>
      <c r="Q5" s="25"/>
      <c r="R5" s="25"/>
      <c r="S5" s="26"/>
      <c r="T5" s="27"/>
      <c r="U5" s="28" t="s">
        <v>8</v>
      </c>
      <c r="V5" s="28" t="s">
        <v>9</v>
      </c>
      <c r="W5" s="29"/>
      <c r="AG5" s="30" t="s">
        <v>14</v>
      </c>
      <c r="AH5" s="31">
        <f>0.847</f>
        <v>0.84699999999999998</v>
      </c>
      <c r="AI5" s="31">
        <f>AI4</f>
        <v>0.8816037735849056</v>
      </c>
      <c r="AJ5">
        <v>2</v>
      </c>
      <c r="AL5" t="s">
        <v>45</v>
      </c>
      <c r="AM5">
        <f>AM4 / 0.3</f>
        <v>1.344086021505376</v>
      </c>
    </row>
    <row r="6" spans="1:39" x14ac:dyDescent="0.2">
      <c r="A6" s="16"/>
      <c r="B6" s="17"/>
      <c r="C6" s="17"/>
      <c r="D6" s="17"/>
      <c r="E6" s="17"/>
      <c r="F6" s="17"/>
      <c r="G6" s="17"/>
      <c r="H6" s="17"/>
      <c r="I6" s="60"/>
      <c r="J6" s="69">
        <v>0.1</v>
      </c>
      <c r="K6" s="71">
        <v>0.55000000000000004</v>
      </c>
      <c r="L6" s="61"/>
      <c r="M6" s="22"/>
      <c r="N6" s="22"/>
      <c r="O6" s="23"/>
      <c r="P6" s="24"/>
      <c r="Q6" s="25"/>
      <c r="R6" s="25"/>
      <c r="S6" s="26"/>
      <c r="T6" s="27" t="s">
        <v>15</v>
      </c>
      <c r="U6" s="28" t="s">
        <v>16</v>
      </c>
      <c r="V6" s="28" t="s">
        <v>16</v>
      </c>
      <c r="W6" s="29"/>
      <c r="AG6" s="30" t="s">
        <v>10</v>
      </c>
      <c r="AH6" s="31">
        <f>AH5</f>
        <v>0.84699999999999998</v>
      </c>
      <c r="AI6" s="31">
        <f t="shared" ref="AI6" si="0">AH6 * ($N$22 - $N$21) / ($M$22 - $M$21) + $N$22</f>
        <v>0.86099999999999999</v>
      </c>
    </row>
    <row r="7" spans="1:39" x14ac:dyDescent="0.2">
      <c r="A7" s="16"/>
      <c r="B7" s="17"/>
      <c r="C7" s="17"/>
      <c r="D7" s="17"/>
      <c r="E7" s="17"/>
      <c r="F7" s="17"/>
      <c r="G7" s="17"/>
      <c r="H7" s="17"/>
      <c r="I7" s="60"/>
      <c r="J7" s="69">
        <v>0.3</v>
      </c>
      <c r="K7" s="71">
        <v>0.68</v>
      </c>
      <c r="L7" s="61"/>
      <c r="M7" s="22"/>
      <c r="N7" s="22"/>
      <c r="O7" s="23"/>
      <c r="P7" s="24"/>
      <c r="Q7" s="25"/>
      <c r="R7" s="25"/>
      <c r="S7" s="26"/>
      <c r="T7" s="27" t="s">
        <v>17</v>
      </c>
      <c r="U7" s="28" t="s">
        <v>8</v>
      </c>
      <c r="V7" s="28" t="s">
        <v>9</v>
      </c>
      <c r="W7" s="29"/>
      <c r="AG7" s="30" t="s">
        <v>14</v>
      </c>
      <c r="AH7" s="31">
        <f>0.81</f>
        <v>0.81</v>
      </c>
      <c r="AI7" s="31">
        <f t="shared" ref="AI7:AI22" si="1">AI6</f>
        <v>0.86099999999999999</v>
      </c>
      <c r="AJ7">
        <v>3</v>
      </c>
    </row>
    <row r="8" spans="1:39" x14ac:dyDescent="0.2">
      <c r="A8" s="16"/>
      <c r="B8" s="17"/>
      <c r="C8" s="17"/>
      <c r="D8" s="17"/>
      <c r="E8" s="17"/>
      <c r="F8" s="17"/>
      <c r="G8" s="17" t="s">
        <v>18</v>
      </c>
      <c r="H8" s="17">
        <f>(B13 - H24) * B12 / (H9 - H24)</f>
        <v>41.176470588235297</v>
      </c>
      <c r="I8" s="60"/>
      <c r="J8" s="69">
        <v>0.4</v>
      </c>
      <c r="K8" s="71">
        <v>0.72</v>
      </c>
      <c r="L8" s="61"/>
      <c r="M8" s="22"/>
      <c r="N8" s="22"/>
      <c r="O8" s="23"/>
      <c r="P8" s="24"/>
      <c r="Q8" s="25"/>
      <c r="R8" s="25"/>
      <c r="S8" s="26"/>
      <c r="T8" s="27"/>
      <c r="U8" s="28"/>
      <c r="V8" s="28"/>
      <c r="W8" s="29"/>
      <c r="AG8" s="30" t="s">
        <v>10</v>
      </c>
      <c r="AH8" s="31">
        <f>AH7</f>
        <v>0.81</v>
      </c>
      <c r="AI8" s="31">
        <f t="shared" ref="AI8" si="2">AH8 * ($N$22 - $N$21) / ($M$22 - $M$21) + $N$22</f>
        <v>0.83377358490566045</v>
      </c>
    </row>
    <row r="9" spans="1:39" x14ac:dyDescent="0.2">
      <c r="A9" s="16"/>
      <c r="B9" s="17"/>
      <c r="C9" s="17"/>
      <c r="D9" s="17"/>
      <c r="E9" s="17"/>
      <c r="F9" s="17"/>
      <c r="G9" s="17" t="s">
        <v>19</v>
      </c>
      <c r="H9" s="17">
        <f>0.9</f>
        <v>0.9</v>
      </c>
      <c r="I9" s="60"/>
      <c r="J9" s="69">
        <v>0.6</v>
      </c>
      <c r="K9" s="71">
        <v>0.78</v>
      </c>
      <c r="L9" s="61"/>
      <c r="M9" s="22"/>
      <c r="N9" s="22"/>
      <c r="O9" s="23"/>
      <c r="P9" s="24"/>
      <c r="Q9" s="25"/>
      <c r="R9" s="25"/>
      <c r="S9" s="26"/>
      <c r="T9" s="27"/>
      <c r="U9" s="28" t="s">
        <v>8</v>
      </c>
      <c r="V9" s="28" t="s">
        <v>9</v>
      </c>
      <c r="W9" s="29"/>
      <c r="AG9" s="30" t="s">
        <v>14</v>
      </c>
      <c r="AH9" s="31">
        <f>0.75</f>
        <v>0.75</v>
      </c>
      <c r="AI9" s="31">
        <f t="shared" ref="AI9:AI22" si="3">AI8</f>
        <v>0.83377358490566045</v>
      </c>
      <c r="AJ9">
        <v>4</v>
      </c>
    </row>
    <row r="10" spans="1:39" x14ac:dyDescent="0.2">
      <c r="A10" s="16"/>
      <c r="B10" s="17"/>
      <c r="C10" s="17"/>
      <c r="D10" s="17"/>
      <c r="E10" s="17"/>
      <c r="F10" s="17"/>
      <c r="G10" s="17"/>
      <c r="H10" s="17"/>
      <c r="I10" s="60"/>
      <c r="J10" s="69">
        <v>0.8</v>
      </c>
      <c r="K10" s="71">
        <v>0.85</v>
      </c>
      <c r="L10" s="41" t="s">
        <v>24</v>
      </c>
      <c r="M10" s="42"/>
      <c r="N10" s="42"/>
      <c r="O10" s="43"/>
      <c r="P10" s="24"/>
      <c r="Q10" s="25"/>
      <c r="R10" s="25"/>
      <c r="S10" s="26"/>
      <c r="T10" s="27" t="s">
        <v>15</v>
      </c>
      <c r="U10" s="28">
        <f>H24</f>
        <v>0.05</v>
      </c>
      <c r="V10" s="28">
        <f>H24</f>
        <v>0.05</v>
      </c>
      <c r="W10" s="29"/>
      <c r="AG10" s="30" t="s">
        <v>10</v>
      </c>
      <c r="AH10" s="31">
        <f>AH9</f>
        <v>0.75</v>
      </c>
      <c r="AI10" s="31">
        <f t="shared" ref="AI10" si="4">AH10 * ($N$22 - $N$21) / ($M$22 - $M$21) + $N$22</f>
        <v>0.78962264150943384</v>
      </c>
    </row>
    <row r="11" spans="1:39" x14ac:dyDescent="0.2">
      <c r="A11" s="16"/>
      <c r="B11" s="17"/>
      <c r="C11" s="17"/>
      <c r="D11" s="17"/>
      <c r="E11" s="17"/>
      <c r="F11" s="17"/>
      <c r="G11" s="17"/>
      <c r="H11" s="17"/>
      <c r="I11" s="60"/>
      <c r="J11" s="69">
        <v>0.95</v>
      </c>
      <c r="K11" s="71">
        <v>0.95099999999999996</v>
      </c>
      <c r="L11" s="41"/>
      <c r="M11" s="73"/>
      <c r="N11" s="73"/>
      <c r="O11" s="43"/>
      <c r="P11" s="36" t="s">
        <v>40</v>
      </c>
      <c r="Q11" s="37"/>
      <c r="R11" s="37"/>
      <c r="S11" s="38"/>
      <c r="T11" s="27" t="s">
        <v>17</v>
      </c>
      <c r="U11" s="28">
        <f>0.17</f>
        <v>0.17</v>
      </c>
      <c r="V11" s="28">
        <v>0.36</v>
      </c>
      <c r="W11" s="29"/>
      <c r="AG11" s="30" t="s">
        <v>14</v>
      </c>
      <c r="AH11" s="31">
        <v>0.63</v>
      </c>
      <c r="AI11" s="31">
        <f t="shared" ref="AI11:AI22" si="5">AI10</f>
        <v>0.78962264150943384</v>
      </c>
      <c r="AJ11">
        <v>5</v>
      </c>
    </row>
    <row r="12" spans="1:39" x14ac:dyDescent="0.2">
      <c r="A12" s="39" t="s">
        <v>20</v>
      </c>
      <c r="B12" s="17">
        <f>100</f>
        <v>100</v>
      </c>
      <c r="C12" s="17" t="s">
        <v>21</v>
      </c>
      <c r="D12" s="17"/>
      <c r="E12" s="32" t="s">
        <v>22</v>
      </c>
      <c r="F12" s="17">
        <f>1.5 * F13</f>
        <v>2.7857142857142856</v>
      </c>
      <c r="G12" s="17"/>
      <c r="H12" s="17"/>
      <c r="I12" s="60"/>
      <c r="J12" s="69">
        <v>1</v>
      </c>
      <c r="K12" s="71">
        <v>1</v>
      </c>
      <c r="L12" s="21"/>
      <c r="M12" s="22" t="s">
        <v>8</v>
      </c>
      <c r="N12" s="22" t="s">
        <v>9</v>
      </c>
      <c r="O12" s="23"/>
      <c r="P12" s="24" t="s">
        <v>42</v>
      </c>
      <c r="Q12" s="74">
        <v>0.2</v>
      </c>
      <c r="R12" s="25"/>
      <c r="S12" s="26"/>
      <c r="T12" s="27"/>
      <c r="U12" s="28"/>
      <c r="V12" s="28"/>
      <c r="W12" s="29"/>
      <c r="AG12" s="30" t="s">
        <v>10</v>
      </c>
      <c r="AH12" s="31">
        <f>AH11</f>
        <v>0.63</v>
      </c>
      <c r="AI12" s="31">
        <f t="shared" ref="AI12" si="6">AH12 * ($N$22 - $N$21) / ($M$22 - $M$21) + $N$22</f>
        <v>0.70132075471698108</v>
      </c>
    </row>
    <row r="13" spans="1:39" x14ac:dyDescent="0.2">
      <c r="A13" s="39" t="s">
        <v>23</v>
      </c>
      <c r="B13" s="17">
        <v>0.4</v>
      </c>
      <c r="C13" s="17"/>
      <c r="D13" s="17"/>
      <c r="E13" s="72" t="s">
        <v>37</v>
      </c>
      <c r="F13" s="72">
        <f>1/(N18 / H9) - 1</f>
        <v>1.8571428571428572</v>
      </c>
      <c r="G13" s="72"/>
      <c r="H13" s="17"/>
      <c r="I13" s="18"/>
      <c r="J13" s="19"/>
      <c r="K13" s="20"/>
      <c r="L13" s="21" t="s">
        <v>15</v>
      </c>
      <c r="M13" s="22" t="s">
        <v>19</v>
      </c>
      <c r="N13" s="22" t="s">
        <v>19</v>
      </c>
      <c r="O13" s="23"/>
      <c r="P13" s="24" t="s">
        <v>43</v>
      </c>
      <c r="Q13" s="25">
        <f>Q12 * B12</f>
        <v>20</v>
      </c>
      <c r="R13" s="37"/>
      <c r="S13" s="38"/>
      <c r="T13" s="27"/>
      <c r="U13" s="28"/>
      <c r="V13" s="28"/>
      <c r="W13" s="29"/>
      <c r="AG13" s="30" t="s">
        <v>14</v>
      </c>
      <c r="AH13" s="31">
        <f>0.354</f>
        <v>0.35399999999999998</v>
      </c>
      <c r="AI13" s="31">
        <f t="shared" ref="AI13:AI22" si="7">AI12</f>
        <v>0.70132075471698108</v>
      </c>
      <c r="AJ13">
        <v>6</v>
      </c>
    </row>
    <row r="14" spans="1:39" x14ac:dyDescent="0.2">
      <c r="A14" s="39"/>
      <c r="B14" s="17"/>
      <c r="C14" s="17"/>
      <c r="D14" s="17"/>
      <c r="E14" s="40"/>
      <c r="F14" s="40"/>
      <c r="G14" s="40"/>
      <c r="H14" s="17"/>
      <c r="I14" s="18"/>
      <c r="J14" s="19"/>
      <c r="K14" s="20"/>
      <c r="L14" s="21" t="s">
        <v>17</v>
      </c>
      <c r="M14" s="22">
        <v>0</v>
      </c>
      <c r="N14" s="22" t="s">
        <v>32</v>
      </c>
      <c r="O14" s="23"/>
      <c r="P14" s="24" t="s">
        <v>27</v>
      </c>
      <c r="Q14" s="25">
        <f>-Q13 / B12</f>
        <v>-0.2</v>
      </c>
      <c r="R14" s="25"/>
      <c r="S14" s="26"/>
      <c r="T14" s="27"/>
      <c r="U14" s="28"/>
      <c r="V14" s="28"/>
      <c r="W14" s="29"/>
      <c r="AG14" s="30" t="s">
        <v>10</v>
      </c>
      <c r="AH14" s="31">
        <f>AH13</f>
        <v>0.35399999999999998</v>
      </c>
      <c r="AI14" s="31">
        <f t="shared" ref="AI14" si="8">AH14 * ($N$22 - $N$21) / ($M$22 - $M$21) + $N$22</f>
        <v>0.49822641509433963</v>
      </c>
    </row>
    <row r="15" spans="1:39" x14ac:dyDescent="0.2">
      <c r="A15" s="44"/>
      <c r="B15" s="40"/>
      <c r="C15" s="40"/>
      <c r="D15" s="17"/>
      <c r="E15" s="40" t="s">
        <v>29</v>
      </c>
      <c r="F15" s="40"/>
      <c r="G15" s="40"/>
      <c r="H15" s="17"/>
      <c r="I15" s="18"/>
      <c r="J15" s="45"/>
      <c r="K15" s="45"/>
      <c r="L15" s="41" t="s">
        <v>38</v>
      </c>
      <c r="M15" s="73"/>
      <c r="N15" s="73"/>
      <c r="O15" s="43"/>
      <c r="P15" s="24"/>
      <c r="Q15" s="25"/>
      <c r="R15" s="25"/>
      <c r="S15" s="26"/>
      <c r="T15" s="27"/>
      <c r="U15" s="28"/>
      <c r="V15" s="28"/>
      <c r="W15" s="29"/>
      <c r="AG15" s="30" t="s">
        <v>14</v>
      </c>
      <c r="AH15" s="31">
        <f>0.075</f>
        <v>7.4999999999999997E-2</v>
      </c>
      <c r="AI15" s="31">
        <f t="shared" ref="AI15:AI22" si="9">AI14</f>
        <v>0.49822641509433963</v>
      </c>
      <c r="AJ15">
        <v>7</v>
      </c>
    </row>
    <row r="16" spans="1:39" x14ac:dyDescent="0.2">
      <c r="A16" s="16"/>
      <c r="B16" s="17"/>
      <c r="C16" s="17"/>
      <c r="D16" s="17"/>
      <c r="E16" s="40" t="s">
        <v>30</v>
      </c>
      <c r="F16" s="40"/>
      <c r="G16" s="40"/>
      <c r="H16" s="17"/>
      <c r="I16" s="18"/>
      <c r="J16" s="19"/>
      <c r="K16" s="20"/>
      <c r="L16" s="21"/>
      <c r="M16" s="22" t="s">
        <v>8</v>
      </c>
      <c r="N16" s="22" t="s">
        <v>9</v>
      </c>
      <c r="O16" s="23"/>
      <c r="P16" s="36" t="s">
        <v>31</v>
      </c>
      <c r="Q16" s="37"/>
      <c r="R16" s="37"/>
      <c r="S16" s="38"/>
      <c r="T16" s="27"/>
      <c r="U16" s="28"/>
      <c r="V16" s="28"/>
      <c r="W16" s="29"/>
      <c r="AG16" s="30" t="s">
        <v>10</v>
      </c>
      <c r="AH16" s="31">
        <f>AH15</f>
        <v>7.4999999999999997E-2</v>
      </c>
      <c r="AI16" s="31">
        <f>($V$11 - $V$10) / ($U$11 - $U$10) * AH16 + $V$11 - ($V$11 - $V$10) / ($U$11 - $U$10) * U11</f>
        <v>0.11458333333333331</v>
      </c>
    </row>
    <row r="17" spans="1:35" x14ac:dyDescent="0.2">
      <c r="A17" s="16"/>
      <c r="B17" s="17"/>
      <c r="C17" s="17"/>
      <c r="D17" s="17"/>
      <c r="E17" s="17"/>
      <c r="F17" s="17"/>
      <c r="G17" s="17"/>
      <c r="H17" s="17"/>
      <c r="I17" s="18"/>
      <c r="J17" s="19"/>
      <c r="K17" s="20"/>
      <c r="L17" s="21" t="s">
        <v>15</v>
      </c>
      <c r="M17" s="22">
        <f>H9</f>
        <v>0.9</v>
      </c>
      <c r="N17" s="22">
        <f>H9</f>
        <v>0.9</v>
      </c>
      <c r="O17" s="23"/>
      <c r="P17" s="24"/>
      <c r="Q17" s="25"/>
      <c r="R17" s="25"/>
      <c r="S17" s="26"/>
      <c r="T17" s="27"/>
      <c r="U17" s="28"/>
      <c r="V17" s="28"/>
      <c r="W17" s="29"/>
      <c r="AG17" s="30" t="s">
        <v>14</v>
      </c>
      <c r="AH17" s="31">
        <f>0.013</f>
        <v>1.2999999999999999E-2</v>
      </c>
      <c r="AI17" s="31">
        <f t="shared" ref="AI17:AI22" si="10">AI16</f>
        <v>0.11458333333333331</v>
      </c>
    </row>
    <row r="18" spans="1:35" x14ac:dyDescent="0.2">
      <c r="A18" s="16"/>
      <c r="B18" s="17"/>
      <c r="C18" s="17"/>
      <c r="D18" s="17"/>
      <c r="E18" s="17"/>
      <c r="F18" s="17"/>
      <c r="G18" s="17"/>
      <c r="H18" s="17"/>
      <c r="I18" s="18"/>
      <c r="J18" s="19"/>
      <c r="K18" s="20"/>
      <c r="L18" s="21" t="s">
        <v>17</v>
      </c>
      <c r="M18" s="22">
        <f>0</f>
        <v>0</v>
      </c>
      <c r="N18" s="22">
        <f>0.315</f>
        <v>0.315</v>
      </c>
      <c r="O18" s="23"/>
      <c r="P18" s="24"/>
      <c r="Q18" s="25" t="s">
        <v>8</v>
      </c>
      <c r="R18" s="25" t="s">
        <v>9</v>
      </c>
      <c r="S18" s="26"/>
      <c r="T18" s="27"/>
      <c r="U18" s="28"/>
      <c r="V18" s="28"/>
      <c r="W18" s="29"/>
      <c r="AG18" s="30" t="s">
        <v>10</v>
      </c>
      <c r="AH18" s="31"/>
      <c r="AI18" s="31"/>
    </row>
    <row r="19" spans="1:35" x14ac:dyDescent="0.2">
      <c r="A19" s="16" t="s">
        <v>36</v>
      </c>
      <c r="B19" s="17">
        <f>5</f>
        <v>5</v>
      </c>
      <c r="C19" s="17"/>
      <c r="D19" s="17"/>
      <c r="E19" s="17"/>
      <c r="F19" s="17"/>
      <c r="G19" s="17"/>
      <c r="H19" s="17"/>
      <c r="I19" s="18"/>
      <c r="J19" s="19"/>
      <c r="K19" s="20"/>
      <c r="L19" s="41" t="s">
        <v>39</v>
      </c>
      <c r="M19" s="42"/>
      <c r="N19" s="42"/>
      <c r="O19" s="43"/>
      <c r="P19" s="24" t="s">
        <v>15</v>
      </c>
      <c r="Q19" s="25" t="s">
        <v>23</v>
      </c>
      <c r="R19" s="25" t="s">
        <v>23</v>
      </c>
      <c r="S19" s="26"/>
      <c r="T19" s="27"/>
      <c r="U19" s="28"/>
      <c r="V19" s="28"/>
      <c r="W19" s="29"/>
      <c r="AG19" s="30" t="s">
        <v>14</v>
      </c>
      <c r="AH19" s="31"/>
      <c r="AI19" s="31"/>
    </row>
    <row r="20" spans="1:35" x14ac:dyDescent="0.2">
      <c r="A20" s="16"/>
      <c r="B20" s="17"/>
      <c r="C20" s="17"/>
      <c r="D20" s="17"/>
      <c r="E20" s="17"/>
      <c r="F20" s="17"/>
      <c r="G20" s="17"/>
      <c r="H20" s="17"/>
      <c r="I20" s="18"/>
      <c r="J20" s="19"/>
      <c r="K20" s="20"/>
      <c r="L20" s="21"/>
      <c r="M20" s="22" t="s">
        <v>8</v>
      </c>
      <c r="N20" s="22" t="s">
        <v>9</v>
      </c>
      <c r="O20" s="22"/>
      <c r="P20" s="24" t="s">
        <v>17</v>
      </c>
      <c r="Q20" s="25" t="s">
        <v>8</v>
      </c>
      <c r="R20" s="25" t="s">
        <v>9</v>
      </c>
      <c r="S20" s="26"/>
      <c r="T20" s="27"/>
      <c r="U20" s="28"/>
      <c r="V20" s="28"/>
      <c r="W20" s="29"/>
      <c r="AG20" s="30" t="s">
        <v>10</v>
      </c>
      <c r="AH20" s="31"/>
      <c r="AI20" s="31"/>
    </row>
    <row r="21" spans="1:35" x14ac:dyDescent="0.2">
      <c r="A21" s="16"/>
      <c r="B21" s="17"/>
      <c r="C21" s="17"/>
      <c r="D21" s="17"/>
      <c r="E21" s="17"/>
      <c r="F21" s="17"/>
      <c r="G21" s="17"/>
      <c r="H21" s="17"/>
      <c r="I21" s="18"/>
      <c r="J21" s="19"/>
      <c r="K21" s="20"/>
      <c r="L21" s="21" t="s">
        <v>15</v>
      </c>
      <c r="M21" s="22">
        <f>H9</f>
        <v>0.9</v>
      </c>
      <c r="N21" s="22">
        <f>H9</f>
        <v>0.9</v>
      </c>
      <c r="O21" s="22"/>
      <c r="P21" s="24"/>
      <c r="Q21" s="25"/>
      <c r="R21" s="25"/>
      <c r="S21" s="26"/>
      <c r="T21" s="27"/>
      <c r="U21" s="28"/>
      <c r="V21" s="28"/>
      <c r="W21" s="29"/>
      <c r="AG21" s="30" t="s">
        <v>14</v>
      </c>
      <c r="AH21" s="31"/>
      <c r="AI21" s="31"/>
    </row>
    <row r="22" spans="1:35" x14ac:dyDescent="0.2">
      <c r="A22" s="16"/>
      <c r="B22" s="17"/>
      <c r="C22" s="17"/>
      <c r="D22" s="17"/>
      <c r="E22" s="17"/>
      <c r="F22" s="17"/>
      <c r="G22" s="17"/>
      <c r="H22" s="17"/>
      <c r="I22" s="18"/>
      <c r="J22" s="19"/>
      <c r="K22" s="20"/>
      <c r="L22" s="21" t="s">
        <v>17</v>
      </c>
      <c r="M22" s="22">
        <v>0</v>
      </c>
      <c r="N22" s="22">
        <f>1 / (F12 + 1) * H9</f>
        <v>0.23773584905660378</v>
      </c>
      <c r="O22" s="23"/>
      <c r="P22" s="24"/>
      <c r="Q22" s="25" t="s">
        <v>8</v>
      </c>
      <c r="R22" s="25" t="s">
        <v>9</v>
      </c>
      <c r="S22" s="26"/>
      <c r="T22" s="27"/>
      <c r="U22" s="28"/>
      <c r="V22" s="28"/>
      <c r="W22" s="29"/>
      <c r="AG22" s="30" t="s">
        <v>10</v>
      </c>
      <c r="AH22" s="31"/>
      <c r="AI22" s="31"/>
    </row>
    <row r="23" spans="1:35" x14ac:dyDescent="0.2">
      <c r="A23" s="16"/>
      <c r="B23" s="17"/>
      <c r="C23" s="17"/>
      <c r="D23" s="17"/>
      <c r="E23" s="17"/>
      <c r="F23" s="17"/>
      <c r="G23" s="17" t="s">
        <v>33</v>
      </c>
      <c r="H23" s="17">
        <f>(B13 - H9) * B12 / (H24 - H9)</f>
        <v>58.82352941176471</v>
      </c>
      <c r="I23" s="18"/>
      <c r="J23" s="19"/>
      <c r="K23" s="20"/>
      <c r="L23" s="21"/>
      <c r="M23" s="22"/>
      <c r="N23" s="22"/>
      <c r="O23" s="23"/>
      <c r="P23" s="24" t="s">
        <v>15</v>
      </c>
      <c r="Q23" s="25">
        <f>B13</f>
        <v>0.4</v>
      </c>
      <c r="R23" s="25">
        <f>B13</f>
        <v>0.4</v>
      </c>
      <c r="S23" s="26"/>
      <c r="T23" s="27"/>
      <c r="U23" s="28"/>
      <c r="V23" s="28"/>
      <c r="W23" s="29"/>
      <c r="AG23" s="30" t="s">
        <v>14</v>
      </c>
      <c r="AH23" s="31"/>
      <c r="AI23" s="31"/>
    </row>
    <row r="24" spans="1:35" x14ac:dyDescent="0.2">
      <c r="A24" s="16"/>
      <c r="B24" s="17"/>
      <c r="C24" s="17"/>
      <c r="D24" s="17"/>
      <c r="E24" s="17"/>
      <c r="F24" s="17"/>
      <c r="G24" s="17" t="s">
        <v>16</v>
      </c>
      <c r="H24" s="17">
        <v>0.05</v>
      </c>
      <c r="I24" s="18"/>
      <c r="J24" s="19"/>
      <c r="K24" s="20"/>
      <c r="L24" s="21"/>
      <c r="M24" s="22"/>
      <c r="N24" s="22"/>
      <c r="O24" s="23"/>
      <c r="P24" s="24" t="s">
        <v>17</v>
      </c>
      <c r="Q24" s="25">
        <f>0</f>
        <v>0</v>
      </c>
      <c r="R24" s="25">
        <f xml:space="preserve"> Q14 / (Q14 - 1) * Q24 + 1 / (1 - Q14) * B13</f>
        <v>0.33333333333333337</v>
      </c>
      <c r="S24" s="26"/>
      <c r="T24" s="27"/>
      <c r="U24" s="28"/>
      <c r="V24" s="28"/>
      <c r="W24" s="29"/>
      <c r="AG24" s="30" t="s">
        <v>10</v>
      </c>
      <c r="AH24" s="31"/>
      <c r="AI24" s="31"/>
    </row>
    <row r="25" spans="1:35" x14ac:dyDescent="0.2">
      <c r="A25" s="16"/>
      <c r="B25" s="17"/>
      <c r="C25" s="17"/>
      <c r="D25" s="17"/>
      <c r="E25" s="17"/>
      <c r="F25" s="17"/>
      <c r="G25" s="17"/>
      <c r="H25" s="17"/>
      <c r="I25" s="18"/>
      <c r="J25" s="19"/>
      <c r="K25" s="20"/>
      <c r="L25" s="21"/>
      <c r="M25" s="22"/>
      <c r="N25" s="22"/>
      <c r="O25" s="23"/>
      <c r="P25" s="24"/>
      <c r="Q25" s="25"/>
      <c r="R25" s="25"/>
      <c r="S25" s="26"/>
      <c r="T25" s="27"/>
      <c r="U25" s="28"/>
      <c r="V25" s="28"/>
      <c r="W25" s="29"/>
      <c r="AG25" s="30" t="s">
        <v>14</v>
      </c>
      <c r="AH25" s="31"/>
      <c r="AI25" s="31"/>
    </row>
    <row r="26" spans="1:35" x14ac:dyDescent="0.2">
      <c r="A26" s="16"/>
      <c r="B26" s="17"/>
      <c r="C26" s="17"/>
      <c r="D26" s="17"/>
      <c r="E26" s="17"/>
      <c r="F26" s="17"/>
      <c r="G26" s="17"/>
      <c r="H26" s="17"/>
      <c r="I26" s="18"/>
      <c r="J26" s="19"/>
      <c r="K26" s="20"/>
      <c r="L26" s="21"/>
      <c r="M26" s="22"/>
      <c r="N26" s="22"/>
      <c r="O26" s="23"/>
      <c r="P26" s="24"/>
      <c r="Q26" s="25"/>
      <c r="R26" s="25"/>
      <c r="S26" s="26"/>
      <c r="T26" s="27"/>
      <c r="U26" s="28"/>
      <c r="V26" s="28"/>
      <c r="W26" s="29"/>
      <c r="AG26" s="30" t="s">
        <v>10</v>
      </c>
      <c r="AH26" s="31"/>
      <c r="AI26" s="31"/>
    </row>
    <row r="27" spans="1:35" x14ac:dyDescent="0.2">
      <c r="A27" s="16"/>
      <c r="B27" s="17"/>
      <c r="C27" s="17"/>
      <c r="D27" s="17"/>
      <c r="E27" s="17"/>
      <c r="F27" s="17"/>
      <c r="G27" s="17"/>
      <c r="H27" s="17"/>
      <c r="I27" s="18"/>
      <c r="J27" s="19"/>
      <c r="K27" s="20"/>
      <c r="L27" s="21"/>
      <c r="M27" s="22"/>
      <c r="N27" s="22"/>
      <c r="O27" s="23"/>
      <c r="P27" s="24"/>
      <c r="Q27" s="25"/>
      <c r="R27" s="25"/>
      <c r="S27" s="26"/>
      <c r="T27" s="27"/>
      <c r="U27" s="28"/>
      <c r="V27" s="28"/>
      <c r="W27" s="29"/>
      <c r="AG27" s="30" t="s">
        <v>14</v>
      </c>
      <c r="AH27" s="31"/>
      <c r="AI27" s="31"/>
    </row>
    <row r="28" spans="1:35" x14ac:dyDescent="0.2">
      <c r="A28" s="16"/>
      <c r="B28" s="17"/>
      <c r="C28" s="17"/>
      <c r="D28" s="17"/>
      <c r="E28" s="17"/>
      <c r="F28" s="17"/>
      <c r="G28" s="17"/>
      <c r="H28" s="17"/>
      <c r="I28" s="18"/>
      <c r="J28" s="19"/>
      <c r="K28" s="20"/>
      <c r="L28" s="21"/>
      <c r="M28" s="22"/>
      <c r="N28" s="22"/>
      <c r="O28" s="23"/>
      <c r="P28" s="24"/>
      <c r="Q28" s="25"/>
      <c r="R28" s="25"/>
      <c r="S28" s="26"/>
      <c r="T28" s="27"/>
      <c r="U28" s="28"/>
      <c r="V28" s="28"/>
      <c r="W28" s="29"/>
      <c r="AG28" s="30" t="s">
        <v>10</v>
      </c>
      <c r="AH28" s="31"/>
      <c r="AI28" s="31"/>
    </row>
    <row r="29" spans="1:35" x14ac:dyDescent="0.2">
      <c r="A29" s="46"/>
      <c r="B29" s="47"/>
      <c r="C29" s="47"/>
      <c r="D29" s="47"/>
      <c r="E29" s="47"/>
      <c r="F29" s="47"/>
      <c r="G29" s="47"/>
      <c r="H29" s="47"/>
      <c r="I29" s="48"/>
      <c r="J29" s="49"/>
      <c r="K29" s="50"/>
      <c r="L29" s="51"/>
      <c r="M29" s="52"/>
      <c r="N29" s="52"/>
      <c r="O29" s="53"/>
      <c r="P29" s="54"/>
      <c r="Q29" s="55"/>
      <c r="R29" s="55"/>
      <c r="S29" s="56"/>
      <c r="T29" s="57"/>
      <c r="U29" s="58"/>
      <c r="V29" s="58"/>
      <c r="W29" s="59"/>
      <c r="AG29" s="30" t="s">
        <v>14</v>
      </c>
      <c r="AH29" s="31"/>
      <c r="AI29" s="31"/>
    </row>
    <row r="31" spans="1:35" ht="17" thickBot="1" x14ac:dyDescent="0.25"/>
    <row r="32" spans="1:35" x14ac:dyDescent="0.2">
      <c r="J32" s="62"/>
      <c r="K32" s="63"/>
      <c r="L32" s="63"/>
      <c r="M32" s="63"/>
      <c r="N32" s="63"/>
      <c r="O32" s="63"/>
      <c r="P32" s="63"/>
      <c r="Q32" s="63"/>
      <c r="R32" s="63"/>
      <c r="S32" s="63"/>
      <c r="T32" s="64"/>
    </row>
    <row r="33" spans="10:20" ht="17" thickBot="1" x14ac:dyDescent="0.25"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7"/>
    </row>
  </sheetData>
  <mergeCells count="17">
    <mergeCell ref="E16:G16"/>
    <mergeCell ref="P16:S16"/>
    <mergeCell ref="L11:O11"/>
    <mergeCell ref="L15:O15"/>
    <mergeCell ref="L19:O19"/>
    <mergeCell ref="P11:S11"/>
    <mergeCell ref="L10:O10"/>
    <mergeCell ref="R13:S13"/>
    <mergeCell ref="E14:G14"/>
    <mergeCell ref="A15:C15"/>
    <mergeCell ref="E15:G15"/>
    <mergeCell ref="A1:I1"/>
    <mergeCell ref="J1:K1"/>
    <mergeCell ref="L1:O1"/>
    <mergeCell ref="P1:S1"/>
    <mergeCell ref="T1:W1"/>
    <mergeCell ref="T3:W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EC66-E926-4F40-87D5-FEFD16F3E701}">
  <dimension ref="A1:AB45"/>
  <sheetViews>
    <sheetView tabSelected="1" zoomScale="88" zoomScaleNormal="88" workbookViewId="0">
      <selection activeCell="B13" sqref="B13"/>
    </sheetView>
  </sheetViews>
  <sheetFormatPr baseColWidth="10" defaultRowHeight="16" x14ac:dyDescent="0.2"/>
  <cols>
    <col min="12" max="12" width="13.1640625" bestFit="1" customWidth="1"/>
  </cols>
  <sheetData>
    <row r="1" spans="1:28" x14ac:dyDescent="0.2">
      <c r="A1" s="1" t="s">
        <v>3</v>
      </c>
      <c r="B1" s="2"/>
      <c r="C1" s="2"/>
      <c r="D1" s="2"/>
      <c r="E1" s="2"/>
      <c r="F1" s="2"/>
      <c r="G1" s="2"/>
      <c r="H1" s="2"/>
      <c r="I1" s="3"/>
      <c r="J1" s="4" t="s">
        <v>4</v>
      </c>
      <c r="K1" s="75"/>
      <c r="L1" s="9" t="s">
        <v>46</v>
      </c>
      <c r="M1" s="10"/>
      <c r="N1" s="11"/>
      <c r="O1" s="76"/>
      <c r="P1" s="76"/>
      <c r="Q1" s="76"/>
      <c r="R1" s="76"/>
      <c r="S1" s="76"/>
      <c r="T1" s="76"/>
      <c r="U1" s="77"/>
      <c r="V1" s="77"/>
      <c r="AA1" t="s">
        <v>47</v>
      </c>
    </row>
    <row r="2" spans="1:28" ht="18" customHeight="1" x14ac:dyDescent="0.2">
      <c r="A2" s="16"/>
      <c r="B2" s="17"/>
      <c r="C2" s="17"/>
      <c r="D2" s="17"/>
      <c r="E2" s="17"/>
      <c r="F2" s="17"/>
      <c r="G2" s="17"/>
      <c r="H2" s="17"/>
      <c r="I2" s="60"/>
      <c r="J2" s="86" t="s">
        <v>8</v>
      </c>
      <c r="K2" s="84" t="s">
        <v>9</v>
      </c>
      <c r="L2" s="80" t="s">
        <v>48</v>
      </c>
      <c r="M2" s="37" t="s">
        <v>49</v>
      </c>
      <c r="N2" s="38"/>
      <c r="AA2" t="s">
        <v>8</v>
      </c>
      <c r="AB2" t="s">
        <v>50</v>
      </c>
    </row>
    <row r="3" spans="1:28" x14ac:dyDescent="0.2">
      <c r="A3" s="16" t="s">
        <v>11</v>
      </c>
      <c r="B3" s="17" t="s">
        <v>12</v>
      </c>
      <c r="C3" s="17"/>
      <c r="D3" s="32"/>
      <c r="E3" s="17"/>
      <c r="F3" s="17"/>
      <c r="G3" s="17"/>
      <c r="H3" s="17"/>
      <c r="I3" s="60"/>
      <c r="J3" s="87">
        <v>0</v>
      </c>
      <c r="K3" s="85">
        <v>0</v>
      </c>
      <c r="L3" s="80" t="s">
        <v>61</v>
      </c>
      <c r="M3" s="37"/>
      <c r="N3" s="38"/>
      <c r="AA3">
        <f>M29</f>
        <v>0.95</v>
      </c>
      <c r="AB3">
        <f>N30</f>
        <v>368.20000000000005</v>
      </c>
    </row>
    <row r="4" spans="1:28" x14ac:dyDescent="0.2">
      <c r="A4" s="16">
        <v>1</v>
      </c>
      <c r="B4" s="17" t="s">
        <v>59</v>
      </c>
      <c r="C4" s="17"/>
      <c r="D4" s="17"/>
      <c r="E4" s="17"/>
      <c r="F4" s="17"/>
      <c r="G4" s="17"/>
      <c r="H4" s="17"/>
      <c r="I4" s="60"/>
      <c r="J4" s="87">
        <v>0.1</v>
      </c>
      <c r="K4" s="85">
        <v>0.2</v>
      </c>
      <c r="L4" s="80"/>
      <c r="M4" s="25" t="s">
        <v>51</v>
      </c>
      <c r="N4" s="26" t="s">
        <v>52</v>
      </c>
      <c r="U4" s="78"/>
      <c r="V4" s="78"/>
      <c r="AA4">
        <f>0.9</f>
        <v>0.9</v>
      </c>
      <c r="AB4">
        <f>M9</f>
        <v>183.8</v>
      </c>
    </row>
    <row r="5" spans="1:28" x14ac:dyDescent="0.2">
      <c r="A5" s="16">
        <v>2</v>
      </c>
      <c r="B5" s="17" t="s">
        <v>60</v>
      </c>
      <c r="C5" s="17"/>
      <c r="D5" s="17"/>
      <c r="E5" s="17"/>
      <c r="F5" s="17"/>
      <c r="G5" s="17"/>
      <c r="H5" s="17"/>
      <c r="I5" s="60"/>
      <c r="J5" s="87">
        <v>0.17499999999999999</v>
      </c>
      <c r="K5" s="81">
        <v>0.3</v>
      </c>
      <c r="L5" s="91">
        <v>1</v>
      </c>
      <c r="M5" s="88">
        <v>187.5</v>
      </c>
      <c r="N5" s="92">
        <v>361.8</v>
      </c>
      <c r="AA5">
        <f>M31</f>
        <v>0.95</v>
      </c>
      <c r="AB5">
        <f>N31</f>
        <v>1260.1749999999997</v>
      </c>
    </row>
    <row r="6" spans="1:28" x14ac:dyDescent="0.2">
      <c r="A6" s="16"/>
      <c r="B6" s="17"/>
      <c r="C6" s="17"/>
      <c r="D6" s="17"/>
      <c r="E6" s="17"/>
      <c r="F6" s="17"/>
      <c r="G6" s="17"/>
      <c r="H6" s="17"/>
      <c r="I6" s="60"/>
      <c r="J6" s="87">
        <v>0.3</v>
      </c>
      <c r="K6" s="81">
        <v>0.45</v>
      </c>
      <c r="L6" s="91">
        <v>0.95</v>
      </c>
      <c r="M6" s="88">
        <v>186.9</v>
      </c>
      <c r="N6" s="93">
        <f>N5 + (N7 - N5) / (L7 - L5) * (L6 - L5)</f>
        <v>368.20000000000005</v>
      </c>
      <c r="AA6">
        <f>0.908</f>
        <v>0.90800000000000003</v>
      </c>
      <c r="AB6">
        <f>N7 + (N6 - N7) / (L6 - L7) * (AA6 - L7)</f>
        <v>373.57600000000002</v>
      </c>
    </row>
    <row r="7" spans="1:28" x14ac:dyDescent="0.2">
      <c r="A7" s="16"/>
      <c r="B7" s="17"/>
      <c r="C7" s="17"/>
      <c r="D7" s="17"/>
      <c r="E7" s="17"/>
      <c r="F7" s="17"/>
      <c r="G7" s="17"/>
      <c r="H7" s="17"/>
      <c r="I7" s="60"/>
      <c r="J7" s="87">
        <v>0.4</v>
      </c>
      <c r="K7" s="81">
        <v>0.55000000000000004</v>
      </c>
      <c r="L7" s="91">
        <v>0.9</v>
      </c>
      <c r="M7" s="88">
        <v>186.5</v>
      </c>
      <c r="N7" s="92">
        <v>374.6</v>
      </c>
      <c r="AA7">
        <f>0.845</f>
        <v>0.84499999999999997</v>
      </c>
      <c r="AB7">
        <f>M8 + (M7 - M8) / (L7 - L8) * (AA7 - L8)</f>
        <v>185.785</v>
      </c>
    </row>
    <row r="8" spans="1:28" x14ac:dyDescent="0.2">
      <c r="A8" s="16"/>
      <c r="B8" s="17"/>
      <c r="C8" s="17"/>
      <c r="D8" s="17"/>
      <c r="E8" s="17"/>
      <c r="F8" s="17"/>
      <c r="G8" s="17" t="s">
        <v>18</v>
      </c>
      <c r="H8" s="17"/>
      <c r="I8" s="60"/>
      <c r="J8" s="87">
        <v>0.5</v>
      </c>
      <c r="K8" s="81">
        <v>0.65</v>
      </c>
      <c r="L8" s="91">
        <v>0.8</v>
      </c>
      <c r="M8" s="88">
        <v>185.2</v>
      </c>
      <c r="N8" s="92">
        <v>395.3</v>
      </c>
      <c r="AA8">
        <f>AA5</f>
        <v>0.95</v>
      </c>
      <c r="AB8">
        <f>AB5</f>
        <v>1260.1749999999997</v>
      </c>
    </row>
    <row r="9" spans="1:28" x14ac:dyDescent="0.2">
      <c r="A9" s="16"/>
      <c r="B9" s="17"/>
      <c r="C9" s="17"/>
      <c r="D9" s="17"/>
      <c r="E9" s="17"/>
      <c r="F9" s="17"/>
      <c r="G9" s="17" t="s">
        <v>19</v>
      </c>
      <c r="H9" s="17">
        <v>0.95</v>
      </c>
      <c r="I9" s="60"/>
      <c r="J9" s="87">
        <v>0.7</v>
      </c>
      <c r="K9" s="81">
        <v>0.8</v>
      </c>
      <c r="L9" s="91">
        <v>0.7</v>
      </c>
      <c r="M9" s="88">
        <v>183.8</v>
      </c>
      <c r="N9" s="92">
        <v>423.7</v>
      </c>
      <c r="AA9">
        <f>0.865</f>
        <v>0.86499999999999999</v>
      </c>
      <c r="AB9">
        <f>N8 + (N7 - N8) / (L7 - L8) * (AA9 - L8)</f>
        <v>381.84500000000003</v>
      </c>
    </row>
    <row r="10" spans="1:28" x14ac:dyDescent="0.2">
      <c r="A10" s="16"/>
      <c r="B10" s="17"/>
      <c r="C10" s="17"/>
      <c r="D10" s="17"/>
      <c r="E10" s="17"/>
      <c r="F10" s="17"/>
      <c r="G10" s="17"/>
      <c r="H10" s="17"/>
      <c r="I10" s="60"/>
      <c r="J10" s="87">
        <v>0.8</v>
      </c>
      <c r="K10" s="81">
        <v>0.88</v>
      </c>
      <c r="L10" s="91">
        <v>0.6</v>
      </c>
      <c r="M10" s="88">
        <v>182.9</v>
      </c>
      <c r="N10" s="92">
        <v>461.4</v>
      </c>
      <c r="AA10">
        <f>0.78</f>
        <v>0.78</v>
      </c>
      <c r="AB10">
        <f>M9 + (M8 - M9) / (L8 - L9) * (AA10 - L9)</f>
        <v>184.92</v>
      </c>
    </row>
    <row r="11" spans="1:28" x14ac:dyDescent="0.2">
      <c r="A11" s="16"/>
      <c r="B11" s="17"/>
      <c r="C11" s="17"/>
      <c r="D11" s="17"/>
      <c r="E11" s="17"/>
      <c r="F11" s="17"/>
      <c r="G11" s="17"/>
      <c r="H11" s="17"/>
      <c r="I11" s="60"/>
      <c r="J11" s="87">
        <v>0.9</v>
      </c>
      <c r="K11" s="81">
        <v>0.95</v>
      </c>
      <c r="L11" s="91">
        <v>0.5</v>
      </c>
      <c r="M11" s="88">
        <v>182.4</v>
      </c>
      <c r="N11" s="92">
        <v>510.5</v>
      </c>
      <c r="AA11">
        <f>AA8</f>
        <v>0.95</v>
      </c>
      <c r="AB11">
        <f>AB8</f>
        <v>1260.1749999999997</v>
      </c>
    </row>
    <row r="12" spans="1:28" x14ac:dyDescent="0.2">
      <c r="A12" s="39" t="s">
        <v>20</v>
      </c>
      <c r="B12" s="17">
        <v>100</v>
      </c>
      <c r="C12" s="17" t="s">
        <v>21</v>
      </c>
      <c r="D12" s="17"/>
      <c r="E12" s="32" t="s">
        <v>22</v>
      </c>
      <c r="F12" s="17">
        <f>N24 * 1.5</f>
        <v>4.9198841698841669</v>
      </c>
      <c r="G12" s="17"/>
      <c r="H12" s="17"/>
      <c r="I12" s="60"/>
      <c r="J12" s="87">
        <v>1</v>
      </c>
      <c r="K12" s="81">
        <v>1</v>
      </c>
      <c r="L12" s="91">
        <v>0.45</v>
      </c>
      <c r="M12" s="88">
        <v>182.3</v>
      </c>
      <c r="N12" s="93">
        <f>N11 + (N13 - N11) / (L13 - L11) * (L12 - L11)</f>
        <v>541.95000000000005</v>
      </c>
      <c r="AA12">
        <f>0.812</f>
        <v>0.81200000000000006</v>
      </c>
      <c r="AB12">
        <f>N8 + (N8 - N7) /(L8 - L7) * (AA12 - L8)</f>
        <v>392.81600000000003</v>
      </c>
    </row>
    <row r="13" spans="1:28" x14ac:dyDescent="0.2">
      <c r="A13" s="39" t="s">
        <v>23</v>
      </c>
      <c r="B13" s="17">
        <f>0.5</f>
        <v>0.5</v>
      </c>
      <c r="C13" s="17"/>
      <c r="D13" s="17"/>
      <c r="E13" s="32"/>
      <c r="F13" s="17"/>
      <c r="G13" s="17"/>
      <c r="H13" s="17"/>
      <c r="I13" s="18"/>
      <c r="J13" s="19"/>
      <c r="K13" s="45"/>
      <c r="L13" s="91">
        <v>0.4</v>
      </c>
      <c r="M13" s="88">
        <v>182</v>
      </c>
      <c r="N13" s="92">
        <v>573.4</v>
      </c>
      <c r="AA13">
        <v>0.71</v>
      </c>
      <c r="AB13">
        <f>M9 + (M8 - M9) / (L8 - L9) * (AA13 - L9)</f>
        <v>183.94</v>
      </c>
    </row>
    <row r="14" spans="1:28" x14ac:dyDescent="0.2">
      <c r="A14" s="39" t="s">
        <v>25</v>
      </c>
      <c r="B14" s="17"/>
      <c r="C14" s="17" t="s">
        <v>26</v>
      </c>
      <c r="D14" s="17"/>
      <c r="E14" s="17"/>
      <c r="F14" s="17"/>
      <c r="G14" s="17"/>
      <c r="H14" s="17"/>
      <c r="I14" s="18"/>
      <c r="J14" s="19"/>
      <c r="K14" s="45"/>
      <c r="L14" s="91">
        <v>0.35</v>
      </c>
      <c r="M14" s="88">
        <v>181.9</v>
      </c>
      <c r="N14" s="93">
        <f>N13 + (N15 - N13) / (L15 - L13) * (L14 - L13)</f>
        <v>614.70000000000005</v>
      </c>
      <c r="AA14">
        <f>AA11</f>
        <v>0.95</v>
      </c>
      <c r="AB14">
        <f>AB8</f>
        <v>1260.1749999999997</v>
      </c>
    </row>
    <row r="15" spans="1:28" x14ac:dyDescent="0.2">
      <c r="A15" s="44" t="s">
        <v>28</v>
      </c>
      <c r="B15" s="40"/>
      <c r="C15" s="40"/>
      <c r="D15" s="17"/>
      <c r="E15" s="17"/>
      <c r="F15" s="17"/>
      <c r="G15" s="17"/>
      <c r="H15" s="17"/>
      <c r="I15" s="18"/>
      <c r="J15" s="45"/>
      <c r="K15" s="45"/>
      <c r="L15" s="91">
        <v>0.3</v>
      </c>
      <c r="M15" s="88">
        <v>181.7</v>
      </c>
      <c r="N15" s="92">
        <v>656</v>
      </c>
      <c r="AA15">
        <f>0.76</f>
        <v>0.76</v>
      </c>
      <c r="AB15">
        <f>N8 + (N9 - N8) / (L9 - L8) * (AA15 -L8)</f>
        <v>406.66</v>
      </c>
    </row>
    <row r="16" spans="1:28" x14ac:dyDescent="0.2">
      <c r="A16" s="16"/>
      <c r="B16" s="17"/>
      <c r="C16" s="17"/>
      <c r="D16" s="17"/>
      <c r="E16" s="17"/>
      <c r="F16" s="17"/>
      <c r="G16" s="17"/>
      <c r="H16" s="17"/>
      <c r="I16" s="18"/>
      <c r="J16" s="19"/>
      <c r="K16" s="45"/>
      <c r="L16" s="91">
        <v>0.2</v>
      </c>
      <c r="M16" s="88">
        <v>181.6</v>
      </c>
      <c r="N16" s="92">
        <v>767.3</v>
      </c>
      <c r="AA16">
        <v>0.65</v>
      </c>
      <c r="AB16">
        <f>M9 + (M10 - M9) / (L10 - L9) * (AA16 - L9)</f>
        <v>183.35000000000002</v>
      </c>
    </row>
    <row r="17" spans="1:28" x14ac:dyDescent="0.2">
      <c r="A17" s="16"/>
      <c r="B17" s="17"/>
      <c r="C17" s="17"/>
      <c r="D17" s="17"/>
      <c r="E17" s="17"/>
      <c r="F17" s="17"/>
      <c r="G17" s="17"/>
      <c r="H17" s="17"/>
      <c r="I17" s="18"/>
      <c r="J17" s="19"/>
      <c r="K17" s="45"/>
      <c r="L17" s="91">
        <v>0.05</v>
      </c>
      <c r="M17" s="88">
        <v>181.5</v>
      </c>
      <c r="N17" s="92">
        <v>921.6</v>
      </c>
      <c r="AA17">
        <f>AA11</f>
        <v>0.95</v>
      </c>
      <c r="AB17">
        <f>AB11</f>
        <v>1260.1749999999997</v>
      </c>
    </row>
    <row r="18" spans="1:28" x14ac:dyDescent="0.2">
      <c r="A18" s="16"/>
      <c r="B18" s="17"/>
      <c r="C18" s="17"/>
      <c r="D18" s="17"/>
      <c r="E18" s="17"/>
      <c r="F18" s="17"/>
      <c r="G18" s="17"/>
      <c r="H18" s="17"/>
      <c r="I18" s="18"/>
      <c r="J18" s="19"/>
      <c r="K18" s="45"/>
      <c r="L18" s="91">
        <v>0</v>
      </c>
      <c r="M18" s="88">
        <v>180.1</v>
      </c>
      <c r="N18" s="92">
        <v>1150.4000000000001</v>
      </c>
      <c r="AA18">
        <f>0.715</f>
        <v>0.71499999999999997</v>
      </c>
      <c r="AB18">
        <f>N8 + (N9 - N8) /(L9 - L8) * (AA18 - L8)</f>
        <v>419.44</v>
      </c>
    </row>
    <row r="19" spans="1:28" x14ac:dyDescent="0.2">
      <c r="A19" s="16"/>
      <c r="B19" s="17"/>
      <c r="C19" s="17"/>
      <c r="D19" s="17"/>
      <c r="E19" s="17"/>
      <c r="F19" s="17"/>
      <c r="G19" s="17"/>
      <c r="H19" s="17"/>
      <c r="I19" s="18"/>
      <c r="J19" s="19"/>
      <c r="K19" s="45"/>
      <c r="L19" s="24"/>
      <c r="M19" s="80"/>
      <c r="N19" s="26"/>
      <c r="AA19">
        <f>0.585</f>
        <v>0.58499999999999996</v>
      </c>
      <c r="AB19">
        <f>M10 + (M11 - M10) /(L11 - L10) * (AA19 - L10)</f>
        <v>182.82500000000002</v>
      </c>
    </row>
    <row r="20" spans="1:28" x14ac:dyDescent="0.2">
      <c r="A20" s="16"/>
      <c r="B20" s="17"/>
      <c r="C20" s="17"/>
      <c r="D20" s="17"/>
      <c r="E20" s="17"/>
      <c r="F20" s="17"/>
      <c r="G20" s="17"/>
      <c r="H20" s="17"/>
      <c r="I20" s="18"/>
      <c r="J20" s="19"/>
      <c r="K20" s="45"/>
      <c r="L20" s="24"/>
      <c r="M20" s="80"/>
      <c r="N20" s="26"/>
      <c r="AA20">
        <f>AA17</f>
        <v>0.95</v>
      </c>
      <c r="AB20">
        <f>AB17</f>
        <v>1260.1749999999997</v>
      </c>
    </row>
    <row r="21" spans="1:28" x14ac:dyDescent="0.2">
      <c r="A21" s="16"/>
      <c r="B21" s="17"/>
      <c r="C21" s="17"/>
      <c r="D21" s="17"/>
      <c r="E21" s="17"/>
      <c r="F21" s="17"/>
      <c r="G21" s="17"/>
      <c r="H21" s="17"/>
      <c r="I21" s="18"/>
      <c r="J21" s="19"/>
      <c r="K21" s="45"/>
      <c r="L21" s="24" t="s">
        <v>53</v>
      </c>
      <c r="M21" s="80">
        <f>0.65</f>
        <v>0.65</v>
      </c>
      <c r="N21" s="26">
        <f>N9 + (N10 - N9) / (L10 - L9) * (M21 - L9)</f>
        <v>442.54999999999995</v>
      </c>
      <c r="AA21">
        <f>0.669</f>
        <v>0.66900000000000004</v>
      </c>
      <c r="AB21">
        <f>N9 + (N10 - N9) /(L10 - L9) * (AA21 - L9)</f>
        <v>435.38699999999994</v>
      </c>
    </row>
    <row r="22" spans="1:28" x14ac:dyDescent="0.2">
      <c r="A22" s="16"/>
      <c r="B22" s="17"/>
      <c r="C22" s="17"/>
      <c r="D22" s="17"/>
      <c r="E22" s="17"/>
      <c r="F22" s="17"/>
      <c r="G22" s="17"/>
      <c r="H22" s="17"/>
      <c r="I22" s="18"/>
      <c r="J22" s="19"/>
      <c r="K22" s="45"/>
      <c r="L22" s="24" t="s">
        <v>54</v>
      </c>
      <c r="M22" s="80">
        <f>M29</f>
        <v>0.95</v>
      </c>
      <c r="N22" s="26">
        <f>N28 + (N21 - N28) / (M21 -M28) * (M22 - M28)</f>
        <v>962.8499999999998</v>
      </c>
      <c r="P22" t="s">
        <v>8</v>
      </c>
      <c r="Q22" t="s">
        <v>9</v>
      </c>
      <c r="AA22">
        <f>0.53</f>
        <v>0.53</v>
      </c>
      <c r="AB22">
        <f>M10 + (M11 - M10) /(L11 - L10) * (AA22 - L10)</f>
        <v>182.55</v>
      </c>
    </row>
    <row r="23" spans="1:28" x14ac:dyDescent="0.2">
      <c r="A23" s="16"/>
      <c r="B23" s="17"/>
      <c r="C23" s="17"/>
      <c r="D23" s="17"/>
      <c r="E23" s="17"/>
      <c r="F23" s="17"/>
      <c r="G23" s="17" t="s">
        <v>33</v>
      </c>
      <c r="H23" s="17"/>
      <c r="I23" s="18"/>
      <c r="J23" s="19"/>
      <c r="K23" s="45"/>
      <c r="L23" s="24" t="s">
        <v>55</v>
      </c>
      <c r="M23" s="80">
        <f>M32</f>
        <v>0.05</v>
      </c>
      <c r="N23" s="26">
        <f>N28 + (N21 - N28) / (M21 -M28) * (M23 - M28)</f>
        <v>-598.04999999999995</v>
      </c>
      <c r="P23">
        <v>0.44</v>
      </c>
      <c r="Q23">
        <v>0.55000000000000004</v>
      </c>
      <c r="AA23">
        <f>AA17</f>
        <v>0.95</v>
      </c>
      <c r="AB23">
        <f>AB17</f>
        <v>1260.1749999999997</v>
      </c>
    </row>
    <row r="24" spans="1:28" x14ac:dyDescent="0.2">
      <c r="A24" s="16"/>
      <c r="B24" s="17"/>
      <c r="C24" s="17"/>
      <c r="D24" s="17"/>
      <c r="E24" s="17"/>
      <c r="F24" s="17"/>
      <c r="G24" s="17" t="s">
        <v>16</v>
      </c>
      <c r="H24" s="17">
        <v>0.05</v>
      </c>
      <c r="I24" s="18"/>
      <c r="J24" s="19"/>
      <c r="K24" s="45"/>
      <c r="L24" s="24"/>
      <c r="M24" s="80" t="s">
        <v>37</v>
      </c>
      <c r="N24" s="26">
        <f>(N22 - N30) / (N30 - N29)</f>
        <v>3.2799227799227779</v>
      </c>
      <c r="AA24">
        <f>0.635</f>
        <v>0.63500000000000001</v>
      </c>
      <c r="AB24">
        <f>N9 + (N10 - N9) /(L10 - L9) * (AA24 - L9)</f>
        <v>448.20499999999998</v>
      </c>
    </row>
    <row r="25" spans="1:28" x14ac:dyDescent="0.2">
      <c r="A25" s="16"/>
      <c r="B25" s="17"/>
      <c r="C25" s="17"/>
      <c r="D25" s="17"/>
      <c r="E25" s="17"/>
      <c r="F25" s="17"/>
      <c r="G25" s="17"/>
      <c r="H25" s="17"/>
      <c r="I25" s="18"/>
      <c r="J25" s="19"/>
      <c r="K25" s="45"/>
      <c r="L25" s="24"/>
      <c r="M25" s="80"/>
      <c r="N25" s="26"/>
      <c r="AA25">
        <f>0.48</f>
        <v>0.48</v>
      </c>
      <c r="AB25">
        <f>M11 + (M13 - M11) /(L13 - L11) * (AA25 - L11)</f>
        <v>182.32</v>
      </c>
    </row>
    <row r="26" spans="1:28" x14ac:dyDescent="0.2">
      <c r="A26" s="16"/>
      <c r="B26" s="17"/>
      <c r="C26" s="17"/>
      <c r="D26" s="17"/>
      <c r="E26" s="17"/>
      <c r="F26" s="17"/>
      <c r="G26" s="17"/>
      <c r="H26" s="17"/>
      <c r="I26" s="18"/>
      <c r="J26" s="19"/>
      <c r="K26" s="45"/>
      <c r="L26" s="24"/>
      <c r="M26" s="80"/>
      <c r="N26" s="26"/>
      <c r="AA26">
        <f>M32</f>
        <v>0.05</v>
      </c>
      <c r="AB26">
        <f>N32</f>
        <v>-895.37499999999955</v>
      </c>
    </row>
    <row r="27" spans="1:28" x14ac:dyDescent="0.2">
      <c r="A27" s="16"/>
      <c r="B27" s="17"/>
      <c r="C27" s="17"/>
      <c r="D27" s="17"/>
      <c r="E27" s="17"/>
      <c r="F27" s="17"/>
      <c r="G27" s="17"/>
      <c r="H27" s="17"/>
      <c r="I27" s="18"/>
      <c r="J27" s="19"/>
      <c r="K27" s="45"/>
      <c r="L27" s="24" t="s">
        <v>16</v>
      </c>
      <c r="M27" s="80">
        <v>0.05</v>
      </c>
      <c r="N27" s="26">
        <f>M17</f>
        <v>181.5</v>
      </c>
      <c r="AA27">
        <f>0.59</f>
        <v>0.59</v>
      </c>
      <c r="AB27">
        <f>N10 + (N11 - N10) / (L11 - L10) * (AA27 - L10)</f>
        <v>466.31</v>
      </c>
    </row>
    <row r="28" spans="1:28" x14ac:dyDescent="0.2">
      <c r="A28" s="16"/>
      <c r="B28" s="17"/>
      <c r="C28" s="17"/>
      <c r="D28" s="17"/>
      <c r="E28" s="17"/>
      <c r="F28" s="17"/>
      <c r="G28" s="17"/>
      <c r="H28" s="17"/>
      <c r="I28" s="18"/>
      <c r="J28" s="19"/>
      <c r="K28" s="45"/>
      <c r="L28" s="24" t="s">
        <v>23</v>
      </c>
      <c r="M28" s="25">
        <f>B13</f>
        <v>0.5</v>
      </c>
      <c r="N28" s="26">
        <f>M11</f>
        <v>182.4</v>
      </c>
      <c r="AA28">
        <v>0.44</v>
      </c>
      <c r="AB28">
        <f>M13 + (M11 - M13) / (L11 - L13) * (AA28 - L13)</f>
        <v>182.16</v>
      </c>
    </row>
    <row r="29" spans="1:28" x14ac:dyDescent="0.2">
      <c r="A29" s="46"/>
      <c r="B29" s="47"/>
      <c r="C29" s="47"/>
      <c r="D29" s="47"/>
      <c r="E29" s="47"/>
      <c r="F29" s="47"/>
      <c r="G29" s="47"/>
      <c r="H29" s="47"/>
      <c r="I29" s="48"/>
      <c r="J29" s="49"/>
      <c r="K29" s="79"/>
      <c r="L29" s="24" t="s">
        <v>19</v>
      </c>
      <c r="M29" s="25">
        <f>H9</f>
        <v>0.95</v>
      </c>
      <c r="N29" s="26">
        <f>M6</f>
        <v>186.9</v>
      </c>
      <c r="AA29">
        <f>AA26</f>
        <v>0.05</v>
      </c>
      <c r="AB29">
        <f>AB26</f>
        <v>-895.37499999999955</v>
      </c>
    </row>
    <row r="30" spans="1:28" x14ac:dyDescent="0.2">
      <c r="L30" s="24" t="s">
        <v>56</v>
      </c>
      <c r="M30" s="25">
        <f>M29</f>
        <v>0.95</v>
      </c>
      <c r="N30" s="26">
        <f>N5 + (N7 - N5) / (L7 - L5) * (M30 - L5)</f>
        <v>368.20000000000005</v>
      </c>
      <c r="AA30">
        <f>0.55</f>
        <v>0.55000000000000004</v>
      </c>
      <c r="AB30">
        <v>480</v>
      </c>
    </row>
    <row r="31" spans="1:28" x14ac:dyDescent="0.2">
      <c r="C31" s="82"/>
      <c r="D31" s="83"/>
      <c r="E31" s="83"/>
      <c r="F31" s="83"/>
      <c r="G31" s="83"/>
      <c r="H31" s="83"/>
      <c r="I31" s="83"/>
      <c r="J31" s="83"/>
      <c r="K31" s="83"/>
      <c r="L31" s="24" t="s">
        <v>57</v>
      </c>
      <c r="M31" s="25">
        <f>M30</f>
        <v>0.95</v>
      </c>
      <c r="N31" s="26">
        <f>F12 * (N30 - N29) + N30</f>
        <v>1260.1749999999997</v>
      </c>
    </row>
    <row r="32" spans="1:28" x14ac:dyDescent="0.2">
      <c r="C32" s="89"/>
      <c r="D32" s="89"/>
      <c r="E32" s="89"/>
      <c r="F32" s="83"/>
      <c r="G32" s="83"/>
      <c r="H32" s="83"/>
      <c r="I32" s="83"/>
      <c r="J32" s="83"/>
      <c r="K32" s="83"/>
      <c r="L32" s="24" t="s">
        <v>58</v>
      </c>
      <c r="M32" s="25">
        <f>M27</f>
        <v>0.05</v>
      </c>
      <c r="N32" s="26">
        <f>N31 + (N31 - N28) / (M31 - M28) * (M32 - M31)</f>
        <v>-895.37499999999955</v>
      </c>
    </row>
    <row r="33" spans="3:5" x14ac:dyDescent="0.2">
      <c r="C33" s="89"/>
      <c r="D33" s="89"/>
      <c r="E33" s="90"/>
    </row>
    <row r="34" spans="3:5" x14ac:dyDescent="0.2">
      <c r="C34" s="89"/>
      <c r="D34" s="89"/>
      <c r="E34" s="89"/>
    </row>
    <row r="35" spans="3:5" x14ac:dyDescent="0.2">
      <c r="C35" s="89"/>
      <c r="D35" s="89"/>
      <c r="E35" s="89"/>
    </row>
    <row r="36" spans="3:5" x14ac:dyDescent="0.2">
      <c r="C36" s="89"/>
      <c r="D36" s="89"/>
      <c r="E36" s="89"/>
    </row>
    <row r="37" spans="3:5" x14ac:dyDescent="0.2">
      <c r="C37" s="89"/>
      <c r="D37" s="89"/>
      <c r="E37" s="89"/>
    </row>
    <row r="38" spans="3:5" x14ac:dyDescent="0.2">
      <c r="C38" s="89"/>
      <c r="D38" s="89"/>
      <c r="E38" s="89"/>
    </row>
    <row r="39" spans="3:5" x14ac:dyDescent="0.2">
      <c r="C39" s="89"/>
      <c r="D39" s="89"/>
      <c r="E39" s="90"/>
    </row>
    <row r="40" spans="3:5" x14ac:dyDescent="0.2">
      <c r="C40" s="89"/>
      <c r="D40" s="89"/>
      <c r="E40" s="89"/>
    </row>
    <row r="41" spans="3:5" x14ac:dyDescent="0.2">
      <c r="C41" s="89"/>
      <c r="D41" s="89"/>
      <c r="E41" s="90"/>
    </row>
    <row r="42" spans="3:5" x14ac:dyDescent="0.2">
      <c r="C42" s="89"/>
      <c r="D42" s="89"/>
      <c r="E42" s="89"/>
    </row>
    <row r="43" spans="3:5" x14ac:dyDescent="0.2">
      <c r="C43" s="89"/>
      <c r="D43" s="89"/>
      <c r="E43" s="89"/>
    </row>
    <row r="44" spans="3:5" x14ac:dyDescent="0.2">
      <c r="C44" s="89"/>
      <c r="D44" s="89"/>
      <c r="E44" s="89"/>
    </row>
    <row r="45" spans="3:5" x14ac:dyDescent="0.2">
      <c r="C45" s="89"/>
      <c r="D45" s="89"/>
      <c r="E45" s="89"/>
    </row>
  </sheetData>
  <mergeCells count="8">
    <mergeCell ref="L1:N1"/>
    <mergeCell ref="U1:V1"/>
    <mergeCell ref="M2:N2"/>
    <mergeCell ref="M3:N3"/>
    <mergeCell ref="U4:V4"/>
    <mergeCell ref="A15:C15"/>
    <mergeCell ref="A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A1B-B8AB-554E-855C-4D7C582DF2CF}">
  <dimension ref="A1:W21"/>
  <sheetViews>
    <sheetView workbookViewId="0">
      <selection activeCell="I9" sqref="I9:J15"/>
    </sheetView>
  </sheetViews>
  <sheetFormatPr baseColWidth="10" defaultRowHeight="16" x14ac:dyDescent="0.2"/>
  <cols>
    <col min="9" max="9" width="11.5" bestFit="1" customWidth="1"/>
    <col min="16" max="16" width="11.5" bestFit="1" customWidth="1"/>
  </cols>
  <sheetData>
    <row r="1" spans="1:23" x14ac:dyDescent="0.2">
      <c r="A1" s="94" t="s">
        <v>62</v>
      </c>
      <c r="B1" s="95">
        <v>180</v>
      </c>
      <c r="C1" s="95" t="s">
        <v>21</v>
      </c>
      <c r="D1" s="94" t="s">
        <v>63</v>
      </c>
      <c r="E1" s="95">
        <f xml:space="preserve"> B1 * (1 - G17)</f>
        <v>180</v>
      </c>
      <c r="F1" s="95" t="s">
        <v>21</v>
      </c>
    </row>
    <row r="2" spans="1:23" x14ac:dyDescent="0.2">
      <c r="A2" s="94" t="s">
        <v>41</v>
      </c>
      <c r="B2" s="96">
        <v>200</v>
      </c>
      <c r="C2" s="95" t="s">
        <v>21</v>
      </c>
      <c r="D2" s="94" t="s">
        <v>64</v>
      </c>
      <c r="E2" s="95">
        <f>B2 * (1 - B4)</f>
        <v>200</v>
      </c>
      <c r="F2" s="95" t="s">
        <v>21</v>
      </c>
      <c r="I2" s="97" t="s">
        <v>65</v>
      </c>
      <c r="J2" s="97"/>
      <c r="K2" s="97"/>
      <c r="L2" s="97"/>
      <c r="N2" s="97" t="s">
        <v>66</v>
      </c>
      <c r="O2" s="97"/>
      <c r="P2" s="97"/>
      <c r="Q2" s="97"/>
      <c r="S2" s="94" t="s">
        <v>67</v>
      </c>
      <c r="T2" s="94" t="s">
        <v>68</v>
      </c>
      <c r="V2" s="98" t="s">
        <v>69</v>
      </c>
      <c r="W2" s="99">
        <f>3 + (Q12 - S9) / (S11 - S9)</f>
        <v>2.152173913043478</v>
      </c>
    </row>
    <row r="3" spans="1:23" x14ac:dyDescent="0.2">
      <c r="B3" s="22" t="s">
        <v>70</v>
      </c>
      <c r="I3" s="95" t="s">
        <v>71</v>
      </c>
      <c r="J3" s="95">
        <v>110</v>
      </c>
      <c r="K3" s="95" t="s">
        <v>72</v>
      </c>
      <c r="L3" s="95">
        <f>CONVERT(J3, "kPa", "Torr")</f>
        <v>825.06785097458669</v>
      </c>
      <c r="N3" s="100" t="s">
        <v>73</v>
      </c>
      <c r="O3" s="100"/>
      <c r="P3" s="100" t="s">
        <v>74</v>
      </c>
      <c r="Q3" s="100"/>
      <c r="S3" s="95">
        <f>O4</f>
        <v>0</v>
      </c>
      <c r="T3" s="95">
        <f>O5</f>
        <v>0</v>
      </c>
      <c r="V3" s="94" t="s">
        <v>75</v>
      </c>
      <c r="W3" s="95">
        <f>S9</f>
        <v>1.17E-2</v>
      </c>
    </row>
    <row r="4" spans="1:23" x14ac:dyDescent="0.2">
      <c r="A4" s="94" t="s">
        <v>76</v>
      </c>
      <c r="B4" s="95">
        <v>0</v>
      </c>
      <c r="F4" s="94" t="s">
        <v>77</v>
      </c>
      <c r="G4" s="95"/>
      <c r="N4" s="95" t="s">
        <v>78</v>
      </c>
      <c r="O4" s="95">
        <f>B5</f>
        <v>0</v>
      </c>
      <c r="P4" s="95" t="s">
        <v>79</v>
      </c>
      <c r="Q4" s="95">
        <f>Q12</f>
        <v>0</v>
      </c>
      <c r="S4" s="95">
        <v>1.6999999999999999E-3</v>
      </c>
      <c r="T4" s="95">
        <f>T3</f>
        <v>0</v>
      </c>
      <c r="V4" s="94" t="s">
        <v>80</v>
      </c>
      <c r="W4" s="95">
        <f>Q12</f>
        <v>0</v>
      </c>
    </row>
    <row r="5" spans="1:23" x14ac:dyDescent="0.2">
      <c r="A5" s="94" t="s">
        <v>78</v>
      </c>
      <c r="B5" s="95">
        <f>B4 / (1 - B4)</f>
        <v>0</v>
      </c>
      <c r="F5" s="94" t="s">
        <v>81</v>
      </c>
      <c r="G5" s="95"/>
      <c r="N5" s="95" t="s">
        <v>81</v>
      </c>
      <c r="O5" s="95">
        <f>G5</f>
        <v>0</v>
      </c>
      <c r="P5" s="95" t="s">
        <v>82</v>
      </c>
      <c r="Q5" s="95">
        <f>G18</f>
        <v>0</v>
      </c>
      <c r="S5" s="95">
        <f>S4</f>
        <v>1.6999999999999999E-3</v>
      </c>
      <c r="T5" s="95">
        <f>$O$12 * S5 + $Q$9 - $O$12 * $P$9</f>
        <v>1.888888888888889E-3</v>
      </c>
      <c r="V5" s="94" t="s">
        <v>83</v>
      </c>
      <c r="W5" s="95">
        <f>S11</f>
        <v>2.5499999999999998E-2</v>
      </c>
    </row>
    <row r="6" spans="1:23" x14ac:dyDescent="0.2">
      <c r="I6" s="101" t="s">
        <v>84</v>
      </c>
      <c r="J6" s="101"/>
      <c r="K6" s="101"/>
      <c r="L6" s="101"/>
      <c r="S6" s="95">
        <f>0.005</f>
        <v>5.0000000000000001E-3</v>
      </c>
      <c r="T6" s="95">
        <f>T5</f>
        <v>1.888888888888889E-3</v>
      </c>
    </row>
    <row r="7" spans="1:23" x14ac:dyDescent="0.2">
      <c r="I7" s="94" t="s">
        <v>8</v>
      </c>
      <c r="J7" s="94" t="s">
        <v>9</v>
      </c>
      <c r="K7" s="94" t="s">
        <v>67</v>
      </c>
      <c r="L7" s="94" t="s">
        <v>68</v>
      </c>
      <c r="N7" s="97" t="s">
        <v>85</v>
      </c>
      <c r="O7" s="97"/>
      <c r="P7" s="102" t="s">
        <v>86</v>
      </c>
      <c r="Q7" s="103"/>
      <c r="S7" s="95">
        <f>S6</f>
        <v>5.0000000000000001E-3</v>
      </c>
      <c r="T7" s="95">
        <f t="shared" ref="T7" si="0">$O$12 * S7 + $Q$9 - $O$12 * $P$9</f>
        <v>5.5555555555555558E-3</v>
      </c>
    </row>
    <row r="8" spans="1:23" x14ac:dyDescent="0.2">
      <c r="I8" s="95">
        <v>0</v>
      </c>
      <c r="J8" s="95">
        <f>L8 / (1 + L8)</f>
        <v>0</v>
      </c>
      <c r="K8" s="95">
        <f>I8 / (1 - I8)</f>
        <v>0</v>
      </c>
      <c r="L8" s="95">
        <f xml:space="preserve"> 0.57 * K8 / (1 + 0.43 * K8)</f>
        <v>0</v>
      </c>
      <c r="N8" s="15" t="s">
        <v>67</v>
      </c>
      <c r="O8" s="15" t="s">
        <v>68</v>
      </c>
      <c r="P8" s="15" t="s">
        <v>67</v>
      </c>
      <c r="Q8" s="15" t="s">
        <v>68</v>
      </c>
      <c r="S8" s="95">
        <f>0.0117</f>
        <v>1.17E-2</v>
      </c>
      <c r="T8" s="95">
        <f t="shared" ref="T8" si="1">T7</f>
        <v>5.5555555555555558E-3</v>
      </c>
    </row>
    <row r="9" spans="1:23" x14ac:dyDescent="0.2">
      <c r="I9" s="95"/>
      <c r="J9" s="95"/>
      <c r="K9" s="95">
        <f t="shared" ref="K9:K15" si="2">I9 / (1 - I9)</f>
        <v>0</v>
      </c>
      <c r="L9" s="95">
        <f t="shared" ref="L9:L15" si="3" xml:space="preserve"> 0.57 * K9 / (1 + 0.43 * K9)</f>
        <v>0</v>
      </c>
      <c r="N9" s="95">
        <v>0</v>
      </c>
      <c r="O9" s="95">
        <f>G18</f>
        <v>0</v>
      </c>
      <c r="P9" s="95">
        <f>O4</f>
        <v>0</v>
      </c>
      <c r="Q9" s="95">
        <f>O5</f>
        <v>0</v>
      </c>
      <c r="S9" s="95">
        <f>S8</f>
        <v>1.17E-2</v>
      </c>
      <c r="T9" s="95">
        <f t="shared" ref="T9" si="4">$O$12 * S9 + $Q$9 - $O$12 * $P$9</f>
        <v>1.3000000000000001E-2</v>
      </c>
    </row>
    <row r="10" spans="1:23" x14ac:dyDescent="0.2">
      <c r="I10" s="95"/>
      <c r="J10" s="95"/>
      <c r="K10" s="95">
        <f t="shared" si="2"/>
        <v>0</v>
      </c>
      <c r="L10" s="95">
        <f t="shared" si="3"/>
        <v>0</v>
      </c>
      <c r="N10" s="95">
        <v>3.5000000000000003E-2</v>
      </c>
      <c r="O10" s="95">
        <f>G18</f>
        <v>0</v>
      </c>
      <c r="P10" s="95">
        <f>Q4</f>
        <v>0</v>
      </c>
      <c r="Q10" s="95">
        <f>Q5</f>
        <v>0</v>
      </c>
      <c r="S10" s="95">
        <v>2.5499999999999998E-2</v>
      </c>
      <c r="T10" s="95">
        <f t="shared" ref="T10" si="5">T9</f>
        <v>1.3000000000000001E-2</v>
      </c>
    </row>
    <row r="11" spans="1:23" x14ac:dyDescent="0.2">
      <c r="I11" s="95"/>
      <c r="J11" s="95"/>
      <c r="K11" s="95">
        <f t="shared" si="2"/>
        <v>0</v>
      </c>
      <c r="L11" s="95">
        <f t="shared" si="3"/>
        <v>0</v>
      </c>
      <c r="S11" s="95">
        <f>S10</f>
        <v>2.5499999999999998E-2</v>
      </c>
      <c r="T11" s="95">
        <f t="shared" ref="T11" si="6">$O$12 * S11 + $Q$9 - $O$12 * $P$9</f>
        <v>2.8333333333333332E-2</v>
      </c>
    </row>
    <row r="12" spans="1:23" x14ac:dyDescent="0.2">
      <c r="I12" s="95"/>
      <c r="J12" s="95"/>
      <c r="K12" s="95">
        <f t="shared" si="2"/>
        <v>0</v>
      </c>
      <c r="L12" s="95">
        <f t="shared" si="3"/>
        <v>0</v>
      </c>
      <c r="N12" s="94" t="s">
        <v>87</v>
      </c>
      <c r="O12" s="95">
        <f>E2 / E1</f>
        <v>1.1111111111111112</v>
      </c>
      <c r="P12" s="94" t="s">
        <v>79</v>
      </c>
      <c r="Q12" s="95">
        <f>(G18 - (G5 - O12 * B5)) / O12</f>
        <v>0</v>
      </c>
      <c r="S12" s="95"/>
      <c r="T12" s="95"/>
    </row>
    <row r="13" spans="1:23" x14ac:dyDescent="0.2">
      <c r="I13" s="95"/>
      <c r="J13" s="95"/>
      <c r="K13" s="95">
        <f t="shared" si="2"/>
        <v>0</v>
      </c>
      <c r="L13" s="95">
        <f t="shared" si="3"/>
        <v>0</v>
      </c>
      <c r="S13" s="95"/>
      <c r="T13" s="95"/>
    </row>
    <row r="14" spans="1:23" x14ac:dyDescent="0.2">
      <c r="I14" s="95"/>
      <c r="J14" s="95"/>
      <c r="K14" s="95">
        <f t="shared" si="2"/>
        <v>0</v>
      </c>
      <c r="L14" s="95">
        <f t="shared" si="3"/>
        <v>0</v>
      </c>
      <c r="S14" s="95"/>
      <c r="T14" s="95"/>
    </row>
    <row r="15" spans="1:23" x14ac:dyDescent="0.2">
      <c r="I15" s="99"/>
      <c r="J15" s="99"/>
      <c r="K15" s="99">
        <f t="shared" si="2"/>
        <v>0</v>
      </c>
      <c r="L15" s="99">
        <f t="shared" si="3"/>
        <v>0</v>
      </c>
      <c r="S15" s="95"/>
      <c r="T15" s="95"/>
    </row>
    <row r="16" spans="1:23" x14ac:dyDescent="0.2">
      <c r="I16" s="76"/>
      <c r="J16" s="76"/>
      <c r="K16" s="76"/>
      <c r="L16" s="76"/>
      <c r="S16" s="95"/>
      <c r="T16" s="95"/>
    </row>
    <row r="17" spans="1:20" x14ac:dyDescent="0.2">
      <c r="A17" s="94" t="s">
        <v>80</v>
      </c>
      <c r="B17" s="95"/>
      <c r="F17" s="94" t="s">
        <v>88</v>
      </c>
      <c r="G17" s="95"/>
      <c r="S17" s="95"/>
      <c r="T17" s="95"/>
    </row>
    <row r="18" spans="1:20" x14ac:dyDescent="0.2">
      <c r="A18" s="94" t="s">
        <v>79</v>
      </c>
      <c r="B18" s="104"/>
      <c r="F18" s="94" t="s">
        <v>82</v>
      </c>
      <c r="G18" s="95"/>
      <c r="S18" s="95"/>
      <c r="T18" s="95"/>
    </row>
    <row r="19" spans="1:20" x14ac:dyDescent="0.2">
      <c r="S19" s="95"/>
      <c r="T19" s="95"/>
    </row>
    <row r="20" spans="1:20" x14ac:dyDescent="0.2">
      <c r="S20" s="95"/>
      <c r="T20" s="95"/>
    </row>
    <row r="21" spans="1:20" x14ac:dyDescent="0.2">
      <c r="S21" s="95"/>
      <c r="T21" s="95"/>
    </row>
  </sheetData>
  <mergeCells count="7">
    <mergeCell ref="I2:L2"/>
    <mergeCell ref="N2:Q2"/>
    <mergeCell ref="N3:O3"/>
    <mergeCell ref="P3:Q3"/>
    <mergeCell ref="I6:L6"/>
    <mergeCell ref="N7:O7"/>
    <mergeCell ref="P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2022-02-21T23:29:14Z</dcterms:created>
  <dcterms:modified xsi:type="dcterms:W3CDTF">2022-02-22T04:12:31Z</dcterms:modified>
</cp:coreProperties>
</file>