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pslab/misc/"/>
    </mc:Choice>
  </mc:AlternateContent>
  <xr:revisionPtr revIDLastSave="0" documentId="8_{4F79DC2A-93E2-194B-8B6A-99C7A405F2D8}" xr6:coauthVersionLast="47" xr6:coauthVersionMax="47" xr10:uidLastSave="{00000000-0000-0000-0000-000000000000}"/>
  <bookViews>
    <workbookView xWindow="14020" yWindow="500" windowWidth="16840" windowHeight="17500" activeTab="4" xr2:uid="{2684C97B-4030-F545-BEA7-514E2D8D01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Sheet2!$A$3:$A$11</definedName>
    <definedName name="_xlchart.v1.1" hidden="1">Sheet2!$E$3:$E$11</definedName>
    <definedName name="_xlchart.v1.2" hidden="1">Sheet2!$A$3:$A$11</definedName>
    <definedName name="_xlchart.v1.3" hidden="1">Sheet2!$E$3:$E$11</definedName>
    <definedName name="_xlchart.v1.4" hidden="1">Sheet2!$A$3:$A$11</definedName>
    <definedName name="_xlchart.v1.5" hidden="1">Sheet2!$E$3:$E$11</definedName>
    <definedName name="_xlchart.v1.6" hidden="1">Sheet2!$A$3:$A$11</definedName>
    <definedName name="_xlchart.v1.7" hidden="1">Sheet2!$E$3:$E$11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16" i="5"/>
  <c r="B15" i="5"/>
  <c r="B14" i="5"/>
  <c r="G13" i="4"/>
  <c r="G12" i="4"/>
  <c r="G11" i="4"/>
  <c r="C12" i="4"/>
  <c r="C13" i="4"/>
  <c r="D3" i="4"/>
  <c r="C21" i="4"/>
  <c r="C20" i="4"/>
  <c r="D4" i="4"/>
  <c r="D5" i="4"/>
  <c r="D6" i="4"/>
  <c r="D7" i="4"/>
  <c r="D8" i="4"/>
  <c r="E3" i="2"/>
  <c r="B4" i="4"/>
  <c r="B5" i="4"/>
  <c r="B6" i="4"/>
  <c r="B7" i="4"/>
  <c r="B8" i="4"/>
  <c r="B3" i="4"/>
  <c r="C18" i="3"/>
  <c r="C21" i="3"/>
  <c r="F7" i="3"/>
  <c r="E5" i="3"/>
  <c r="E3" i="3"/>
  <c r="F5" i="3"/>
  <c r="F3" i="3"/>
  <c r="E7" i="3"/>
  <c r="E8" i="3"/>
  <c r="F8" i="3" s="1"/>
  <c r="G8" i="3" s="1"/>
  <c r="E9" i="3"/>
  <c r="C20" i="3"/>
  <c r="E4" i="3" s="1"/>
  <c r="C19" i="3"/>
  <c r="C15" i="3"/>
  <c r="C16" i="3" s="1"/>
  <c r="C13" i="3"/>
  <c r="D4" i="3"/>
  <c r="D5" i="3"/>
  <c r="D6" i="3"/>
  <c r="D7" i="3"/>
  <c r="D8" i="3"/>
  <c r="D9" i="3"/>
  <c r="D3" i="3"/>
  <c r="G13" i="3"/>
  <c r="F13" i="3"/>
  <c r="C25" i="2"/>
  <c r="E5" i="2"/>
  <c r="C24" i="2"/>
  <c r="E4" i="2"/>
  <c r="E6" i="2"/>
  <c r="E7" i="2"/>
  <c r="E8" i="2"/>
  <c r="E9" i="2"/>
  <c r="E10" i="2"/>
  <c r="E11" i="2"/>
  <c r="D3" i="2"/>
  <c r="D11" i="2"/>
  <c r="D4" i="2"/>
  <c r="D5" i="2"/>
  <c r="D6" i="2"/>
  <c r="D7" i="2"/>
  <c r="D8" i="2"/>
  <c r="D9" i="2"/>
  <c r="D10" i="2"/>
  <c r="B4" i="2"/>
  <c r="B5" i="2"/>
  <c r="B6" i="2"/>
  <c r="B7" i="2"/>
  <c r="B8" i="2"/>
  <c r="B9" i="2"/>
  <c r="B10" i="2"/>
  <c r="B11" i="2"/>
  <c r="B3" i="2"/>
  <c r="G8" i="1"/>
  <c r="G5" i="1"/>
  <c r="G6" i="1"/>
  <c r="G7" i="1"/>
  <c r="G4" i="1"/>
  <c r="F4" i="1"/>
  <c r="F5" i="1"/>
  <c r="F6" i="1"/>
  <c r="F7" i="1"/>
  <c r="F3" i="1"/>
  <c r="E4" i="1"/>
  <c r="E5" i="1"/>
  <c r="E6" i="1"/>
  <c r="E7" i="1"/>
  <c r="E3" i="1"/>
  <c r="C14" i="1"/>
  <c r="C13" i="1"/>
  <c r="C12" i="1"/>
  <c r="C10" i="1"/>
  <c r="D3" i="1"/>
  <c r="B7" i="1"/>
  <c r="B5" i="1"/>
  <c r="B6" i="1"/>
  <c r="B4" i="1"/>
  <c r="D4" i="1"/>
  <c r="C14" i="4" l="1"/>
  <c r="F4" i="4" s="1"/>
  <c r="G4" i="4" s="1"/>
  <c r="G4" i="3"/>
  <c r="F4" i="3"/>
  <c r="G5" i="3"/>
  <c r="F9" i="3"/>
  <c r="G9" i="3" s="1"/>
  <c r="E6" i="3"/>
  <c r="D5" i="1"/>
  <c r="E8" i="4" l="1"/>
  <c r="E3" i="4"/>
  <c r="E4" i="4"/>
  <c r="E6" i="4"/>
  <c r="F8" i="4"/>
  <c r="G8" i="4" s="1"/>
  <c r="E5" i="4"/>
  <c r="F6" i="4"/>
  <c r="G6" i="4" s="1"/>
  <c r="F3" i="4"/>
  <c r="G3" i="4" s="1"/>
  <c r="E7" i="4"/>
  <c r="F7" i="4"/>
  <c r="F5" i="4"/>
  <c r="F6" i="3"/>
  <c r="G6" i="3" s="1"/>
  <c r="D6" i="1"/>
  <c r="G5" i="4" l="1"/>
  <c r="H6" i="4" s="1"/>
  <c r="G7" i="4"/>
  <c r="H7" i="4" s="1"/>
  <c r="H4" i="4"/>
  <c r="G10" i="3"/>
  <c r="F22" i="3" s="1"/>
  <c r="G7" i="3"/>
  <c r="D7" i="1"/>
  <c r="H5" i="4" l="1"/>
  <c r="H8" i="4"/>
  <c r="H9" i="4"/>
</calcChain>
</file>

<file path=xl/sharedStrings.xml><?xml version="1.0" encoding="utf-8"?>
<sst xmlns="http://schemas.openxmlformats.org/spreadsheetml/2006/main" count="86" uniqueCount="54">
  <si>
    <t>Tc</t>
  </si>
  <si>
    <t>Y'</t>
  </si>
  <si>
    <t>H</t>
  </si>
  <si>
    <t>H*</t>
  </si>
  <si>
    <t>m</t>
  </si>
  <si>
    <t>G'</t>
  </si>
  <si>
    <t>L'</t>
  </si>
  <si>
    <t>b</t>
  </si>
  <si>
    <t>h0</t>
  </si>
  <si>
    <t>1 / (H* - H)</t>
  </si>
  <si>
    <t>Ai</t>
  </si>
  <si>
    <t>Ntog</t>
  </si>
  <si>
    <t>Htog</t>
  </si>
  <si>
    <t>T ˚F</t>
  </si>
  <si>
    <t>Y' (lb / lb)</t>
  </si>
  <si>
    <t>H'</t>
  </si>
  <si>
    <t>lb / (h-ft2)</t>
  </si>
  <si>
    <t>ky</t>
  </si>
  <si>
    <t>a</t>
  </si>
  <si>
    <t>ft</t>
  </si>
  <si>
    <t>ft2</t>
  </si>
  <si>
    <t>lb / (h-ft3)</t>
  </si>
  <si>
    <t>T ˚C</t>
  </si>
  <si>
    <t>H* (kJ / kg)</t>
  </si>
  <si>
    <t>H* (BTU / lb)</t>
  </si>
  <si>
    <t>T</t>
  </si>
  <si>
    <t>L</t>
  </si>
  <si>
    <t>Gsmin</t>
  </si>
  <si>
    <t>kya</t>
  </si>
  <si>
    <t>Gs</t>
  </si>
  <si>
    <t>Yop</t>
  </si>
  <si>
    <t>mmin</t>
  </si>
  <si>
    <t>TOTAL</t>
  </si>
  <si>
    <t>z</t>
  </si>
  <si>
    <t>T˚F</t>
  </si>
  <si>
    <t>T˚C</t>
  </si>
  <si>
    <t>G</t>
  </si>
  <si>
    <t>Gmin</t>
  </si>
  <si>
    <t>1/(H* - H)</t>
  </si>
  <si>
    <t>D</t>
  </si>
  <si>
    <t>X1</t>
  </si>
  <si>
    <t>X2</t>
  </si>
  <si>
    <t>X*</t>
  </si>
  <si>
    <t>ps</t>
  </si>
  <si>
    <t>pss</t>
  </si>
  <si>
    <t>v</t>
  </si>
  <si>
    <t>T1</t>
  </si>
  <si>
    <t>Y1</t>
  </si>
  <si>
    <t>XC</t>
  </si>
  <si>
    <t>Xt1</t>
  </si>
  <si>
    <t>Xt2</t>
  </si>
  <si>
    <t>XtC</t>
  </si>
  <si>
    <t>Tw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</si>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</sst>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35.937975265385873</c:v>
                </c:pt>
                <c:pt idx="1">
                  <c:v>41.663484022744967</c:v>
                </c:pt>
                <c:pt idx="2">
                  <c:v>48.145501322360325</c:v>
                </c:pt>
                <c:pt idx="3">
                  <c:v>55.521030175922832</c:v>
                </c:pt>
                <c:pt idx="4">
                  <c:v>63.906024657123233</c:v>
                </c:pt>
                <c:pt idx="5">
                  <c:v>73.494937203351611</c:v>
                </c:pt>
                <c:pt idx="6">
                  <c:v>84.461530538608031</c:v>
                </c:pt>
                <c:pt idx="7">
                  <c:v>97.058829102888495</c:v>
                </c:pt>
                <c:pt idx="8">
                  <c:v>111.57529240774829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8-5D4E-A4CB-20E785389D8C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Sheet2!$B$21:$B$22</c:f>
              <c:numCache>
                <c:formatCode>General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xVal>
          <c:yVal>
            <c:numRef>
              <c:f>Sheet2!$C$21:$C$22</c:f>
              <c:numCache>
                <c:formatCode>General</c:formatCode>
                <c:ptCount val="2"/>
                <c:pt idx="0">
                  <c:v>20.3</c:v>
                </c:pt>
                <c:pt idx="1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8-5D4E-A4CB-20E78538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504"/>
        <c:axId val="21279152"/>
      </c:scatterChart>
      <c:valAx>
        <c:axId val="21277504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152"/>
        <c:crosses val="autoZero"/>
        <c:crossBetween val="midCat"/>
      </c:valAx>
      <c:valAx>
        <c:axId val="21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Sheet3!$B$3:$B$9</c:f>
              <c:numCache>
                <c:formatCode>General</c:formatCode>
                <c:ptCount val="7"/>
                <c:pt idx="0">
                  <c:v>30</c:v>
                </c:pt>
                <c:pt idx="1">
                  <c:v>32.5</c:v>
                </c:pt>
                <c:pt idx="2">
                  <c:v>35</c:v>
                </c:pt>
                <c:pt idx="3">
                  <c:v>37.5</c:v>
                </c:pt>
                <c:pt idx="4">
                  <c:v>40</c:v>
                </c:pt>
                <c:pt idx="5">
                  <c:v>42.5</c:v>
                </c:pt>
                <c:pt idx="6">
                  <c:v>45</c:v>
                </c:pt>
              </c:numCache>
            </c:numRef>
          </c:xVal>
          <c:yVal>
            <c:numRef>
              <c:f>Sheet3!$D$3:$D$9</c:f>
              <c:numCache>
                <c:formatCode>General</c:formatCode>
                <c:ptCount val="7"/>
                <c:pt idx="0">
                  <c:v>99.775492200000002</c:v>
                </c:pt>
                <c:pt idx="1">
                  <c:v>113.6187774</c:v>
                </c:pt>
                <c:pt idx="2">
                  <c:v>129.12121920000001</c:v>
                </c:pt>
                <c:pt idx="3">
                  <c:v>146.60047349999999</c:v>
                </c:pt>
                <c:pt idx="4">
                  <c:v>166.24757399999999</c:v>
                </c:pt>
                <c:pt idx="5">
                  <c:v>188.4356391</c:v>
                </c:pt>
                <c:pt idx="6">
                  <c:v>213.56629560000002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5-ED40-975E-C2FDF929836B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Sheet3!$F$13:$F$14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xVal>
          <c:yVal>
            <c:numRef>
              <c:f>Sheet3!$G$13:$G$14</c:f>
              <c:numCache>
                <c:formatCode>General</c:formatCode>
                <c:ptCount val="2"/>
                <c:pt idx="0">
                  <c:v>75.900000000000006</c:v>
                </c:pt>
                <c:pt idx="1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5-ED40-975E-C2FDF929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5568"/>
        <c:axId val="24297728"/>
      </c:scatterChart>
      <c:valAx>
        <c:axId val="24185568"/>
        <c:scaling>
          <c:orientation val="minMax"/>
          <c:max val="4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7728"/>
        <c:crosses val="autoZero"/>
        <c:crossBetween val="midCat"/>
      </c:valAx>
      <c:valAx>
        <c:axId val="24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Sheet4!$A$3:$A$8</c:f>
              <c:numCache>
                <c:formatCode>General</c:formatCode>
                <c:ptCount val="6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</c:numCache>
            </c:numRef>
          </c:xVal>
          <c:yVal>
            <c:numRef>
              <c:f>Sheet4!$D$3:$D$8</c:f>
              <c:numCache>
                <c:formatCode>General</c:formatCode>
                <c:ptCount val="6"/>
                <c:pt idx="0">
                  <c:v>41.597508314939539</c:v>
                </c:pt>
                <c:pt idx="1">
                  <c:v>48.569709831663289</c:v>
                </c:pt>
                <c:pt idx="2">
                  <c:v>55.421662486528298</c:v>
                </c:pt>
                <c:pt idx="3">
                  <c:v>63.894961351207932</c:v>
                </c:pt>
                <c:pt idx="4">
                  <c:v>74.073059454548456</c:v>
                </c:pt>
                <c:pt idx="5">
                  <c:v>84.339340239700732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F-0747-8D08-432E23077803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Sheet4!$B$17:$B$18</c:f>
              <c:numCache>
                <c:formatCode>General</c:formatCode>
                <c:ptCount val="2"/>
                <c:pt idx="0">
                  <c:v>85</c:v>
                </c:pt>
                <c:pt idx="1">
                  <c:v>110</c:v>
                </c:pt>
              </c:numCache>
            </c:numRef>
          </c:xVal>
          <c:yVal>
            <c:numRef>
              <c:f>Sheet4!$C$17:$C$18</c:f>
              <c:numCache>
                <c:formatCode>General</c:formatCode>
                <c:ptCount val="2"/>
                <c:pt idx="0">
                  <c:v>16</c:v>
                </c:pt>
                <c:pt idx="1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F-0747-8D08-432E2307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816"/>
        <c:axId val="2138498287"/>
      </c:scatterChart>
      <c:valAx>
        <c:axId val="18200816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98287"/>
        <c:crosses val="autoZero"/>
        <c:crossBetween val="midCat"/>
      </c:valAx>
      <c:valAx>
        <c:axId val="2138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4</xdr:row>
      <xdr:rowOff>44450</xdr:rowOff>
    </xdr:from>
    <xdr:to>
      <xdr:col>14</xdr:col>
      <xdr:colOff>698500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D10BF-BFCF-9E17-F4CE-857F5134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671830</xdr:colOff>
      <xdr:row>18</xdr:row>
      <xdr:rowOff>11430</xdr:rowOff>
    </xdr:from>
    <xdr:to>
      <xdr:col>12</xdr:col>
      <xdr:colOff>293370</xdr:colOff>
      <xdr:row>31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5983A-5A64-2317-DF74-9CB04266C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518207</xdr:colOff>
      <xdr:row>20</xdr:row>
      <xdr:rowOff>68189</xdr:rowOff>
    </xdr:from>
    <xdr:to>
      <xdr:col>9</xdr:col>
      <xdr:colOff>137207</xdr:colOff>
      <xdr:row>33</xdr:row>
      <xdr:rowOff>169789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D5317-D41B-7D5D-BD1C-4C4D81A7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61FB-2E90-9141-9B26-DA886843B03E}">
  <dimension ref="B2:G15"/>
  <sheetViews>
    <sheetView workbookViewId="0">
      <selection activeCell="D5" sqref="D5"/>
    </sheetView>
  </sheetViews>
  <sheetFormatPr baseColWidth="10" defaultRowHeight="16" x14ac:dyDescent="0.2"/>
  <sheetData>
    <row r="2" spans="2:7" x14ac:dyDescent="0.2">
      <c r="B2" t="s">
        <v>0</v>
      </c>
      <c r="C2" t="s">
        <v>1</v>
      </c>
      <c r="D2" t="s">
        <v>3</v>
      </c>
      <c r="E2" t="s">
        <v>2</v>
      </c>
      <c r="F2" t="s">
        <v>9</v>
      </c>
      <c r="G2" t="s">
        <v>10</v>
      </c>
    </row>
    <row r="3" spans="2:7" x14ac:dyDescent="0.2">
      <c r="B3">
        <v>25.6</v>
      </c>
      <c r="C3">
        <v>0.02</v>
      </c>
      <c r="D3">
        <f t="shared" ref="D3:D7" si="0">1.005 * B3 + C3 *(2500.9 + 1.82 * B3)</f>
        <v>76.677840000000003</v>
      </c>
      <c r="E3">
        <f>B3 * $C$12 + $C$14</f>
        <v>43.560444000000004</v>
      </c>
      <c r="F3">
        <f>1 / (D3 - E3)</f>
        <v>3.019561079017203E-2</v>
      </c>
    </row>
    <row r="4" spans="2:7" x14ac:dyDescent="0.2">
      <c r="B4">
        <f>B3 + 5.1</f>
        <v>30.700000000000003</v>
      </c>
      <c r="C4">
        <v>2.8000000000000001E-2</v>
      </c>
      <c r="D4">
        <f t="shared" si="0"/>
        <v>102.44317199999999</v>
      </c>
      <c r="E4">
        <f t="shared" ref="E4:E7" si="1">B4 * $C$12 + $C$14</f>
        <v>57.810546797313748</v>
      </c>
      <c r="F4">
        <f t="shared" ref="F4:F7" si="2">1 / (D4 - E4)</f>
        <v>2.240513515525442E-2</v>
      </c>
      <c r="G4">
        <f xml:space="preserve"> 1/2 * (E4 - E3) * (F4 + F3)</f>
        <v>0.37478301846885553</v>
      </c>
    </row>
    <row r="5" spans="2:7" x14ac:dyDescent="0.2">
      <c r="B5">
        <f t="shared" ref="B5:B6" si="3">B4 + 5.1</f>
        <v>35.800000000000004</v>
      </c>
      <c r="C5">
        <v>3.7499999999999999E-2</v>
      </c>
      <c r="D5">
        <f t="shared" si="0"/>
        <v>132.20609999999999</v>
      </c>
      <c r="E5">
        <f t="shared" si="1"/>
        <v>72.060649594627478</v>
      </c>
      <c r="F5">
        <f t="shared" si="2"/>
        <v>1.6626361483040364E-2</v>
      </c>
      <c r="G5">
        <f t="shared" ref="G5:G7" si="4" xml:space="preserve"> 1/2 * (E5 - E4) * (F5 + F4)</f>
        <v>0.27810141971435298</v>
      </c>
    </row>
    <row r="6" spans="2:7" x14ac:dyDescent="0.2">
      <c r="B6">
        <f t="shared" si="3"/>
        <v>40.900000000000006</v>
      </c>
      <c r="C6">
        <v>0.05</v>
      </c>
      <c r="D6">
        <f t="shared" si="0"/>
        <v>169.87140000000002</v>
      </c>
      <c r="E6">
        <f t="shared" si="1"/>
        <v>86.310752391941222</v>
      </c>
      <c r="F6">
        <f t="shared" si="2"/>
        <v>1.1967355790377544E-2</v>
      </c>
      <c r="G6">
        <f t="shared" si="4"/>
        <v>0.20373170525176543</v>
      </c>
    </row>
    <row r="7" spans="2:7" x14ac:dyDescent="0.2">
      <c r="B7">
        <f>B6 + 5.1</f>
        <v>46.000000000000007</v>
      </c>
      <c r="C7">
        <v>7.0999999999999994E-2</v>
      </c>
      <c r="D7">
        <f t="shared" si="0"/>
        <v>229.73802000000001</v>
      </c>
      <c r="E7">
        <f t="shared" si="1"/>
        <v>100.56085518925495</v>
      </c>
      <c r="F7">
        <f t="shared" si="2"/>
        <v>7.7413063018148785E-3</v>
      </c>
      <c r="G7">
        <f t="shared" si="4"/>
        <v>0.14042523040563115</v>
      </c>
    </row>
    <row r="8" spans="2:7" x14ac:dyDescent="0.2">
      <c r="F8" t="s">
        <v>11</v>
      </c>
      <c r="G8">
        <f>SUM(G4:G7)</f>
        <v>0.99704137384060509</v>
      </c>
    </row>
    <row r="10" spans="2:7" x14ac:dyDescent="0.2">
      <c r="B10" t="s">
        <v>6</v>
      </c>
      <c r="C10">
        <f>0.1262 * 1000</f>
        <v>126.2</v>
      </c>
    </row>
    <row r="11" spans="2:7" x14ac:dyDescent="0.2">
      <c r="B11" t="s">
        <v>5</v>
      </c>
      <c r="C11">
        <v>189.11</v>
      </c>
    </row>
    <row r="12" spans="2:7" x14ac:dyDescent="0.2">
      <c r="B12" t="s">
        <v>4</v>
      </c>
      <c r="C12">
        <f>C10 / C11 * 4.187</f>
        <v>2.7941378033948494</v>
      </c>
    </row>
    <row r="13" spans="2:7" x14ac:dyDescent="0.2">
      <c r="B13" t="s">
        <v>8</v>
      </c>
      <c r="C13">
        <f>1.005 * B3 + 0.007 * (2500.9 + 1.82 * B3)</f>
        <v>43.560444000000004</v>
      </c>
    </row>
    <row r="14" spans="2:7" x14ac:dyDescent="0.2">
      <c r="B14" t="s">
        <v>7</v>
      </c>
      <c r="C14">
        <f>C13 - C12 * B3</f>
        <v>-27.969483766908141</v>
      </c>
    </row>
    <row r="15" spans="2:7" x14ac:dyDescent="0.2">
      <c r="B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EB7D-8846-254F-894D-8B4F9BF07415}">
  <dimension ref="A2:F25"/>
  <sheetViews>
    <sheetView workbookViewId="0">
      <selection activeCell="E4" sqref="E4"/>
    </sheetView>
  </sheetViews>
  <sheetFormatPr baseColWidth="10" defaultRowHeight="16" x14ac:dyDescent="0.2"/>
  <cols>
    <col min="5" max="5" width="12" bestFit="1" customWidth="1"/>
  </cols>
  <sheetData>
    <row r="2" spans="1:6" x14ac:dyDescent="0.2">
      <c r="A2" t="s">
        <v>13</v>
      </c>
      <c r="B2" t="s">
        <v>22</v>
      </c>
      <c r="C2" t="s">
        <v>14</v>
      </c>
      <c r="D2" t="s">
        <v>23</v>
      </c>
      <c r="E2" t="s">
        <v>24</v>
      </c>
      <c r="F2" t="s">
        <v>15</v>
      </c>
    </row>
    <row r="3" spans="1:6" x14ac:dyDescent="0.2">
      <c r="A3">
        <v>80</v>
      </c>
      <c r="B3">
        <f>CONVERT(A3, "F", "C")</f>
        <v>26.666666666666664</v>
      </c>
      <c r="C3">
        <v>2.2249999999999999E-2</v>
      </c>
      <c r="D3">
        <f>(1.005 + 1.88 * C3) * B3 + 2502.3 * C3</f>
        <v>83.591641666666661</v>
      </c>
      <c r="E3">
        <f>D3 * 0.947817 / 2.20462</f>
        <v>35.937975265385873</v>
      </c>
    </row>
    <row r="4" spans="1:6" x14ac:dyDescent="0.2">
      <c r="A4">
        <v>85</v>
      </c>
      <c r="B4">
        <f t="shared" ref="B4:B11" si="0">CONVERT(A4, "F", "C")</f>
        <v>29.444444444444443</v>
      </c>
      <c r="C4">
        <v>2.632E-2</v>
      </c>
      <c r="D4">
        <f t="shared" ref="D4:D10" si="1">(1.005 + 1.88 * C4) * B4 + 2502.3 * C4</f>
        <v>96.909160888888891</v>
      </c>
      <c r="E4">
        <f t="shared" ref="E4:E11" si="2">D4 * 0.947817 / 2.20462</f>
        <v>41.663484022744967</v>
      </c>
    </row>
    <row r="5" spans="1:6" x14ac:dyDescent="0.2">
      <c r="A5">
        <v>90</v>
      </c>
      <c r="B5">
        <f t="shared" si="0"/>
        <v>32.222222222222221</v>
      </c>
      <c r="C5">
        <v>3.1060000000000001E-2</v>
      </c>
      <c r="D5">
        <f t="shared" si="1"/>
        <v>111.98631711111111</v>
      </c>
      <c r="E5">
        <f>D5 * 0.947817 / 2.20462</f>
        <v>48.145501322360325</v>
      </c>
    </row>
    <row r="6" spans="1:6" x14ac:dyDescent="0.2">
      <c r="A6">
        <v>95</v>
      </c>
      <c r="B6">
        <f t="shared" si="0"/>
        <v>35</v>
      </c>
      <c r="C6">
        <v>3.6589999999999998E-2</v>
      </c>
      <c r="D6">
        <f t="shared" si="1"/>
        <v>129.14177899999999</v>
      </c>
      <c r="E6">
        <f t="shared" si="2"/>
        <v>55.521030175922832</v>
      </c>
    </row>
    <row r="7" spans="1:6" x14ac:dyDescent="0.2">
      <c r="A7">
        <v>100</v>
      </c>
      <c r="B7">
        <f t="shared" si="0"/>
        <v>37.777777777777779</v>
      </c>
      <c r="C7">
        <v>4.301E-2</v>
      </c>
      <c r="D7">
        <f t="shared" si="1"/>
        <v>148.64525544444444</v>
      </c>
      <c r="E7">
        <f t="shared" si="2"/>
        <v>63.906024657123233</v>
      </c>
    </row>
    <row r="8" spans="1:6" x14ac:dyDescent="0.2">
      <c r="A8">
        <v>105</v>
      </c>
      <c r="B8">
        <f t="shared" si="0"/>
        <v>40.555555555555557</v>
      </c>
      <c r="C8">
        <v>5.049E-2</v>
      </c>
      <c r="D8">
        <f t="shared" si="1"/>
        <v>170.94904233333335</v>
      </c>
      <c r="E8">
        <f t="shared" si="2"/>
        <v>73.494937203351611</v>
      </c>
    </row>
    <row r="9" spans="1:6" x14ac:dyDescent="0.2">
      <c r="A9">
        <v>110</v>
      </c>
      <c r="B9">
        <f t="shared" si="0"/>
        <v>43.333333333333336</v>
      </c>
      <c r="C9">
        <v>5.9180000000000003E-2</v>
      </c>
      <c r="D9">
        <f t="shared" si="1"/>
        <v>196.45731133333334</v>
      </c>
      <c r="E9">
        <f t="shared" si="2"/>
        <v>84.461530538608031</v>
      </c>
    </row>
    <row r="10" spans="1:6" x14ac:dyDescent="0.2">
      <c r="A10">
        <v>115</v>
      </c>
      <c r="B10">
        <f t="shared" si="0"/>
        <v>46.111111111111107</v>
      </c>
      <c r="C10">
        <v>6.93E-2</v>
      </c>
      <c r="D10">
        <f t="shared" si="1"/>
        <v>225.75859666666668</v>
      </c>
      <c r="E10">
        <f t="shared" si="2"/>
        <v>97.058829102888495</v>
      </c>
    </row>
    <row r="11" spans="1:6" x14ac:dyDescent="0.2">
      <c r="A11">
        <v>120</v>
      </c>
      <c r="B11">
        <f t="shared" si="0"/>
        <v>48.888888888888886</v>
      </c>
      <c r="C11">
        <v>8.1100000000000005E-2</v>
      </c>
      <c r="D11">
        <f>(1.005 + 1.88 * C11) * B11 + 2502.3 * C11</f>
        <v>259.52385444444445</v>
      </c>
      <c r="E11">
        <f t="shared" si="2"/>
        <v>111.57529240774829</v>
      </c>
    </row>
    <row r="13" spans="1:6" x14ac:dyDescent="0.2">
      <c r="B13" t="s">
        <v>6</v>
      </c>
      <c r="C13">
        <v>800</v>
      </c>
      <c r="D13" t="s">
        <v>16</v>
      </c>
    </row>
    <row r="14" spans="1:6" x14ac:dyDescent="0.2">
      <c r="B14" t="s">
        <v>17</v>
      </c>
      <c r="C14">
        <v>80</v>
      </c>
      <c r="D14" t="s">
        <v>21</v>
      </c>
    </row>
    <row r="15" spans="1:6" x14ac:dyDescent="0.2">
      <c r="B15" t="s">
        <v>18</v>
      </c>
      <c r="C15">
        <v>20</v>
      </c>
      <c r="D15" t="s">
        <v>20</v>
      </c>
    </row>
    <row r="20" spans="2:3" x14ac:dyDescent="0.2">
      <c r="B20" t="s">
        <v>25</v>
      </c>
      <c r="C20" t="s">
        <v>2</v>
      </c>
    </row>
    <row r="21" spans="2:3" x14ac:dyDescent="0.2">
      <c r="B21">
        <v>80</v>
      </c>
      <c r="C21">
        <v>20.3</v>
      </c>
    </row>
    <row r="22" spans="2:3" x14ac:dyDescent="0.2">
      <c r="B22">
        <v>120</v>
      </c>
      <c r="C22">
        <v>105</v>
      </c>
    </row>
    <row r="24" spans="2:3" x14ac:dyDescent="0.2">
      <c r="B24" t="s">
        <v>4</v>
      </c>
      <c r="C24">
        <f>(C22 - C21) / (B22 - B21)</f>
        <v>2.1175000000000002</v>
      </c>
    </row>
    <row r="25" spans="2:3" x14ac:dyDescent="0.2">
      <c r="C25">
        <f>C13 / C24 * (4.187 *  0.947817 / 2.20462)</f>
        <v>680.08043325823769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7F94-2A63-E649-9B63-D963D3E2F2CB}">
  <dimension ref="B2:G22"/>
  <sheetViews>
    <sheetView zoomScale="125" workbookViewId="0">
      <selection activeCell="F6" sqref="F6"/>
    </sheetView>
  </sheetViews>
  <sheetFormatPr baseColWidth="10" defaultRowHeight="16" x14ac:dyDescent="0.2"/>
  <sheetData>
    <row r="2" spans="2:7" x14ac:dyDescent="0.2">
      <c r="B2" t="s">
        <v>25</v>
      </c>
      <c r="C2" t="s">
        <v>1</v>
      </c>
      <c r="D2" t="s">
        <v>3</v>
      </c>
      <c r="E2" t="s">
        <v>2</v>
      </c>
      <c r="F2" t="s">
        <v>9</v>
      </c>
      <c r="G2" t="s">
        <v>10</v>
      </c>
    </row>
    <row r="3" spans="2:7" x14ac:dyDescent="0.2">
      <c r="B3">
        <v>30</v>
      </c>
      <c r="C3">
        <v>2.7210000000000002E-2</v>
      </c>
      <c r="D3">
        <f>(1.005 + 1.884 * C3) * B3 + 2502.3 * C3</f>
        <v>99.775492200000002</v>
      </c>
      <c r="E3">
        <f>B3 * $C$19 + $C$20</f>
        <v>75.948939999999993</v>
      </c>
      <c r="F3">
        <f xml:space="preserve"> 1 / (D3 - E3)</f>
        <v>4.1969983386853579E-2</v>
      </c>
    </row>
    <row r="4" spans="2:7" x14ac:dyDescent="0.2">
      <c r="B4">
        <v>32.5</v>
      </c>
      <c r="C4">
        <v>3.1579999999999997E-2</v>
      </c>
      <c r="D4">
        <f t="shared" ref="D4:D9" si="0">(1.005 + 1.884 * C4) * B4 + 2502.3 * C4</f>
        <v>113.6187774</v>
      </c>
      <c r="E4">
        <f>B4 * $C$19 + $C$20</f>
        <v>93.562273333333337</v>
      </c>
      <c r="F4">
        <f t="shared" ref="F4:F9" si="1" xml:space="preserve"> 1 / (D4 - E4)</f>
        <v>4.985913779769683E-2</v>
      </c>
      <c r="G4">
        <f>1/2 * (E4 - E3) * (F4 + F3)</f>
        <v>0.80870846056527446</v>
      </c>
    </row>
    <row r="5" spans="2:7" x14ac:dyDescent="0.2">
      <c r="B5">
        <v>35</v>
      </c>
      <c r="C5">
        <v>3.6580000000000001E-2</v>
      </c>
      <c r="D5">
        <f t="shared" si="0"/>
        <v>129.12121920000001</v>
      </c>
      <c r="E5">
        <f>B5 * $C$19 + $C$20</f>
        <v>111.17560666666665</v>
      </c>
      <c r="F5">
        <f t="shared" si="1"/>
        <v>5.5723926845212685E-2</v>
      </c>
      <c r="G5">
        <f t="shared" ref="G5:G9" si="2">1/2 * (E5 - E4) * (F5 + F4)</f>
        <v>0.92983485595522208</v>
      </c>
    </row>
    <row r="6" spans="2:7" x14ac:dyDescent="0.2">
      <c r="B6">
        <v>37.5</v>
      </c>
      <c r="C6">
        <v>4.233E-2</v>
      </c>
      <c r="D6">
        <f t="shared" si="0"/>
        <v>146.60047349999999</v>
      </c>
      <c r="E6">
        <f t="shared" ref="E4:E9" si="3">B6 * $C$19 + $C$20</f>
        <v>128.78893999999997</v>
      </c>
      <c r="F6">
        <f t="shared" si="1"/>
        <v>5.6143397198225441E-2</v>
      </c>
      <c r="G6">
        <f t="shared" si="2"/>
        <v>0.98517823374254421</v>
      </c>
    </row>
    <row r="7" spans="2:7" x14ac:dyDescent="0.2">
      <c r="B7">
        <v>40</v>
      </c>
      <c r="C7">
        <v>4.8899999999999999E-2</v>
      </c>
      <c r="D7">
        <f t="shared" si="0"/>
        <v>166.24757399999999</v>
      </c>
      <c r="E7">
        <f t="shared" si="3"/>
        <v>146.40227333333331</v>
      </c>
      <c r="F7">
        <f xml:space="preserve"> 1 / (D7 - E7)</f>
        <v>5.0389763138215304E-2</v>
      </c>
      <c r="G7">
        <f t="shared" si="2"/>
        <v>0.93820203202958874</v>
      </c>
    </row>
    <row r="8" spans="2:7" x14ac:dyDescent="0.2">
      <c r="B8">
        <v>42.5</v>
      </c>
      <c r="C8">
        <v>5.6430000000000001E-2</v>
      </c>
      <c r="D8">
        <f t="shared" si="0"/>
        <v>188.4356391</v>
      </c>
      <c r="E8">
        <f t="shared" si="3"/>
        <v>164.01560666666666</v>
      </c>
      <c r="F8">
        <f t="shared" si="1"/>
        <v>4.0949986562466636E-2</v>
      </c>
      <c r="G8">
        <f t="shared" si="2"/>
        <v>0.80439872903067278</v>
      </c>
    </row>
    <row r="9" spans="2:7" x14ac:dyDescent="0.2">
      <c r="B9">
        <v>45</v>
      </c>
      <c r="C9">
        <v>6.5070000000000003E-2</v>
      </c>
      <c r="D9">
        <f t="shared" si="0"/>
        <v>213.56629560000002</v>
      </c>
      <c r="E9">
        <f t="shared" si="3"/>
        <v>181.62894</v>
      </c>
      <c r="F9">
        <f t="shared" si="1"/>
        <v>3.1311296167551184E-2</v>
      </c>
      <c r="G9">
        <f t="shared" si="2"/>
        <v>0.63638102990902401</v>
      </c>
    </row>
    <row r="10" spans="2:7" x14ac:dyDescent="0.2">
      <c r="F10" t="s">
        <v>11</v>
      </c>
      <c r="G10">
        <f>SUM(G3:G9)</f>
        <v>5.1027033412323259</v>
      </c>
    </row>
    <row r="11" spans="2:7" x14ac:dyDescent="0.2">
      <c r="B11" t="s">
        <v>26</v>
      </c>
      <c r="C11">
        <v>5500</v>
      </c>
    </row>
    <row r="12" spans="2:7" x14ac:dyDescent="0.2">
      <c r="F12" t="s">
        <v>25</v>
      </c>
      <c r="G12" t="s">
        <v>2</v>
      </c>
    </row>
    <row r="13" spans="2:7" x14ac:dyDescent="0.2">
      <c r="B13" t="s">
        <v>31</v>
      </c>
      <c r="C13">
        <f>(G14 - G13) / (F14 - F13)</f>
        <v>8.8066666666666666</v>
      </c>
      <c r="F13">
        <f>B3</f>
        <v>30</v>
      </c>
      <c r="G13">
        <f>75.9</f>
        <v>75.900000000000006</v>
      </c>
    </row>
    <row r="14" spans="2:7" x14ac:dyDescent="0.2">
      <c r="B14" t="s">
        <v>28</v>
      </c>
      <c r="C14">
        <v>2500</v>
      </c>
      <c r="F14">
        <v>45</v>
      </c>
      <c r="G14">
        <v>208</v>
      </c>
    </row>
    <row r="15" spans="2:7" x14ac:dyDescent="0.2">
      <c r="B15" t="s">
        <v>27</v>
      </c>
      <c r="C15">
        <f>C11 * 4.187 / C13</f>
        <v>2614.894019682059</v>
      </c>
    </row>
    <row r="16" spans="2:7" x14ac:dyDescent="0.2">
      <c r="B16" t="s">
        <v>29</v>
      </c>
      <c r="C16">
        <f>1.25 * C15</f>
        <v>3268.6175246025737</v>
      </c>
    </row>
    <row r="17" spans="2:6" x14ac:dyDescent="0.2">
      <c r="B17" t="s">
        <v>30</v>
      </c>
      <c r="C17">
        <v>1.7899999999999999E-2</v>
      </c>
    </row>
    <row r="18" spans="2:6" x14ac:dyDescent="0.2">
      <c r="B18" t="s">
        <v>8</v>
      </c>
      <c r="C18">
        <f>(1.005 + 1.88 *C17) * B3 + 2502.2 * C17</f>
        <v>75.948939999999993</v>
      </c>
    </row>
    <row r="19" spans="2:6" x14ac:dyDescent="0.2">
      <c r="B19" t="s">
        <v>4</v>
      </c>
      <c r="C19">
        <f>C11 / C16 * 4.187</f>
        <v>7.0453333333333337</v>
      </c>
    </row>
    <row r="20" spans="2:6" x14ac:dyDescent="0.2">
      <c r="B20" t="s">
        <v>7</v>
      </c>
      <c r="C20">
        <f>C18 - C19 * B3</f>
        <v>-135.41106000000002</v>
      </c>
    </row>
    <row r="21" spans="2:6" x14ac:dyDescent="0.2">
      <c r="B21" t="s">
        <v>12</v>
      </c>
      <c r="C21">
        <f>C16 / C14</f>
        <v>1.3074470098410296</v>
      </c>
    </row>
    <row r="22" spans="2:6" x14ac:dyDescent="0.2">
      <c r="E22" t="s">
        <v>33</v>
      </c>
      <c r="F22">
        <f>C21 * G10</f>
        <v>6.6715142256000357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21A3-7086-8E41-AAF4-06C7DCDD2497}">
  <dimension ref="A2:H21"/>
  <sheetViews>
    <sheetView zoomScale="107" workbookViewId="0">
      <selection activeCell="G14" sqref="G14"/>
    </sheetView>
  </sheetViews>
  <sheetFormatPr baseColWidth="10" defaultRowHeight="16" x14ac:dyDescent="0.2"/>
  <sheetData>
    <row r="2" spans="1:8" x14ac:dyDescent="0.2">
      <c r="A2" t="s">
        <v>34</v>
      </c>
      <c r="B2" t="s">
        <v>35</v>
      </c>
      <c r="C2" t="s">
        <v>1</v>
      </c>
      <c r="D2" t="s">
        <v>3</v>
      </c>
      <c r="E2" t="s">
        <v>2</v>
      </c>
      <c r="F2" t="s">
        <v>2</v>
      </c>
      <c r="G2" t="s">
        <v>38</v>
      </c>
      <c r="H2" t="s">
        <v>10</v>
      </c>
    </row>
    <row r="3" spans="1:8" x14ac:dyDescent="0.2">
      <c r="A3">
        <v>85</v>
      </c>
      <c r="B3">
        <f>CONVERT(A3, "F", "C")</f>
        <v>29.444444444444443</v>
      </c>
      <c r="C3">
        <v>2.6259999999999999E-2</v>
      </c>
      <c r="D3">
        <f>((1.005+1.88*C3)*B3+2502.3*C3)*0.947817/2.20462</f>
        <v>41.597508314939539</v>
      </c>
      <c r="E3">
        <f>$C$12 * B3 + $C$14</f>
        <v>67.956500000000005</v>
      </c>
      <c r="F3">
        <f>($C$12 * B3 + $C$14) *0.947817/2.20462</f>
        <v>29.216067150121113</v>
      </c>
      <c r="G3">
        <f>1 / (D3 - F3)</f>
        <v>8.0766042231131902E-2</v>
      </c>
    </row>
    <row r="4" spans="1:8" x14ac:dyDescent="0.2">
      <c r="A4">
        <v>90</v>
      </c>
      <c r="B4">
        <f t="shared" ref="B4:B8" si="0">CONVERT(A4, "F", "C")</f>
        <v>32.222222222222221</v>
      </c>
      <c r="C4">
        <v>3.1445000000000001E-2</v>
      </c>
      <c r="D4">
        <f t="shared" ref="D4:D8" si="1">((1.005+1.88*C4)*B4+2502.3*C4)*0.947817/2.20462</f>
        <v>48.569709831663289</v>
      </c>
      <c r="E4">
        <f t="shared" ref="E4:E8" si="2">$C$12 * B4 + $C$14</f>
        <v>84.571579365079373</v>
      </c>
      <c r="F4">
        <f t="shared" ref="F4:F8" si="3">($C$12 * B4 + $C$14) *0.947817/2.20462</f>
        <v>36.359273089725868</v>
      </c>
      <c r="G4">
        <f t="shared" ref="G4:G8" si="4">1 / (D4 - F4)</f>
        <v>8.1897152504418175E-2</v>
      </c>
      <c r="H4">
        <f>1/2 * (F4 - F3) * (G4 + G3)</f>
        <v>0.58096834939503306</v>
      </c>
    </row>
    <row r="5" spans="1:8" x14ac:dyDescent="0.2">
      <c r="A5">
        <v>95</v>
      </c>
      <c r="B5">
        <f t="shared" si="0"/>
        <v>35</v>
      </c>
      <c r="C5">
        <v>3.6499999999999998E-2</v>
      </c>
      <c r="D5">
        <f t="shared" si="1"/>
        <v>55.421662486528298</v>
      </c>
      <c r="E5">
        <f>$C$12 * B5 + $C$14</f>
        <v>101.18665873015874</v>
      </c>
      <c r="F5">
        <f t="shared" si="3"/>
        <v>43.502479029330622</v>
      </c>
      <c r="G5">
        <f t="shared" si="4"/>
        <v>8.3898364648135923E-2</v>
      </c>
      <c r="H5">
        <f t="shared" ref="H5:H8" si="5">1/2 * (F5 - F4) * (G5 + G4)</f>
        <v>0.59215576144198323</v>
      </c>
    </row>
    <row r="6" spans="1:8" x14ac:dyDescent="0.2">
      <c r="A6">
        <v>100</v>
      </c>
      <c r="B6">
        <f t="shared" si="0"/>
        <v>37.777777777777779</v>
      </c>
      <c r="C6">
        <v>4.2999999999999997E-2</v>
      </c>
      <c r="D6">
        <f t="shared" si="1"/>
        <v>63.894961351207932</v>
      </c>
      <c r="E6">
        <f t="shared" si="2"/>
        <v>117.80173809523811</v>
      </c>
      <c r="F6">
        <f t="shared" si="3"/>
        <v>50.645684968935377</v>
      </c>
      <c r="G6">
        <f t="shared" si="4"/>
        <v>7.547582004840607E-2</v>
      </c>
      <c r="H6">
        <f t="shared" si="5"/>
        <v>0.56922131137200205</v>
      </c>
    </row>
    <row r="7" spans="1:8" x14ac:dyDescent="0.2">
      <c r="A7">
        <v>105</v>
      </c>
      <c r="B7">
        <f t="shared" si="0"/>
        <v>40.555555555555557</v>
      </c>
      <c r="C7">
        <v>5.1011500000000001E-2</v>
      </c>
      <c r="D7">
        <f t="shared" si="1"/>
        <v>74.073059454548456</v>
      </c>
      <c r="E7">
        <f t="shared" si="2"/>
        <v>134.41681746031747</v>
      </c>
      <c r="F7">
        <f t="shared" si="3"/>
        <v>57.788890908540132</v>
      </c>
      <c r="G7">
        <f t="shared" si="4"/>
        <v>6.1409337368049176E-2</v>
      </c>
      <c r="H7">
        <f t="shared" si="5"/>
        <v>0.48889943475047748</v>
      </c>
    </row>
    <row r="8" spans="1:8" x14ac:dyDescent="0.2">
      <c r="A8">
        <v>110</v>
      </c>
      <c r="B8">
        <f t="shared" si="0"/>
        <v>43.333333333333336</v>
      </c>
      <c r="C8">
        <v>5.9069999999999998E-2</v>
      </c>
      <c r="D8">
        <f t="shared" si="1"/>
        <v>84.339340239700732</v>
      </c>
      <c r="E8">
        <f t="shared" si="2"/>
        <v>151.03189682539684</v>
      </c>
      <c r="F8">
        <f t="shared" si="3"/>
        <v>64.93209684814488</v>
      </c>
      <c r="G8">
        <f t="shared" si="4"/>
        <v>5.1527153023448083E-2</v>
      </c>
      <c r="H8">
        <f t="shared" si="5"/>
        <v>0.40336430448132887</v>
      </c>
    </row>
    <row r="9" spans="1:8" x14ac:dyDescent="0.2">
      <c r="G9" t="s">
        <v>32</v>
      </c>
      <c r="H9">
        <f>SUM(H4:H8)</f>
        <v>2.6346091614408245</v>
      </c>
    </row>
    <row r="10" spans="1:8" x14ac:dyDescent="0.2">
      <c r="B10" t="s">
        <v>26</v>
      </c>
      <c r="C10">
        <v>2000</v>
      </c>
    </row>
    <row r="11" spans="1:8" x14ac:dyDescent="0.2">
      <c r="B11" t="s">
        <v>36</v>
      </c>
      <c r="C11">
        <v>1400</v>
      </c>
      <c r="G11">
        <f>C11 / 6.9</f>
        <v>202.89855072463766</v>
      </c>
    </row>
    <row r="12" spans="1:8" x14ac:dyDescent="0.2">
      <c r="B12" t="s">
        <v>4</v>
      </c>
      <c r="C12">
        <f>(C10 * 4.187) / C11</f>
        <v>5.9814285714285713</v>
      </c>
      <c r="G12">
        <f>G11 * H9</f>
        <v>534.55838058219626</v>
      </c>
      <c r="H12" t="s">
        <v>19</v>
      </c>
    </row>
    <row r="13" spans="1:8" x14ac:dyDescent="0.2">
      <c r="B13" t="s">
        <v>8</v>
      </c>
      <c r="C13">
        <f>((1.005 + 1.88 * 0.015)* B3 + 2502.3 * 0.015)</f>
        <v>67.956500000000005</v>
      </c>
      <c r="G13">
        <f>CONVERT(G12,"ft","m")</f>
        <v>162.93339440145343</v>
      </c>
    </row>
    <row r="14" spans="1:8" x14ac:dyDescent="0.2">
      <c r="B14" t="s">
        <v>7</v>
      </c>
      <c r="C14">
        <f>C13 - C12 * B3</f>
        <v>-108.16334126984125</v>
      </c>
    </row>
    <row r="16" spans="1:8" x14ac:dyDescent="0.2">
      <c r="B16" t="s">
        <v>25</v>
      </c>
      <c r="C16" t="s">
        <v>2</v>
      </c>
    </row>
    <row r="17" spans="2:3" x14ac:dyDescent="0.2">
      <c r="B17">
        <v>85</v>
      </c>
      <c r="C17">
        <v>16</v>
      </c>
    </row>
    <row r="18" spans="2:3" x14ac:dyDescent="0.2">
      <c r="B18">
        <v>110</v>
      </c>
      <c r="C18">
        <v>83</v>
      </c>
    </row>
    <row r="20" spans="2:3" x14ac:dyDescent="0.2">
      <c r="B20" t="s">
        <v>31</v>
      </c>
      <c r="C20">
        <f>(C18 - C17) / (B18 - B17)</f>
        <v>2.68</v>
      </c>
    </row>
    <row r="21" spans="2:3" x14ac:dyDescent="0.2">
      <c r="B21" t="s">
        <v>37</v>
      </c>
      <c r="C21">
        <f>C10 * (4.187 * 0.947817/2.20462) / C20</f>
        <v>1343.3491767017892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7209-BEFE-B94F-AF6D-A9672B926016}">
  <dimension ref="A2:E16"/>
  <sheetViews>
    <sheetView tabSelected="1" workbookViewId="0">
      <selection activeCell="E6" sqref="E6"/>
    </sheetView>
  </sheetViews>
  <sheetFormatPr baseColWidth="10" defaultRowHeight="16" x14ac:dyDescent="0.2"/>
  <sheetData>
    <row r="2" spans="1:5" x14ac:dyDescent="0.2">
      <c r="A2" t="s">
        <v>39</v>
      </c>
      <c r="B2">
        <v>1.4999999999999999E-2</v>
      </c>
      <c r="C2" t="s">
        <v>4</v>
      </c>
      <c r="D2" t="s">
        <v>46</v>
      </c>
      <c r="E2">
        <v>120</v>
      </c>
    </row>
    <row r="3" spans="1:5" x14ac:dyDescent="0.2">
      <c r="A3" t="s">
        <v>49</v>
      </c>
      <c r="B3">
        <v>1.5</v>
      </c>
      <c r="D3" t="s">
        <v>47</v>
      </c>
      <c r="E3">
        <v>0.05</v>
      </c>
    </row>
    <row r="4" spans="1:5" x14ac:dyDescent="0.2">
      <c r="A4" t="s">
        <v>42</v>
      </c>
      <c r="B4">
        <v>0.01</v>
      </c>
      <c r="D4" t="s">
        <v>52</v>
      </c>
      <c r="E4">
        <v>48.5</v>
      </c>
    </row>
    <row r="5" spans="1:5" x14ac:dyDescent="0.2">
      <c r="A5" t="s">
        <v>50</v>
      </c>
      <c r="B5">
        <v>0.2</v>
      </c>
      <c r="D5" t="s">
        <v>53</v>
      </c>
      <c r="E5">
        <f>2395 + (2383 - 2395) / (50 - 45) * (E4 - 45)</f>
        <v>2386.6</v>
      </c>
    </row>
    <row r="6" spans="1:5" x14ac:dyDescent="0.2">
      <c r="A6" t="s">
        <v>33</v>
      </c>
      <c r="B6">
        <v>0.05</v>
      </c>
    </row>
    <row r="7" spans="1:5" x14ac:dyDescent="0.2">
      <c r="A7" t="s">
        <v>43</v>
      </c>
      <c r="B7">
        <v>560</v>
      </c>
    </row>
    <row r="8" spans="1:5" x14ac:dyDescent="0.2">
      <c r="A8" t="s">
        <v>44</v>
      </c>
      <c r="B8">
        <v>1400</v>
      </c>
    </row>
    <row r="9" spans="1:5" x14ac:dyDescent="0.2">
      <c r="A9" t="s">
        <v>45</v>
      </c>
      <c r="B9">
        <v>0.8</v>
      </c>
    </row>
    <row r="10" spans="1:5" x14ac:dyDescent="0.2">
      <c r="A10" t="s">
        <v>46</v>
      </c>
      <c r="B10">
        <v>120</v>
      </c>
    </row>
    <row r="11" spans="1:5" x14ac:dyDescent="0.2">
      <c r="A11" t="s">
        <v>47</v>
      </c>
      <c r="B11">
        <v>0.05</v>
      </c>
    </row>
    <row r="12" spans="1:5" x14ac:dyDescent="0.2">
      <c r="A12" t="s">
        <v>51</v>
      </c>
      <c r="B12">
        <v>0.5</v>
      </c>
    </row>
    <row r="14" spans="1:5" x14ac:dyDescent="0.2">
      <c r="A14" t="s">
        <v>40</v>
      </c>
      <c r="B14">
        <f>B3 - B4</f>
        <v>1.49</v>
      </c>
    </row>
    <row r="15" spans="1:5" x14ac:dyDescent="0.2">
      <c r="A15" t="s">
        <v>41</v>
      </c>
      <c r="B15">
        <f>B5 - B4</f>
        <v>0.19</v>
      </c>
    </row>
    <row r="16" spans="1:5" x14ac:dyDescent="0.2">
      <c r="A16" t="s">
        <v>48</v>
      </c>
      <c r="B16">
        <f>B12 - B4</f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2022-05-15T20:23:31Z</dcterms:created>
  <dcterms:modified xsi:type="dcterms:W3CDTF">2022-05-16T06:08:00Z</dcterms:modified>
</cp:coreProperties>
</file>