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225" windowHeight="9120"/>
  </bookViews>
  <sheets>
    <sheet name="Sheet1" sheetId="1" r:id="rId1"/>
    <sheet name="Baseline" sheetId="5" r:id="rId2"/>
    <sheet name="Scenario_I" sheetId="6" r:id="rId3"/>
  </sheets>
  <calcPr calcId="125725"/>
</workbook>
</file>

<file path=xl/calcChain.xml><?xml version="1.0" encoding="utf-8"?>
<calcChain xmlns="http://schemas.openxmlformats.org/spreadsheetml/2006/main">
  <c r="Y111" i="5"/>
  <c r="U111"/>
  <c r="Q111"/>
  <c r="M111"/>
  <c r="I111"/>
  <c r="E111"/>
  <c r="AC8"/>
  <c r="P82"/>
  <c r="P58"/>
  <c r="P34"/>
  <c r="P22"/>
  <c r="P94"/>
  <c r="P70"/>
  <c r="P46"/>
  <c r="AK56"/>
  <c r="AI57"/>
  <c r="AJ56"/>
  <c r="AI56"/>
  <c r="AJ45"/>
  <c r="AH48"/>
  <c r="AI48"/>
  <c r="AJ48"/>
  <c r="AK48"/>
  <c r="AH49"/>
  <c r="AI49"/>
  <c r="AJ49"/>
  <c r="AK49"/>
  <c r="AH50"/>
  <c r="AI50"/>
  <c r="AJ50"/>
  <c r="AK50"/>
  <c r="AH51"/>
  <c r="AI51"/>
  <c r="AJ51"/>
  <c r="AK51"/>
  <c r="AH52"/>
  <c r="AI52"/>
  <c r="AJ52"/>
  <c r="AK52"/>
  <c r="AH53"/>
  <c r="AI53"/>
  <c r="AJ53"/>
  <c r="AK53"/>
  <c r="AH54"/>
  <c r="AI54"/>
  <c r="AJ54"/>
  <c r="AK54"/>
  <c r="AG54"/>
  <c r="AG53"/>
  <c r="AG52"/>
  <c r="AG51"/>
  <c r="AG50"/>
  <c r="AG49"/>
  <c r="AG48"/>
  <c r="AL37"/>
  <c r="AL54" s="1"/>
  <c r="AK45"/>
  <c r="AK38"/>
  <c r="AK39"/>
  <c r="AK40"/>
  <c r="AK41"/>
  <c r="AK42"/>
  <c r="AK43"/>
  <c r="AK37"/>
  <c r="AJ38"/>
  <c r="AJ39"/>
  <c r="AJ40"/>
  <c r="AJ41"/>
  <c r="AJ42"/>
  <c r="AJ43"/>
  <c r="AJ37"/>
  <c r="AH37"/>
  <c r="AH38"/>
  <c r="AH39"/>
  <c r="AH40"/>
  <c r="AH41"/>
  <c r="AH42"/>
  <c r="AH43"/>
  <c r="AC103"/>
  <c r="AC101"/>
  <c r="AC100"/>
  <c r="AC98"/>
  <c r="AC97"/>
  <c r="AC95"/>
  <c r="AC94"/>
  <c r="AC92"/>
  <c r="AC91"/>
  <c r="AC89"/>
  <c r="AC88"/>
  <c r="AC86"/>
  <c r="AC85"/>
  <c r="AC83"/>
  <c r="AC82"/>
  <c r="AC80"/>
  <c r="AC79"/>
  <c r="AC77"/>
  <c r="AC76"/>
  <c r="AC74"/>
  <c r="AC73"/>
  <c r="AC71"/>
  <c r="AC70"/>
  <c r="AC68"/>
  <c r="AC67"/>
  <c r="AC65"/>
  <c r="AC64"/>
  <c r="AC62"/>
  <c r="AC61"/>
  <c r="AC59"/>
  <c r="AC58"/>
  <c r="AC56"/>
  <c r="AC55"/>
  <c r="AC53"/>
  <c r="AC52"/>
  <c r="AC50"/>
  <c r="AC49"/>
  <c r="AC47"/>
  <c r="AC46"/>
  <c r="AC44"/>
  <c r="AC43"/>
  <c r="AC41"/>
  <c r="AC40"/>
  <c r="AC38"/>
  <c r="AC37"/>
  <c r="AC35"/>
  <c r="AC34"/>
  <c r="AC32"/>
  <c r="AC31"/>
  <c r="AC29"/>
  <c r="AC28"/>
  <c r="AC26"/>
  <c r="AC25"/>
  <c r="AC23"/>
  <c r="AC22"/>
  <c r="AC20"/>
  <c r="AC19"/>
  <c r="AC17"/>
  <c r="AC16"/>
  <c r="AC14"/>
  <c r="AC13"/>
  <c r="AC11"/>
  <c r="AC10"/>
  <c r="AB8"/>
  <c r="AI46"/>
  <c r="AI43"/>
  <c r="AI37"/>
  <c r="AG43"/>
  <c r="AG42"/>
  <c r="AI42" s="1"/>
  <c r="AG41"/>
  <c r="AI41" s="1"/>
  <c r="AG40"/>
  <c r="AI40" s="1"/>
  <c r="AG39"/>
  <c r="AI39" s="1"/>
  <c r="AG38"/>
  <c r="AI38" s="1"/>
  <c r="AI45" s="1"/>
  <c r="AG37"/>
  <c r="AG19"/>
  <c r="AH19" s="1"/>
  <c r="AG20" s="1"/>
  <c r="AH20" s="1"/>
  <c r="AG21" s="1"/>
  <c r="AH21" s="1"/>
  <c r="AG22" s="1"/>
  <c r="AH22" s="1"/>
  <c r="AG23" s="1"/>
  <c r="AH23" s="1"/>
  <c r="AG24" s="1"/>
  <c r="AH24" s="1"/>
  <c r="AG25" s="1"/>
  <c r="AH25" s="1"/>
  <c r="AG26" s="1"/>
  <c r="AH26" s="1"/>
  <c r="AG27" s="1"/>
  <c r="AH27" s="1"/>
  <c r="AG28" s="1"/>
  <c r="AH28" s="1"/>
  <c r="AG29" s="1"/>
  <c r="AH29" s="1"/>
  <c r="AG30" s="1"/>
  <c r="AH30" s="1"/>
  <c r="AG31" s="1"/>
  <c r="AH31" s="1"/>
  <c r="AG32" s="1"/>
  <c r="AH32" s="1"/>
  <c r="AG33" s="1"/>
  <c r="AH33" s="1"/>
  <c r="AG34" s="1"/>
  <c r="AH34" s="1"/>
  <c r="N2" i="6"/>
  <c r="Z28" s="1"/>
  <c r="N1"/>
  <c r="F31" s="1"/>
  <c r="E2"/>
  <c r="E1"/>
  <c r="V30"/>
  <c r="V27"/>
  <c r="Z29" s="1"/>
  <c r="V24"/>
  <c r="Z23"/>
  <c r="Z22"/>
  <c r="V21"/>
  <c r="Z19"/>
  <c r="Z16"/>
  <c r="Z14"/>
  <c r="Z13"/>
  <c r="Z11"/>
  <c r="V9"/>
  <c r="Z8"/>
  <c r="AC5"/>
  <c r="AC4"/>
  <c r="C56" s="1"/>
  <c r="Z103"/>
  <c r="P94"/>
  <c r="R94"/>
  <c r="P82"/>
  <c r="Z103" i="5"/>
  <c r="Z100"/>
  <c r="Z97"/>
  <c r="Z94"/>
  <c r="V102"/>
  <c r="V96"/>
  <c r="R100"/>
  <c r="N97"/>
  <c r="V90"/>
  <c r="R88"/>
  <c r="V84"/>
  <c r="Z91"/>
  <c r="Z88"/>
  <c r="Z85"/>
  <c r="Z82"/>
  <c r="J91"/>
  <c r="Z79"/>
  <c r="V78"/>
  <c r="Z76"/>
  <c r="Z73"/>
  <c r="Z70"/>
  <c r="V72"/>
  <c r="R76"/>
  <c r="V66"/>
  <c r="Z67"/>
  <c r="Z64"/>
  <c r="Z61"/>
  <c r="Z58"/>
  <c r="V60"/>
  <c r="R64"/>
  <c r="N73"/>
  <c r="Z101"/>
  <c r="Z98"/>
  <c r="V99"/>
  <c r="Z95"/>
  <c r="V93"/>
  <c r="R94"/>
  <c r="Z92"/>
  <c r="Z89"/>
  <c r="Z86"/>
  <c r="V87"/>
  <c r="Z83"/>
  <c r="Z80"/>
  <c r="V81"/>
  <c r="R82"/>
  <c r="N85"/>
  <c r="Z77"/>
  <c r="V75"/>
  <c r="Z74"/>
  <c r="Z71"/>
  <c r="Z68"/>
  <c r="V69"/>
  <c r="R70"/>
  <c r="Z65"/>
  <c r="V63"/>
  <c r="Z62"/>
  <c r="Z59"/>
  <c r="Z56"/>
  <c r="V57"/>
  <c r="R58"/>
  <c r="N61"/>
  <c r="J67"/>
  <c r="Z46"/>
  <c r="Z49"/>
  <c r="Z52"/>
  <c r="Z55"/>
  <c r="V54"/>
  <c r="V48"/>
  <c r="R52"/>
  <c r="V42"/>
  <c r="Z43"/>
  <c r="Z40"/>
  <c r="Z37"/>
  <c r="Z34"/>
  <c r="V36"/>
  <c r="R40"/>
  <c r="N49"/>
  <c r="J43"/>
  <c r="Z31"/>
  <c r="Z28"/>
  <c r="Z25"/>
  <c r="V30"/>
  <c r="V24"/>
  <c r="R28"/>
  <c r="Z19"/>
  <c r="Z16"/>
  <c r="V18"/>
  <c r="Z13"/>
  <c r="V12"/>
  <c r="Z10"/>
  <c r="R16"/>
  <c r="N25"/>
  <c r="F79"/>
  <c r="Z53"/>
  <c r="Z50"/>
  <c r="V51"/>
  <c r="Z47"/>
  <c r="Z44"/>
  <c r="V45"/>
  <c r="R46"/>
  <c r="Z38"/>
  <c r="V39"/>
  <c r="Z35"/>
  <c r="Z32"/>
  <c r="V33"/>
  <c r="R34"/>
  <c r="N37"/>
  <c r="Z26"/>
  <c r="V27"/>
  <c r="Z23"/>
  <c r="Z20"/>
  <c r="V21"/>
  <c r="R22"/>
  <c r="V15"/>
  <c r="Z14"/>
  <c r="Z11"/>
  <c r="Z8"/>
  <c r="V9"/>
  <c r="R10"/>
  <c r="N13"/>
  <c r="J19"/>
  <c r="F31"/>
  <c r="N2"/>
  <c r="N1"/>
  <c r="X101"/>
  <c r="X103" s="1"/>
  <c r="X98"/>
  <c r="X100" s="1"/>
  <c r="X95"/>
  <c r="X97" s="1"/>
  <c r="X92"/>
  <c r="X94" s="1"/>
  <c r="X89"/>
  <c r="X91" s="1"/>
  <c r="X86"/>
  <c r="X88" s="1"/>
  <c r="X83"/>
  <c r="X85" s="1"/>
  <c r="X80"/>
  <c r="X82" s="1"/>
  <c r="X77"/>
  <c r="X79" s="1"/>
  <c r="X74"/>
  <c r="X76" s="1"/>
  <c r="X71"/>
  <c r="X73" s="1"/>
  <c r="X68"/>
  <c r="X70" s="1"/>
  <c r="X65"/>
  <c r="X67" s="1"/>
  <c r="X62"/>
  <c r="X64" s="1"/>
  <c r="X59"/>
  <c r="X61" s="1"/>
  <c r="X56"/>
  <c r="X58" s="1"/>
  <c r="X47"/>
  <c r="X41"/>
  <c r="X35"/>
  <c r="X29"/>
  <c r="X23"/>
  <c r="X17"/>
  <c r="X11"/>
  <c r="X44"/>
  <c r="X38"/>
  <c r="X32"/>
  <c r="X26"/>
  <c r="X20"/>
  <c r="X14"/>
  <c r="X8"/>
  <c r="X50"/>
  <c r="X53"/>
  <c r="X55" s="1"/>
  <c r="P52" i="1"/>
  <c r="P54"/>
  <c r="M54"/>
  <c r="E2" i="5"/>
  <c r="P52" s="1"/>
  <c r="E1"/>
  <c r="P67" i="1"/>
  <c r="P65"/>
  <c r="P63"/>
  <c r="P61"/>
  <c r="M67"/>
  <c r="M65"/>
  <c r="M63"/>
  <c r="M61"/>
  <c r="L67"/>
  <c r="L65"/>
  <c r="L63"/>
  <c r="L61"/>
  <c r="K67"/>
  <c r="K65"/>
  <c r="K63"/>
  <c r="K61"/>
  <c r="J67"/>
  <c r="J65"/>
  <c r="J63"/>
  <c r="J61"/>
  <c r="I65"/>
  <c r="N65" s="1"/>
  <c r="I61"/>
  <c r="G66"/>
  <c r="G62"/>
  <c r="F62"/>
  <c r="F66" s="1"/>
  <c r="I63" s="1"/>
  <c r="C64"/>
  <c r="N61"/>
  <c r="P50"/>
  <c r="P48"/>
  <c r="Q54"/>
  <c r="Q52"/>
  <c r="Q50"/>
  <c r="Q48"/>
  <c r="P81"/>
  <c r="P79"/>
  <c r="J83"/>
  <c r="J56"/>
  <c r="Q81"/>
  <c r="Q79"/>
  <c r="Q77"/>
  <c r="Q75"/>
  <c r="P77"/>
  <c r="P75"/>
  <c r="N81"/>
  <c r="N79"/>
  <c r="N77"/>
  <c r="N75"/>
  <c r="M81"/>
  <c r="M79"/>
  <c r="M77"/>
  <c r="M75"/>
  <c r="L81"/>
  <c r="L79"/>
  <c r="L77"/>
  <c r="L75"/>
  <c r="K81"/>
  <c r="K79"/>
  <c r="K77"/>
  <c r="N54"/>
  <c r="N52"/>
  <c r="N50"/>
  <c r="N48"/>
  <c r="M52"/>
  <c r="M50"/>
  <c r="M48"/>
  <c r="L54"/>
  <c r="L52"/>
  <c r="L50"/>
  <c r="L48"/>
  <c r="K54"/>
  <c r="K52"/>
  <c r="K50"/>
  <c r="K75"/>
  <c r="K48"/>
  <c r="H79"/>
  <c r="J81"/>
  <c r="J79"/>
  <c r="J77"/>
  <c r="J75"/>
  <c r="H48"/>
  <c r="H52"/>
  <c r="C51"/>
  <c r="J54"/>
  <c r="J52"/>
  <c r="J50"/>
  <c r="J48"/>
  <c r="I81"/>
  <c r="I79"/>
  <c r="I77"/>
  <c r="I75"/>
  <c r="I54"/>
  <c r="I52"/>
  <c r="I50"/>
  <c r="I48"/>
  <c r="C78"/>
  <c r="G80"/>
  <c r="G76"/>
  <c r="G53"/>
  <c r="G49"/>
  <c r="F76"/>
  <c r="F80" s="1"/>
  <c r="F49"/>
  <c r="F53"/>
  <c r="I42"/>
  <c r="H42"/>
  <c r="I22"/>
  <c r="I23" s="1"/>
  <c r="P38" s="1"/>
  <c r="Q38" s="1"/>
  <c r="N41"/>
  <c r="F38"/>
  <c r="K42"/>
  <c r="K38"/>
  <c r="L38" s="1"/>
  <c r="O38" s="1"/>
  <c r="F42"/>
  <c r="N31"/>
  <c r="K32"/>
  <c r="L32" s="1"/>
  <c r="K28"/>
  <c r="L28" s="1"/>
  <c r="O28" s="1"/>
  <c r="F28"/>
  <c r="F32" s="1"/>
  <c r="AI18" i="5" l="1" a="1"/>
  <c r="Z10" i="6"/>
  <c r="V12"/>
  <c r="V18"/>
  <c r="Z25"/>
  <c r="V15"/>
  <c r="Z17" s="1"/>
  <c r="Z20"/>
  <c r="Z26"/>
  <c r="P88"/>
  <c r="X8"/>
  <c r="T9"/>
  <c r="X11"/>
  <c r="X14"/>
  <c r="T15"/>
  <c r="X17"/>
  <c r="X20"/>
  <c r="T21"/>
  <c r="X23"/>
  <c r="X26"/>
  <c r="T27"/>
  <c r="X29"/>
  <c r="P34"/>
  <c r="R34"/>
  <c r="L37"/>
  <c r="N37"/>
  <c r="R40"/>
  <c r="J43"/>
  <c r="P46"/>
  <c r="R46"/>
  <c r="N49"/>
  <c r="R52"/>
  <c r="Z55"/>
  <c r="P58"/>
  <c r="R58"/>
  <c r="L61"/>
  <c r="N61"/>
  <c r="R64"/>
  <c r="H67"/>
  <c r="J67"/>
  <c r="P70"/>
  <c r="R70"/>
  <c r="N73"/>
  <c r="R76"/>
  <c r="Z79"/>
  <c r="X80"/>
  <c r="Z80"/>
  <c r="T81"/>
  <c r="V81"/>
  <c r="Z82"/>
  <c r="X83"/>
  <c r="Z83"/>
  <c r="V84"/>
  <c r="Z85"/>
  <c r="X86"/>
  <c r="Z86"/>
  <c r="T87"/>
  <c r="V87"/>
  <c r="Z88"/>
  <c r="X89"/>
  <c r="Z89"/>
  <c r="V90"/>
  <c r="Z91"/>
  <c r="X92"/>
  <c r="Z92"/>
  <c r="T93"/>
  <c r="V93"/>
  <c r="Z94"/>
  <c r="X95"/>
  <c r="Z95"/>
  <c r="V96"/>
  <c r="Z97"/>
  <c r="X98"/>
  <c r="Z98"/>
  <c r="T99"/>
  <c r="V99"/>
  <c r="Z100"/>
  <c r="X101"/>
  <c r="Z101"/>
  <c r="V102"/>
  <c r="P10"/>
  <c r="R10"/>
  <c r="L13"/>
  <c r="N13"/>
  <c r="R16"/>
  <c r="H19"/>
  <c r="J19"/>
  <c r="P22"/>
  <c r="R22"/>
  <c r="AB22" s="1"/>
  <c r="N25"/>
  <c r="R28"/>
  <c r="AB28" s="1"/>
  <c r="E31"/>
  <c r="Z31"/>
  <c r="X32"/>
  <c r="Z32"/>
  <c r="T33"/>
  <c r="V33"/>
  <c r="Z34"/>
  <c r="X35"/>
  <c r="Z35"/>
  <c r="V36"/>
  <c r="Z37"/>
  <c r="X38"/>
  <c r="Z38"/>
  <c r="T39"/>
  <c r="V39"/>
  <c r="Z41" s="1"/>
  <c r="Z40"/>
  <c r="X41"/>
  <c r="V42"/>
  <c r="Z43"/>
  <c r="X44"/>
  <c r="Z44"/>
  <c r="T45"/>
  <c r="V45"/>
  <c r="Z46"/>
  <c r="X47"/>
  <c r="Z47"/>
  <c r="V48"/>
  <c r="Z49"/>
  <c r="X50"/>
  <c r="Z50"/>
  <c r="T51"/>
  <c r="V51"/>
  <c r="Z52"/>
  <c r="X53"/>
  <c r="Z53"/>
  <c r="V54"/>
  <c r="X56"/>
  <c r="Z56"/>
  <c r="T57"/>
  <c r="V57"/>
  <c r="Z58"/>
  <c r="X59"/>
  <c r="Z59"/>
  <c r="V60"/>
  <c r="Z61"/>
  <c r="X62"/>
  <c r="Z62"/>
  <c r="T63"/>
  <c r="V63"/>
  <c r="Z64"/>
  <c r="X65"/>
  <c r="Z65"/>
  <c r="V66"/>
  <c r="Z67"/>
  <c r="X68"/>
  <c r="Z68"/>
  <c r="T69"/>
  <c r="V69"/>
  <c r="Z70"/>
  <c r="X71"/>
  <c r="Z71"/>
  <c r="V72"/>
  <c r="Z73"/>
  <c r="X74"/>
  <c r="Z74"/>
  <c r="T75"/>
  <c r="V75"/>
  <c r="Z76"/>
  <c r="X77"/>
  <c r="Z77"/>
  <c r="V78"/>
  <c r="F79"/>
  <c r="R82"/>
  <c r="N85"/>
  <c r="R88"/>
  <c r="J91"/>
  <c r="N97"/>
  <c r="R100"/>
  <c r="X10" i="5"/>
  <c r="X16"/>
  <c r="X19"/>
  <c r="X28"/>
  <c r="X34"/>
  <c r="X40"/>
  <c r="X46"/>
  <c r="X37"/>
  <c r="X43"/>
  <c r="T63"/>
  <c r="T99"/>
  <c r="T102" s="1"/>
  <c r="P10"/>
  <c r="L13"/>
  <c r="H19"/>
  <c r="P28"/>
  <c r="E31"/>
  <c r="T33"/>
  <c r="T39"/>
  <c r="T45"/>
  <c r="T51"/>
  <c r="T69"/>
  <c r="T75"/>
  <c r="T9"/>
  <c r="T15"/>
  <c r="T21"/>
  <c r="T27"/>
  <c r="L37"/>
  <c r="T57"/>
  <c r="L61"/>
  <c r="H67"/>
  <c r="P76"/>
  <c r="T81"/>
  <c r="T87"/>
  <c r="T93"/>
  <c r="Q61" i="1"/>
  <c r="N63"/>
  <c r="H61" s="1"/>
  <c r="Q63"/>
  <c r="I67"/>
  <c r="Q65"/>
  <c r="Q57"/>
  <c r="Q82"/>
  <c r="H75"/>
  <c r="C79"/>
  <c r="P28"/>
  <c r="Q28" s="1"/>
  <c r="R38"/>
  <c r="R28"/>
  <c r="G28" s="1"/>
  <c r="G38"/>
  <c r="L42"/>
  <c r="N42"/>
  <c r="P42" s="1"/>
  <c r="Q42" s="1"/>
  <c r="AI18" i="5" l="1"/>
  <c r="AI21"/>
  <c r="AI25"/>
  <c r="AI29"/>
  <c r="AI33"/>
  <c r="AI19"/>
  <c r="AI23"/>
  <c r="AI27"/>
  <c r="AI31"/>
  <c r="AI20"/>
  <c r="AI24"/>
  <c r="AI28"/>
  <c r="AI32"/>
  <c r="AI22"/>
  <c r="AI26"/>
  <c r="AI30"/>
  <c r="AI34"/>
  <c r="AB73" i="6"/>
  <c r="AB71"/>
  <c r="AB70"/>
  <c r="AB61"/>
  <c r="AB59"/>
  <c r="AB58"/>
  <c r="AB53"/>
  <c r="AB52"/>
  <c r="AB43"/>
  <c r="AB41"/>
  <c r="AB37"/>
  <c r="AB35"/>
  <c r="AB103"/>
  <c r="AB17"/>
  <c r="AB34"/>
  <c r="AB11"/>
  <c r="X79"/>
  <c r="T72"/>
  <c r="X70"/>
  <c r="X67"/>
  <c r="T78"/>
  <c r="X76"/>
  <c r="X73"/>
  <c r="T66"/>
  <c r="X64"/>
  <c r="X61"/>
  <c r="X55"/>
  <c r="T48"/>
  <c r="X46"/>
  <c r="T42"/>
  <c r="X40"/>
  <c r="X37"/>
  <c r="L25"/>
  <c r="P16"/>
  <c r="T102"/>
  <c r="X100"/>
  <c r="X97"/>
  <c r="T90"/>
  <c r="X88"/>
  <c r="X85"/>
  <c r="P76"/>
  <c r="H91"/>
  <c r="L85"/>
  <c r="P52"/>
  <c r="L49"/>
  <c r="P40"/>
  <c r="T30"/>
  <c r="X25"/>
  <c r="X22"/>
  <c r="T18"/>
  <c r="X13"/>
  <c r="X10"/>
  <c r="AB77"/>
  <c r="AB76"/>
  <c r="AB68"/>
  <c r="AB67"/>
  <c r="AB65"/>
  <c r="AB64"/>
  <c r="AB56"/>
  <c r="AB50"/>
  <c r="AB49"/>
  <c r="AB47"/>
  <c r="AB46"/>
  <c r="AB40"/>
  <c r="AB32"/>
  <c r="AB31"/>
  <c r="AB101"/>
  <c r="AB100"/>
  <c r="AB92"/>
  <c r="AB91"/>
  <c r="AB89"/>
  <c r="AB88"/>
  <c r="AB80"/>
  <c r="AB79"/>
  <c r="AB55"/>
  <c r="AB25"/>
  <c r="AB19"/>
  <c r="AB14"/>
  <c r="AB8"/>
  <c r="AB26"/>
  <c r="AB20"/>
  <c r="AB13"/>
  <c r="T60"/>
  <c r="X58"/>
  <c r="T54"/>
  <c r="X52"/>
  <c r="X49"/>
  <c r="X43"/>
  <c r="T36"/>
  <c r="X34"/>
  <c r="E105"/>
  <c r="E79"/>
  <c r="I67" s="1"/>
  <c r="M61" s="1"/>
  <c r="Q58" s="1"/>
  <c r="U57" s="1"/>
  <c r="Y56" s="1"/>
  <c r="P28"/>
  <c r="H43"/>
  <c r="I43" s="1"/>
  <c r="M37" s="1"/>
  <c r="Q34" s="1"/>
  <c r="U33" s="1"/>
  <c r="Y32" s="1"/>
  <c r="I19"/>
  <c r="X103"/>
  <c r="T96"/>
  <c r="X94"/>
  <c r="X91"/>
  <c r="T84"/>
  <c r="X82"/>
  <c r="L73"/>
  <c r="P64"/>
  <c r="X31"/>
  <c r="X28"/>
  <c r="T24"/>
  <c r="X19"/>
  <c r="X16"/>
  <c r="T12"/>
  <c r="AB74"/>
  <c r="AB62"/>
  <c r="AB44"/>
  <c r="AB38"/>
  <c r="AB98"/>
  <c r="AB97"/>
  <c r="AB95"/>
  <c r="AB94"/>
  <c r="AB86"/>
  <c r="AB85"/>
  <c r="AB83"/>
  <c r="AB82"/>
  <c r="AB29"/>
  <c r="AB23"/>
  <c r="AB16"/>
  <c r="AB10"/>
  <c r="X25" i="5"/>
  <c r="X52"/>
  <c r="X31"/>
  <c r="X49"/>
  <c r="X13"/>
  <c r="X22"/>
  <c r="T90"/>
  <c r="L73"/>
  <c r="T60"/>
  <c r="P40"/>
  <c r="T24"/>
  <c r="P88"/>
  <c r="T72"/>
  <c r="T48"/>
  <c r="T36"/>
  <c r="L25"/>
  <c r="P16"/>
  <c r="T96"/>
  <c r="T84"/>
  <c r="H91"/>
  <c r="L85"/>
  <c r="P64"/>
  <c r="L49"/>
  <c r="T30"/>
  <c r="T18"/>
  <c r="T12"/>
  <c r="T78"/>
  <c r="T54"/>
  <c r="T42"/>
  <c r="E79"/>
  <c r="I67" s="1"/>
  <c r="H43"/>
  <c r="I43" s="1"/>
  <c r="M37" s="1"/>
  <c r="I19"/>
  <c r="N67" i="1"/>
  <c r="H65" s="1"/>
  <c r="Q67"/>
  <c r="Q68" s="1"/>
  <c r="N32"/>
  <c r="O42"/>
  <c r="R42" s="1"/>
  <c r="Q64" i="6" l="1"/>
  <c r="U63" s="1"/>
  <c r="Y62" s="1"/>
  <c r="M73"/>
  <c r="Q70" s="1"/>
  <c r="U69" s="1"/>
  <c r="Y68" s="1"/>
  <c r="E107"/>
  <c r="E108" s="1"/>
  <c r="Y34"/>
  <c r="U36"/>
  <c r="Y35" s="1"/>
  <c r="Y58"/>
  <c r="U60"/>
  <c r="Y59" s="1"/>
  <c r="Q40"/>
  <c r="U39" s="1"/>
  <c r="Y38" s="1"/>
  <c r="M49"/>
  <c r="Q46" s="1"/>
  <c r="U45" s="1"/>
  <c r="Y44" s="1"/>
  <c r="I91"/>
  <c r="I105" s="1"/>
  <c r="M25"/>
  <c r="Q22" s="1"/>
  <c r="U21" s="1"/>
  <c r="Y20" s="1"/>
  <c r="Y37"/>
  <c r="Y40"/>
  <c r="U42"/>
  <c r="Y41" s="1"/>
  <c r="Y46"/>
  <c r="Y61"/>
  <c r="Y64"/>
  <c r="U66"/>
  <c r="Y65" s="1"/>
  <c r="Y70"/>
  <c r="U72"/>
  <c r="Y71" s="1"/>
  <c r="L97"/>
  <c r="M85"/>
  <c r="Q28"/>
  <c r="U27" s="1"/>
  <c r="Y26" s="1"/>
  <c r="I107"/>
  <c r="I108" s="1"/>
  <c r="Q76"/>
  <c r="U75" s="1"/>
  <c r="Y74" s="1"/>
  <c r="M13"/>
  <c r="AB55" i="5"/>
  <c r="AB49"/>
  <c r="AB43"/>
  <c r="AB37"/>
  <c r="E107"/>
  <c r="E108" s="1"/>
  <c r="Q34"/>
  <c r="U33" s="1"/>
  <c r="M61"/>
  <c r="Q58" s="1"/>
  <c r="U57" s="1"/>
  <c r="L97"/>
  <c r="M73"/>
  <c r="Q70" s="1"/>
  <c r="U69" s="1"/>
  <c r="E105"/>
  <c r="Q64"/>
  <c r="U63" s="1"/>
  <c r="M13"/>
  <c r="Q40"/>
  <c r="U39" s="1"/>
  <c r="M49"/>
  <c r="Q46" s="1"/>
  <c r="U45" s="1"/>
  <c r="T66"/>
  <c r="M25"/>
  <c r="Q22" s="1"/>
  <c r="AB40"/>
  <c r="AB34"/>
  <c r="I91"/>
  <c r="I105" s="1"/>
  <c r="Q16"/>
  <c r="U15" s="1"/>
  <c r="U36"/>
  <c r="O32" i="1"/>
  <c r="P32"/>
  <c r="Q32" s="1"/>
  <c r="G42"/>
  <c r="C41" s="1"/>
  <c r="C40"/>
  <c r="U72" i="5" l="1"/>
  <c r="U60"/>
  <c r="Y59" s="1"/>
  <c r="Y67" i="6"/>
  <c r="Y73"/>
  <c r="U78"/>
  <c r="M107"/>
  <c r="M108" s="1"/>
  <c r="Q10"/>
  <c r="P100"/>
  <c r="Q100" s="1"/>
  <c r="M97"/>
  <c r="Q94" s="1"/>
  <c r="Y76"/>
  <c r="U48"/>
  <c r="Q16"/>
  <c r="Q52"/>
  <c r="Y43"/>
  <c r="Y28"/>
  <c r="Q82"/>
  <c r="Q88"/>
  <c r="U30"/>
  <c r="Y22"/>
  <c r="U24"/>
  <c r="AB62" i="5"/>
  <c r="AB92"/>
  <c r="AB46"/>
  <c r="AB44"/>
  <c r="AB68"/>
  <c r="AB86"/>
  <c r="AB56"/>
  <c r="AB98"/>
  <c r="AB52"/>
  <c r="AB53"/>
  <c r="AB50"/>
  <c r="AB74"/>
  <c r="AB80"/>
  <c r="Y61"/>
  <c r="Y73"/>
  <c r="Y71"/>
  <c r="Y62"/>
  <c r="Y64"/>
  <c r="Y70"/>
  <c r="Y68"/>
  <c r="Y58"/>
  <c r="Y56"/>
  <c r="Y35"/>
  <c r="Y37"/>
  <c r="AB38"/>
  <c r="Z41"/>
  <c r="AB41" s="1"/>
  <c r="AB47"/>
  <c r="Y32"/>
  <c r="Y34"/>
  <c r="AB31"/>
  <c r="AB28"/>
  <c r="AB19"/>
  <c r="AB16"/>
  <c r="AB14"/>
  <c r="Z17"/>
  <c r="AB17" s="1"/>
  <c r="AB23"/>
  <c r="AB20"/>
  <c r="Y14"/>
  <c r="Y16"/>
  <c r="AB32"/>
  <c r="AB35"/>
  <c r="Y44"/>
  <c r="Y46"/>
  <c r="Y38"/>
  <c r="Y40"/>
  <c r="AB25"/>
  <c r="Z22"/>
  <c r="AB22" s="1"/>
  <c r="AB13"/>
  <c r="AB10"/>
  <c r="AB11"/>
  <c r="Z29"/>
  <c r="AB29" s="1"/>
  <c r="AB26"/>
  <c r="U21"/>
  <c r="I107"/>
  <c r="I108" s="1"/>
  <c r="U48"/>
  <c r="Q52"/>
  <c r="U51" s="1"/>
  <c r="U66"/>
  <c r="Q10"/>
  <c r="Q28"/>
  <c r="U54"/>
  <c r="Q76"/>
  <c r="M85"/>
  <c r="M97"/>
  <c r="Q94" s="1"/>
  <c r="P100"/>
  <c r="U18"/>
  <c r="U24"/>
  <c r="U42"/>
  <c r="R32" i="1"/>
  <c r="G32" s="1"/>
  <c r="C31" s="1"/>
  <c r="Y77" i="6" l="1"/>
  <c r="Y79"/>
  <c r="U87"/>
  <c r="U90"/>
  <c r="U51"/>
  <c r="U54"/>
  <c r="Y47"/>
  <c r="Y49"/>
  <c r="U93"/>
  <c r="U96"/>
  <c r="Q105"/>
  <c r="U9"/>
  <c r="Q107"/>
  <c r="Q108" s="1"/>
  <c r="U12"/>
  <c r="M105"/>
  <c r="Y23"/>
  <c r="Y25"/>
  <c r="Y29"/>
  <c r="Y31"/>
  <c r="U81"/>
  <c r="U84"/>
  <c r="U15"/>
  <c r="U18"/>
  <c r="U99"/>
  <c r="U102"/>
  <c r="AB73" i="5"/>
  <c r="AB70"/>
  <c r="AB91"/>
  <c r="AB88"/>
  <c r="AB79"/>
  <c r="AB76"/>
  <c r="AB100"/>
  <c r="AB103"/>
  <c r="AB61"/>
  <c r="AB58"/>
  <c r="AB83"/>
  <c r="AB59"/>
  <c r="AB71"/>
  <c r="AB65"/>
  <c r="AB85"/>
  <c r="AB82"/>
  <c r="AB94"/>
  <c r="AB97"/>
  <c r="AB67"/>
  <c r="AB64"/>
  <c r="AB77"/>
  <c r="AB101"/>
  <c r="AB89"/>
  <c r="AB95"/>
  <c r="Y53"/>
  <c r="Y55"/>
  <c r="Y67"/>
  <c r="Y65"/>
  <c r="Y41"/>
  <c r="Y43"/>
  <c r="Y17"/>
  <c r="Y19"/>
  <c r="Y50"/>
  <c r="Y52"/>
  <c r="Y20"/>
  <c r="Y22"/>
  <c r="Y23"/>
  <c r="Y25"/>
  <c r="Y47"/>
  <c r="Y49"/>
  <c r="M107"/>
  <c r="M108" s="1"/>
  <c r="U93"/>
  <c r="U96"/>
  <c r="Q82"/>
  <c r="Q88"/>
  <c r="U27"/>
  <c r="U30"/>
  <c r="M105"/>
  <c r="U75"/>
  <c r="U78"/>
  <c r="U9"/>
  <c r="U12"/>
  <c r="Q100"/>
  <c r="C30" i="1"/>
  <c r="Y101" i="6" l="1"/>
  <c r="Y103"/>
  <c r="Y17"/>
  <c r="Y19"/>
  <c r="Y83"/>
  <c r="Y85"/>
  <c r="Y92"/>
  <c r="Y94"/>
  <c r="Y50"/>
  <c r="Y52"/>
  <c r="Y86"/>
  <c r="Y88"/>
  <c r="Y98"/>
  <c r="Y100"/>
  <c r="Y14"/>
  <c r="Y16"/>
  <c r="Y80"/>
  <c r="Y82"/>
  <c r="Y11"/>
  <c r="Y13"/>
  <c r="U105"/>
  <c r="U107"/>
  <c r="U108" s="1"/>
  <c r="Y8"/>
  <c r="Y10"/>
  <c r="Y95"/>
  <c r="Y97"/>
  <c r="Y53"/>
  <c r="Y55"/>
  <c r="Y89"/>
  <c r="Y91"/>
  <c r="Y94" i="5"/>
  <c r="Y92"/>
  <c r="Y79"/>
  <c r="Y77"/>
  <c r="Y74"/>
  <c r="Y76"/>
  <c r="Y97"/>
  <c r="Y95"/>
  <c r="Y11"/>
  <c r="Y13"/>
  <c r="Y26"/>
  <c r="Y28"/>
  <c r="Y8"/>
  <c r="Y10"/>
  <c r="Y29"/>
  <c r="Y31"/>
  <c r="Q107"/>
  <c r="Q108" s="1"/>
  <c r="U99"/>
  <c r="U102"/>
  <c r="U81"/>
  <c r="U84"/>
  <c r="Q105"/>
  <c r="U87"/>
  <c r="U90"/>
  <c r="AL38" l="1"/>
  <c r="Y107" i="6"/>
  <c r="Y108" s="1"/>
  <c r="Y105"/>
  <c r="Y91" i="5"/>
  <c r="Y89"/>
  <c r="Y82"/>
  <c r="Y80"/>
  <c r="Y98"/>
  <c r="Y100"/>
  <c r="Y86"/>
  <c r="Y88"/>
  <c r="Y85"/>
  <c r="Y83"/>
  <c r="Y103"/>
  <c r="AL43" s="1"/>
  <c r="AL48" s="1"/>
  <c r="Y101"/>
  <c r="U107"/>
  <c r="U108" s="1"/>
  <c r="AC5"/>
  <c r="AC4" s="1"/>
  <c r="C56" s="1"/>
  <c r="U105"/>
  <c r="Y107" l="1"/>
  <c r="Y108" s="1"/>
  <c r="R1" s="1"/>
  <c r="AL41"/>
  <c r="AL50" s="1"/>
  <c r="AL40"/>
  <c r="AL51" s="1"/>
  <c r="AL42"/>
  <c r="AL49" s="1"/>
  <c r="AL53"/>
  <c r="AL39"/>
  <c r="AL52" s="1"/>
  <c r="Y105"/>
  <c r="AL56" l="1"/>
  <c r="AL45"/>
</calcChain>
</file>

<file path=xl/sharedStrings.xml><?xml version="1.0" encoding="utf-8"?>
<sst xmlns="http://schemas.openxmlformats.org/spreadsheetml/2006/main" count="232" uniqueCount="84">
  <si>
    <t>Baseline</t>
  </si>
  <si>
    <t>(Rel)</t>
  </si>
  <si>
    <t>(1-Rel) = Risk</t>
  </si>
  <si>
    <t>Demand</t>
  </si>
  <si>
    <t>Reliability</t>
  </si>
  <si>
    <t>Resilience</t>
  </si>
  <si>
    <t>Vulnerability</t>
  </si>
  <si>
    <t>Max. Deficit</t>
  </si>
  <si>
    <t>Sustainability</t>
  </si>
  <si>
    <t>Scenario</t>
  </si>
  <si>
    <r>
      <t>(Million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/year)</t>
    </r>
  </si>
  <si>
    <t>(%)</t>
  </si>
  <si>
    <t>I</t>
  </si>
  <si>
    <t>II</t>
  </si>
  <si>
    <t>I + II</t>
  </si>
  <si>
    <t>III</t>
  </si>
  <si>
    <t>IV</t>
  </si>
  <si>
    <t>III + IV</t>
  </si>
  <si>
    <t>I (LRGV)</t>
  </si>
  <si>
    <t>III (LRGV)</t>
  </si>
  <si>
    <t>I + III (LRGV)</t>
  </si>
  <si>
    <t>III (LRGV) Shared</t>
  </si>
  <si>
    <t>V(LRGV)</t>
  </si>
  <si>
    <t>Total Demand</t>
  </si>
  <si>
    <t>Surface Water</t>
  </si>
  <si>
    <t>IA</t>
  </si>
  <si>
    <t>IB</t>
  </si>
  <si>
    <t>IA + IB</t>
  </si>
  <si>
    <t>IIA1b</t>
  </si>
  <si>
    <t>IVA</t>
  </si>
  <si>
    <t>IIA1b + IVA</t>
  </si>
  <si>
    <t>IA(LRGV)</t>
  </si>
  <si>
    <t>IIA1b(LRGV)</t>
  </si>
  <si>
    <t>IA+IIA1b(LRGV)</t>
  </si>
  <si>
    <t>IIA1b(LRGV) Shared</t>
  </si>
  <si>
    <t>($)</t>
  </si>
  <si>
    <t>CRF</t>
  </si>
  <si>
    <t>Project Length</t>
  </si>
  <si>
    <t>(years)</t>
  </si>
  <si>
    <t>(fraction)</t>
  </si>
  <si>
    <t>Interest Rate</t>
  </si>
  <si>
    <t>Tot. Investment</t>
  </si>
  <si>
    <t>Annual Inv.</t>
  </si>
  <si>
    <t>Cost ($)</t>
  </si>
  <si>
    <t xml:space="preserve">Annual </t>
  </si>
  <si>
    <t>O&amp;M ($)</t>
  </si>
  <si>
    <t>Annual Failure</t>
  </si>
  <si>
    <t xml:space="preserve"> Cost ($)</t>
  </si>
  <si>
    <t>Total Annual</t>
  </si>
  <si>
    <t>Crop Profit</t>
  </si>
  <si>
    <t>Sc. I</t>
  </si>
  <si>
    <t>* Note - 2007-2008 Crop season data for DR's</t>
  </si>
  <si>
    <t>Crop Value</t>
  </si>
  <si>
    <t>($Mill)</t>
  </si>
  <si>
    <t>Water Distribution</t>
  </si>
  <si>
    <t>(MCM/year)</t>
  </si>
  <si>
    <t>Crop Season</t>
  </si>
  <si>
    <t>2010-2011</t>
  </si>
  <si>
    <t>2007-2008</t>
  </si>
  <si>
    <t>PADUA</t>
  </si>
  <si>
    <t>Benefit</t>
  </si>
  <si>
    <t>Benefit - Cost</t>
  </si>
  <si>
    <t>Net Benef.</t>
  </si>
  <si>
    <t>P (x)</t>
  </si>
  <si>
    <t>P ( y | x )</t>
  </si>
  <si>
    <t>P (x) * P (y)</t>
  </si>
  <si>
    <t>Cost</t>
  </si>
  <si>
    <t>Benefit-Cost</t>
  </si>
  <si>
    <t>Old Approach</t>
  </si>
  <si>
    <t>Proposed Approach</t>
  </si>
  <si>
    <t>Net Benefits</t>
  </si>
  <si>
    <t>Rel</t>
  </si>
  <si>
    <t>Old =</t>
  </si>
  <si>
    <t>Proposed =</t>
  </si>
  <si>
    <t>Total Profit</t>
  </si>
  <si>
    <t>Avg. Year</t>
  </si>
  <si>
    <t>Succesful</t>
  </si>
  <si>
    <t>Unsuccesful</t>
  </si>
  <si>
    <t>Frequency</t>
  </si>
  <si>
    <t>f(x)</t>
  </si>
  <si>
    <t>Annual Benefits =</t>
  </si>
  <si>
    <t>Interest Rate =</t>
  </si>
  <si>
    <t>Annual Net Benef</t>
  </si>
  <si>
    <t>with Int. Rate</t>
  </si>
</sst>
</file>

<file path=xl/styles.xml><?xml version="1.0" encoding="utf-8"?>
<styleSheet xmlns="http://schemas.openxmlformats.org/spreadsheetml/2006/main">
  <numFmts count="11">
    <numFmt numFmtId="164" formatCode="0.0000"/>
    <numFmt numFmtId="165" formatCode="0.000"/>
    <numFmt numFmtId="166" formatCode="0.0"/>
    <numFmt numFmtId="167" formatCode="&quot;(&quot;&quot;$&quot;\ #,###.#&quot;)&quot;"/>
    <numFmt numFmtId="168" formatCode="&quot;(&quot;&quot;$&quot;\ #,###.0&quot;)&quot;"/>
    <numFmt numFmtId="169" formatCode="&quot;$&quot;#,##0.00"/>
    <numFmt numFmtId="170" formatCode="&quot;(&quot;&quot;$&quot;\ #,##0.#&quot;)&quot;"/>
    <numFmt numFmtId="171" formatCode="&quot;(&quot;&quot;$&quot;\ #,##0.0&quot;)&quot;"/>
    <numFmt numFmtId="172" formatCode="&quot;$&quot;#,##0.0"/>
    <numFmt numFmtId="173" formatCode="_(&quot;$&quot;* #,##0.0_);_(&quot;$&quot;* \(#,##0.0\);_(&quot;$&quot;* &quot;-&quot;??_);_(@_)"/>
    <numFmt numFmtId="174" formatCode="&quot;$&quot;#,##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3" borderId="11" applyNumberFormat="0" applyAlignment="0" applyProtection="0"/>
    <xf numFmtId="0" fontId="5" fillId="4" borderId="12" applyNumberFormat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5" xfId="0" applyBorder="1"/>
    <xf numFmtId="2" fontId="0" fillId="0" borderId="5" xfId="0" applyNumberFormat="1" applyBorder="1" applyAlignment="1">
      <alignment horizontal="center"/>
    </xf>
    <xf numFmtId="0" fontId="2" fillId="0" borderId="0" xfId="0" applyFont="1"/>
    <xf numFmtId="9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7" xfId="0" applyBorder="1"/>
    <xf numFmtId="164" fontId="0" fillId="0" borderId="0" xfId="0" applyNumberFormat="1" applyBorder="1"/>
    <xf numFmtId="0" fontId="0" fillId="0" borderId="7" xfId="0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/>
    <xf numFmtId="166" fontId="2" fillId="2" borderId="9" xfId="0" applyNumberFormat="1" applyFont="1" applyFill="1" applyBorder="1" applyAlignment="1">
      <alignment horizontal="center"/>
    </xf>
    <xf numFmtId="0" fontId="0" fillId="2" borderId="9" xfId="0" applyFill="1" applyBorder="1"/>
    <xf numFmtId="167" fontId="0" fillId="0" borderId="1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169" fontId="0" fillId="0" borderId="0" xfId="0" applyNumberFormat="1"/>
    <xf numFmtId="170" fontId="0" fillId="0" borderId="10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1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171" fontId="0" fillId="0" borderId="0" xfId="0" applyNumberFormat="1"/>
    <xf numFmtId="0" fontId="0" fillId="0" borderId="0" xfId="0" applyAlignment="1">
      <alignment horizontal="right"/>
    </xf>
    <xf numFmtId="0" fontId="4" fillId="3" borderId="11" xfId="2" applyAlignment="1">
      <alignment horizontal="center"/>
    </xf>
    <xf numFmtId="172" fontId="0" fillId="0" borderId="0" xfId="0" applyNumberFormat="1" applyAlignment="1">
      <alignment horizontal="center"/>
    </xf>
    <xf numFmtId="173" fontId="4" fillId="3" borderId="11" xfId="2" applyNumberFormat="1"/>
    <xf numFmtId="174" fontId="0" fillId="0" borderId="0" xfId="0" applyNumberFormat="1"/>
    <xf numFmtId="166" fontId="0" fillId="0" borderId="0" xfId="0" applyNumberFormat="1" applyAlignment="1">
      <alignment horizontal="center"/>
    </xf>
    <xf numFmtId="172" fontId="5" fillId="4" borderId="12" xfId="3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171" fontId="0" fillId="0" borderId="0" xfId="0" applyNumberFormat="1" applyBorder="1" applyAlignment="1">
      <alignment horizontal="center"/>
    </xf>
    <xf numFmtId="9" fontId="4" fillId="3" borderId="11" xfId="2" applyNumberFormat="1" applyAlignment="1">
      <alignment horizontal="center"/>
    </xf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(Baseline!$E$108,Baseline!$I$108,Baseline!$M$108,Baseline!$Q$108,Baseline!$U$108,Baseline!$Y$108)</c:f>
              <c:numCache>
                <c:formatCode>"$"#,##0.0</c:formatCode>
                <c:ptCount val="6"/>
                <c:pt idx="0">
                  <c:v>138.99503010588774</c:v>
                </c:pt>
                <c:pt idx="1">
                  <c:v>121.79507865908869</c:v>
                </c:pt>
                <c:pt idx="2">
                  <c:v>112.90514206838684</c:v>
                </c:pt>
                <c:pt idx="3">
                  <c:v>107.80844070725688</c:v>
                </c:pt>
                <c:pt idx="4">
                  <c:v>104.60688879241427</c:v>
                </c:pt>
                <c:pt idx="5">
                  <c:v>102.43959393538269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(Baseline!$E$111,Baseline!$I$111,Baseline!$M$111,Baseline!$Q$111,Baseline!$U$111,Baseline!$Y$111)</c:f>
              <c:numCache>
                <c:formatCode>"$"#,##0.0</c:formatCode>
                <c:ptCount val="6"/>
                <c:pt idx="0">
                  <c:v>145.94478161118201</c:v>
                </c:pt>
                <c:pt idx="1">
                  <c:v>131.00397485038562</c:v>
                </c:pt>
                <c:pt idx="2">
                  <c:v>124.37920547525731</c:v>
                </c:pt>
                <c:pt idx="3">
                  <c:v>121.61302373590108</c:v>
                </c:pt>
                <c:pt idx="4">
                  <c:v>120.80777510827036</c:v>
                </c:pt>
                <c:pt idx="5">
                  <c:v>121.09433658830942</c:v>
                </c:pt>
              </c:numCache>
            </c:numRef>
          </c:val>
        </c:ser>
        <c:marker val="1"/>
        <c:axId val="93351936"/>
        <c:axId val="93368320"/>
      </c:lineChart>
      <c:catAx>
        <c:axId val="93351936"/>
        <c:scaling>
          <c:orientation val="minMax"/>
        </c:scaling>
        <c:axPos val="b"/>
        <c:tickLblPos val="nextTo"/>
        <c:crossAx val="93368320"/>
        <c:crosses val="autoZero"/>
        <c:auto val="1"/>
        <c:lblAlgn val="ctr"/>
        <c:lblOffset val="100"/>
      </c:catAx>
      <c:valAx>
        <c:axId val="93368320"/>
        <c:scaling>
          <c:orientation val="minMax"/>
        </c:scaling>
        <c:axPos val="l"/>
        <c:majorGridlines/>
        <c:numFmt formatCode="&quot;$&quot;#,##0" sourceLinked="0"/>
        <c:tickLblPos val="nextTo"/>
        <c:crossAx val="93351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Baseline!$AG$18:$AG$34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</c:numCache>
            </c:numRef>
          </c:cat>
          <c:val>
            <c:numRef>
              <c:f>Baseline!$AI$18:$AI$34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15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</c:ser>
        <c:axId val="93441024"/>
        <c:axId val="93654400"/>
      </c:barChart>
      <c:catAx>
        <c:axId val="93441024"/>
        <c:scaling>
          <c:orientation val="minMax"/>
        </c:scaling>
        <c:axPos val="b"/>
        <c:numFmt formatCode="General" sourceLinked="1"/>
        <c:tickLblPos val="nextTo"/>
        <c:crossAx val="93654400"/>
        <c:crosses val="autoZero"/>
        <c:auto val="1"/>
        <c:lblAlgn val="ctr"/>
        <c:lblOffset val="100"/>
      </c:catAx>
      <c:valAx>
        <c:axId val="93654400"/>
        <c:scaling>
          <c:orientation val="minMax"/>
        </c:scaling>
        <c:axPos val="l"/>
        <c:majorGridlines/>
        <c:numFmt formatCode="General" sourceLinked="1"/>
        <c:tickLblPos val="nextTo"/>
        <c:crossAx val="93441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Baseline!$AG$37:$AG$43</c:f>
              <c:numCache>
                <c:formatCode>"(""$"\ #,##0.0")"</c:formatCode>
                <c:ptCount val="7"/>
                <c:pt idx="0">
                  <c:v>1583.7300683371298</c:v>
                </c:pt>
                <c:pt idx="1">
                  <c:v>1325.192176026163</c:v>
                </c:pt>
                <c:pt idx="2">
                  <c:v>1066.6542837151965</c:v>
                </c:pt>
                <c:pt idx="3">
                  <c:v>808.11639140422972</c:v>
                </c:pt>
                <c:pt idx="4">
                  <c:v>549.57849909326308</c:v>
                </c:pt>
                <c:pt idx="5">
                  <c:v>291.04060678229638</c:v>
                </c:pt>
                <c:pt idx="6">
                  <c:v>32.502714471329682</c:v>
                </c:pt>
              </c:numCache>
            </c:numRef>
          </c:cat>
          <c:val>
            <c:numRef>
              <c:f>Baseline!$AI$37:$AI$43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</c:ser>
        <c:axId val="118762880"/>
        <c:axId val="118772864"/>
      </c:barChart>
      <c:catAx>
        <c:axId val="118762880"/>
        <c:scaling>
          <c:orientation val="minMax"/>
        </c:scaling>
        <c:axPos val="b"/>
        <c:numFmt formatCode="&quot;(&quot;&quot;$&quot;\ #,##0.0&quot;)&quot;" sourceLinked="1"/>
        <c:tickLblPos val="nextTo"/>
        <c:crossAx val="118772864"/>
        <c:crosses val="autoZero"/>
        <c:auto val="1"/>
        <c:lblAlgn val="ctr"/>
        <c:lblOffset val="100"/>
      </c:catAx>
      <c:valAx>
        <c:axId val="118772864"/>
        <c:scaling>
          <c:orientation val="minMax"/>
        </c:scaling>
        <c:axPos val="l"/>
        <c:majorGridlines/>
        <c:numFmt formatCode="General" sourceLinked="1"/>
        <c:tickLblPos val="nextTo"/>
        <c:crossAx val="118762880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Baseline!$AH$37:$AH$43</c:f>
              <c:numCache>
                <c:formatCode>"(""$"\ #,##0.0")"</c:formatCode>
                <c:ptCount val="7"/>
                <c:pt idx="0">
                  <c:v>263.95501138952164</c:v>
                </c:pt>
                <c:pt idx="1">
                  <c:v>220.86536267102716</c:v>
                </c:pt>
                <c:pt idx="2">
                  <c:v>177.77571395253275</c:v>
                </c:pt>
                <c:pt idx="3">
                  <c:v>134.6860652340383</c:v>
                </c:pt>
                <c:pt idx="4">
                  <c:v>91.596416515543851</c:v>
                </c:pt>
                <c:pt idx="5">
                  <c:v>48.506767797049399</c:v>
                </c:pt>
                <c:pt idx="6">
                  <c:v>5.417119078554947</c:v>
                </c:pt>
              </c:numCache>
            </c:numRef>
          </c:cat>
          <c:val>
            <c:numRef>
              <c:f>Baseline!$AL$37:$AL$43</c:f>
              <c:numCache>
                <c:formatCode>0.000</c:formatCode>
                <c:ptCount val="7"/>
                <c:pt idx="0">
                  <c:v>1.9022283972050739E-2</c:v>
                </c:pt>
                <c:pt idx="1">
                  <c:v>5.9362986089677619E-2</c:v>
                </c:pt>
                <c:pt idx="2">
                  <c:v>0.12786511041932738</c:v>
                </c:pt>
                <c:pt idx="3">
                  <c:v>0.20444437223836998</c:v>
                </c:pt>
                <c:pt idx="4">
                  <c:v>0.24803718927628277</c:v>
                </c:pt>
                <c:pt idx="5">
                  <c:v>0.21982570812260852</c:v>
                </c:pt>
                <c:pt idx="6">
                  <c:v>0.12144234988168302</c:v>
                </c:pt>
              </c:numCache>
            </c:numRef>
          </c:val>
        </c:ser>
        <c:axId val="118784000"/>
        <c:axId val="118785536"/>
      </c:barChart>
      <c:catAx>
        <c:axId val="118784000"/>
        <c:scaling>
          <c:orientation val="minMax"/>
        </c:scaling>
        <c:axPos val="b"/>
        <c:numFmt formatCode="&quot;(&quot;&quot;$&quot;\ #,##0.0&quot;)&quot;" sourceLinked="1"/>
        <c:tickLblPos val="nextTo"/>
        <c:crossAx val="118785536"/>
        <c:crosses val="autoZero"/>
        <c:auto val="1"/>
        <c:lblAlgn val="ctr"/>
        <c:lblOffset val="100"/>
      </c:catAx>
      <c:valAx>
        <c:axId val="118785536"/>
        <c:scaling>
          <c:orientation val="minMax"/>
        </c:scaling>
        <c:axPos val="l"/>
        <c:majorGridlines/>
        <c:numFmt formatCode="0.000" sourceLinked="1"/>
        <c:tickLblPos val="nextTo"/>
        <c:crossAx val="118784000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Baseline!$AH$48:$AH$54</c:f>
              <c:numCache>
                <c:formatCode>"(""$"\ #,##0.0")"</c:formatCode>
                <c:ptCount val="7"/>
                <c:pt idx="0">
                  <c:v>5.417119078554947</c:v>
                </c:pt>
                <c:pt idx="1">
                  <c:v>48.506767797049399</c:v>
                </c:pt>
                <c:pt idx="2">
                  <c:v>91.596416515543851</c:v>
                </c:pt>
                <c:pt idx="3">
                  <c:v>134.6860652340383</c:v>
                </c:pt>
                <c:pt idx="4">
                  <c:v>177.77571395253275</c:v>
                </c:pt>
                <c:pt idx="5">
                  <c:v>220.86536267102716</c:v>
                </c:pt>
                <c:pt idx="6">
                  <c:v>263.95501138952164</c:v>
                </c:pt>
              </c:numCache>
            </c:numRef>
          </c:cat>
          <c:val>
            <c:numRef>
              <c:f>Baseline!$AL$48:$AL$54</c:f>
              <c:numCache>
                <c:formatCode>0.000</c:formatCode>
                <c:ptCount val="7"/>
                <c:pt idx="0">
                  <c:v>0.12144234988168302</c:v>
                </c:pt>
                <c:pt idx="1">
                  <c:v>0.21982570812260852</c:v>
                </c:pt>
                <c:pt idx="2">
                  <c:v>0.24803718927628277</c:v>
                </c:pt>
                <c:pt idx="3">
                  <c:v>0.20444437223836998</c:v>
                </c:pt>
                <c:pt idx="4">
                  <c:v>0.12786511041932738</c:v>
                </c:pt>
                <c:pt idx="5">
                  <c:v>5.9362986089677619E-2</c:v>
                </c:pt>
                <c:pt idx="6">
                  <c:v>1.9022283972050739E-2</c:v>
                </c:pt>
              </c:numCache>
            </c:numRef>
          </c:val>
        </c:ser>
        <c:ser>
          <c:idx val="1"/>
          <c:order val="1"/>
          <c:cat>
            <c:numRef>
              <c:f>Baseline!$AH$48:$AH$54</c:f>
              <c:numCache>
                <c:formatCode>"(""$"\ #,##0.0")"</c:formatCode>
                <c:ptCount val="7"/>
                <c:pt idx="0">
                  <c:v>5.417119078554947</c:v>
                </c:pt>
                <c:pt idx="1">
                  <c:v>48.506767797049399</c:v>
                </c:pt>
                <c:pt idx="2">
                  <c:v>91.596416515543851</c:v>
                </c:pt>
                <c:pt idx="3">
                  <c:v>134.6860652340383</c:v>
                </c:pt>
                <c:pt idx="4">
                  <c:v>177.77571395253275</c:v>
                </c:pt>
                <c:pt idx="5">
                  <c:v>220.86536267102716</c:v>
                </c:pt>
                <c:pt idx="6">
                  <c:v>263.95501138952164</c:v>
                </c:pt>
              </c:numCache>
            </c:numRef>
          </c:cat>
          <c:val>
            <c:numRef>
              <c:f>Baseline!$AK$48:$AK$54</c:f>
              <c:numCache>
                <c:formatCode>0.000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</c:ser>
        <c:axId val="118801536"/>
        <c:axId val="118803072"/>
      </c:barChart>
      <c:catAx>
        <c:axId val="118801536"/>
        <c:scaling>
          <c:orientation val="minMax"/>
        </c:scaling>
        <c:axPos val="b"/>
        <c:numFmt formatCode="&quot;(&quot;&quot;$&quot;\ #,##0.0&quot;)&quot;" sourceLinked="1"/>
        <c:tickLblPos val="nextTo"/>
        <c:crossAx val="118803072"/>
        <c:crosses val="autoZero"/>
        <c:auto val="1"/>
        <c:lblAlgn val="ctr"/>
        <c:lblOffset val="100"/>
      </c:catAx>
      <c:valAx>
        <c:axId val="118803072"/>
        <c:scaling>
          <c:orientation val="minMax"/>
        </c:scaling>
        <c:axPos val="l"/>
        <c:majorGridlines/>
        <c:numFmt formatCode="0.000" sourceLinked="1"/>
        <c:tickLblPos val="nextTo"/>
        <c:crossAx val="118801536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(Scenario_I!$E$108,Scenario_I!$I$108,Scenario_I!$M$108,Scenario_I!$Q$108,Scenario_I!$U$108,Scenario_I!$Y$108)</c:f>
              <c:numCache>
                <c:formatCode>"$"#,##0.0</c:formatCode>
                <c:ptCount val="6"/>
                <c:pt idx="0">
                  <c:v>161.39838099478874</c:v>
                </c:pt>
                <c:pt idx="1">
                  <c:v>147.74549241141364</c:v>
                </c:pt>
                <c:pt idx="2">
                  <c:v>139.8491726400932</c:v>
                </c:pt>
                <c:pt idx="3">
                  <c:v>134.97883871142517</c:v>
                </c:pt>
                <c:pt idx="4">
                  <c:v>131.78548682859613</c:v>
                </c:pt>
                <c:pt idx="5">
                  <c:v>129.57353550814409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(Baseline!$E$108,Baseline!$I$108,Baseline!$M$108,Baseline!$Q$108,Baseline!$U$108,Baseline!$Y$108)</c:f>
              <c:numCache>
                <c:formatCode>"$"#,##0.0</c:formatCode>
                <c:ptCount val="6"/>
                <c:pt idx="0">
                  <c:v>138.99503010588774</c:v>
                </c:pt>
                <c:pt idx="1">
                  <c:v>121.79507865908869</c:v>
                </c:pt>
                <c:pt idx="2">
                  <c:v>112.90514206838684</c:v>
                </c:pt>
                <c:pt idx="3">
                  <c:v>107.80844070725688</c:v>
                </c:pt>
                <c:pt idx="4">
                  <c:v>104.60688879241427</c:v>
                </c:pt>
                <c:pt idx="5">
                  <c:v>102.43959393538269</c:v>
                </c:pt>
              </c:numCache>
            </c:numRef>
          </c:val>
        </c:ser>
        <c:marker val="1"/>
        <c:axId val="134851200"/>
        <c:axId val="118821248"/>
      </c:lineChart>
      <c:catAx>
        <c:axId val="134851200"/>
        <c:scaling>
          <c:orientation val="minMax"/>
        </c:scaling>
        <c:axPos val="b"/>
        <c:tickLblPos val="nextTo"/>
        <c:crossAx val="118821248"/>
        <c:crosses val="autoZero"/>
        <c:auto val="1"/>
        <c:lblAlgn val="ctr"/>
        <c:lblOffset val="100"/>
      </c:catAx>
      <c:valAx>
        <c:axId val="118821248"/>
        <c:scaling>
          <c:orientation val="minMax"/>
        </c:scaling>
        <c:axPos val="l"/>
        <c:majorGridlines/>
        <c:numFmt formatCode="&quot;$&quot;#,##0" sourceLinked="0"/>
        <c:tickLblPos val="nextTo"/>
        <c:crossAx val="134851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389658</xdr:colOff>
      <xdr:row>105</xdr:row>
      <xdr:rowOff>8660</xdr:rowOff>
    </xdr:from>
    <xdr:to>
      <xdr:col>32</xdr:col>
      <xdr:colOff>363681</xdr:colOff>
      <xdr:row>119</xdr:row>
      <xdr:rowOff>90303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367394</xdr:colOff>
      <xdr:row>16</xdr:row>
      <xdr:rowOff>163286</xdr:rowOff>
    </xdr:from>
    <xdr:to>
      <xdr:col>43</xdr:col>
      <xdr:colOff>40822</xdr:colOff>
      <xdr:row>31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54428</xdr:colOff>
      <xdr:row>33</xdr:row>
      <xdr:rowOff>0</xdr:rowOff>
    </xdr:from>
    <xdr:to>
      <xdr:col>46</xdr:col>
      <xdr:colOff>340177</xdr:colOff>
      <xdr:row>47</xdr:row>
      <xdr:rowOff>81643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68037</xdr:colOff>
      <xdr:row>48</xdr:row>
      <xdr:rowOff>95250</xdr:rowOff>
    </xdr:from>
    <xdr:to>
      <xdr:col>46</xdr:col>
      <xdr:colOff>353786</xdr:colOff>
      <xdr:row>62</xdr:row>
      <xdr:rowOff>176893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59</xdr:row>
      <xdr:rowOff>0</xdr:rowOff>
    </xdr:from>
    <xdr:to>
      <xdr:col>38</xdr:col>
      <xdr:colOff>258534</xdr:colOff>
      <xdr:row>73</xdr:row>
      <xdr:rowOff>81643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530678</xdr:colOff>
      <xdr:row>104</xdr:row>
      <xdr:rowOff>68036</xdr:rowOff>
    </xdr:from>
    <xdr:to>
      <xdr:col>32</xdr:col>
      <xdr:colOff>489856</xdr:colOff>
      <xdr:row>118</xdr:row>
      <xdr:rowOff>149679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83"/>
  <sheetViews>
    <sheetView tabSelected="1" topLeftCell="A16" zoomScale="85" zoomScaleNormal="85" workbookViewId="0">
      <selection activeCell="C34" sqref="C34"/>
    </sheetView>
  </sheetViews>
  <sheetFormatPr defaultRowHeight="15"/>
  <cols>
    <col min="1" max="1" width="4" customWidth="1"/>
    <col min="3" max="3" width="16.42578125" bestFit="1" customWidth="1"/>
    <col min="4" max="4" width="10" bestFit="1" customWidth="1"/>
    <col min="5" max="5" width="10.140625" bestFit="1" customWidth="1"/>
    <col min="6" max="6" width="12.5703125" bestFit="1" customWidth="1"/>
    <col min="7" max="7" width="11.5703125" bestFit="1" customWidth="1"/>
    <col min="8" max="8" width="17.7109375" bestFit="1" customWidth="1"/>
    <col min="9" max="9" width="13.85546875" bestFit="1" customWidth="1"/>
    <col min="10" max="10" width="18.42578125" bestFit="1" customWidth="1"/>
    <col min="11" max="11" width="16.42578125" bestFit="1" customWidth="1"/>
    <col min="12" max="12" width="11" bestFit="1" customWidth="1"/>
    <col min="13" max="13" width="12.42578125" bestFit="1" customWidth="1"/>
    <col min="14" max="14" width="14" bestFit="1" customWidth="1"/>
    <col min="15" max="15" width="11.5703125" bestFit="1" customWidth="1"/>
    <col min="16" max="16" width="13.140625" bestFit="1" customWidth="1"/>
    <col min="17" max="17" width="10.5703125" bestFit="1" customWidth="1"/>
    <col min="18" max="18" width="13.140625" bestFit="1" customWidth="1"/>
  </cols>
  <sheetData>
    <row r="1" spans="2:16">
      <c r="J1" s="13" t="s">
        <v>24</v>
      </c>
    </row>
    <row r="2" spans="2:16">
      <c r="B2" s="13" t="s">
        <v>23</v>
      </c>
    </row>
    <row r="3" spans="2:16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J3" s="3"/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</row>
    <row r="4" spans="2:16" ht="18" thickBot="1">
      <c r="B4" s="4" t="s">
        <v>9</v>
      </c>
      <c r="C4" s="4" t="s">
        <v>10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J4" s="4" t="s">
        <v>9</v>
      </c>
      <c r="K4" s="4" t="s">
        <v>10</v>
      </c>
      <c r="L4" s="4" t="s">
        <v>11</v>
      </c>
      <c r="M4" s="4" t="s">
        <v>11</v>
      </c>
      <c r="N4" s="4" t="s">
        <v>11</v>
      </c>
      <c r="O4" s="4" t="s">
        <v>11</v>
      </c>
      <c r="P4" s="4" t="s">
        <v>11</v>
      </c>
    </row>
    <row r="5" spans="2:16" ht="15.75" thickTop="1">
      <c r="B5" s="5" t="s">
        <v>0</v>
      </c>
      <c r="C5" s="6">
        <v>1130.546</v>
      </c>
      <c r="D5" s="7">
        <v>0.51666666666666661</v>
      </c>
      <c r="E5" s="7">
        <v>0.2413793103448276</v>
      </c>
      <c r="F5" s="7">
        <v>0.48973855610841038</v>
      </c>
      <c r="G5" s="7">
        <v>0.97174850308686223</v>
      </c>
      <c r="H5" s="7">
        <v>0.20591414256621424</v>
      </c>
      <c r="J5" s="1" t="s">
        <v>0</v>
      </c>
      <c r="K5" s="1">
        <v>941.58699999999999</v>
      </c>
      <c r="L5" s="14">
        <v>0.51666666666666661</v>
      </c>
      <c r="M5" s="14">
        <v>0.2413793103448276</v>
      </c>
      <c r="N5" s="14">
        <v>0.53411088110377813</v>
      </c>
      <c r="O5" s="14">
        <v>0.98999403472099712</v>
      </c>
      <c r="P5" s="14">
        <v>0.15527910211251522</v>
      </c>
    </row>
    <row r="6" spans="2:16">
      <c r="B6" s="8" t="s">
        <v>12</v>
      </c>
      <c r="C6" s="9">
        <v>1020.954</v>
      </c>
      <c r="D6" s="10">
        <v>0.68333333333333335</v>
      </c>
      <c r="E6" s="10">
        <v>0.31578947368421051</v>
      </c>
      <c r="F6" s="10">
        <v>0.4920711879146345</v>
      </c>
      <c r="G6" s="10">
        <v>0.97174934734654017</v>
      </c>
      <c r="H6" s="10">
        <v>0.23589318677709731</v>
      </c>
      <c r="J6" s="1" t="s">
        <v>25</v>
      </c>
      <c r="K6" s="1">
        <v>850.322</v>
      </c>
      <c r="L6" s="14">
        <v>0.68333333333333335</v>
      </c>
      <c r="M6" s="14">
        <v>0.31578947368421051</v>
      </c>
      <c r="N6" s="14">
        <v>0.53764053370603992</v>
      </c>
      <c r="O6" s="14">
        <v>0.98999339446802459</v>
      </c>
      <c r="P6" s="14">
        <v>0.17775597072340107</v>
      </c>
    </row>
    <row r="7" spans="2:16">
      <c r="B7" s="8" t="s">
        <v>13</v>
      </c>
      <c r="C7" s="9">
        <v>1130.546</v>
      </c>
      <c r="D7" s="10">
        <v>0.65</v>
      </c>
      <c r="E7" s="10">
        <v>0.33333333333333331</v>
      </c>
      <c r="F7" s="10">
        <v>0.45113660275574646</v>
      </c>
      <c r="G7" s="10">
        <v>0.97174850308686223</v>
      </c>
      <c r="H7" s="10">
        <v>0.24075452519486323</v>
      </c>
      <c r="J7" s="1" t="s">
        <v>26</v>
      </c>
      <c r="K7" s="1">
        <v>941.58699999999999</v>
      </c>
      <c r="L7" s="14">
        <v>0.65</v>
      </c>
      <c r="M7" s="14">
        <v>0.33333333333333331</v>
      </c>
      <c r="N7" s="14">
        <v>0.49596040745601699</v>
      </c>
      <c r="O7" s="14">
        <v>0.98999403472099712</v>
      </c>
      <c r="P7" s="14">
        <v>0.18181467598343667</v>
      </c>
    </row>
    <row r="8" spans="2:16">
      <c r="B8" s="8" t="s">
        <v>14</v>
      </c>
      <c r="C8" s="9">
        <v>1020.954</v>
      </c>
      <c r="D8" s="10">
        <v>0.8</v>
      </c>
      <c r="E8" s="10">
        <v>0.33333333333333331</v>
      </c>
      <c r="F8" s="10">
        <v>0.45283084024996012</v>
      </c>
      <c r="G8" s="10">
        <v>0.97102427118539802</v>
      </c>
      <c r="H8" s="10">
        <v>0.25499471416575653</v>
      </c>
      <c r="J8" s="1" t="s">
        <v>27</v>
      </c>
      <c r="K8" s="1">
        <v>850.322</v>
      </c>
      <c r="L8" s="14">
        <v>0.8</v>
      </c>
      <c r="M8" s="14">
        <v>0.33333333333333331</v>
      </c>
      <c r="N8" s="14">
        <v>0.49046532687212357</v>
      </c>
      <c r="O8" s="14">
        <v>0.98912281907773381</v>
      </c>
      <c r="P8" s="14">
        <v>0.19607160629577025</v>
      </c>
    </row>
    <row r="9" spans="2:16">
      <c r="B9" s="8" t="s">
        <v>15</v>
      </c>
      <c r="C9" s="9">
        <v>855.48327999999992</v>
      </c>
      <c r="D9" s="10">
        <v>6.6666666666666652E-2</v>
      </c>
      <c r="E9" s="10">
        <v>1.7857142857142856E-2</v>
      </c>
      <c r="F9" s="10">
        <v>0.32069623560371852</v>
      </c>
      <c r="G9" s="10">
        <v>0.93336011374444716</v>
      </c>
      <c r="H9" s="10">
        <v>8.5680056770301175E-2</v>
      </c>
      <c r="J9" s="1" t="s">
        <v>28</v>
      </c>
      <c r="K9" s="15">
        <v>666.52427999999998</v>
      </c>
      <c r="L9" s="14">
        <v>0.7</v>
      </c>
      <c r="M9" s="14">
        <v>0.27777777777777779</v>
      </c>
      <c r="N9" s="14">
        <v>0.54788755281019552</v>
      </c>
      <c r="O9" s="14">
        <v>0.90449900298796715</v>
      </c>
      <c r="P9" s="14">
        <v>0.30270003917411337</v>
      </c>
    </row>
    <row r="10" spans="2:16">
      <c r="B10" s="8" t="s">
        <v>16</v>
      </c>
      <c r="C10" s="9">
        <v>1130.546</v>
      </c>
      <c r="D10" s="10">
        <v>0.43333333333333335</v>
      </c>
      <c r="E10" s="10">
        <v>0.23529411764705882</v>
      </c>
      <c r="F10" s="10">
        <v>0.48601816473250553</v>
      </c>
      <c r="G10" s="10">
        <v>0.97174850308686223</v>
      </c>
      <c r="H10" s="10">
        <v>0.19615780836483998</v>
      </c>
      <c r="J10" s="1" t="s">
        <v>29</v>
      </c>
      <c r="K10" s="15">
        <v>941.58699999999999</v>
      </c>
      <c r="L10" s="14">
        <v>0.43333333333333335</v>
      </c>
      <c r="M10" s="14">
        <v>0.23529411764705882</v>
      </c>
      <c r="N10" s="14">
        <v>0.52923179102793083</v>
      </c>
      <c r="O10" s="14">
        <v>0.98999403472099712</v>
      </c>
      <c r="P10" s="14">
        <v>0.14803854963539451</v>
      </c>
    </row>
    <row r="11" spans="2:16">
      <c r="B11" s="8" t="s">
        <v>17</v>
      </c>
      <c r="C11" s="9">
        <v>855.48327999999992</v>
      </c>
      <c r="D11" s="10">
        <v>6.6666666666666652E-2</v>
      </c>
      <c r="E11" s="10">
        <v>1.7857142857142856E-2</v>
      </c>
      <c r="F11" s="10">
        <v>0.37636977028585161</v>
      </c>
      <c r="G11" s="10">
        <v>0.98532525123683201</v>
      </c>
      <c r="H11" s="10">
        <v>5.7451931883475277E-2</v>
      </c>
      <c r="J11" s="1" t="s">
        <v>30</v>
      </c>
      <c r="K11" s="15">
        <v>666.52427999999998</v>
      </c>
      <c r="L11" s="14">
        <v>0.58333333333333326</v>
      </c>
      <c r="M11" s="14">
        <v>0.2</v>
      </c>
      <c r="N11" s="14">
        <v>0.56055044861039949</v>
      </c>
      <c r="O11" s="14">
        <v>0.98944037716811928</v>
      </c>
      <c r="P11" s="14">
        <v>0.15253730017955008</v>
      </c>
    </row>
    <row r="12" spans="2:16">
      <c r="B12" s="8" t="s">
        <v>18</v>
      </c>
      <c r="C12" s="9">
        <v>1130.546</v>
      </c>
      <c r="D12" s="10">
        <v>0.51666666666666661</v>
      </c>
      <c r="E12" s="10">
        <v>0.2413793103448276</v>
      </c>
      <c r="F12" s="10">
        <v>0.48249901823962515</v>
      </c>
      <c r="G12" s="10">
        <v>0.97174850308686223</v>
      </c>
      <c r="H12" s="10">
        <v>0.20664066076703483</v>
      </c>
      <c r="J12" s="1" t="s">
        <v>31</v>
      </c>
      <c r="K12" s="15">
        <v>941.58699999999999</v>
      </c>
      <c r="L12" s="14">
        <v>0.51666666666666661</v>
      </c>
      <c r="M12" s="14">
        <v>0.2413793103448276</v>
      </c>
      <c r="N12" s="14">
        <v>0.52615302921144236</v>
      </c>
      <c r="O12" s="14">
        <v>0.98999403472099712</v>
      </c>
      <c r="P12" s="14">
        <v>0.15593797723522362</v>
      </c>
    </row>
    <row r="13" spans="2:16">
      <c r="B13" s="8" t="s">
        <v>19</v>
      </c>
      <c r="C13" s="9">
        <v>1130.546</v>
      </c>
      <c r="D13" s="10">
        <v>0.6</v>
      </c>
      <c r="E13" s="10">
        <v>0.33333333333333331</v>
      </c>
      <c r="F13" s="10">
        <v>0.4883510768979149</v>
      </c>
      <c r="G13" s="10">
        <v>0.97174850308686223</v>
      </c>
      <c r="H13" s="10">
        <v>0.2318787128773358</v>
      </c>
      <c r="J13" s="1" t="s">
        <v>32</v>
      </c>
      <c r="K13" s="15">
        <v>941.58699999999999</v>
      </c>
      <c r="L13" s="14">
        <v>0.6</v>
      </c>
      <c r="M13" s="14">
        <v>0.33333333333333331</v>
      </c>
      <c r="N13" s="14">
        <v>0.53533597877763472</v>
      </c>
      <c r="O13" s="14">
        <v>0.98999403472099712</v>
      </c>
      <c r="P13" s="14">
        <v>0.17462523695281482</v>
      </c>
    </row>
    <row r="14" spans="2:16">
      <c r="B14" s="8" t="s">
        <v>20</v>
      </c>
      <c r="C14" s="9">
        <v>1130.546</v>
      </c>
      <c r="D14" s="10">
        <v>0.6166666666666667</v>
      </c>
      <c r="E14" s="10">
        <v>0.30434782608695654</v>
      </c>
      <c r="F14" s="10">
        <v>0.49971733155530301</v>
      </c>
      <c r="G14" s="10">
        <v>0.97174850308686223</v>
      </c>
      <c r="H14" s="10">
        <v>0.22694436295744652</v>
      </c>
      <c r="J14" s="1" t="s">
        <v>33</v>
      </c>
      <c r="K14" s="15">
        <v>941.58699999999999</v>
      </c>
      <c r="L14" s="14">
        <v>0.6166666666666667</v>
      </c>
      <c r="M14" s="14">
        <v>0.30434782608695654</v>
      </c>
      <c r="N14" s="14">
        <v>0.54843152628266179</v>
      </c>
      <c r="O14" s="14">
        <v>0.98999403472099712</v>
      </c>
      <c r="P14" s="14">
        <v>0.1706478499426051</v>
      </c>
    </row>
    <row r="15" spans="2:16">
      <c r="B15" s="8" t="s">
        <v>21</v>
      </c>
      <c r="C15" s="9">
        <v>1130.546</v>
      </c>
      <c r="D15" s="10">
        <v>0.6</v>
      </c>
      <c r="E15" s="10">
        <v>0.33333333333333331</v>
      </c>
      <c r="F15" s="10">
        <v>0.4881576358637888</v>
      </c>
      <c r="G15" s="10">
        <v>0.97174850308686223</v>
      </c>
      <c r="H15" s="10">
        <v>0.23190062658513966</v>
      </c>
      <c r="J15" s="1" t="s">
        <v>34</v>
      </c>
      <c r="K15" s="15">
        <v>941.58699999999999</v>
      </c>
      <c r="L15" s="14">
        <v>0.6</v>
      </c>
      <c r="M15" s="14">
        <v>0.33333333333333331</v>
      </c>
      <c r="N15" s="14">
        <v>0.53516434232339993</v>
      </c>
      <c r="O15" s="14">
        <v>0.98999403472099712</v>
      </c>
      <c r="P15" s="14">
        <v>0.17464136037984457</v>
      </c>
    </row>
    <row r="16" spans="2:16" ht="15.75" thickBot="1">
      <c r="B16" s="11" t="s">
        <v>22</v>
      </c>
      <c r="C16" s="4">
        <v>1130.546</v>
      </c>
      <c r="D16" s="12">
        <v>0.55000000000000004</v>
      </c>
      <c r="E16" s="12">
        <v>0.25925925925925924</v>
      </c>
      <c r="F16" s="12">
        <v>0.47751053077341521</v>
      </c>
      <c r="G16" s="12">
        <v>0.97174850308686223</v>
      </c>
      <c r="H16" s="12">
        <v>0.21419236827108368</v>
      </c>
      <c r="J16" s="1" t="s">
        <v>22</v>
      </c>
      <c r="K16" s="15">
        <v>941.58699999999999</v>
      </c>
      <c r="L16" s="14">
        <v>0.55000000000000004</v>
      </c>
      <c r="M16" s="14">
        <v>0.25925925925925924</v>
      </c>
      <c r="N16" s="14">
        <v>0.52321322264635084</v>
      </c>
      <c r="O16" s="14">
        <v>0.98999403472099712</v>
      </c>
      <c r="P16" s="14">
        <v>0.16149907525192697</v>
      </c>
    </row>
    <row r="17" spans="2:18" ht="15.75" thickTop="1">
      <c r="B17" s="8"/>
      <c r="C17" s="9"/>
      <c r="D17" s="10"/>
      <c r="E17" s="10"/>
      <c r="F17" s="10"/>
      <c r="G17" s="10"/>
      <c r="H17" s="10"/>
      <c r="J17" s="1"/>
      <c r="K17" s="15"/>
      <c r="L17" s="14"/>
      <c r="M17" s="14"/>
      <c r="N17" s="14"/>
      <c r="O17" s="14"/>
      <c r="P17" s="14"/>
    </row>
    <row r="18" spans="2:18">
      <c r="B18" s="8"/>
      <c r="C18" s="9"/>
      <c r="D18" s="10"/>
      <c r="E18" s="10"/>
      <c r="F18" s="10"/>
      <c r="G18" s="10"/>
      <c r="H18" s="10"/>
      <c r="J18" s="1"/>
      <c r="K18" s="15"/>
      <c r="L18" s="14"/>
      <c r="M18" s="14"/>
      <c r="N18" s="14"/>
      <c r="O18" s="14"/>
      <c r="P18" s="14"/>
    </row>
    <row r="19" spans="2:18">
      <c r="B19" s="8"/>
      <c r="C19" s="9"/>
      <c r="D19" s="10"/>
      <c r="E19" s="10"/>
      <c r="F19" s="10"/>
      <c r="G19" s="10"/>
      <c r="H19" s="10" t="s">
        <v>54</v>
      </c>
      <c r="I19" s="1" t="s">
        <v>52</v>
      </c>
      <c r="J19" s="1"/>
      <c r="K19" s="15"/>
      <c r="L19" s="14"/>
      <c r="M19" s="14"/>
      <c r="N19" s="14"/>
      <c r="O19" s="14"/>
      <c r="P19" s="14"/>
    </row>
    <row r="20" spans="2:18">
      <c r="B20" s="8"/>
      <c r="C20" s="19" t="s">
        <v>51</v>
      </c>
      <c r="D20" s="10"/>
      <c r="E20" s="10"/>
      <c r="F20" s="10"/>
      <c r="G20" s="10"/>
      <c r="H20" s="10" t="s">
        <v>55</v>
      </c>
      <c r="I20" s="1" t="s">
        <v>53</v>
      </c>
      <c r="J20" s="1"/>
      <c r="K20" s="15"/>
      <c r="L20" s="14"/>
      <c r="M20" s="14"/>
      <c r="N20" s="14"/>
      <c r="O20" s="14"/>
      <c r="P20" s="14"/>
    </row>
    <row r="21" spans="2:18">
      <c r="B21" s="8"/>
      <c r="C21" s="9"/>
      <c r="D21" s="10"/>
      <c r="E21" s="10"/>
      <c r="F21" s="10" t="s">
        <v>58</v>
      </c>
      <c r="G21" s="20" t="s">
        <v>56</v>
      </c>
      <c r="H21" s="10">
        <v>702.4</v>
      </c>
      <c r="I21" s="1">
        <v>164</v>
      </c>
      <c r="J21" s="1"/>
      <c r="K21" s="15"/>
      <c r="L21" s="14"/>
      <c r="M21" s="14"/>
      <c r="N21" s="14"/>
      <c r="O21" s="14"/>
      <c r="P21" s="14"/>
    </row>
    <row r="22" spans="2:18">
      <c r="B22" s="8"/>
      <c r="C22" s="9"/>
      <c r="D22" s="10"/>
      <c r="E22" s="10"/>
      <c r="F22" s="10" t="s">
        <v>57</v>
      </c>
      <c r="G22" s="20" t="s">
        <v>56</v>
      </c>
      <c r="H22" s="10">
        <v>1130.5</v>
      </c>
      <c r="I22" s="22">
        <f>(H22*I21)/H21</f>
        <v>263.95501138952164</v>
      </c>
      <c r="J22" s="1"/>
      <c r="K22" s="15"/>
      <c r="L22" s="14"/>
      <c r="M22" s="14"/>
      <c r="N22" s="14"/>
      <c r="O22" s="14"/>
      <c r="P22" s="14"/>
    </row>
    <row r="23" spans="2:18">
      <c r="B23" s="8"/>
      <c r="C23" s="9"/>
      <c r="D23" s="10"/>
      <c r="E23" s="10" t="s">
        <v>59</v>
      </c>
      <c r="F23" s="10" t="s">
        <v>57</v>
      </c>
      <c r="G23" s="20" t="s">
        <v>56</v>
      </c>
      <c r="H23" s="10">
        <v>1021</v>
      </c>
      <c r="I23" s="22">
        <f>(H23*I22)/H22</f>
        <v>238.38838268792711</v>
      </c>
      <c r="J23" s="1"/>
      <c r="K23" s="15"/>
      <c r="L23" s="14"/>
      <c r="M23" s="14"/>
      <c r="N23" s="14"/>
      <c r="O23" s="14"/>
      <c r="P23" s="14"/>
    </row>
    <row r="24" spans="2:18">
      <c r="B24" s="8"/>
      <c r="C24" s="9"/>
      <c r="D24" s="10"/>
      <c r="E24" s="10"/>
      <c r="F24" s="10"/>
      <c r="G24" s="20"/>
      <c r="H24" s="10"/>
      <c r="J24" s="1"/>
      <c r="K24" s="15"/>
      <c r="L24" s="14"/>
      <c r="M24" s="14"/>
      <c r="N24" s="14"/>
      <c r="O24" s="14"/>
      <c r="P24" s="14"/>
    </row>
    <row r="26" spans="2:18">
      <c r="G26" s="47" t="s">
        <v>62</v>
      </c>
      <c r="H26" s="23" t="s">
        <v>41</v>
      </c>
      <c r="I26" s="9" t="s">
        <v>37</v>
      </c>
      <c r="J26" s="9" t="s">
        <v>40</v>
      </c>
      <c r="K26" s="9" t="s">
        <v>36</v>
      </c>
      <c r="L26" s="9" t="s">
        <v>42</v>
      </c>
      <c r="M26" s="9" t="s">
        <v>44</v>
      </c>
      <c r="N26" s="9" t="s">
        <v>46</v>
      </c>
      <c r="O26" s="36" t="s">
        <v>48</v>
      </c>
      <c r="P26" s="29" t="s">
        <v>49</v>
      </c>
      <c r="Q26" s="33" t="s">
        <v>60</v>
      </c>
      <c r="R26" s="33" t="s">
        <v>61</v>
      </c>
    </row>
    <row r="27" spans="2:18">
      <c r="G27" s="48" t="s">
        <v>35</v>
      </c>
      <c r="H27" s="24" t="s">
        <v>35</v>
      </c>
      <c r="I27" s="2" t="s">
        <v>38</v>
      </c>
      <c r="J27" s="18" t="s">
        <v>11</v>
      </c>
      <c r="K27" s="2" t="s">
        <v>39</v>
      </c>
      <c r="L27" s="2" t="s">
        <v>43</v>
      </c>
      <c r="M27" s="2" t="s">
        <v>45</v>
      </c>
      <c r="N27" s="2" t="s">
        <v>47</v>
      </c>
      <c r="O27" s="34" t="s">
        <v>43</v>
      </c>
      <c r="P27" s="32" t="s">
        <v>35</v>
      </c>
      <c r="Q27" s="34" t="s">
        <v>35</v>
      </c>
      <c r="R27" s="34" t="s">
        <v>35</v>
      </c>
    </row>
    <row r="28" spans="2:18">
      <c r="F28" s="17">
        <f>D5</f>
        <v>0.51666666666666661</v>
      </c>
      <c r="G28" s="39">
        <f>F28*R28</f>
        <v>136.37675588458617</v>
      </c>
      <c r="H28" s="23">
        <v>0</v>
      </c>
      <c r="I28" s="9">
        <v>0</v>
      </c>
      <c r="J28" s="9">
        <v>0.08</v>
      </c>
      <c r="K28" s="25">
        <f>IF(I28=0,0,(J28*(1+J28)^(I28))/((1+J28)^(I28)-1))</f>
        <v>0</v>
      </c>
      <c r="L28" s="26">
        <f>K28*H28</f>
        <v>0</v>
      </c>
      <c r="M28" s="9">
        <v>0</v>
      </c>
      <c r="N28" s="9">
        <v>0</v>
      </c>
      <c r="O28" s="33">
        <f>N28+M28+L28</f>
        <v>0</v>
      </c>
      <c r="P28" s="30">
        <f>$I$22</f>
        <v>263.95501138952164</v>
      </c>
      <c r="Q28" s="35">
        <f>P28</f>
        <v>263.95501138952164</v>
      </c>
      <c r="R28" s="37">
        <f>Q28-O28</f>
        <v>263.95501138952164</v>
      </c>
    </row>
    <row r="29" spans="2:18">
      <c r="E29" s="63"/>
      <c r="F29" s="1" t="s">
        <v>1</v>
      </c>
      <c r="H29" s="27"/>
      <c r="I29" s="8"/>
      <c r="J29" s="8"/>
      <c r="K29" s="28"/>
      <c r="L29" s="8"/>
      <c r="M29" s="8"/>
      <c r="N29" s="8"/>
      <c r="O29" s="36"/>
      <c r="P29" s="27"/>
      <c r="Q29" s="36"/>
      <c r="R29" s="37"/>
    </row>
    <row r="30" spans="2:18">
      <c r="C30" s="40">
        <f>F28*(R28)+F32*(R32)</f>
        <v>138.99503010588774</v>
      </c>
      <c r="D30" s="64" t="s">
        <v>0</v>
      </c>
      <c r="E30" s="63"/>
      <c r="H30" s="27"/>
      <c r="I30" s="8"/>
      <c r="J30" s="8"/>
      <c r="K30" s="28"/>
      <c r="L30" s="8"/>
      <c r="M30" s="8"/>
      <c r="N30" s="8" t="s">
        <v>6</v>
      </c>
      <c r="O30" s="36"/>
      <c r="P30" s="27"/>
      <c r="Q30" s="36"/>
      <c r="R30" s="37"/>
    </row>
    <row r="31" spans="2:18">
      <c r="C31" s="40">
        <f>SUM(G28,G32)</f>
        <v>138.99503010588774</v>
      </c>
      <c r="D31" s="64"/>
      <c r="E31" s="65"/>
      <c r="H31" s="27"/>
      <c r="I31" s="8"/>
      <c r="J31" s="8"/>
      <c r="K31" s="28"/>
      <c r="L31" s="8"/>
      <c r="M31" s="8"/>
      <c r="N31" s="10">
        <f>F5</f>
        <v>0.48973855610841038</v>
      </c>
      <c r="O31" s="36"/>
      <c r="P31" s="27"/>
      <c r="Q31" s="36"/>
      <c r="R31" s="37"/>
    </row>
    <row r="32" spans="2:18">
      <c r="E32" s="65"/>
      <c r="F32" s="17">
        <f>1-F28</f>
        <v>0.48333333333333339</v>
      </c>
      <c r="G32" s="39">
        <f>F32*R32</f>
        <v>2.618274221301558</v>
      </c>
      <c r="H32" s="23">
        <v>0</v>
      </c>
      <c r="I32" s="9">
        <v>0</v>
      </c>
      <c r="J32" s="9">
        <v>0.08</v>
      </c>
      <c r="K32" s="25">
        <f>IF(I32=0,0,(J32*(1+J32)^(I32))/((1+J32)^(I32)-1))</f>
        <v>0</v>
      </c>
      <c r="L32" s="26">
        <f>K32*H32</f>
        <v>0</v>
      </c>
      <c r="M32" s="9">
        <v>0</v>
      </c>
      <c r="N32" s="26">
        <f>N31*P28</f>
        <v>129.26894615548335</v>
      </c>
      <c r="O32" s="37">
        <f>N32+M32+L32</f>
        <v>129.26894615548335</v>
      </c>
      <c r="P32" s="31">
        <f>P28-N32</f>
        <v>134.6860652340383</v>
      </c>
      <c r="Q32" s="35">
        <f>P32</f>
        <v>134.6860652340383</v>
      </c>
      <c r="R32" s="37">
        <f t="shared" ref="R32:R42" si="0">Q32-O32</f>
        <v>5.417119078554947</v>
      </c>
    </row>
    <row r="33" spans="3:18">
      <c r="F33" s="1" t="s">
        <v>2</v>
      </c>
      <c r="H33" s="27"/>
      <c r="I33" s="8"/>
      <c r="J33" s="8"/>
      <c r="K33" s="8"/>
      <c r="L33" s="8"/>
      <c r="M33" s="8"/>
      <c r="N33" s="8"/>
      <c r="O33" s="36"/>
      <c r="P33" s="27"/>
      <c r="Q33" s="36"/>
      <c r="R33" s="35"/>
    </row>
    <row r="34" spans="3:18">
      <c r="H34" s="27"/>
      <c r="I34" s="8"/>
      <c r="J34" s="8"/>
      <c r="K34" s="8"/>
      <c r="L34" s="8"/>
      <c r="M34" s="8"/>
      <c r="N34" s="8"/>
      <c r="O34" s="36"/>
      <c r="P34" s="27"/>
      <c r="Q34" s="36"/>
      <c r="R34" s="35"/>
    </row>
    <row r="35" spans="3:18">
      <c r="H35" s="27"/>
      <c r="I35" s="8"/>
      <c r="J35" s="8"/>
      <c r="K35" s="8"/>
      <c r="L35" s="8"/>
      <c r="M35" s="8"/>
      <c r="N35" s="8"/>
      <c r="O35" s="36"/>
      <c r="P35" s="27"/>
      <c r="Q35" s="36"/>
      <c r="R35" s="35"/>
    </row>
    <row r="36" spans="3:18">
      <c r="G36" s="47" t="s">
        <v>62</v>
      </c>
      <c r="H36" s="23" t="s">
        <v>41</v>
      </c>
      <c r="I36" s="9" t="s">
        <v>37</v>
      </c>
      <c r="J36" s="9" t="s">
        <v>40</v>
      </c>
      <c r="K36" s="9" t="s">
        <v>36</v>
      </c>
      <c r="L36" s="9" t="s">
        <v>42</v>
      </c>
      <c r="M36" s="9" t="s">
        <v>44</v>
      </c>
      <c r="N36" s="9" t="s">
        <v>46</v>
      </c>
      <c r="O36" s="36" t="s">
        <v>48</v>
      </c>
      <c r="P36" s="29" t="s">
        <v>49</v>
      </c>
      <c r="Q36" s="33" t="s">
        <v>60</v>
      </c>
      <c r="R36" s="33" t="s">
        <v>61</v>
      </c>
    </row>
    <row r="37" spans="3:18">
      <c r="G37" s="48" t="s">
        <v>35</v>
      </c>
      <c r="H37" s="24" t="s">
        <v>35</v>
      </c>
      <c r="I37" s="2" t="s">
        <v>38</v>
      </c>
      <c r="J37" s="18" t="s">
        <v>11</v>
      </c>
      <c r="K37" s="2" t="s">
        <v>39</v>
      </c>
      <c r="L37" s="2" t="s">
        <v>43</v>
      </c>
      <c r="M37" s="2" t="s">
        <v>45</v>
      </c>
      <c r="N37" s="2" t="s">
        <v>47</v>
      </c>
      <c r="O37" s="34" t="s">
        <v>43</v>
      </c>
      <c r="P37" s="29" t="s">
        <v>35</v>
      </c>
      <c r="Q37" s="33" t="s">
        <v>35</v>
      </c>
      <c r="R37" s="34" t="s">
        <v>35</v>
      </c>
    </row>
    <row r="38" spans="3:18">
      <c r="F38" s="17">
        <f>D6</f>
        <v>0.68333333333333335</v>
      </c>
      <c r="G38" s="39">
        <f>F38*R38</f>
        <v>161.05548177738186</v>
      </c>
      <c r="H38" s="23">
        <v>18.100000000000001</v>
      </c>
      <c r="I38" s="9">
        <v>10</v>
      </c>
      <c r="J38" s="9">
        <v>0.08</v>
      </c>
      <c r="K38" s="25">
        <f>IF(I38=0,0,(J38*(1+J38)^(I38))/((1+J38)^(I38)-1))</f>
        <v>0.14902948869707539</v>
      </c>
      <c r="L38" s="26">
        <f>K38*H38</f>
        <v>2.6974337454170647</v>
      </c>
      <c r="M38" s="9">
        <v>0</v>
      </c>
      <c r="N38" s="9">
        <v>0</v>
      </c>
      <c r="O38" s="37">
        <f>N38+M38+L38</f>
        <v>2.6974337454170647</v>
      </c>
      <c r="P38" s="30">
        <f>I23</f>
        <v>238.38838268792711</v>
      </c>
      <c r="Q38" s="35">
        <f>P38</f>
        <v>238.38838268792711</v>
      </c>
      <c r="R38" s="37">
        <f t="shared" si="0"/>
        <v>235.69094894251003</v>
      </c>
    </row>
    <row r="39" spans="3:18">
      <c r="E39" s="63"/>
      <c r="F39" s="1" t="s">
        <v>1</v>
      </c>
      <c r="H39" s="27"/>
      <c r="I39" s="8"/>
      <c r="J39" s="8"/>
      <c r="K39" s="28"/>
      <c r="L39" s="8"/>
      <c r="M39" s="8"/>
      <c r="N39" s="8"/>
      <c r="O39" s="36"/>
      <c r="P39" s="27"/>
      <c r="Q39" s="36"/>
      <c r="R39" s="37"/>
    </row>
    <row r="40" spans="3:18">
      <c r="C40" s="40">
        <f>F38*(R38)+F42*(R42)</f>
        <v>161.39838099478874</v>
      </c>
      <c r="D40" s="64" t="s">
        <v>50</v>
      </c>
      <c r="E40" s="63"/>
      <c r="H40" s="27"/>
      <c r="I40" s="8"/>
      <c r="J40" s="8"/>
      <c r="K40" s="28"/>
      <c r="L40" s="8"/>
      <c r="M40" s="8"/>
      <c r="N40" s="8" t="s">
        <v>6</v>
      </c>
      <c r="O40" s="36"/>
      <c r="P40" s="27"/>
      <c r="Q40" s="36"/>
      <c r="R40" s="37"/>
    </row>
    <row r="41" spans="3:18">
      <c r="C41" s="40">
        <f>SUM(G38,G42)</f>
        <v>161.39838099478874</v>
      </c>
      <c r="D41" s="64"/>
      <c r="E41" s="65"/>
      <c r="H41" s="27"/>
      <c r="I41" s="8"/>
      <c r="J41" s="8"/>
      <c r="K41" s="28"/>
      <c r="L41" s="8"/>
      <c r="M41" s="8"/>
      <c r="N41" s="10">
        <f>F6</f>
        <v>0.4920711879146345</v>
      </c>
      <c r="O41" s="36"/>
      <c r="P41" s="27"/>
      <c r="Q41" s="36"/>
      <c r="R41" s="37"/>
    </row>
    <row r="42" spans="3:18">
      <c r="E42" s="65"/>
      <c r="F42" s="17">
        <f>1-F38</f>
        <v>0.31666666666666665</v>
      </c>
      <c r="G42" s="45">
        <f>F42*R42</f>
        <v>0.34289921740688928</v>
      </c>
      <c r="H42" s="23">
        <f>H38</f>
        <v>18.100000000000001</v>
      </c>
      <c r="I42" s="9">
        <f>I38</f>
        <v>10</v>
      </c>
      <c r="J42" s="9">
        <v>0.08</v>
      </c>
      <c r="K42" s="25">
        <f>IF(I42=0,0,(J42*(1+J42)^(I42))/((1+J42)^(I42)-1))</f>
        <v>0.14902948869707539</v>
      </c>
      <c r="L42" s="26">
        <f>K42*H42</f>
        <v>2.6974337454170647</v>
      </c>
      <c r="M42" s="9">
        <v>0</v>
      </c>
      <c r="N42" s="26">
        <f>N41*P38</f>
        <v>117.30405465429678</v>
      </c>
      <c r="O42" s="37">
        <f>N42+M42+L42</f>
        <v>120.00148839971384</v>
      </c>
      <c r="P42" s="31">
        <f>P38-N42</f>
        <v>121.08432803363033</v>
      </c>
      <c r="Q42" s="35">
        <f>P42</f>
        <v>121.08432803363033</v>
      </c>
      <c r="R42" s="37">
        <f t="shared" si="0"/>
        <v>1.0828396339164925</v>
      </c>
    </row>
    <row r="43" spans="3:18">
      <c r="F43" s="1" t="s">
        <v>2</v>
      </c>
      <c r="H43" s="27"/>
      <c r="I43" s="8"/>
      <c r="J43" s="8"/>
      <c r="K43" s="8"/>
      <c r="L43" s="8"/>
      <c r="M43" s="8"/>
      <c r="N43" s="8"/>
      <c r="O43" s="38"/>
      <c r="P43" s="27"/>
      <c r="Q43" s="36"/>
      <c r="R43" s="35"/>
    </row>
    <row r="46" spans="3:18">
      <c r="F46" s="1" t="s">
        <v>63</v>
      </c>
      <c r="I46" s="1" t="s">
        <v>64</v>
      </c>
      <c r="J46" s="1" t="s">
        <v>65</v>
      </c>
      <c r="K46" s="1" t="s">
        <v>66</v>
      </c>
      <c r="L46" s="1" t="s">
        <v>60</v>
      </c>
      <c r="M46" s="1" t="s">
        <v>67</v>
      </c>
    </row>
    <row r="47" spans="3:18">
      <c r="C47" s="13" t="s">
        <v>69</v>
      </c>
      <c r="G47" s="1" t="s">
        <v>62</v>
      </c>
      <c r="H47" s="44"/>
      <c r="K47" s="1" t="s">
        <v>35</v>
      </c>
      <c r="L47" s="1" t="s">
        <v>35</v>
      </c>
      <c r="M47" s="1" t="s">
        <v>35</v>
      </c>
    </row>
    <row r="48" spans="3:18">
      <c r="G48" s="1" t="s">
        <v>35</v>
      </c>
      <c r="H48" s="40">
        <f>(N48+N50)</f>
        <v>138.99503010588774</v>
      </c>
      <c r="I48" s="17">
        <f>F49</f>
        <v>0.51666666666666661</v>
      </c>
      <c r="J48" s="17">
        <f>I48*$F$49</f>
        <v>0.26694444444444437</v>
      </c>
      <c r="K48" s="49">
        <f>O28</f>
        <v>0</v>
      </c>
      <c r="L48" s="49">
        <f>Q28</f>
        <v>263.95501138952164</v>
      </c>
      <c r="M48" s="49">
        <f>R28</f>
        <v>263.95501138952164</v>
      </c>
      <c r="N48" s="41">
        <f>I48*M48</f>
        <v>136.37675588458617</v>
      </c>
      <c r="P48" s="44">
        <f>R28+M48</f>
        <v>527.91002277904329</v>
      </c>
      <c r="Q48" s="44">
        <f>P48*J48</f>
        <v>140.92264774740568</v>
      </c>
    </row>
    <row r="49" spans="2:17">
      <c r="F49" s="17">
        <f>F28</f>
        <v>0.51666666666666661</v>
      </c>
      <c r="G49" s="41">
        <f>G28</f>
        <v>136.37675588458617</v>
      </c>
      <c r="H49" s="42"/>
      <c r="I49" s="1"/>
      <c r="J49" s="15"/>
    </row>
    <row r="50" spans="2:17">
      <c r="E50" s="63"/>
      <c r="F50" s="1" t="s">
        <v>1</v>
      </c>
      <c r="H50" s="43"/>
      <c r="I50" s="17">
        <f>F53</f>
        <v>0.48333333333333339</v>
      </c>
      <c r="J50" s="17">
        <f>I50*$F$49</f>
        <v>0.24972222222222223</v>
      </c>
      <c r="K50" s="49">
        <f>O32</f>
        <v>129.26894615548335</v>
      </c>
      <c r="L50" s="49">
        <f>Q32</f>
        <v>134.6860652340383</v>
      </c>
      <c r="M50" s="49">
        <f>R32</f>
        <v>5.417119078554947</v>
      </c>
      <c r="N50" s="41">
        <f>I50*M50</f>
        <v>2.618274221301558</v>
      </c>
      <c r="P50" s="44">
        <f>M50+R32</f>
        <v>10.834238157109894</v>
      </c>
      <c r="Q50" s="44">
        <f>P50*J50</f>
        <v>2.7055500286782763</v>
      </c>
    </row>
    <row r="51" spans="2:17">
      <c r="B51" s="44"/>
      <c r="C51" s="40">
        <f>SUM(G49,G53)</f>
        <v>138.99503010588774</v>
      </c>
      <c r="D51" s="64" t="s">
        <v>0</v>
      </c>
      <c r="E51" s="63"/>
      <c r="I51" s="1"/>
    </row>
    <row r="52" spans="2:17">
      <c r="C52" s="40"/>
      <c r="D52" s="64"/>
      <c r="E52" s="65"/>
      <c r="H52" s="40">
        <f>N52+N54</f>
        <v>67.822817222581392</v>
      </c>
      <c r="I52" s="16">
        <f>E5</f>
        <v>0.2413793103448276</v>
      </c>
      <c r="J52" s="17">
        <f>I52*$F$53</f>
        <v>0.11666666666666668</v>
      </c>
      <c r="K52" s="49">
        <f>O28</f>
        <v>0</v>
      </c>
      <c r="L52" s="49">
        <f>Q28</f>
        <v>263.95501138952164</v>
      </c>
      <c r="M52" s="49">
        <f>R28</f>
        <v>263.95501138952164</v>
      </c>
      <c r="N52" s="41">
        <f>I52*M52</f>
        <v>63.713278611263846</v>
      </c>
      <c r="P52" s="21">
        <f>R32+M52</f>
        <v>269.37213046807659</v>
      </c>
      <c r="Q52" s="44">
        <f>P52*J52</f>
        <v>31.426748554608938</v>
      </c>
    </row>
    <row r="53" spans="2:17">
      <c r="E53" s="65"/>
      <c r="F53" s="17">
        <f>1-F49</f>
        <v>0.48333333333333339</v>
      </c>
      <c r="G53" s="41">
        <f>G32</f>
        <v>2.618274221301558</v>
      </c>
      <c r="H53" s="42"/>
      <c r="I53" s="1"/>
      <c r="J53" s="15"/>
    </row>
    <row r="54" spans="2:17">
      <c r="F54" s="1" t="s">
        <v>2</v>
      </c>
      <c r="H54" s="43"/>
      <c r="I54" s="16">
        <f>1-I52</f>
        <v>0.75862068965517238</v>
      </c>
      <c r="J54" s="17">
        <f>I54*$F$53</f>
        <v>0.3666666666666667</v>
      </c>
      <c r="K54" s="49">
        <f>O32</f>
        <v>129.26894615548335</v>
      </c>
      <c r="L54" s="49">
        <f>Q32</f>
        <v>134.6860652340383</v>
      </c>
      <c r="M54" s="49">
        <f>R32</f>
        <v>5.417119078554947</v>
      </c>
      <c r="N54" s="41">
        <f>I54*M54</f>
        <v>4.1095386113175456</v>
      </c>
      <c r="P54" s="21">
        <f>M54+R32</f>
        <v>10.834238157109894</v>
      </c>
      <c r="Q54" s="44">
        <f>P54*J54</f>
        <v>3.9725539909402947</v>
      </c>
    </row>
    <row r="55" spans="2:17">
      <c r="J55" s="15"/>
    </row>
    <row r="56" spans="2:17">
      <c r="J56" s="15">
        <f>SUM(J48:J54)</f>
        <v>1</v>
      </c>
    </row>
    <row r="57" spans="2:17">
      <c r="J57" s="15"/>
      <c r="Q57" s="44">
        <f>SUM(Q48:Q54)/2</f>
        <v>89.513750160816599</v>
      </c>
    </row>
    <row r="58" spans="2:17">
      <c r="J58" s="15"/>
    </row>
    <row r="59" spans="2:17">
      <c r="F59" s="1" t="s">
        <v>63</v>
      </c>
      <c r="I59" s="1" t="s">
        <v>64</v>
      </c>
      <c r="J59" s="1" t="s">
        <v>65</v>
      </c>
      <c r="K59" s="1" t="s">
        <v>66</v>
      </c>
      <c r="L59" s="1" t="s">
        <v>60</v>
      </c>
      <c r="M59" s="1" t="s">
        <v>67</v>
      </c>
    </row>
    <row r="60" spans="2:17">
      <c r="C60" s="13" t="s">
        <v>68</v>
      </c>
      <c r="G60" s="1" t="s">
        <v>62</v>
      </c>
      <c r="H60" s="44"/>
      <c r="K60" s="1" t="s">
        <v>35</v>
      </c>
      <c r="L60" s="1" t="s">
        <v>35</v>
      </c>
      <c r="M60" s="1" t="s">
        <v>35</v>
      </c>
    </row>
    <row r="61" spans="2:17">
      <c r="G61" s="1" t="s">
        <v>35</v>
      </c>
      <c r="H61" s="40">
        <f>(N61+N63)</f>
        <v>138.99503010588774</v>
      </c>
      <c r="I61" s="17">
        <f>F62</f>
        <v>0.51666666666666661</v>
      </c>
      <c r="J61" s="17">
        <f>I61*$F$62</f>
        <v>0.26694444444444437</v>
      </c>
      <c r="K61" s="49">
        <f>O28</f>
        <v>0</v>
      </c>
      <c r="L61" s="49">
        <f>Q28</f>
        <v>263.95501138952164</v>
      </c>
      <c r="M61" s="49">
        <f>R28</f>
        <v>263.95501138952164</v>
      </c>
      <c r="N61" s="41">
        <f>I61*M61</f>
        <v>136.37675588458617</v>
      </c>
      <c r="P61" s="44">
        <f>R28+M61</f>
        <v>527.91002277904329</v>
      </c>
      <c r="Q61" s="44">
        <f>P61*J61</f>
        <v>140.92264774740568</v>
      </c>
    </row>
    <row r="62" spans="2:17">
      <c r="F62" s="17">
        <f>F28</f>
        <v>0.51666666666666661</v>
      </c>
      <c r="G62" s="41">
        <f>G28</f>
        <v>136.37675588458617</v>
      </c>
      <c r="H62" s="42"/>
      <c r="I62" s="1"/>
      <c r="J62" s="15"/>
    </row>
    <row r="63" spans="2:17">
      <c r="E63" s="63"/>
      <c r="F63" s="1" t="s">
        <v>1</v>
      </c>
      <c r="H63" s="43"/>
      <c r="I63" s="17">
        <f>F66</f>
        <v>0.48333333333333339</v>
      </c>
      <c r="J63" s="17">
        <f>I63*$F$62</f>
        <v>0.24972222222222223</v>
      </c>
      <c r="K63" s="49">
        <f>O32</f>
        <v>129.26894615548335</v>
      </c>
      <c r="L63" s="49">
        <f>Q32</f>
        <v>134.6860652340383</v>
      </c>
      <c r="M63" s="49">
        <f>R32</f>
        <v>5.417119078554947</v>
      </c>
      <c r="N63" s="41">
        <f>I63*M63</f>
        <v>2.618274221301558</v>
      </c>
      <c r="P63" s="44">
        <f>M63+R32</f>
        <v>10.834238157109894</v>
      </c>
      <c r="Q63" s="44">
        <f>P63*J63</f>
        <v>2.7055500286782763</v>
      </c>
    </row>
    <row r="64" spans="2:17">
      <c r="B64" s="44"/>
      <c r="C64" s="40">
        <f>SUM(G62,G66)</f>
        <v>138.99503010588774</v>
      </c>
      <c r="D64" s="64" t="s">
        <v>0</v>
      </c>
      <c r="E64" s="63"/>
      <c r="I64" s="1"/>
    </row>
    <row r="65" spans="3:17">
      <c r="C65" s="40"/>
      <c r="D65" s="64"/>
      <c r="E65" s="65"/>
      <c r="H65" s="40">
        <f>N65+N67</f>
        <v>138.99503010588774</v>
      </c>
      <c r="I65" s="16">
        <f>F62</f>
        <v>0.51666666666666661</v>
      </c>
      <c r="J65" s="17">
        <f>I65*$F$66</f>
        <v>0.24972222222222223</v>
      </c>
      <c r="K65" s="49">
        <f>O28</f>
        <v>0</v>
      </c>
      <c r="L65" s="49">
        <f>Q28</f>
        <v>263.95501138952164</v>
      </c>
      <c r="M65" s="49">
        <f>R28</f>
        <v>263.95501138952164</v>
      </c>
      <c r="N65" s="41">
        <f>I65*M65</f>
        <v>136.37675588458617</v>
      </c>
      <c r="P65" s="21">
        <f>R28+M65</f>
        <v>527.91002277904329</v>
      </c>
      <c r="Q65" s="44">
        <f>P65*J65</f>
        <v>131.83086402176664</v>
      </c>
    </row>
    <row r="66" spans="3:17">
      <c r="E66" s="65"/>
      <c r="F66" s="17">
        <f>1-F62</f>
        <v>0.48333333333333339</v>
      </c>
      <c r="G66" s="41">
        <f>G32</f>
        <v>2.618274221301558</v>
      </c>
      <c r="H66" s="42"/>
      <c r="I66" s="1"/>
      <c r="J66" s="15"/>
    </row>
    <row r="67" spans="3:17">
      <c r="F67" s="1" t="s">
        <v>2</v>
      </c>
      <c r="H67" s="43"/>
      <c r="I67" s="16">
        <f>1-I65</f>
        <v>0.48333333333333339</v>
      </c>
      <c r="J67" s="17">
        <f>I67*$F$66</f>
        <v>0.23361111111111116</v>
      </c>
      <c r="K67" s="49">
        <f>O32</f>
        <v>129.26894615548335</v>
      </c>
      <c r="L67" s="49">
        <f>Q32</f>
        <v>134.6860652340383</v>
      </c>
      <c r="M67" s="49">
        <f>R32</f>
        <v>5.417119078554947</v>
      </c>
      <c r="N67" s="41">
        <f>I67*M67</f>
        <v>2.618274221301558</v>
      </c>
      <c r="P67" s="21">
        <f>M67+R32</f>
        <v>10.834238157109894</v>
      </c>
      <c r="Q67" s="44">
        <f>P67*J67</f>
        <v>2.5309984139248396</v>
      </c>
    </row>
    <row r="68" spans="3:17">
      <c r="J68" s="15"/>
      <c r="Q68" s="44">
        <f>SUM(Q61:Q67)/2</f>
        <v>138.99503010588774</v>
      </c>
    </row>
    <row r="69" spans="3:17">
      <c r="J69" s="15"/>
    </row>
    <row r="70" spans="3:17">
      <c r="J70" s="15"/>
    </row>
    <row r="71" spans="3:17">
      <c r="J71" s="15"/>
    </row>
    <row r="72" spans="3:17">
      <c r="J72" s="15"/>
    </row>
    <row r="73" spans="3:17">
      <c r="I73" s="1" t="s">
        <v>64</v>
      </c>
      <c r="J73" s="1" t="s">
        <v>65</v>
      </c>
      <c r="K73" s="1" t="s">
        <v>66</v>
      </c>
      <c r="L73" s="1" t="s">
        <v>60</v>
      </c>
      <c r="M73" s="1" t="s">
        <v>67</v>
      </c>
    </row>
    <row r="74" spans="3:17">
      <c r="G74" s="1" t="s">
        <v>62</v>
      </c>
      <c r="H74" s="44"/>
      <c r="K74" s="1" t="s">
        <v>35</v>
      </c>
      <c r="L74" s="1" t="s">
        <v>35</v>
      </c>
      <c r="M74" s="1" t="s">
        <v>35</v>
      </c>
    </row>
    <row r="75" spans="3:17">
      <c r="G75" s="1" t="s">
        <v>35</v>
      </c>
      <c r="H75" s="40">
        <f>(N75+N77)</f>
        <v>161.39838099478874</v>
      </c>
      <c r="I75" s="17">
        <f>F76</f>
        <v>0.68333333333333335</v>
      </c>
      <c r="J75" s="17">
        <f>I75*$F$76</f>
        <v>0.46694444444444444</v>
      </c>
      <c r="K75" s="49">
        <f>O38</f>
        <v>2.6974337454170647</v>
      </c>
      <c r="L75" s="49">
        <f>Q38</f>
        <v>238.38838268792711</v>
      </c>
      <c r="M75" s="49">
        <f>R38</f>
        <v>235.69094894251003</v>
      </c>
      <c r="N75" s="41">
        <f>I75*M75</f>
        <v>161.05548177738186</v>
      </c>
      <c r="P75" s="44">
        <f>R38+M75</f>
        <v>471.38189788502007</v>
      </c>
      <c r="Q75" s="44">
        <f>P75*J75</f>
        <v>220.10915842908852</v>
      </c>
    </row>
    <row r="76" spans="3:17">
      <c r="F76" s="17">
        <f>F38</f>
        <v>0.68333333333333335</v>
      </c>
      <c r="G76" s="41">
        <f>G38</f>
        <v>161.05548177738186</v>
      </c>
      <c r="H76" s="42"/>
      <c r="I76" s="1"/>
      <c r="J76" s="15"/>
    </row>
    <row r="77" spans="3:17">
      <c r="E77" s="63"/>
      <c r="F77" s="1" t="s">
        <v>1</v>
      </c>
      <c r="H77" s="43"/>
      <c r="I77" s="17">
        <f>F80</f>
        <v>0.31666666666666665</v>
      </c>
      <c r="J77" s="17">
        <f>I77*$F$76</f>
        <v>0.21638888888888888</v>
      </c>
      <c r="K77" s="49">
        <f>O42</f>
        <v>120.00148839971384</v>
      </c>
      <c r="L77" s="49">
        <f>Q42</f>
        <v>121.08432803363033</v>
      </c>
      <c r="M77" s="49">
        <f>R42</f>
        <v>1.0828396339164925</v>
      </c>
      <c r="N77" s="41">
        <f>I77*M77</f>
        <v>0.34289921740688928</v>
      </c>
      <c r="P77" s="44">
        <f>M77+R38</f>
        <v>236.77378857642651</v>
      </c>
      <c r="Q77" s="44">
        <f>P77*J77</f>
        <v>51.235217028065627</v>
      </c>
    </row>
    <row r="78" spans="3:17">
      <c r="C78" s="40">
        <f>C40</f>
        <v>161.39838099478874</v>
      </c>
      <c r="D78" s="64" t="s">
        <v>50</v>
      </c>
      <c r="E78" s="63"/>
      <c r="I78" s="1"/>
    </row>
    <row r="79" spans="3:17">
      <c r="C79" s="40">
        <f>SUM(G76,G80)</f>
        <v>161.39838099478874</v>
      </c>
      <c r="D79" s="64"/>
      <c r="E79" s="65"/>
      <c r="H79" s="40">
        <f>N79+N81</f>
        <v>75.169610994524973</v>
      </c>
      <c r="I79" s="16">
        <f>E6</f>
        <v>0.31578947368421051</v>
      </c>
      <c r="J79" s="17">
        <f>I79*$F$80</f>
        <v>9.9999999999999992E-2</v>
      </c>
      <c r="K79" s="49">
        <f>O38</f>
        <v>2.6974337454170647</v>
      </c>
      <c r="L79" s="49">
        <f>Q38</f>
        <v>238.38838268792711</v>
      </c>
      <c r="M79" s="49">
        <f>R38</f>
        <v>235.69094894251003</v>
      </c>
      <c r="N79" s="41">
        <f>I79*M79</f>
        <v>74.428720718687373</v>
      </c>
      <c r="P79" s="21">
        <f>R42+M79</f>
        <v>236.77378857642651</v>
      </c>
      <c r="Q79" s="44">
        <f>P79*J79</f>
        <v>23.677378857642648</v>
      </c>
    </row>
    <row r="80" spans="3:17">
      <c r="E80" s="65"/>
      <c r="F80" s="17">
        <f>1-F76</f>
        <v>0.31666666666666665</v>
      </c>
      <c r="G80" s="46">
        <f>G42</f>
        <v>0.34289921740688928</v>
      </c>
      <c r="H80" s="42"/>
      <c r="I80" s="1"/>
      <c r="J80" s="15"/>
    </row>
    <row r="81" spans="6:17">
      <c r="F81" s="1" t="s">
        <v>2</v>
      </c>
      <c r="H81" s="43"/>
      <c r="I81" s="16">
        <f>1-I79</f>
        <v>0.68421052631578949</v>
      </c>
      <c r="J81" s="17">
        <f>I81*$F$80</f>
        <v>0.21666666666666667</v>
      </c>
      <c r="K81" s="49">
        <f>O42</f>
        <v>120.00148839971384</v>
      </c>
      <c r="L81" s="49">
        <f>Q42</f>
        <v>121.08432803363033</v>
      </c>
      <c r="M81" s="49">
        <f>R42</f>
        <v>1.0828396339164925</v>
      </c>
      <c r="N81" s="41">
        <f>I81*M81</f>
        <v>0.74089027583760014</v>
      </c>
      <c r="P81" s="21">
        <f>M81+R42</f>
        <v>2.165679267832985</v>
      </c>
      <c r="Q81" s="44">
        <f>P81*J81</f>
        <v>0.46923050803048011</v>
      </c>
    </row>
    <row r="82" spans="6:17">
      <c r="J82" s="15"/>
      <c r="Q82" s="44">
        <f>SUM(Q75:Q81)/2</f>
        <v>147.74549241141364</v>
      </c>
    </row>
    <row r="83" spans="6:17">
      <c r="J83" s="15">
        <f>SUM(J75:J81)</f>
        <v>1</v>
      </c>
    </row>
  </sheetData>
  <mergeCells count="15">
    <mergeCell ref="D30:D31"/>
    <mergeCell ref="E31:E32"/>
    <mergeCell ref="E29:E30"/>
    <mergeCell ref="E39:E40"/>
    <mergeCell ref="D40:D41"/>
    <mergeCell ref="E41:E42"/>
    <mergeCell ref="E50:E51"/>
    <mergeCell ref="D51:D52"/>
    <mergeCell ref="E52:E53"/>
    <mergeCell ref="E77:E78"/>
    <mergeCell ref="D78:D79"/>
    <mergeCell ref="E79:E80"/>
    <mergeCell ref="E63:E64"/>
    <mergeCell ref="D64:D65"/>
    <mergeCell ref="E65:E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2"/>
  <sheetViews>
    <sheetView topLeftCell="C1" zoomScale="70" zoomScaleNormal="70" workbookViewId="0">
      <pane xSplit="1" ySplit="6" topLeftCell="D7" activePane="bottomRight" state="frozen"/>
      <selection activeCell="C1" sqref="C1"/>
      <selection pane="topRight" activeCell="D1" sqref="D1"/>
      <selection pane="bottomLeft" activeCell="C7" sqref="C7"/>
      <selection pane="bottomRight" activeCell="F58" sqref="F58"/>
    </sheetView>
  </sheetViews>
  <sheetFormatPr defaultRowHeight="15"/>
  <cols>
    <col min="3" max="3" width="11" bestFit="1" customWidth="1"/>
    <col min="4" max="4" width="10.85546875" bestFit="1" customWidth="1"/>
    <col min="6" max="6" width="10.5703125" bestFit="1" customWidth="1"/>
    <col min="9" max="9" width="10.85546875" bestFit="1" customWidth="1"/>
    <col min="10" max="10" width="12.140625" bestFit="1" customWidth="1"/>
    <col min="13" max="13" width="10.85546875" bestFit="1" customWidth="1"/>
    <col min="14" max="14" width="12.140625" bestFit="1" customWidth="1"/>
    <col min="17" max="17" width="10.85546875" bestFit="1" customWidth="1"/>
    <col min="18" max="18" width="12.140625" bestFit="1" customWidth="1"/>
    <col min="21" max="21" width="10.85546875" bestFit="1" customWidth="1"/>
    <col min="22" max="22" width="12.140625" bestFit="1" customWidth="1"/>
    <col min="23" max="26" width="12.140625" customWidth="1"/>
    <col min="28" max="28" width="11.5703125" bestFit="1" customWidth="1"/>
    <col min="29" max="29" width="11.85546875" bestFit="1" customWidth="1"/>
    <col min="33" max="33" width="11.5703125" bestFit="1" customWidth="1"/>
    <col min="34" max="34" width="10.5703125" bestFit="1" customWidth="1"/>
  </cols>
  <sheetData>
    <row r="1" spans="1:29">
      <c r="D1" t="s">
        <v>4</v>
      </c>
      <c r="E1" s="15">
        <f>Sheet1!F28</f>
        <v>0.51666666666666661</v>
      </c>
      <c r="G1" s="56" t="s">
        <v>72</v>
      </c>
      <c r="H1" s="1">
        <v>0</v>
      </c>
      <c r="J1" s="57">
        <v>1</v>
      </c>
      <c r="L1" s="56" t="s">
        <v>70</v>
      </c>
      <c r="M1" s="56" t="s">
        <v>76</v>
      </c>
      <c r="N1" s="59">
        <f>Sheet1!R28</f>
        <v>263.95501138952164</v>
      </c>
      <c r="Q1" s="56" t="s">
        <v>80</v>
      </c>
      <c r="R1" s="62">
        <f>Y108</f>
        <v>102.43959393538269</v>
      </c>
    </row>
    <row r="2" spans="1:29">
      <c r="D2" t="s">
        <v>5</v>
      </c>
      <c r="E2" s="15">
        <f>Sheet1!E5</f>
        <v>0.2413793103448276</v>
      </c>
      <c r="G2" s="56" t="s">
        <v>73</v>
      </c>
      <c r="H2" s="1">
        <v>1</v>
      </c>
      <c r="M2" s="56" t="s">
        <v>77</v>
      </c>
      <c r="N2" s="59">
        <f>Sheet1!R32</f>
        <v>5.417119078554947</v>
      </c>
    </row>
    <row r="3" spans="1:29">
      <c r="M3" s="56" t="s">
        <v>81</v>
      </c>
      <c r="N3" s="67">
        <v>0.05</v>
      </c>
    </row>
    <row r="4" spans="1:29">
      <c r="AC4" s="44">
        <f>AC5/5</f>
        <v>1670.1072089020749</v>
      </c>
    </row>
    <row r="5" spans="1:29">
      <c r="E5" s="1" t="s">
        <v>63</v>
      </c>
      <c r="F5" s="1" t="s">
        <v>62</v>
      </c>
      <c r="H5" s="1" t="s">
        <v>64</v>
      </c>
      <c r="I5" s="1" t="s">
        <v>65</v>
      </c>
      <c r="J5" s="1" t="s">
        <v>70</v>
      </c>
      <c r="L5" s="1" t="s">
        <v>64</v>
      </c>
      <c r="M5" s="1" t="s">
        <v>65</v>
      </c>
      <c r="N5" s="1" t="s">
        <v>70</v>
      </c>
      <c r="P5" s="1" t="s">
        <v>64</v>
      </c>
      <c r="Q5" s="1" t="s">
        <v>65</v>
      </c>
      <c r="R5" s="1" t="s">
        <v>70</v>
      </c>
      <c r="T5" s="1" t="s">
        <v>64</v>
      </c>
      <c r="U5" s="1" t="s">
        <v>65</v>
      </c>
      <c r="V5" s="1" t="s">
        <v>70</v>
      </c>
      <c r="W5" s="1"/>
      <c r="X5" s="1"/>
      <c r="Y5" s="1"/>
      <c r="Z5" s="1"/>
      <c r="AB5" s="55"/>
      <c r="AC5" s="55">
        <f>SUM(AC9:AC101)</f>
        <v>8350.5360445103743</v>
      </c>
    </row>
    <row r="6" spans="1:29">
      <c r="F6" s="1" t="s">
        <v>35</v>
      </c>
      <c r="J6" s="1" t="s">
        <v>35</v>
      </c>
      <c r="N6" s="1" t="s">
        <v>35</v>
      </c>
      <c r="R6" s="1" t="s">
        <v>35</v>
      </c>
      <c r="V6" s="1" t="s">
        <v>35</v>
      </c>
      <c r="W6" s="1"/>
      <c r="X6" s="1"/>
      <c r="Y6" s="1"/>
      <c r="Z6" s="1"/>
    </row>
    <row r="7" spans="1:29">
      <c r="F7" s="1"/>
      <c r="J7" s="1"/>
      <c r="N7" s="1"/>
      <c r="R7" s="1"/>
      <c r="V7" s="1"/>
      <c r="W7" s="1"/>
      <c r="X7" s="1"/>
      <c r="Y7" s="1"/>
      <c r="Z7" s="1"/>
    </row>
    <row r="8" spans="1:29">
      <c r="F8" s="1"/>
      <c r="J8" s="1"/>
      <c r="N8" s="1"/>
      <c r="R8" s="1"/>
      <c r="V8" s="1"/>
      <c r="X8" s="17">
        <f>$E$1</f>
        <v>0.51666666666666661</v>
      </c>
      <c r="Y8" s="17">
        <f>X8*U9</f>
        <v>1.9022283972050739E-2</v>
      </c>
      <c r="Z8" s="49">
        <f>$N$1</f>
        <v>263.95501138952164</v>
      </c>
      <c r="AB8" s="55">
        <f>SUM(Z8,V9,R10,N13,J19,F31)</f>
        <v>1583.7300683371298</v>
      </c>
      <c r="AC8" s="60">
        <f>AB8/6</f>
        <v>263.95501138952164</v>
      </c>
    </row>
    <row r="9" spans="1:29">
      <c r="T9" s="17">
        <f>$E$1</f>
        <v>0.51666666666666661</v>
      </c>
      <c r="U9" s="17">
        <f>T9*Q10</f>
        <v>3.6817323816872402E-2</v>
      </c>
      <c r="V9" s="49">
        <f>$N$1</f>
        <v>263.95501138952164</v>
      </c>
      <c r="W9" s="42"/>
      <c r="X9" s="15"/>
      <c r="Y9" s="15"/>
      <c r="AB9" s="55"/>
      <c r="AC9" s="44"/>
    </row>
    <row r="10" spans="1:29">
      <c r="P10" s="17">
        <f>$E$1</f>
        <v>0.51666666666666661</v>
      </c>
      <c r="Q10" s="17">
        <f>P10*M13</f>
        <v>7.1259336419753044E-2</v>
      </c>
      <c r="R10" s="49">
        <f>$N$1</f>
        <v>263.95501138952164</v>
      </c>
      <c r="S10" s="42"/>
      <c r="T10" s="15"/>
      <c r="U10" s="15"/>
      <c r="W10" s="43"/>
      <c r="X10" s="17">
        <f>1-X8</f>
        <v>0.48333333333333339</v>
      </c>
      <c r="Y10" s="17">
        <f>X10*U9</f>
        <v>1.7795039844821663E-2</v>
      </c>
      <c r="Z10" s="49">
        <f>$N$2</f>
        <v>5.417119078554947</v>
      </c>
      <c r="AB10" s="55">
        <f>SUM(Z10,V9,R10,N13,J19,F31)</f>
        <v>1325.192176026163</v>
      </c>
      <c r="AC10" s="60">
        <f t="shared" ref="AC10:AC11" si="0">AB10/6</f>
        <v>220.86536267102716</v>
      </c>
    </row>
    <row r="11" spans="1:29">
      <c r="O11" s="63"/>
      <c r="S11" s="65"/>
      <c r="X11" s="17">
        <f>IF($J$1=0,$E$1,$E$2)</f>
        <v>0.2413793103448276</v>
      </c>
      <c r="Y11" s="17">
        <f>X11*U12</f>
        <v>8.3135892489711906E-3</v>
      </c>
      <c r="Z11" s="49">
        <f>$N$1</f>
        <v>263.95501138952164</v>
      </c>
      <c r="AB11" s="55">
        <f>SUM(Z11,V12,R10,N13,J19,F31)</f>
        <v>1325.192176026163</v>
      </c>
      <c r="AC11" s="60">
        <f t="shared" si="0"/>
        <v>220.86536267102716</v>
      </c>
    </row>
    <row r="12" spans="1:29">
      <c r="O12" s="63"/>
      <c r="S12" s="65"/>
      <c r="T12" s="17">
        <f>1-T9</f>
        <v>0.48333333333333339</v>
      </c>
      <c r="U12" s="17">
        <f>T12*Q10</f>
        <v>3.4442012602880642E-2</v>
      </c>
      <c r="V12" s="49">
        <f>$N$2</f>
        <v>5.417119078554947</v>
      </c>
      <c r="W12" s="42"/>
      <c r="X12" s="15"/>
      <c r="Y12" s="15"/>
      <c r="AB12" s="55"/>
    </row>
    <row r="13" spans="1:29">
      <c r="L13" s="17">
        <f>$E$1</f>
        <v>0.51666666666666661</v>
      </c>
      <c r="M13" s="17">
        <f>L13*I19</f>
        <v>0.13792129629629624</v>
      </c>
      <c r="N13" s="49">
        <f>$N$1</f>
        <v>263.95501138952164</v>
      </c>
      <c r="O13" s="63"/>
      <c r="W13" s="43"/>
      <c r="X13" s="17">
        <f>1-X11</f>
        <v>0.75862068965517238</v>
      </c>
      <c r="Y13" s="17">
        <f>X13*U12</f>
        <v>2.6128423353909452E-2</v>
      </c>
      <c r="Z13" s="49">
        <f>$N$2</f>
        <v>5.417119078554947</v>
      </c>
      <c r="AB13" s="55">
        <f>SUM(Z13,V12,R10,N13,J19,F31)</f>
        <v>1066.6542837151965</v>
      </c>
      <c r="AC13" s="60">
        <f>AB13/6</f>
        <v>177.77571395253275</v>
      </c>
    </row>
    <row r="14" spans="1:29">
      <c r="K14" s="63"/>
      <c r="O14" s="65"/>
      <c r="P14" s="1"/>
      <c r="Q14" s="1"/>
      <c r="R14" s="1"/>
      <c r="X14" s="17">
        <f>$E$1</f>
        <v>0.51666666666666661</v>
      </c>
      <c r="Y14" s="17">
        <f>X14*U15</f>
        <v>8.3135892489711906E-3</v>
      </c>
      <c r="Z14" s="49">
        <f>$N$1</f>
        <v>263.95501138952164</v>
      </c>
      <c r="AB14" s="55">
        <f>SUM(Z14,V15,R16,N13,J19,F31)</f>
        <v>1325.192176026163</v>
      </c>
      <c r="AC14" s="60">
        <f>AB14/6</f>
        <v>220.86536267102716</v>
      </c>
    </row>
    <row r="15" spans="1:29">
      <c r="A15" s="8"/>
      <c r="B15" s="8"/>
      <c r="C15" s="8"/>
      <c r="D15" s="8"/>
      <c r="E15" s="8"/>
      <c r="F15" s="8"/>
      <c r="K15" s="63"/>
      <c r="O15" s="65"/>
      <c r="R15" s="1"/>
      <c r="T15" s="17">
        <f>IF($J$1=0,$E$1,$E$2)</f>
        <v>0.2413793103448276</v>
      </c>
      <c r="U15" s="17">
        <f>T15*Q16</f>
        <v>1.6090817901234563E-2</v>
      </c>
      <c r="V15" s="49">
        <f>$N$1</f>
        <v>263.95501138952164</v>
      </c>
      <c r="W15" s="42"/>
      <c r="X15" s="15"/>
      <c r="Y15" s="15"/>
      <c r="AB15" s="55"/>
      <c r="AC15" s="44"/>
    </row>
    <row r="16" spans="1:29">
      <c r="A16" s="8"/>
      <c r="B16" s="8"/>
      <c r="C16" s="8"/>
      <c r="D16" s="8"/>
      <c r="E16" s="8"/>
      <c r="F16" s="8"/>
      <c r="K16" s="63"/>
      <c r="O16" s="65"/>
      <c r="P16" s="17">
        <f>1-P10</f>
        <v>0.48333333333333339</v>
      </c>
      <c r="Q16" s="17">
        <f>P16*M13</f>
        <v>6.6661959876543192E-2</v>
      </c>
      <c r="R16" s="49">
        <f>$N$2</f>
        <v>5.417119078554947</v>
      </c>
      <c r="S16" s="42"/>
      <c r="T16" s="15"/>
      <c r="U16" s="15"/>
      <c r="W16" s="43"/>
      <c r="X16" s="17">
        <f>1-X14</f>
        <v>0.48333333333333339</v>
      </c>
      <c r="Y16" s="17">
        <f>X16*U15</f>
        <v>7.7772286522633733E-3</v>
      </c>
      <c r="Z16" s="49">
        <f>$N$2</f>
        <v>5.417119078554947</v>
      </c>
      <c r="AB16" s="55">
        <f>SUM(Z16,V15,R16,N13,J19,F31)</f>
        <v>1066.6542837151965</v>
      </c>
      <c r="AC16" s="60">
        <f t="shared" ref="AC16:AC17" si="1">AB16/6</f>
        <v>177.77571395253275</v>
      </c>
    </row>
    <row r="17" spans="1:35">
      <c r="A17" s="8"/>
      <c r="B17" s="52"/>
      <c r="C17" s="8"/>
      <c r="D17" s="8"/>
      <c r="E17" s="8"/>
      <c r="F17" s="8"/>
      <c r="G17" s="44"/>
      <c r="K17" s="63"/>
      <c r="S17" s="65"/>
      <c r="X17" s="17">
        <f>IF($J$1=0,$E$1,$E$2)</f>
        <v>0.2413793103448276</v>
      </c>
      <c r="Y17" s="17">
        <f>X17*U18</f>
        <v>1.2206827373350359E-2</v>
      </c>
      <c r="Z17" s="49">
        <f>V15</f>
        <v>263.95501138952164</v>
      </c>
      <c r="AB17" s="55">
        <f>SUM(Z17,V18,R16,N13,J19,F31)</f>
        <v>1066.6542837151965</v>
      </c>
      <c r="AC17" s="60">
        <f t="shared" si="1"/>
        <v>177.77571395253275</v>
      </c>
    </row>
    <row r="18" spans="1:35">
      <c r="A18" s="8"/>
      <c r="B18" s="8"/>
      <c r="C18" s="8"/>
      <c r="D18" s="8"/>
      <c r="E18" s="8"/>
      <c r="F18" s="8"/>
      <c r="G18" s="40"/>
      <c r="K18" s="63"/>
      <c r="S18" s="65"/>
      <c r="T18" s="17">
        <f>1-T15</f>
        <v>0.75862068965517238</v>
      </c>
      <c r="U18" s="17">
        <f>T18*Q16</f>
        <v>5.0571141975308626E-2</v>
      </c>
      <c r="V18" s="49">
        <f>$N$2</f>
        <v>5.417119078554947</v>
      </c>
      <c r="W18" s="42"/>
      <c r="X18" s="15"/>
      <c r="Y18" s="15"/>
      <c r="AB18" s="55"/>
      <c r="AE18" s="57">
        <v>100</v>
      </c>
      <c r="AG18">
        <v>0</v>
      </c>
      <c r="AH18">
        <v>100</v>
      </c>
      <c r="AI18">
        <f t="array" ref="AI18:AI34">FREQUENCY(AB8:AB103,AG18:AG34)</f>
        <v>0</v>
      </c>
    </row>
    <row r="19" spans="1:35">
      <c r="A19" s="8"/>
      <c r="B19" s="8"/>
      <c r="C19" s="8"/>
      <c r="D19" s="8"/>
      <c r="E19" s="8"/>
      <c r="F19" s="8"/>
      <c r="G19" s="8"/>
      <c r="H19" s="17">
        <f>$E$1</f>
        <v>0.51666666666666661</v>
      </c>
      <c r="I19" s="17">
        <f>H19*E31</f>
        <v>0.26694444444444437</v>
      </c>
      <c r="J19" s="49">
        <f>$N$1</f>
        <v>263.95501138952164</v>
      </c>
      <c r="K19" s="63"/>
      <c r="P19" s="9"/>
      <c r="Q19" s="9"/>
      <c r="R19" s="9"/>
      <c r="S19" s="8"/>
      <c r="T19" s="8"/>
      <c r="U19" s="8"/>
      <c r="V19" s="8"/>
      <c r="W19" s="43"/>
      <c r="X19" s="17">
        <f>1-X17</f>
        <v>0.75862068965517238</v>
      </c>
      <c r="Y19" s="17">
        <f>X19*U18</f>
        <v>3.8364314601958265E-2</v>
      </c>
      <c r="Z19" s="49">
        <f>$N$2</f>
        <v>5.417119078554947</v>
      </c>
      <c r="AB19" s="55">
        <f>SUM(Z19,V18,R16,N13,J19,F31)</f>
        <v>808.11639140422972</v>
      </c>
      <c r="AC19" s="60">
        <f>AB19/6</f>
        <v>134.6860652340383</v>
      </c>
      <c r="AG19">
        <f>AH18</f>
        <v>100</v>
      </c>
      <c r="AH19">
        <f>AG19+$AE$18</f>
        <v>200</v>
      </c>
      <c r="AI19">
        <v>1</v>
      </c>
    </row>
    <row r="20" spans="1:35">
      <c r="A20" s="8"/>
      <c r="B20" s="8"/>
      <c r="C20" s="8"/>
      <c r="D20" s="53"/>
      <c r="E20" s="8"/>
      <c r="F20" s="8"/>
      <c r="G20" s="63"/>
      <c r="H20" s="15"/>
      <c r="I20" s="15"/>
      <c r="K20" s="65"/>
      <c r="P20" s="1"/>
      <c r="Q20" s="1"/>
      <c r="R20" s="1"/>
      <c r="X20" s="17">
        <f>$E$1</f>
        <v>0.51666666666666661</v>
      </c>
      <c r="Y20" s="17">
        <f>X20*U21</f>
        <v>8.3135892489711923E-3</v>
      </c>
      <c r="Z20" s="49">
        <f>$N$1</f>
        <v>263.95501138952164</v>
      </c>
      <c r="AB20" s="55">
        <f>SUM(Z20,V21,R22,N25,J19,F31)</f>
        <v>1325.1921760261632</v>
      </c>
      <c r="AC20" s="60">
        <f>AB20/6</f>
        <v>220.86536267102721</v>
      </c>
      <c r="AG20">
        <f t="shared" ref="AG20:AG34" si="2">AH19</f>
        <v>200</v>
      </c>
      <c r="AH20">
        <f t="shared" ref="AH20:AH34" si="3">AG20+$AE$18</f>
        <v>300</v>
      </c>
      <c r="AI20">
        <v>0</v>
      </c>
    </row>
    <row r="21" spans="1:35">
      <c r="A21" s="8"/>
      <c r="B21" s="40"/>
      <c r="C21" s="54"/>
      <c r="D21" s="53"/>
      <c r="E21" s="9"/>
      <c r="F21" s="8"/>
      <c r="G21" s="63"/>
      <c r="H21" s="15"/>
      <c r="I21" s="15"/>
      <c r="K21" s="65"/>
      <c r="R21" s="1"/>
      <c r="T21" s="17">
        <f>$E$1</f>
        <v>0.51666666666666661</v>
      </c>
      <c r="U21" s="17">
        <f>T21*Q22</f>
        <v>1.6090817901234566E-2</v>
      </c>
      <c r="V21" s="49">
        <f>$N$1</f>
        <v>263.95501138952164</v>
      </c>
      <c r="W21" s="42"/>
      <c r="X21" s="15"/>
      <c r="Y21" s="15"/>
      <c r="AB21" s="55"/>
      <c r="AC21" s="44"/>
      <c r="AG21">
        <f t="shared" si="2"/>
        <v>300</v>
      </c>
      <c r="AH21">
        <f t="shared" si="3"/>
        <v>400</v>
      </c>
      <c r="AI21">
        <v>6</v>
      </c>
    </row>
    <row r="22" spans="1:35">
      <c r="A22" s="8"/>
      <c r="B22" s="40"/>
      <c r="C22" s="54"/>
      <c r="D22" s="53"/>
      <c r="E22" s="8"/>
      <c r="F22" s="8"/>
      <c r="G22" s="63"/>
      <c r="H22" s="8"/>
      <c r="I22" s="8"/>
      <c r="J22" s="8"/>
      <c r="K22" s="65"/>
      <c r="P22" s="17">
        <f>IF($J$1=0,$E$1,$E$2)</f>
        <v>0.2413793103448276</v>
      </c>
      <c r="Q22" s="17">
        <f>P22*M25</f>
        <v>3.1143518518518518E-2</v>
      </c>
      <c r="R22" s="49">
        <f>$N$1</f>
        <v>263.95501138952164</v>
      </c>
      <c r="S22" s="42"/>
      <c r="T22" s="15"/>
      <c r="U22" s="15"/>
      <c r="W22" s="43"/>
      <c r="X22" s="17">
        <f>1-X20</f>
        <v>0.48333333333333339</v>
      </c>
      <c r="Y22" s="17">
        <f>X22*U21</f>
        <v>7.777228652263375E-3</v>
      </c>
      <c r="Z22" s="49">
        <f>V24</f>
        <v>5.417119078554947</v>
      </c>
      <c r="AB22" s="55">
        <f>SUM(Z22,V21,R22,N25,J19,F31)</f>
        <v>1066.6542837151965</v>
      </c>
      <c r="AC22" s="60">
        <f t="shared" ref="AC22:AC23" si="4">AB22/6</f>
        <v>177.77571395253275</v>
      </c>
      <c r="AG22">
        <f t="shared" si="2"/>
        <v>400</v>
      </c>
      <c r="AH22">
        <f t="shared" si="3"/>
        <v>500</v>
      </c>
      <c r="AI22">
        <v>0</v>
      </c>
    </row>
    <row r="23" spans="1:35">
      <c r="A23" s="8"/>
      <c r="B23" s="8"/>
      <c r="C23" s="8"/>
      <c r="D23" s="53"/>
      <c r="E23" s="8"/>
      <c r="F23" s="8"/>
      <c r="G23" s="63"/>
      <c r="H23" s="50"/>
      <c r="I23" s="50"/>
      <c r="J23" s="51"/>
      <c r="K23" s="65"/>
      <c r="L23" s="1"/>
      <c r="M23" s="1"/>
      <c r="N23" s="1"/>
      <c r="O23" s="63"/>
      <c r="S23" s="65"/>
      <c r="X23" s="17">
        <f>IF($J$1=0,$E$1,$E$2)</f>
        <v>0.2413793103448276</v>
      </c>
      <c r="Y23" s="17">
        <f>X23*U24</f>
        <v>3.6334104938271611E-3</v>
      </c>
      <c r="Z23" s="49">
        <f>$N$1</f>
        <v>263.95501138952164</v>
      </c>
      <c r="AB23" s="55">
        <f>SUM(Z23,V24,R22,N25,J19,F31)</f>
        <v>1066.6542837151965</v>
      </c>
      <c r="AC23" s="60">
        <f t="shared" si="4"/>
        <v>177.77571395253275</v>
      </c>
      <c r="AG23">
        <f t="shared" si="2"/>
        <v>500</v>
      </c>
      <c r="AH23">
        <f t="shared" si="3"/>
        <v>600</v>
      </c>
      <c r="AI23">
        <v>0</v>
      </c>
    </row>
    <row r="24" spans="1:35">
      <c r="A24" s="8"/>
      <c r="B24" s="8"/>
      <c r="C24" s="8"/>
      <c r="D24" s="8"/>
      <c r="E24" s="50"/>
      <c r="F24" s="51"/>
      <c r="G24" s="63"/>
      <c r="H24" s="50"/>
      <c r="I24" s="8"/>
      <c r="J24" s="8"/>
      <c r="K24" s="65"/>
      <c r="N24" s="1"/>
      <c r="O24" s="63"/>
      <c r="S24" s="65"/>
      <c r="T24" s="17">
        <f>1-T21</f>
        <v>0.48333333333333339</v>
      </c>
      <c r="U24" s="17">
        <f>T24*Q22</f>
        <v>1.5052700617283952E-2</v>
      </c>
      <c r="V24" s="49">
        <f>$N$2</f>
        <v>5.417119078554947</v>
      </c>
      <c r="W24" s="42"/>
      <c r="X24" s="15"/>
      <c r="Y24" s="15"/>
      <c r="AB24" s="55"/>
      <c r="AG24">
        <f t="shared" si="2"/>
        <v>600</v>
      </c>
      <c r="AH24">
        <f t="shared" si="3"/>
        <v>700</v>
      </c>
      <c r="AI24">
        <v>15</v>
      </c>
    </row>
    <row r="25" spans="1:35">
      <c r="A25" s="8"/>
      <c r="B25" s="8"/>
      <c r="C25" s="8"/>
      <c r="D25" s="8"/>
      <c r="E25" s="9"/>
      <c r="F25" s="8"/>
      <c r="G25" s="63"/>
      <c r="H25" s="50"/>
      <c r="I25" s="50"/>
      <c r="J25" s="51"/>
      <c r="K25" s="65"/>
      <c r="L25" s="17">
        <f>1-L13</f>
        <v>0.48333333333333339</v>
      </c>
      <c r="M25" s="17">
        <f>L25*I19</f>
        <v>0.12902314814814814</v>
      </c>
      <c r="N25" s="49">
        <f>$N$2</f>
        <v>5.417119078554947</v>
      </c>
      <c r="O25" s="63"/>
      <c r="W25" s="43"/>
      <c r="X25" s="17">
        <f>1-X23</f>
        <v>0.75862068965517238</v>
      </c>
      <c r="Y25" s="17">
        <f>X25*U24</f>
        <v>1.141929012345679E-2</v>
      </c>
      <c r="Z25" s="49">
        <f>$N$2</f>
        <v>5.417119078554947</v>
      </c>
      <c r="AB25" s="55">
        <f>SUM(Z25,V24,R22,N25,J19,F31)</f>
        <v>808.11639140422972</v>
      </c>
      <c r="AC25" s="60">
        <f>AB25/6</f>
        <v>134.6860652340383</v>
      </c>
      <c r="AG25">
        <f t="shared" si="2"/>
        <v>700</v>
      </c>
      <c r="AH25">
        <f t="shared" si="3"/>
        <v>800</v>
      </c>
      <c r="AI25">
        <v>0</v>
      </c>
    </row>
    <row r="26" spans="1:35">
      <c r="A26" s="8"/>
      <c r="B26" s="8"/>
      <c r="C26" s="8"/>
      <c r="D26" s="8"/>
      <c r="E26" s="8"/>
      <c r="F26" s="8"/>
      <c r="G26" s="63"/>
      <c r="H26" s="50"/>
      <c r="I26" s="50"/>
      <c r="J26" s="8"/>
      <c r="O26" s="65"/>
      <c r="P26" s="1"/>
      <c r="Q26" s="1"/>
      <c r="R26" s="1"/>
      <c r="X26" s="17">
        <f>$E$1</f>
        <v>0.51666666666666661</v>
      </c>
      <c r="Y26" s="17">
        <f>X26*U27</f>
        <v>1.2206827373350359E-2</v>
      </c>
      <c r="Z26" s="49">
        <f>$N$1</f>
        <v>263.95501138952164</v>
      </c>
      <c r="AB26" s="55">
        <f>SUM(Z26,V27,R28,N25,J19,F31)</f>
        <v>1066.6542837151965</v>
      </c>
      <c r="AC26" s="60">
        <f>AB26/6</f>
        <v>177.77571395253275</v>
      </c>
      <c r="AG26">
        <f t="shared" si="2"/>
        <v>800</v>
      </c>
      <c r="AH26">
        <f t="shared" si="3"/>
        <v>900</v>
      </c>
      <c r="AI26">
        <v>0</v>
      </c>
    </row>
    <row r="27" spans="1:35">
      <c r="A27" s="8"/>
      <c r="B27" s="8"/>
      <c r="C27" s="8"/>
      <c r="D27" s="8"/>
      <c r="E27" s="8"/>
      <c r="F27" s="8"/>
      <c r="G27" s="63"/>
      <c r="H27" s="50"/>
      <c r="I27" s="50"/>
      <c r="J27" s="51"/>
      <c r="O27" s="65"/>
      <c r="R27" s="1"/>
      <c r="T27" s="17">
        <f>IF($J$1=0,$E$1,$E$2)</f>
        <v>0.2413793103448276</v>
      </c>
      <c r="U27" s="17">
        <f>T27*Q28</f>
        <v>2.362611749680715E-2</v>
      </c>
      <c r="V27" s="49">
        <f>$N$1</f>
        <v>263.95501138952164</v>
      </c>
      <c r="W27" s="42"/>
      <c r="X27" s="15"/>
      <c r="Y27" s="15"/>
      <c r="AB27" s="55"/>
      <c r="AC27" s="44"/>
      <c r="AG27">
        <f t="shared" si="2"/>
        <v>900</v>
      </c>
      <c r="AH27">
        <f t="shared" si="3"/>
        <v>1000</v>
      </c>
      <c r="AI27">
        <v>20</v>
      </c>
    </row>
    <row r="28" spans="1:35">
      <c r="G28" s="63"/>
      <c r="H28" s="8"/>
      <c r="I28" s="50"/>
      <c r="J28" s="8"/>
      <c r="O28" s="65"/>
      <c r="P28" s="17">
        <f>1-P22</f>
        <v>0.75862068965517238</v>
      </c>
      <c r="Q28" s="17">
        <f>P28*M25</f>
        <v>9.7879629629629622E-2</v>
      </c>
      <c r="R28" s="49">
        <f>$N$2</f>
        <v>5.417119078554947</v>
      </c>
      <c r="S28" s="42"/>
      <c r="T28" s="15"/>
      <c r="U28" s="15"/>
      <c r="W28" s="43"/>
      <c r="X28" s="17">
        <f>1-X26</f>
        <v>0.48333333333333339</v>
      </c>
      <c r="Y28" s="17">
        <f>X28*U27</f>
        <v>1.141929012345679E-2</v>
      </c>
      <c r="Z28" s="49">
        <f>$N$2</f>
        <v>5.417119078554947</v>
      </c>
      <c r="AB28" s="55">
        <f>SUM(Z28,V27,R28,N25,J19,F31)</f>
        <v>808.11639140422972</v>
      </c>
      <c r="AC28" s="60">
        <f t="shared" ref="AC28:AC29" si="5">AB28/6</f>
        <v>134.6860652340383</v>
      </c>
      <c r="AG28">
        <f t="shared" si="2"/>
        <v>1000</v>
      </c>
      <c r="AH28">
        <f t="shared" si="3"/>
        <v>1100</v>
      </c>
      <c r="AI28">
        <v>0</v>
      </c>
    </row>
    <row r="29" spans="1:35">
      <c r="E29" s="1"/>
      <c r="F29" s="1"/>
      <c r="G29" s="63"/>
      <c r="H29" s="8"/>
      <c r="I29" s="50"/>
      <c r="J29" s="8"/>
      <c r="S29" s="65"/>
      <c r="X29" s="17">
        <f>IF($J$1=0,$E$1,$E$2)</f>
        <v>0.2413793103448276</v>
      </c>
      <c r="Y29" s="17">
        <f>X29*U30</f>
        <v>1.7923261549301975E-2</v>
      </c>
      <c r="Z29" s="49">
        <f>V27</f>
        <v>263.95501138952164</v>
      </c>
      <c r="AB29" s="55">
        <f>SUM(Z29,V30,R28,N25,J19,F31)</f>
        <v>808.11639140422972</v>
      </c>
      <c r="AC29" s="60">
        <f t="shared" si="5"/>
        <v>134.6860652340383</v>
      </c>
      <c r="AG29">
        <f t="shared" si="2"/>
        <v>1100</v>
      </c>
      <c r="AH29">
        <f t="shared" si="3"/>
        <v>1200</v>
      </c>
      <c r="AI29">
        <v>15</v>
      </c>
    </row>
    <row r="30" spans="1:35">
      <c r="F30" s="1"/>
      <c r="G30" s="63"/>
      <c r="H30" s="8"/>
      <c r="I30" s="50"/>
      <c r="J30" s="8"/>
      <c r="S30" s="65"/>
      <c r="T30" s="17">
        <f>1-T27</f>
        <v>0.75862068965517238</v>
      </c>
      <c r="U30" s="17">
        <f>T30*Q28</f>
        <v>7.4253512132822469E-2</v>
      </c>
      <c r="V30" s="49">
        <f>$N$2</f>
        <v>5.417119078554947</v>
      </c>
      <c r="W30" s="42"/>
      <c r="X30" s="15"/>
      <c r="Y30" s="15"/>
      <c r="AB30" s="55"/>
      <c r="AG30">
        <f t="shared" si="2"/>
        <v>1200</v>
      </c>
      <c r="AH30">
        <f t="shared" si="3"/>
        <v>1300</v>
      </c>
      <c r="AI30">
        <v>0</v>
      </c>
    </row>
    <row r="31" spans="1:35">
      <c r="E31" s="17">
        <f>$E$1</f>
        <v>0.51666666666666661</v>
      </c>
      <c r="F31" s="49">
        <f>$N$1</f>
        <v>263.95501138952164</v>
      </c>
      <c r="G31" s="63"/>
      <c r="T31" s="1"/>
      <c r="U31" s="1"/>
      <c r="V31" s="1"/>
      <c r="W31" s="43"/>
      <c r="X31" s="17">
        <f>1-X29</f>
        <v>0.75862068965517238</v>
      </c>
      <c r="Y31" s="17">
        <f>X31*U30</f>
        <v>5.6330250583520494E-2</v>
      </c>
      <c r="Z31" s="49">
        <f>$N$2</f>
        <v>5.417119078554947</v>
      </c>
      <c r="AB31" s="55">
        <f>SUM(Z31,V30,R28,N25,J19,F31)</f>
        <v>549.57849909326308</v>
      </c>
      <c r="AC31" s="60">
        <f>AB31/6</f>
        <v>91.596416515543851</v>
      </c>
      <c r="AG31">
        <f t="shared" si="2"/>
        <v>1300</v>
      </c>
      <c r="AH31">
        <f t="shared" si="3"/>
        <v>1400</v>
      </c>
      <c r="AI31">
        <v>0</v>
      </c>
    </row>
    <row r="32" spans="1:35">
      <c r="D32" s="63"/>
      <c r="E32" s="1" t="s">
        <v>71</v>
      </c>
      <c r="G32" s="65"/>
      <c r="P32" s="1"/>
      <c r="Q32" s="1"/>
      <c r="R32" s="1"/>
      <c r="V32" s="1"/>
      <c r="X32" s="17">
        <f>$E$1</f>
        <v>0.51666666666666661</v>
      </c>
      <c r="Y32" s="17">
        <f>X32*U33</f>
        <v>8.3135892489711923E-3</v>
      </c>
      <c r="Z32" s="49">
        <f>$N$1</f>
        <v>263.95501138952164</v>
      </c>
      <c r="AB32" s="55">
        <f>SUM(Z32,V33,R34,N37,J43,F31)</f>
        <v>1325.192176026163</v>
      </c>
      <c r="AC32" s="60">
        <f>AB32/6</f>
        <v>220.86536267102716</v>
      </c>
      <c r="AG32">
        <f t="shared" si="2"/>
        <v>1400</v>
      </c>
      <c r="AH32">
        <f t="shared" si="3"/>
        <v>1500</v>
      </c>
      <c r="AI32">
        <v>6</v>
      </c>
    </row>
    <row r="33" spans="4:38">
      <c r="D33" s="63"/>
      <c r="G33" s="65"/>
      <c r="R33" s="1"/>
      <c r="T33" s="17">
        <f>$E$1</f>
        <v>0.51666666666666661</v>
      </c>
      <c r="U33" s="17">
        <f>T33*Q34</f>
        <v>1.6090817901234566E-2</v>
      </c>
      <c r="V33" s="49">
        <f>$N$1</f>
        <v>263.95501138952164</v>
      </c>
      <c r="W33" s="42"/>
      <c r="X33" s="15"/>
      <c r="Y33" s="15"/>
      <c r="AB33" s="55"/>
      <c r="AC33" s="44"/>
      <c r="AG33">
        <f t="shared" si="2"/>
        <v>1500</v>
      </c>
      <c r="AH33">
        <f t="shared" si="3"/>
        <v>1600</v>
      </c>
      <c r="AI33">
        <v>0</v>
      </c>
    </row>
    <row r="34" spans="4:38">
      <c r="D34" s="63"/>
      <c r="G34" s="65"/>
      <c r="P34" s="17">
        <f>$E$1</f>
        <v>0.51666666666666661</v>
      </c>
      <c r="Q34" s="17">
        <f>P34*M37</f>
        <v>3.1143518518518518E-2</v>
      </c>
      <c r="R34" s="49">
        <f>$N$1</f>
        <v>263.95501138952164</v>
      </c>
      <c r="S34" s="42"/>
      <c r="T34" s="15"/>
      <c r="U34" s="15"/>
      <c r="W34" s="43"/>
      <c r="X34" s="17">
        <f>1-X32</f>
        <v>0.48333333333333339</v>
      </c>
      <c r="Y34" s="17">
        <f>X34*U33</f>
        <v>7.777228652263375E-3</v>
      </c>
      <c r="Z34" s="49">
        <f>$N$2</f>
        <v>5.417119078554947</v>
      </c>
      <c r="AB34" s="55">
        <f>SUM(Z34,V33,R34,N37,J43,F31)</f>
        <v>1066.6542837151965</v>
      </c>
      <c r="AC34" s="60">
        <f t="shared" ref="AC34:AC35" si="6">AB34/6</f>
        <v>177.77571395253275</v>
      </c>
      <c r="AG34">
        <f t="shared" si="2"/>
        <v>1600</v>
      </c>
      <c r="AH34">
        <f t="shared" si="3"/>
        <v>1700</v>
      </c>
      <c r="AI34">
        <v>1</v>
      </c>
    </row>
    <row r="35" spans="4:38">
      <c r="D35" s="63"/>
      <c r="G35" s="65"/>
      <c r="L35" s="1"/>
      <c r="M35" s="1"/>
      <c r="N35" s="1"/>
      <c r="O35" s="63"/>
      <c r="S35" s="65"/>
      <c r="X35" s="17">
        <f>IF($J$1=0,$E$1,$E$2)</f>
        <v>0.2413793103448276</v>
      </c>
      <c r="Y35" s="17">
        <f>X35*U36</f>
        <v>3.6334104938271611E-3</v>
      </c>
      <c r="Z35" s="49">
        <f>$N$1</f>
        <v>263.95501138952164</v>
      </c>
      <c r="AB35" s="55">
        <f>SUM(Z35,V36,R34,N37,J43,F31)</f>
        <v>1066.6542837151965</v>
      </c>
      <c r="AC35" s="60">
        <f t="shared" si="6"/>
        <v>177.77571395253275</v>
      </c>
    </row>
    <row r="36" spans="4:38">
      <c r="D36" s="63"/>
      <c r="G36" s="65"/>
      <c r="N36" s="1"/>
      <c r="O36" s="63"/>
      <c r="S36" s="65"/>
      <c r="T36" s="17">
        <f>1-T33</f>
        <v>0.48333333333333339</v>
      </c>
      <c r="U36" s="17">
        <f>T36*Q34</f>
        <v>1.5052700617283952E-2</v>
      </c>
      <c r="V36" s="49">
        <f>$N$2</f>
        <v>5.417119078554947</v>
      </c>
      <c r="W36" s="42"/>
      <c r="X36" s="15"/>
      <c r="Y36" s="15"/>
      <c r="AB36" s="55"/>
      <c r="AI36" t="s">
        <v>78</v>
      </c>
      <c r="AK36" s="1" t="s">
        <v>79</v>
      </c>
      <c r="AL36" s="1" t="s">
        <v>79</v>
      </c>
    </row>
    <row r="37" spans="4:38">
      <c r="D37" s="63"/>
      <c r="G37" s="65"/>
      <c r="L37" s="17">
        <f>IF($J$1=0,$E$1,$E$2)</f>
        <v>0.2413793103448276</v>
      </c>
      <c r="M37" s="17">
        <f>L37*I43</f>
        <v>6.0277777777777784E-2</v>
      </c>
      <c r="N37" s="49">
        <f>$N$1</f>
        <v>263.95501138952164</v>
      </c>
      <c r="O37" s="63"/>
      <c r="W37" s="43"/>
      <c r="X37" s="17">
        <f>1-X35</f>
        <v>0.75862068965517238</v>
      </c>
      <c r="Y37" s="17">
        <f>X37*U36</f>
        <v>1.141929012345679E-2</v>
      </c>
      <c r="Z37" s="49">
        <f>$N$2</f>
        <v>5.417119078554947</v>
      </c>
      <c r="AB37" s="55">
        <f>SUM(Z37,V36,R34,N37,J43,F31)</f>
        <v>808.11639140422972</v>
      </c>
      <c r="AC37" s="60">
        <f>AB37/6</f>
        <v>134.6860652340383</v>
      </c>
      <c r="AG37" s="55">
        <f>AB8</f>
        <v>1583.7300683371298</v>
      </c>
      <c r="AH37" s="55">
        <f>AC8</f>
        <v>263.95501138952164</v>
      </c>
      <c r="AI37" s="1">
        <f t="shared" ref="AI37:AI43" si="7">COUNTIF($AB$8:$AB$103,AG37)</f>
        <v>1</v>
      </c>
      <c r="AJ37" s="1">
        <f>COUNTIF($AC$8:$AC$103,AH37)</f>
        <v>1</v>
      </c>
      <c r="AK37" s="15">
        <f>AJ37/$AI$45</f>
        <v>1.5625E-2</v>
      </c>
      <c r="AL37" s="15">
        <f>SUMIF($AC$8:$AC$103,AH37,$Y$8:$Y$103)</f>
        <v>1.9022283972050739E-2</v>
      </c>
    </row>
    <row r="38" spans="4:38">
      <c r="D38" s="63"/>
      <c r="G38" s="65"/>
      <c r="K38" s="63"/>
      <c r="O38" s="65"/>
      <c r="P38" s="1"/>
      <c r="Q38" s="1"/>
      <c r="R38" s="1"/>
      <c r="X38" s="17">
        <f>$E$1</f>
        <v>0.51666666666666661</v>
      </c>
      <c r="Y38" s="17">
        <f>X38*U39</f>
        <v>3.6334104938271611E-3</v>
      </c>
      <c r="Z38" s="49">
        <f>$N$1</f>
        <v>263.95501138952164</v>
      </c>
      <c r="AB38" s="55">
        <f>SUM(Z38,V39,R40,N37,J43,F31)</f>
        <v>1066.6542837151965</v>
      </c>
      <c r="AC38" s="60">
        <f>AB38/6</f>
        <v>177.77571395253275</v>
      </c>
      <c r="AG38" s="55">
        <f>AB10</f>
        <v>1325.192176026163</v>
      </c>
      <c r="AH38" s="55">
        <f>AC10</f>
        <v>220.86536267102716</v>
      </c>
      <c r="AI38" s="1">
        <f t="shared" si="7"/>
        <v>6</v>
      </c>
      <c r="AJ38" s="1">
        <f t="shared" ref="AJ38:AJ43" si="8">COUNTIF($AC$8:$AC$103,AH38)</f>
        <v>6</v>
      </c>
      <c r="AK38" s="15">
        <f t="shared" ref="AK38:AK43" si="9">AJ38/$AI$45</f>
        <v>9.375E-2</v>
      </c>
      <c r="AL38" s="15">
        <f t="shared" ref="AL38:AL43" si="10">SUMIF($AC$8:$AC$103,AH38,$Y$8:$Y$103)</f>
        <v>5.9362986089677619E-2</v>
      </c>
    </row>
    <row r="39" spans="4:38">
      <c r="D39" s="63"/>
      <c r="G39" s="65"/>
      <c r="K39" s="63"/>
      <c r="O39" s="65"/>
      <c r="R39" s="1"/>
      <c r="T39" s="17">
        <f>IF($J$1=0,$E$1,$E$2)</f>
        <v>0.2413793103448276</v>
      </c>
      <c r="U39" s="17">
        <f>T39*Q40</f>
        <v>7.0324074074074091E-3</v>
      </c>
      <c r="V39" s="49">
        <f>$N$1</f>
        <v>263.95501138952164</v>
      </c>
      <c r="W39" s="42"/>
      <c r="X39" s="15"/>
      <c r="Y39" s="15"/>
      <c r="AB39" s="55"/>
      <c r="AC39" s="44"/>
      <c r="AG39" s="55">
        <f>AB13</f>
        <v>1066.6542837151965</v>
      </c>
      <c r="AH39" s="55">
        <f>AC13</f>
        <v>177.77571395253275</v>
      </c>
      <c r="AI39" s="1">
        <f t="shared" si="7"/>
        <v>15</v>
      </c>
      <c r="AJ39" s="1">
        <f t="shared" si="8"/>
        <v>15</v>
      </c>
      <c r="AK39" s="15">
        <f t="shared" si="9"/>
        <v>0.234375</v>
      </c>
      <c r="AL39" s="15">
        <f t="shared" si="10"/>
        <v>0.12786511041932738</v>
      </c>
    </row>
    <row r="40" spans="4:38">
      <c r="D40" s="63"/>
      <c r="G40" s="65"/>
      <c r="K40" s="63"/>
      <c r="O40" s="65"/>
      <c r="P40" s="17">
        <f>1-P34</f>
        <v>0.48333333333333339</v>
      </c>
      <c r="Q40" s="17">
        <f>P40*M37</f>
        <v>2.9134259259259266E-2</v>
      </c>
      <c r="R40" s="49">
        <f>$N$2</f>
        <v>5.417119078554947</v>
      </c>
      <c r="S40" s="42"/>
      <c r="T40" s="15"/>
      <c r="U40" s="15"/>
      <c r="W40" s="43"/>
      <c r="X40" s="17">
        <f>1-X38</f>
        <v>0.48333333333333339</v>
      </c>
      <c r="Y40" s="17">
        <f>X40*U39</f>
        <v>3.398996913580248E-3</v>
      </c>
      <c r="Z40" s="49">
        <f>$N$2</f>
        <v>5.417119078554947</v>
      </c>
      <c r="AB40" s="55">
        <f>SUM(Z40,V39,R40,N37,J43,F31)</f>
        <v>808.11639140422972</v>
      </c>
      <c r="AC40" s="60">
        <f t="shared" ref="AC40:AC41" si="11">AB40/6</f>
        <v>134.6860652340383</v>
      </c>
      <c r="AG40" s="55">
        <f>AB19</f>
        <v>808.11639140422972</v>
      </c>
      <c r="AH40" s="55">
        <f>AC19</f>
        <v>134.6860652340383</v>
      </c>
      <c r="AI40" s="1">
        <f t="shared" si="7"/>
        <v>20</v>
      </c>
      <c r="AJ40" s="1">
        <f t="shared" si="8"/>
        <v>20</v>
      </c>
      <c r="AK40" s="15">
        <f t="shared" si="9"/>
        <v>0.3125</v>
      </c>
      <c r="AL40" s="15">
        <f t="shared" si="10"/>
        <v>0.20444437223836998</v>
      </c>
    </row>
    <row r="41" spans="4:38">
      <c r="D41" s="63"/>
      <c r="G41" s="65"/>
      <c r="H41" s="1"/>
      <c r="I41" s="1"/>
      <c r="J41" s="1"/>
      <c r="K41" s="63"/>
      <c r="S41" s="65"/>
      <c r="X41" s="17">
        <f>IF($J$1=0,$E$1,$E$2)</f>
        <v>0.2413793103448276</v>
      </c>
      <c r="Y41" s="17">
        <f>X41*U42</f>
        <v>5.3349297573435511E-3</v>
      </c>
      <c r="Z41" s="49">
        <f>V39</f>
        <v>263.95501138952164</v>
      </c>
      <c r="AB41" s="55">
        <f>SUM(Z41,V42,R40,N37,J43,F31)</f>
        <v>808.11639140422972</v>
      </c>
      <c r="AC41" s="60">
        <f t="shared" si="11"/>
        <v>134.6860652340383</v>
      </c>
      <c r="AG41" s="55">
        <f>AB31</f>
        <v>549.57849909326308</v>
      </c>
      <c r="AH41" s="55">
        <f>AC31</f>
        <v>91.596416515543851</v>
      </c>
      <c r="AI41" s="1">
        <f t="shared" si="7"/>
        <v>15</v>
      </c>
      <c r="AJ41" s="1">
        <f t="shared" si="8"/>
        <v>15</v>
      </c>
      <c r="AK41" s="15">
        <f t="shared" si="9"/>
        <v>0.234375</v>
      </c>
      <c r="AL41" s="15">
        <f t="shared" si="10"/>
        <v>0.24803718927628277</v>
      </c>
    </row>
    <row r="42" spans="4:38">
      <c r="D42" s="63"/>
      <c r="G42" s="65"/>
      <c r="J42" s="1"/>
      <c r="K42" s="63"/>
      <c r="S42" s="65"/>
      <c r="T42" s="17">
        <f>1-T39</f>
        <v>0.75862068965517238</v>
      </c>
      <c r="U42" s="17">
        <f>T42*Q40</f>
        <v>2.2101851851851855E-2</v>
      </c>
      <c r="V42" s="49">
        <f>$N$2</f>
        <v>5.417119078554947</v>
      </c>
      <c r="W42" s="42"/>
      <c r="X42" s="15"/>
      <c r="Y42" s="15"/>
      <c r="AB42" s="55"/>
      <c r="AG42" s="55">
        <f>AB79</f>
        <v>291.04060678229638</v>
      </c>
      <c r="AH42" s="55">
        <f>AC79</f>
        <v>48.506767797049399</v>
      </c>
      <c r="AI42" s="1">
        <f t="shared" si="7"/>
        <v>6</v>
      </c>
      <c r="AJ42" s="1">
        <f t="shared" si="8"/>
        <v>6</v>
      </c>
      <c r="AK42" s="15">
        <f t="shared" si="9"/>
        <v>9.375E-2</v>
      </c>
      <c r="AL42" s="15">
        <f t="shared" si="10"/>
        <v>0.21982570812260852</v>
      </c>
    </row>
    <row r="43" spans="4:38">
      <c r="D43" s="63"/>
      <c r="G43" s="65"/>
      <c r="H43" s="17">
        <f>1-H19</f>
        <v>0.48333333333333339</v>
      </c>
      <c r="I43" s="17">
        <f>H43*E31</f>
        <v>0.24972222222222223</v>
      </c>
      <c r="J43" s="49">
        <f>$N$2</f>
        <v>5.417119078554947</v>
      </c>
      <c r="K43" s="63"/>
      <c r="P43" s="9"/>
      <c r="Q43" s="9"/>
      <c r="R43" s="9"/>
      <c r="S43" s="8"/>
      <c r="T43" s="8"/>
      <c r="U43" s="8"/>
      <c r="V43" s="8"/>
      <c r="W43" s="43"/>
      <c r="X43" s="17">
        <f>1-X41</f>
        <v>0.75862068965517238</v>
      </c>
      <c r="Y43" s="17">
        <f>X43*U42</f>
        <v>1.6766922094508304E-2</v>
      </c>
      <c r="Z43" s="49">
        <f>$N$2</f>
        <v>5.417119078554947</v>
      </c>
      <c r="AB43" s="55">
        <f>SUM(Z43,V42,R40,N37,J43,F31)</f>
        <v>549.57849909326308</v>
      </c>
      <c r="AC43" s="60">
        <f>AB43/6</f>
        <v>91.596416515543851</v>
      </c>
      <c r="AG43" s="55">
        <f>AB103</f>
        <v>32.502714471329682</v>
      </c>
      <c r="AH43" s="55">
        <f>AC103</f>
        <v>5.417119078554947</v>
      </c>
      <c r="AI43" s="1">
        <f t="shared" si="7"/>
        <v>1</v>
      </c>
      <c r="AJ43" s="1">
        <f t="shared" si="8"/>
        <v>1</v>
      </c>
      <c r="AK43" s="15">
        <f t="shared" si="9"/>
        <v>1.5625E-2</v>
      </c>
      <c r="AL43" s="15">
        <f t="shared" si="10"/>
        <v>0.12144234988168302</v>
      </c>
    </row>
    <row r="44" spans="4:38">
      <c r="D44" s="63"/>
      <c r="H44" s="15"/>
      <c r="I44" s="15"/>
      <c r="K44" s="65"/>
      <c r="P44" s="1"/>
      <c r="Q44" s="1"/>
      <c r="R44" s="1"/>
      <c r="X44" s="17">
        <f>$E$1</f>
        <v>0.51666666666666661</v>
      </c>
      <c r="Y44" s="17">
        <f>X44*U45</f>
        <v>1.2206827373350359E-2</v>
      </c>
      <c r="Z44" s="49">
        <f>$N$1</f>
        <v>263.95501138952164</v>
      </c>
      <c r="AB44" s="55">
        <f>SUM(Z44,V45,R46,N49,J43,F31)</f>
        <v>1066.6542837151965</v>
      </c>
      <c r="AC44" s="60">
        <f>AB44/6</f>
        <v>177.77571395253275</v>
      </c>
      <c r="AI44" s="1"/>
      <c r="AJ44" s="1"/>
    </row>
    <row r="45" spans="4:38">
      <c r="D45" s="63"/>
      <c r="H45" s="15"/>
      <c r="I45" s="15"/>
      <c r="K45" s="65"/>
      <c r="R45" s="1"/>
      <c r="T45" s="17">
        <f>$E$1</f>
        <v>0.51666666666666661</v>
      </c>
      <c r="U45" s="17">
        <f>T45*Q46</f>
        <v>2.362611749680715E-2</v>
      </c>
      <c r="V45" s="49">
        <f>$N$1</f>
        <v>263.95501138952164</v>
      </c>
      <c r="W45" s="42"/>
      <c r="X45" s="15"/>
      <c r="Y45" s="15"/>
      <c r="AB45" s="55"/>
      <c r="AC45" s="44"/>
      <c r="AI45" s="1">
        <f>SUM(AI37:AI43)</f>
        <v>64</v>
      </c>
      <c r="AJ45" s="1">
        <f>SUM(AJ37:AJ43)</f>
        <v>64</v>
      </c>
      <c r="AK45" s="61">
        <f>SUMPRODUCT(AH37:AH43,AK37:AK43)</f>
        <v>134.6860652340383</v>
      </c>
      <c r="AL45" s="61">
        <f>SUMPRODUCT(AH37:AH43,AL37:AL43)</f>
        <v>102.43959393538275</v>
      </c>
    </row>
    <row r="46" spans="4:38">
      <c r="D46" s="63"/>
      <c r="H46" s="8"/>
      <c r="I46" s="8"/>
      <c r="J46" s="8"/>
      <c r="K46" s="65"/>
      <c r="P46" s="17">
        <f>IF($J$1=0,$E$1,$E$2)</f>
        <v>0.2413793103448276</v>
      </c>
      <c r="Q46" s="17">
        <f>P46*M49</f>
        <v>4.5727969348659005E-2</v>
      </c>
      <c r="R46" s="49">
        <f>$N$1</f>
        <v>263.95501138952164</v>
      </c>
      <c r="S46" s="42"/>
      <c r="T46" s="15"/>
      <c r="U46" s="15"/>
      <c r="W46" s="43"/>
      <c r="X46" s="17">
        <f>1-X44</f>
        <v>0.48333333333333339</v>
      </c>
      <c r="Y46" s="17">
        <f>X46*U45</f>
        <v>1.141929012345679E-2</v>
      </c>
      <c r="Z46" s="49">
        <f>$N$2</f>
        <v>5.417119078554947</v>
      </c>
      <c r="AB46" s="55">
        <f>SUM(Z46,V45,R46,N49,J43,F31)</f>
        <v>808.11639140422972</v>
      </c>
      <c r="AC46" s="60">
        <f t="shared" ref="AC46:AC47" si="12">AB46/6</f>
        <v>134.6860652340383</v>
      </c>
      <c r="AI46" s="1">
        <f>COUNT(AB8:AB103)</f>
        <v>64</v>
      </c>
      <c r="AJ46" s="1"/>
    </row>
    <row r="47" spans="4:38">
      <c r="D47" s="63"/>
      <c r="H47" s="50"/>
      <c r="I47" s="50"/>
      <c r="J47" s="51"/>
      <c r="K47" s="65"/>
      <c r="L47" s="1"/>
      <c r="M47" s="1"/>
      <c r="N47" s="1"/>
      <c r="O47" s="63"/>
      <c r="S47" s="65"/>
      <c r="X47" s="17">
        <f>IF($J$1=0,$E$1,$E$2)</f>
        <v>0.2413793103448276</v>
      </c>
      <c r="Y47" s="17">
        <f>X47*U48</f>
        <v>5.3349297573435511E-3</v>
      </c>
      <c r="Z47" s="49">
        <f>$N$1</f>
        <v>263.95501138952164</v>
      </c>
      <c r="AB47" s="55">
        <f>SUM(Z47,V48,R46,N49,J43,F31)</f>
        <v>808.11639140422972</v>
      </c>
      <c r="AC47" s="60">
        <f t="shared" si="12"/>
        <v>134.6860652340383</v>
      </c>
    </row>
    <row r="48" spans="4:38">
      <c r="D48" s="63"/>
      <c r="H48" s="50"/>
      <c r="I48" s="8"/>
      <c r="J48" s="8"/>
      <c r="K48" s="65"/>
      <c r="N48" s="1"/>
      <c r="O48" s="63"/>
      <c r="S48" s="65"/>
      <c r="T48" s="17">
        <f>1-T45</f>
        <v>0.48333333333333339</v>
      </c>
      <c r="U48" s="17">
        <f>T48*Q46</f>
        <v>2.2101851851851855E-2</v>
      </c>
      <c r="V48" s="49">
        <f>$N$2</f>
        <v>5.417119078554947</v>
      </c>
      <c r="W48" s="42"/>
      <c r="X48" s="15"/>
      <c r="Y48" s="15"/>
      <c r="AB48" s="55"/>
      <c r="AG48" s="55">
        <f>AG43</f>
        <v>32.502714471329682</v>
      </c>
      <c r="AH48" s="55">
        <f t="shared" ref="AH48:AL48" si="13">AH43</f>
        <v>5.417119078554947</v>
      </c>
      <c r="AI48" s="1">
        <f t="shared" si="13"/>
        <v>1</v>
      </c>
      <c r="AJ48" s="1">
        <f t="shared" si="13"/>
        <v>1</v>
      </c>
      <c r="AK48" s="15">
        <f t="shared" si="13"/>
        <v>1.5625E-2</v>
      </c>
      <c r="AL48" s="15">
        <f t="shared" si="13"/>
        <v>0.12144234988168302</v>
      </c>
    </row>
    <row r="49" spans="2:38">
      <c r="D49" s="63"/>
      <c r="H49" s="50"/>
      <c r="I49" s="50"/>
      <c r="J49" s="51"/>
      <c r="K49" s="65"/>
      <c r="L49" s="17">
        <f>1-L37</f>
        <v>0.75862068965517238</v>
      </c>
      <c r="M49" s="17">
        <f>L49*I43</f>
        <v>0.18944444444444444</v>
      </c>
      <c r="N49" s="49">
        <f>$N$2</f>
        <v>5.417119078554947</v>
      </c>
      <c r="O49" s="63"/>
      <c r="W49" s="43"/>
      <c r="X49" s="17">
        <f>1-X47</f>
        <v>0.75862068965517238</v>
      </c>
      <c r="Y49" s="17">
        <f>X49*U48</f>
        <v>1.6766922094508304E-2</v>
      </c>
      <c r="Z49" s="49">
        <f>$N$2</f>
        <v>5.417119078554947</v>
      </c>
      <c r="AB49" s="55">
        <f>SUM(Z49,V48,R46,N49,J43,F31)</f>
        <v>549.57849909326308</v>
      </c>
      <c r="AC49" s="60">
        <f>AB49/6</f>
        <v>91.596416515543851</v>
      </c>
      <c r="AG49" s="55">
        <f>AG42</f>
        <v>291.04060678229638</v>
      </c>
      <c r="AH49" s="55">
        <f t="shared" ref="AH49:AL49" si="14">AH42</f>
        <v>48.506767797049399</v>
      </c>
      <c r="AI49" s="1">
        <f t="shared" si="14"/>
        <v>6</v>
      </c>
      <c r="AJ49" s="1">
        <f t="shared" si="14"/>
        <v>6</v>
      </c>
      <c r="AK49" s="15">
        <f t="shared" si="14"/>
        <v>9.375E-2</v>
      </c>
      <c r="AL49" s="15">
        <f t="shared" si="14"/>
        <v>0.21982570812260852</v>
      </c>
    </row>
    <row r="50" spans="2:38">
      <c r="D50" s="63"/>
      <c r="H50" s="50"/>
      <c r="I50" s="50"/>
      <c r="J50" s="8"/>
      <c r="O50" s="65"/>
      <c r="P50" s="1"/>
      <c r="Q50" s="1"/>
      <c r="R50" s="1"/>
      <c r="X50" s="17">
        <f>$E$1</f>
        <v>0.51666666666666661</v>
      </c>
      <c r="Y50" s="17">
        <f>X50*U51</f>
        <v>1.7923261549301978E-2</v>
      </c>
      <c r="Z50" s="49">
        <f>$N$1</f>
        <v>263.95501138952164</v>
      </c>
      <c r="AB50" s="55">
        <f>SUM(Z50,V51,R52,N49,J43,F31)</f>
        <v>808.11639140422972</v>
      </c>
      <c r="AC50" s="60">
        <f>AB50/6</f>
        <v>134.6860652340383</v>
      </c>
      <c r="AG50" s="55">
        <f>AG41</f>
        <v>549.57849909326308</v>
      </c>
      <c r="AH50" s="55">
        <f t="shared" ref="AH50:AL50" si="15">AH41</f>
        <v>91.596416515543851</v>
      </c>
      <c r="AI50" s="1">
        <f t="shared" si="15"/>
        <v>15</v>
      </c>
      <c r="AJ50" s="1">
        <f t="shared" si="15"/>
        <v>15</v>
      </c>
      <c r="AK50" s="15">
        <f t="shared" si="15"/>
        <v>0.234375</v>
      </c>
      <c r="AL50" s="15">
        <f t="shared" si="15"/>
        <v>0.24803718927628277</v>
      </c>
    </row>
    <row r="51" spans="2:38">
      <c r="D51" s="63"/>
      <c r="H51" s="50"/>
      <c r="I51" s="50"/>
      <c r="J51" s="51"/>
      <c r="O51" s="65"/>
      <c r="R51" s="1"/>
      <c r="T51" s="17">
        <f>IF($J$1=0,$E$1,$E$2)</f>
        <v>0.2413793103448276</v>
      </c>
      <c r="U51" s="17">
        <f>T51*Q52</f>
        <v>3.4690183643810282E-2</v>
      </c>
      <c r="V51" s="49">
        <f>$N$1</f>
        <v>263.95501138952164</v>
      </c>
      <c r="W51" s="42"/>
      <c r="X51" s="15"/>
      <c r="Y51" s="15"/>
      <c r="AB51" s="55"/>
      <c r="AC51" s="44"/>
      <c r="AG51" s="55">
        <f>AG40</f>
        <v>808.11639140422972</v>
      </c>
      <c r="AH51" s="55">
        <f t="shared" ref="AH51:AL51" si="16">AH40</f>
        <v>134.6860652340383</v>
      </c>
      <c r="AI51" s="1">
        <f t="shared" si="16"/>
        <v>20</v>
      </c>
      <c r="AJ51" s="1">
        <f t="shared" si="16"/>
        <v>20</v>
      </c>
      <c r="AK51" s="15">
        <f t="shared" si="16"/>
        <v>0.3125</v>
      </c>
      <c r="AL51" s="15">
        <f t="shared" si="16"/>
        <v>0.20444437223836998</v>
      </c>
    </row>
    <row r="52" spans="2:38">
      <c r="D52" s="63"/>
      <c r="H52" s="8"/>
      <c r="I52" s="50"/>
      <c r="J52" s="8"/>
      <c r="O52" s="65"/>
      <c r="P52" s="17">
        <f>1-P46</f>
        <v>0.75862068965517238</v>
      </c>
      <c r="Q52" s="17">
        <f>P52*M49</f>
        <v>0.14371647509578545</v>
      </c>
      <c r="R52" s="49">
        <f>$N$2</f>
        <v>5.417119078554947</v>
      </c>
      <c r="S52" s="42"/>
      <c r="T52" s="15"/>
      <c r="U52" s="15"/>
      <c r="W52" s="43"/>
      <c r="X52" s="17">
        <f>1-X50</f>
        <v>0.48333333333333339</v>
      </c>
      <c r="Y52" s="17">
        <f>X52*U51</f>
        <v>1.6766922094508304E-2</v>
      </c>
      <c r="Z52" s="49">
        <f>$N$2</f>
        <v>5.417119078554947</v>
      </c>
      <c r="AB52" s="55">
        <f>SUM(Z52,V51,R52,N49,J43,F31)</f>
        <v>549.57849909326308</v>
      </c>
      <c r="AC52" s="60">
        <f t="shared" ref="AC52:AC53" si="17">AB52/6</f>
        <v>91.596416515543851</v>
      </c>
      <c r="AG52" s="55">
        <f>AG39</f>
        <v>1066.6542837151965</v>
      </c>
      <c r="AH52" s="55">
        <f t="shared" ref="AH52:AL52" si="18">AH39</f>
        <v>177.77571395253275</v>
      </c>
      <c r="AI52" s="1">
        <f t="shared" si="18"/>
        <v>15</v>
      </c>
      <c r="AJ52" s="1">
        <f t="shared" si="18"/>
        <v>15</v>
      </c>
      <c r="AK52" s="15">
        <f t="shared" si="18"/>
        <v>0.234375</v>
      </c>
      <c r="AL52" s="15">
        <f t="shared" si="18"/>
        <v>0.12786511041932738</v>
      </c>
    </row>
    <row r="53" spans="2:38">
      <c r="D53" s="63"/>
      <c r="H53" s="8"/>
      <c r="I53" s="50"/>
      <c r="J53" s="8"/>
      <c r="S53" s="65"/>
      <c r="X53" s="17">
        <f>IF($J$1=0,$E$1,$E$2)</f>
        <v>0.2413793103448276</v>
      </c>
      <c r="Y53" s="17">
        <f>X53*U54</f>
        <v>2.6316691040131936E-2</v>
      </c>
      <c r="Z53" s="49">
        <f>$N$1</f>
        <v>263.95501138952164</v>
      </c>
      <c r="AB53" s="55">
        <f>SUM(Z53,V54,R52,N49,J43,F31)</f>
        <v>549.57849909326308</v>
      </c>
      <c r="AC53" s="60">
        <f t="shared" si="17"/>
        <v>91.596416515543851</v>
      </c>
      <c r="AG53" s="55">
        <f>AG38</f>
        <v>1325.192176026163</v>
      </c>
      <c r="AH53" s="55">
        <f t="shared" ref="AH53:AL53" si="19">AH38</f>
        <v>220.86536267102716</v>
      </c>
      <c r="AI53" s="1">
        <f t="shared" si="19"/>
        <v>6</v>
      </c>
      <c r="AJ53" s="1">
        <f t="shared" si="19"/>
        <v>6</v>
      </c>
      <c r="AK53" s="15">
        <f t="shared" si="19"/>
        <v>9.375E-2</v>
      </c>
      <c r="AL53" s="15">
        <f t="shared" si="19"/>
        <v>5.9362986089677619E-2</v>
      </c>
    </row>
    <row r="54" spans="2:38">
      <c r="B54" s="66"/>
      <c r="C54" s="64" t="s">
        <v>0</v>
      </c>
      <c r="D54" s="63"/>
      <c r="H54" s="8"/>
      <c r="I54" s="50"/>
      <c r="J54" s="8"/>
      <c r="S54" s="65"/>
      <c r="T54" s="17">
        <f>1-T51</f>
        <v>0.75862068965517238</v>
      </c>
      <c r="U54" s="17">
        <f>T54*Q52</f>
        <v>0.10902629145197516</v>
      </c>
      <c r="V54" s="49">
        <f>$N$2</f>
        <v>5.417119078554947</v>
      </c>
      <c r="W54" s="42"/>
      <c r="X54" s="15"/>
      <c r="Y54" s="15"/>
      <c r="AB54" s="55"/>
      <c r="AG54" s="55">
        <f>AG37</f>
        <v>1583.7300683371298</v>
      </c>
      <c r="AH54" s="55">
        <f t="shared" ref="AH54:AL54" si="20">AH37</f>
        <v>263.95501138952164</v>
      </c>
      <c r="AI54" s="1">
        <f t="shared" si="20"/>
        <v>1</v>
      </c>
      <c r="AJ54" s="1">
        <f t="shared" si="20"/>
        <v>1</v>
      </c>
      <c r="AK54" s="15">
        <f t="shared" si="20"/>
        <v>1.5625E-2</v>
      </c>
      <c r="AL54" s="15">
        <f t="shared" si="20"/>
        <v>1.9022283972050739E-2</v>
      </c>
    </row>
    <row r="55" spans="2:38">
      <c r="B55" s="66"/>
      <c r="C55" s="64"/>
      <c r="D55" s="65"/>
      <c r="H55" s="8"/>
      <c r="I55" s="50"/>
      <c r="J55" s="8"/>
      <c r="S55" s="8"/>
      <c r="T55" s="50"/>
      <c r="U55" s="50"/>
      <c r="V55" s="51"/>
      <c r="W55" s="43"/>
      <c r="X55" s="17">
        <f>1-X53</f>
        <v>0.75862068965517238</v>
      </c>
      <c r="Y55" s="17">
        <f>X55*U54</f>
        <v>8.270960041184322E-2</v>
      </c>
      <c r="Z55" s="49">
        <f>$N$2</f>
        <v>5.417119078554947</v>
      </c>
      <c r="AB55" s="55">
        <f>SUM(Z55,V54,R52,N49,J43,F31)</f>
        <v>291.04060678229638</v>
      </c>
      <c r="AC55" s="60">
        <f>AB55/6</f>
        <v>48.506767797049399</v>
      </c>
      <c r="AI55" s="1"/>
      <c r="AJ55" s="1"/>
    </row>
    <row r="56" spans="2:38">
      <c r="C56" s="51">
        <f>AC4</f>
        <v>1670.1072089020749</v>
      </c>
      <c r="D56" s="65"/>
      <c r="X56" s="17">
        <f>$E$1</f>
        <v>0.51666666666666661</v>
      </c>
      <c r="Y56" s="17">
        <f>X56*U57</f>
        <v>8.3135892489711906E-3</v>
      </c>
      <c r="Z56" s="49">
        <f>$N$1</f>
        <v>263.95501138952164</v>
      </c>
      <c r="AB56" s="55">
        <f>SUM(Z56,V57,R58,N61,J67,F79)</f>
        <v>1325.192176026163</v>
      </c>
      <c r="AC56" s="60">
        <f>AB56/6</f>
        <v>220.86536267102716</v>
      </c>
      <c r="AI56" s="1">
        <f>SUM(AI48:AI54)</f>
        <v>64</v>
      </c>
      <c r="AJ56" s="1">
        <f>SUM(AJ48:AJ54)</f>
        <v>64</v>
      </c>
      <c r="AK56" s="61">
        <f>SUMPRODUCT(AH48:AH54,AK48:AK54)</f>
        <v>134.6860652340383</v>
      </c>
      <c r="AL56" s="61">
        <f>SUMPRODUCT(AH48:AH54,AL48:AL54)</f>
        <v>102.43959393538273</v>
      </c>
    </row>
    <row r="57" spans="2:38">
      <c r="D57" s="65"/>
      <c r="T57" s="17">
        <f>$E$1</f>
        <v>0.51666666666666661</v>
      </c>
      <c r="U57" s="17">
        <f>T57*Q58</f>
        <v>1.6090817901234563E-2</v>
      </c>
      <c r="V57" s="49">
        <f>$N$1</f>
        <v>263.95501138952164</v>
      </c>
      <c r="W57" s="42"/>
      <c r="X57" s="15"/>
      <c r="Y57" s="15"/>
      <c r="AB57" s="55"/>
      <c r="AC57" s="44"/>
      <c r="AI57" s="1">
        <f>COUNT(AB19:AB114)</f>
        <v>57</v>
      </c>
      <c r="AJ57" s="1"/>
    </row>
    <row r="58" spans="2:38">
      <c r="D58" s="65"/>
      <c r="P58" s="17">
        <f>$E$1</f>
        <v>0.51666666666666661</v>
      </c>
      <c r="Q58" s="17">
        <f>P58*M61</f>
        <v>3.1143518518518515E-2</v>
      </c>
      <c r="R58" s="49">
        <f>$N$1</f>
        <v>263.95501138952164</v>
      </c>
      <c r="S58" s="42"/>
      <c r="T58" s="15"/>
      <c r="U58" s="15"/>
      <c r="W58" s="43"/>
      <c r="X58" s="17">
        <f>1-X56</f>
        <v>0.48333333333333339</v>
      </c>
      <c r="Y58" s="17">
        <f>X58*U57</f>
        <v>7.7772286522633733E-3</v>
      </c>
      <c r="Z58" s="49">
        <f>$N$2</f>
        <v>5.417119078554947</v>
      </c>
      <c r="AB58" s="55">
        <f>SUM(Z58,V57,R58,N61,J67,F79)</f>
        <v>1066.6542837151965</v>
      </c>
      <c r="AC58" s="60">
        <f t="shared" ref="AC58:AC59" si="21">AB58/6</f>
        <v>177.77571395253275</v>
      </c>
    </row>
    <row r="59" spans="2:38">
      <c r="D59" s="65"/>
      <c r="O59" s="63"/>
      <c r="S59" s="65"/>
      <c r="X59" s="17">
        <f>IF($J$1=0,$E$1,$E$2)</f>
        <v>0.2413793103448276</v>
      </c>
      <c r="Y59" s="17">
        <f>X59*U60</f>
        <v>3.6334104938271607E-3</v>
      </c>
      <c r="Z59" s="49">
        <f>$N$1</f>
        <v>263.95501138952164</v>
      </c>
      <c r="AB59" s="55">
        <f>SUM(Z59,V60,R58,N61,J67,F79)</f>
        <v>1066.6542837151965</v>
      </c>
      <c r="AC59" s="60">
        <f t="shared" si="21"/>
        <v>177.77571395253275</v>
      </c>
    </row>
    <row r="60" spans="2:38">
      <c r="D60" s="65"/>
      <c r="O60" s="63"/>
      <c r="S60" s="65"/>
      <c r="T60" s="17">
        <f>1-T57</f>
        <v>0.48333333333333339</v>
      </c>
      <c r="U60" s="17">
        <f>T60*Q58</f>
        <v>1.505270061728395E-2</v>
      </c>
      <c r="V60" s="49">
        <f>$N$2</f>
        <v>5.417119078554947</v>
      </c>
      <c r="W60" s="42"/>
      <c r="X60" s="15"/>
      <c r="Y60" s="15"/>
      <c r="AB60" s="55"/>
    </row>
    <row r="61" spans="2:38">
      <c r="D61" s="65"/>
      <c r="L61" s="17">
        <f>$E$1</f>
        <v>0.51666666666666661</v>
      </c>
      <c r="M61" s="17">
        <f>L61*I67</f>
        <v>6.0277777777777777E-2</v>
      </c>
      <c r="N61" s="49">
        <f>$N$1</f>
        <v>263.95501138952164</v>
      </c>
      <c r="O61" s="63"/>
      <c r="W61" s="43"/>
      <c r="X61" s="17">
        <f>1-X59</f>
        <v>0.75862068965517238</v>
      </c>
      <c r="Y61" s="17">
        <f>X61*U60</f>
        <v>1.1419290123456789E-2</v>
      </c>
      <c r="Z61" s="49">
        <f>$N$2</f>
        <v>5.417119078554947</v>
      </c>
      <c r="AB61" s="55">
        <f>SUM(Z61,V60,R58,N61,J67,F79)</f>
        <v>808.11639140422983</v>
      </c>
      <c r="AC61" s="60">
        <f>AB61/6</f>
        <v>134.6860652340383</v>
      </c>
    </row>
    <row r="62" spans="2:38">
      <c r="D62" s="65"/>
      <c r="K62" s="63"/>
      <c r="O62" s="65"/>
      <c r="P62" s="1"/>
      <c r="Q62" s="1"/>
      <c r="R62" s="1"/>
      <c r="X62" s="17">
        <f>$E$1</f>
        <v>0.51666666666666661</v>
      </c>
      <c r="Y62" s="17">
        <f>X62*U63</f>
        <v>3.6334104938271607E-3</v>
      </c>
      <c r="Z62" s="49">
        <f>$N$1</f>
        <v>263.95501138952164</v>
      </c>
      <c r="AB62" s="55">
        <f>SUM(Z62,V63,R64,N61,J67,F79)</f>
        <v>1066.6542837151965</v>
      </c>
      <c r="AC62" s="60">
        <f>AB62/6</f>
        <v>177.77571395253275</v>
      </c>
    </row>
    <row r="63" spans="2:38">
      <c r="D63" s="65"/>
      <c r="K63" s="63"/>
      <c r="O63" s="65"/>
      <c r="R63" s="1"/>
      <c r="T63" s="17">
        <f>IF($J$1=0,$E$1,$E$2)</f>
        <v>0.2413793103448276</v>
      </c>
      <c r="U63" s="17">
        <f>T63*Q64</f>
        <v>7.0324074074074082E-3</v>
      </c>
      <c r="V63" s="49">
        <f>$N$1</f>
        <v>263.95501138952164</v>
      </c>
      <c r="W63" s="42"/>
      <c r="X63" s="15"/>
      <c r="Y63" s="15"/>
      <c r="AB63" s="55"/>
      <c r="AC63" s="44"/>
    </row>
    <row r="64" spans="2:38">
      <c r="D64" s="65"/>
      <c r="K64" s="63"/>
      <c r="O64" s="65"/>
      <c r="P64" s="17">
        <f>1-P58</f>
        <v>0.48333333333333339</v>
      </c>
      <c r="Q64" s="17">
        <f>P64*M61</f>
        <v>2.9134259259259263E-2</v>
      </c>
      <c r="R64" s="49">
        <f>$N$2</f>
        <v>5.417119078554947</v>
      </c>
      <c r="S64" s="42"/>
      <c r="T64" s="15"/>
      <c r="U64" s="15"/>
      <c r="W64" s="43"/>
      <c r="X64" s="17">
        <f>1-X62</f>
        <v>0.48333333333333339</v>
      </c>
      <c r="Y64" s="17">
        <f>X64*U63</f>
        <v>3.3989969135802475E-3</v>
      </c>
      <c r="Z64" s="49">
        <f>$N$2</f>
        <v>5.417119078554947</v>
      </c>
      <c r="AB64" s="55">
        <f>SUM(Z64,V63,R64,N61,J67,F79)</f>
        <v>808.11639140422983</v>
      </c>
      <c r="AC64" s="60">
        <f t="shared" ref="AC64:AC65" si="22">AB64/6</f>
        <v>134.6860652340383</v>
      </c>
    </row>
    <row r="65" spans="4:29">
      <c r="D65" s="65"/>
      <c r="G65" s="44"/>
      <c r="K65" s="63"/>
      <c r="S65" s="65"/>
      <c r="X65" s="17">
        <f>IF($J$1=0,$E$1,$E$2)</f>
        <v>0.2413793103448276</v>
      </c>
      <c r="Y65" s="17">
        <f>X65*U66</f>
        <v>5.3349297573435503E-3</v>
      </c>
      <c r="Z65" s="49">
        <f>$N$1</f>
        <v>263.95501138952164</v>
      </c>
      <c r="AB65" s="55">
        <f>SUM(Z65,V66,R64,N61,J67,F79)</f>
        <v>808.11639140422983</v>
      </c>
      <c r="AC65" s="60">
        <f t="shared" si="22"/>
        <v>134.6860652340383</v>
      </c>
    </row>
    <row r="66" spans="4:29">
      <c r="D66" s="65"/>
      <c r="G66" s="40"/>
      <c r="K66" s="63"/>
      <c r="S66" s="65"/>
      <c r="T66" s="17">
        <f>1-T63</f>
        <v>0.75862068965517238</v>
      </c>
      <c r="U66" s="17">
        <f>T66*Q64</f>
        <v>2.2101851851851852E-2</v>
      </c>
      <c r="V66" s="49">
        <f>$N$2</f>
        <v>5.417119078554947</v>
      </c>
      <c r="W66" s="42"/>
      <c r="X66" s="15"/>
      <c r="Y66" s="15"/>
      <c r="AB66" s="55"/>
    </row>
    <row r="67" spans="4:29">
      <c r="D67" s="65"/>
      <c r="G67" s="8"/>
      <c r="H67" s="17">
        <f>IF($J$1=0,$E$1,$E$2)</f>
        <v>0.2413793103448276</v>
      </c>
      <c r="I67" s="17">
        <f>H67*E79</f>
        <v>0.11666666666666668</v>
      </c>
      <c r="J67" s="49">
        <f>$N$1</f>
        <v>263.95501138952164</v>
      </c>
      <c r="K67" s="63"/>
      <c r="P67" s="9"/>
      <c r="Q67" s="9"/>
      <c r="R67" s="9"/>
      <c r="S67" s="8"/>
      <c r="T67" s="8"/>
      <c r="U67" s="8"/>
      <c r="V67" s="8"/>
      <c r="W67" s="43"/>
      <c r="X67" s="17">
        <f>1-X65</f>
        <v>0.75862068965517238</v>
      </c>
      <c r="Y67" s="17">
        <f>X67*U66</f>
        <v>1.6766922094508301E-2</v>
      </c>
      <c r="Z67" s="49">
        <f>$N$2</f>
        <v>5.417119078554947</v>
      </c>
      <c r="AB67" s="55">
        <f>SUM(Z67,V66,R64,N61,J67,F79)</f>
        <v>549.57849909326308</v>
      </c>
      <c r="AC67" s="60">
        <f>AB67/6</f>
        <v>91.596416515543851</v>
      </c>
    </row>
    <row r="68" spans="4:29">
      <c r="D68" s="65"/>
      <c r="G68" s="63"/>
      <c r="H68" s="15"/>
      <c r="I68" s="15"/>
      <c r="K68" s="65"/>
      <c r="P68" s="1"/>
      <c r="Q68" s="1"/>
      <c r="R68" s="1"/>
      <c r="X68" s="17">
        <f>$E$1</f>
        <v>0.51666666666666661</v>
      </c>
      <c r="Y68" s="17">
        <f>X68*U69</f>
        <v>3.6334104938271611E-3</v>
      </c>
      <c r="Z68" s="49">
        <f>$N$1</f>
        <v>263.95501138952164</v>
      </c>
      <c r="AB68" s="55">
        <f>SUM(Z68,V69,R70,N73,J67,F79)</f>
        <v>1066.6542837151965</v>
      </c>
      <c r="AC68" s="60">
        <f>AB68/6</f>
        <v>177.77571395253275</v>
      </c>
    </row>
    <row r="69" spans="4:29">
      <c r="D69" s="65"/>
      <c r="G69" s="63"/>
      <c r="H69" s="15"/>
      <c r="I69" s="15"/>
      <c r="K69" s="65"/>
      <c r="R69" s="1"/>
      <c r="T69" s="17">
        <f>$E$1</f>
        <v>0.51666666666666661</v>
      </c>
      <c r="U69" s="17">
        <f>T69*Q70</f>
        <v>7.0324074074074091E-3</v>
      </c>
      <c r="V69" s="49">
        <f>$N$1</f>
        <v>263.95501138952164</v>
      </c>
      <c r="W69" s="42"/>
      <c r="X69" s="15"/>
      <c r="Y69" s="15"/>
      <c r="AB69" s="55"/>
      <c r="AC69" s="44"/>
    </row>
    <row r="70" spans="4:29">
      <c r="D70" s="65"/>
      <c r="G70" s="63"/>
      <c r="H70" s="8"/>
      <c r="I70" s="8"/>
      <c r="J70" s="8"/>
      <c r="K70" s="65"/>
      <c r="P70" s="17">
        <f>IF($J$1=0,$E$1,$E$2)</f>
        <v>0.2413793103448276</v>
      </c>
      <c r="Q70" s="17">
        <f>P70*M73</f>
        <v>1.3611111111111115E-2</v>
      </c>
      <c r="R70" s="49">
        <f>$N$1</f>
        <v>263.95501138952164</v>
      </c>
      <c r="S70" s="42"/>
      <c r="T70" s="15"/>
      <c r="U70" s="15"/>
      <c r="W70" s="43"/>
      <c r="X70" s="17">
        <f>1-X68</f>
        <v>0.48333333333333339</v>
      </c>
      <c r="Y70" s="17">
        <f>X70*U69</f>
        <v>3.398996913580248E-3</v>
      </c>
      <c r="Z70" s="49">
        <f>$N$2</f>
        <v>5.417119078554947</v>
      </c>
      <c r="AB70" s="55">
        <f>SUM(Z70,V69,R70,N73,J67,F79)</f>
        <v>808.11639140422983</v>
      </c>
      <c r="AC70" s="60">
        <f t="shared" ref="AC70:AC71" si="23">AB70/6</f>
        <v>134.6860652340383</v>
      </c>
    </row>
    <row r="71" spans="4:29">
      <c r="D71" s="65"/>
      <c r="G71" s="63"/>
      <c r="H71" s="50"/>
      <c r="I71" s="50"/>
      <c r="J71" s="51"/>
      <c r="K71" s="65"/>
      <c r="L71" s="1"/>
      <c r="M71" s="1"/>
      <c r="N71" s="1"/>
      <c r="O71" s="63"/>
      <c r="S71" s="65"/>
      <c r="X71" s="17">
        <f>IF($J$1=0,$E$1,$E$2)</f>
        <v>0.2413793103448276</v>
      </c>
      <c r="Y71" s="17">
        <f>X71*U72</f>
        <v>1.5879629629629638E-3</v>
      </c>
      <c r="Z71" s="49">
        <f>$N$1</f>
        <v>263.95501138952164</v>
      </c>
      <c r="AB71" s="55">
        <f>SUM(Z71,V72,R70,N73,J67,F79)</f>
        <v>808.11639140422983</v>
      </c>
      <c r="AC71" s="60">
        <f t="shared" si="23"/>
        <v>134.6860652340383</v>
      </c>
    </row>
    <row r="72" spans="4:29">
      <c r="D72" s="65"/>
      <c r="G72" s="63"/>
      <c r="H72" s="50"/>
      <c r="I72" s="8"/>
      <c r="J72" s="8"/>
      <c r="K72" s="65"/>
      <c r="N72" s="1"/>
      <c r="O72" s="63"/>
      <c r="S72" s="65"/>
      <c r="T72" s="17">
        <f>1-T69</f>
        <v>0.48333333333333339</v>
      </c>
      <c r="U72" s="17">
        <f>T72*Q70</f>
        <v>6.5787037037037064E-3</v>
      </c>
      <c r="V72" s="49">
        <f>$N$2</f>
        <v>5.417119078554947</v>
      </c>
      <c r="W72" s="42"/>
      <c r="X72" s="15"/>
      <c r="Y72" s="15"/>
      <c r="AB72" s="55"/>
    </row>
    <row r="73" spans="4:29">
      <c r="D73" s="65"/>
      <c r="G73" s="63"/>
      <c r="H73" s="50"/>
      <c r="I73" s="50"/>
      <c r="J73" s="51"/>
      <c r="K73" s="65"/>
      <c r="L73" s="17">
        <f>1-L61</f>
        <v>0.48333333333333339</v>
      </c>
      <c r="M73" s="17">
        <f>L73*I67</f>
        <v>5.6388888888888905E-2</v>
      </c>
      <c r="N73" s="49">
        <f>$N$2</f>
        <v>5.417119078554947</v>
      </c>
      <c r="O73" s="63"/>
      <c r="W73" s="43"/>
      <c r="X73" s="17">
        <f>1-X71</f>
        <v>0.75862068965517238</v>
      </c>
      <c r="Y73" s="17">
        <f>X73*U72</f>
        <v>4.9907407407407426E-3</v>
      </c>
      <c r="Z73" s="49">
        <f>$N$2</f>
        <v>5.417119078554947</v>
      </c>
      <c r="AB73" s="55">
        <f>SUM(Z73,V72,R70,N73,J67,F79)</f>
        <v>549.57849909326308</v>
      </c>
      <c r="AC73" s="60">
        <f>AB73/6</f>
        <v>91.596416515543851</v>
      </c>
    </row>
    <row r="74" spans="4:29">
      <c r="D74" s="65"/>
      <c r="G74" s="63"/>
      <c r="H74" s="50"/>
      <c r="I74" s="50"/>
      <c r="J74" s="8"/>
      <c r="O74" s="65"/>
      <c r="P74" s="1"/>
      <c r="Q74" s="1"/>
      <c r="R74" s="1"/>
      <c r="X74" s="17">
        <f>$E$1</f>
        <v>0.51666666666666661</v>
      </c>
      <c r="Y74" s="17">
        <f>X74*U75</f>
        <v>5.334929757343552E-3</v>
      </c>
      <c r="Z74" s="49">
        <f>$N$1</f>
        <v>263.95501138952164</v>
      </c>
      <c r="AB74" s="55">
        <f>SUM(Z74,V75,R76,N73,J67,F79)</f>
        <v>808.11639140422983</v>
      </c>
      <c r="AC74" s="60">
        <f>AB74/6</f>
        <v>134.6860652340383</v>
      </c>
    </row>
    <row r="75" spans="4:29">
      <c r="D75" s="65"/>
      <c r="G75" s="63"/>
      <c r="H75" s="50"/>
      <c r="I75" s="50"/>
      <c r="J75" s="51"/>
      <c r="O75" s="65"/>
      <c r="R75" s="1"/>
      <c r="T75" s="17">
        <f>IF($J$1=0,$E$1,$E$2)</f>
        <v>0.2413793103448276</v>
      </c>
      <c r="U75" s="17">
        <f>T75*Q76</f>
        <v>1.0325670498084295E-2</v>
      </c>
      <c r="V75" s="49">
        <f>$N$1</f>
        <v>263.95501138952164</v>
      </c>
      <c r="W75" s="42"/>
      <c r="X75" s="15"/>
      <c r="Y75" s="15"/>
      <c r="AB75" s="55"/>
      <c r="AC75" s="44"/>
    </row>
    <row r="76" spans="4:29">
      <c r="D76" s="65"/>
      <c r="G76" s="63"/>
      <c r="H76" s="8"/>
      <c r="I76" s="50"/>
      <c r="J76" s="8"/>
      <c r="O76" s="65"/>
      <c r="P76" s="17">
        <f>1-P70</f>
        <v>0.75862068965517238</v>
      </c>
      <c r="Q76" s="17">
        <f>P76*M73</f>
        <v>4.277777777777779E-2</v>
      </c>
      <c r="R76" s="49">
        <f>$N$2</f>
        <v>5.417119078554947</v>
      </c>
      <c r="S76" s="42"/>
      <c r="T76" s="15"/>
      <c r="U76" s="15"/>
      <c r="W76" s="43"/>
      <c r="X76" s="17">
        <f>1-X74</f>
        <v>0.48333333333333339</v>
      </c>
      <c r="Y76" s="17">
        <f>X76*U75</f>
        <v>4.9907407407407426E-3</v>
      </c>
      <c r="Z76" s="49">
        <f>$N$2</f>
        <v>5.417119078554947</v>
      </c>
      <c r="AB76" s="55">
        <f>SUM(Z76,V75,R76,N73,J67,F79)</f>
        <v>549.57849909326308</v>
      </c>
      <c r="AC76" s="60">
        <f t="shared" ref="AC76:AC77" si="24">AB76/6</f>
        <v>91.596416515543851</v>
      </c>
    </row>
    <row r="77" spans="4:29">
      <c r="D77" s="65"/>
      <c r="G77" s="63"/>
      <c r="H77" s="8"/>
      <c r="I77" s="50"/>
      <c r="J77" s="8"/>
      <c r="S77" s="65"/>
      <c r="X77" s="17">
        <f>IF($J$1=0,$E$1,$E$2)</f>
        <v>0.2413793103448276</v>
      </c>
      <c r="Y77" s="17">
        <f>X77*U78</f>
        <v>7.8332672744087749E-3</v>
      </c>
      <c r="Z77" s="49">
        <f>$N$1</f>
        <v>263.95501138952164</v>
      </c>
      <c r="AB77" s="55">
        <f>SUM(Z77,V78,R76,N73,J67,F79)</f>
        <v>549.57849909326308</v>
      </c>
      <c r="AC77" s="60">
        <f t="shared" si="24"/>
        <v>91.596416515543851</v>
      </c>
    </row>
    <row r="78" spans="4:29">
      <c r="D78" s="65"/>
      <c r="G78" s="63"/>
      <c r="H78" s="8"/>
      <c r="I78" s="50"/>
      <c r="J78" s="8"/>
      <c r="S78" s="65"/>
      <c r="T78" s="17">
        <f>1-T75</f>
        <v>0.75862068965517238</v>
      </c>
      <c r="U78" s="17">
        <f>T78*Q76</f>
        <v>3.2452107279693491E-2</v>
      </c>
      <c r="V78" s="49">
        <f>$N$2</f>
        <v>5.417119078554947</v>
      </c>
      <c r="W78" s="42"/>
      <c r="X78" s="15"/>
      <c r="Y78" s="15"/>
      <c r="AB78" s="55"/>
    </row>
    <row r="79" spans="4:29">
      <c r="D79" s="65"/>
      <c r="E79" s="17">
        <f>1-E31</f>
        <v>0.48333333333333339</v>
      </c>
      <c r="F79" s="49">
        <f>$N$2</f>
        <v>5.417119078554947</v>
      </c>
      <c r="G79" s="63"/>
      <c r="T79" s="1"/>
      <c r="U79" s="1"/>
      <c r="V79" s="1"/>
      <c r="W79" s="43"/>
      <c r="X79" s="17">
        <f>1-X77</f>
        <v>0.75862068965517238</v>
      </c>
      <c r="Y79" s="17">
        <f>X79*U78</f>
        <v>2.4618840005284717E-2</v>
      </c>
      <c r="Z79" s="49">
        <f>$N$2</f>
        <v>5.417119078554947</v>
      </c>
      <c r="AB79" s="55">
        <f>SUM(Z79,V78,R76,N73,J67,F79)</f>
        <v>291.04060678229638</v>
      </c>
      <c r="AC79" s="60">
        <f>AB79/6</f>
        <v>48.506767797049399</v>
      </c>
    </row>
    <row r="80" spans="4:29">
      <c r="E80" s="1" t="s">
        <v>2</v>
      </c>
      <c r="G80" s="65"/>
      <c r="P80" s="1"/>
      <c r="Q80" s="1"/>
      <c r="R80" s="1"/>
      <c r="V80" s="1"/>
      <c r="X80" s="17">
        <f>$E$1</f>
        <v>0.51666666666666661</v>
      </c>
      <c r="Y80" s="17">
        <f>X80*U81</f>
        <v>1.2206827373350359E-2</v>
      </c>
      <c r="Z80" s="49">
        <f>$N$1</f>
        <v>263.95501138952164</v>
      </c>
      <c r="AB80" s="55">
        <f>SUM(Z80,V81,R82,N85,J91,F79)</f>
        <v>1066.6542837151965</v>
      </c>
      <c r="AC80" s="60">
        <f>AB80/6</f>
        <v>177.77571395253275</v>
      </c>
    </row>
    <row r="81" spans="7:29">
      <c r="G81" s="65"/>
      <c r="R81" s="1"/>
      <c r="T81" s="17">
        <f>$E$1</f>
        <v>0.51666666666666661</v>
      </c>
      <c r="U81" s="17">
        <f>T81*Q82</f>
        <v>2.362611749680715E-2</v>
      </c>
      <c r="V81" s="49">
        <f>$N$1</f>
        <v>263.95501138952164</v>
      </c>
      <c r="W81" s="42"/>
      <c r="X81" s="15"/>
      <c r="Y81" s="15"/>
      <c r="AB81" s="55"/>
      <c r="AC81" s="44"/>
    </row>
    <row r="82" spans="7:29">
      <c r="G82" s="65"/>
      <c r="P82" s="17">
        <f>$E$1</f>
        <v>0.51666666666666661</v>
      </c>
      <c r="Q82" s="17">
        <f>P82*M85</f>
        <v>4.5727969348659005E-2</v>
      </c>
      <c r="R82" s="49">
        <f>$N$1</f>
        <v>263.95501138952164</v>
      </c>
      <c r="S82" s="42"/>
      <c r="T82" s="15"/>
      <c r="U82" s="15"/>
      <c r="W82" s="43"/>
      <c r="X82" s="17">
        <f>1-X80</f>
        <v>0.48333333333333339</v>
      </c>
      <c r="Y82" s="17">
        <f>X82*U81</f>
        <v>1.141929012345679E-2</v>
      </c>
      <c r="Z82" s="49">
        <f>$N$2</f>
        <v>5.417119078554947</v>
      </c>
      <c r="AB82" s="55">
        <f>SUM(Z82,V81,R82,N85,J91,F79)</f>
        <v>808.11639140422972</v>
      </c>
      <c r="AC82" s="60">
        <f t="shared" ref="AC82:AC83" si="25">AB82/6</f>
        <v>134.6860652340383</v>
      </c>
    </row>
    <row r="83" spans="7:29">
      <c r="G83" s="65"/>
      <c r="L83" s="1"/>
      <c r="M83" s="1"/>
      <c r="N83" s="1"/>
      <c r="O83" s="63"/>
      <c r="S83" s="65"/>
      <c r="X83" s="17">
        <f>IF($J$1=0,$E$1,$E$2)</f>
        <v>0.2413793103448276</v>
      </c>
      <c r="Y83" s="17">
        <f>X83*U84</f>
        <v>5.3349297573435511E-3</v>
      </c>
      <c r="Z83" s="49">
        <f>$N$1</f>
        <v>263.95501138952164</v>
      </c>
      <c r="AB83" s="55">
        <f>SUM(Z83,V84,R82,N85,J91,F79)</f>
        <v>808.11639140422972</v>
      </c>
      <c r="AC83" s="60">
        <f t="shared" si="25"/>
        <v>134.6860652340383</v>
      </c>
    </row>
    <row r="84" spans="7:29">
      <c r="G84" s="65"/>
      <c r="N84" s="1"/>
      <c r="O84" s="63"/>
      <c r="S84" s="65"/>
      <c r="T84" s="17">
        <f>1-T81</f>
        <v>0.48333333333333339</v>
      </c>
      <c r="U84" s="17">
        <f>T84*Q82</f>
        <v>2.2101851851851855E-2</v>
      </c>
      <c r="V84" s="49">
        <f>$N$2</f>
        <v>5.417119078554947</v>
      </c>
      <c r="W84" s="42"/>
      <c r="X84" s="15"/>
      <c r="Y84" s="15"/>
      <c r="AB84" s="55"/>
    </row>
    <row r="85" spans="7:29">
      <c r="G85" s="65"/>
      <c r="L85" s="17">
        <f>H67</f>
        <v>0.2413793103448276</v>
      </c>
      <c r="M85" s="17">
        <f>L85*I91</f>
        <v>8.8505747126436787E-2</v>
      </c>
      <c r="N85" s="49">
        <f>$N$1</f>
        <v>263.95501138952164</v>
      </c>
      <c r="O85" s="63"/>
      <c r="W85" s="43"/>
      <c r="X85" s="17">
        <f>1-X83</f>
        <v>0.75862068965517238</v>
      </c>
      <c r="Y85" s="17">
        <f>X85*U84</f>
        <v>1.6766922094508304E-2</v>
      </c>
      <c r="Z85" s="49">
        <f>$N$2</f>
        <v>5.417119078554947</v>
      </c>
      <c r="AB85" s="55">
        <f>SUM(Z85,V84,R82,N85,J91,F79)</f>
        <v>549.57849909326308</v>
      </c>
      <c r="AC85" s="60">
        <f>AB85/6</f>
        <v>91.596416515543851</v>
      </c>
    </row>
    <row r="86" spans="7:29">
      <c r="G86" s="65"/>
      <c r="K86" s="63"/>
      <c r="O86" s="65"/>
      <c r="P86" s="1"/>
      <c r="Q86" s="1"/>
      <c r="R86" s="1"/>
      <c r="X86" s="17">
        <f>$E$1</f>
        <v>0.51666666666666661</v>
      </c>
      <c r="Y86" s="17">
        <f>X86*U87</f>
        <v>5.3349297573435511E-3</v>
      </c>
      <c r="Z86" s="49">
        <f>$N$1</f>
        <v>263.95501138952164</v>
      </c>
      <c r="AB86" s="55">
        <f>SUM(Z86,V87,R88,N85,J91,F79)</f>
        <v>808.11639140422972</v>
      </c>
      <c r="AC86" s="60">
        <f>AB86/6</f>
        <v>134.6860652340383</v>
      </c>
    </row>
    <row r="87" spans="7:29">
      <c r="G87" s="65"/>
      <c r="K87" s="63"/>
      <c r="O87" s="65"/>
      <c r="R87" s="1"/>
      <c r="T87" s="17">
        <f>IF($J$1=0,$E$1,$E$2)</f>
        <v>0.2413793103448276</v>
      </c>
      <c r="U87" s="17">
        <f>T87*Q88</f>
        <v>1.0325670498084293E-2</v>
      </c>
      <c r="V87" s="49">
        <f>$N$1</f>
        <v>263.95501138952164</v>
      </c>
      <c r="W87" s="42"/>
      <c r="X87" s="15"/>
      <c r="Y87" s="15"/>
      <c r="AB87" s="55"/>
      <c r="AC87" s="44"/>
    </row>
    <row r="88" spans="7:29">
      <c r="G88" s="65"/>
      <c r="K88" s="63"/>
      <c r="O88" s="65"/>
      <c r="P88" s="17">
        <f>1-P82</f>
        <v>0.48333333333333339</v>
      </c>
      <c r="Q88" s="17">
        <f>P88*M85</f>
        <v>4.2777777777777783E-2</v>
      </c>
      <c r="R88" s="49">
        <f>$N$2</f>
        <v>5.417119078554947</v>
      </c>
      <c r="S88" s="42"/>
      <c r="T88" s="15"/>
      <c r="U88" s="15"/>
      <c r="W88" s="43"/>
      <c r="X88" s="17">
        <f>1-X86</f>
        <v>0.48333333333333339</v>
      </c>
      <c r="Y88" s="17">
        <f>X88*U87</f>
        <v>4.9907407407407418E-3</v>
      </c>
      <c r="Z88" s="49">
        <f>$N$2</f>
        <v>5.417119078554947</v>
      </c>
      <c r="AB88" s="55">
        <f>SUM(Z88,V87,R88,N85,J91,F79)</f>
        <v>549.57849909326308</v>
      </c>
      <c r="AC88" s="60">
        <f t="shared" ref="AC88:AC89" si="26">AB88/6</f>
        <v>91.596416515543851</v>
      </c>
    </row>
    <row r="89" spans="7:29">
      <c r="G89" s="65"/>
      <c r="H89" s="1"/>
      <c r="I89" s="1"/>
      <c r="J89" s="1"/>
      <c r="K89" s="63"/>
      <c r="S89" s="65"/>
      <c r="X89" s="17">
        <f>IF($J$1=0,$E$1,$E$2)</f>
        <v>0.2413793103448276</v>
      </c>
      <c r="Y89" s="17">
        <f>X89*U90</f>
        <v>7.8332672744087749E-3</v>
      </c>
      <c r="Z89" s="49">
        <f>$N$1</f>
        <v>263.95501138952164</v>
      </c>
      <c r="AB89" s="55">
        <f>SUM(Z89,V90,R88,N85,J91,F79)</f>
        <v>549.57849909326308</v>
      </c>
      <c r="AC89" s="60">
        <f t="shared" si="26"/>
        <v>91.596416515543851</v>
      </c>
    </row>
    <row r="90" spans="7:29">
      <c r="G90" s="65"/>
      <c r="J90" s="1"/>
      <c r="K90" s="63"/>
      <c r="S90" s="65"/>
      <c r="T90" s="17">
        <f>1-T87</f>
        <v>0.75862068965517238</v>
      </c>
      <c r="U90" s="17">
        <f>T90*Q88</f>
        <v>3.2452107279693491E-2</v>
      </c>
      <c r="V90" s="49">
        <f>$N$2</f>
        <v>5.417119078554947</v>
      </c>
      <c r="W90" s="42"/>
      <c r="X90" s="15"/>
      <c r="Y90" s="15"/>
      <c r="AB90" s="55"/>
    </row>
    <row r="91" spans="7:29">
      <c r="G91" s="65"/>
      <c r="H91" s="17">
        <f>1-H67</f>
        <v>0.75862068965517238</v>
      </c>
      <c r="I91" s="17">
        <f>H91*E79</f>
        <v>0.3666666666666667</v>
      </c>
      <c r="J91" s="49">
        <f>$N$2</f>
        <v>5.417119078554947</v>
      </c>
      <c r="K91" s="63"/>
      <c r="P91" s="9"/>
      <c r="Q91" s="9"/>
      <c r="R91" s="9"/>
      <c r="S91" s="8"/>
      <c r="T91" s="8"/>
      <c r="U91" s="8"/>
      <c r="V91" s="8"/>
      <c r="W91" s="43"/>
      <c r="X91" s="17">
        <f>1-X89</f>
        <v>0.75862068965517238</v>
      </c>
      <c r="Y91" s="17">
        <f>X91*U90</f>
        <v>2.4618840005284717E-2</v>
      </c>
      <c r="Z91" s="49">
        <f>$N$2</f>
        <v>5.417119078554947</v>
      </c>
      <c r="AB91" s="55">
        <f>SUM(Z91,V90,R88,N85,J91,F79)</f>
        <v>291.04060678229638</v>
      </c>
      <c r="AC91" s="60">
        <f>AB91/6</f>
        <v>48.506767797049399</v>
      </c>
    </row>
    <row r="92" spans="7:29">
      <c r="H92" s="15"/>
      <c r="I92" s="15"/>
      <c r="K92" s="65"/>
      <c r="P92" s="1"/>
      <c r="Q92" s="1"/>
      <c r="R92" s="1"/>
      <c r="X92" s="17">
        <f>$E$1</f>
        <v>0.51666666666666661</v>
      </c>
      <c r="Y92" s="17">
        <f>X92*U93</f>
        <v>1.7923261549301975E-2</v>
      </c>
      <c r="Z92" s="49">
        <f>$N$1</f>
        <v>263.95501138952164</v>
      </c>
      <c r="AB92" s="55">
        <f>SUM(Z92,V93,R94,N97,J91,F79)</f>
        <v>808.11639140422983</v>
      </c>
      <c r="AC92" s="60">
        <f>AB92/6</f>
        <v>134.6860652340383</v>
      </c>
    </row>
    <row r="93" spans="7:29">
      <c r="H93" s="15"/>
      <c r="I93" s="15"/>
      <c r="K93" s="65"/>
      <c r="R93" s="1"/>
      <c r="T93" s="17">
        <f>$E$1</f>
        <v>0.51666666666666661</v>
      </c>
      <c r="U93" s="17">
        <f>T93*Q94</f>
        <v>3.4690183643810275E-2</v>
      </c>
      <c r="V93" s="49">
        <f>$N$1</f>
        <v>263.95501138952164</v>
      </c>
      <c r="W93" s="42"/>
      <c r="X93" s="15"/>
      <c r="Y93" s="15"/>
      <c r="AB93" s="55"/>
      <c r="AC93" s="44"/>
    </row>
    <row r="94" spans="7:29">
      <c r="H94" s="8"/>
      <c r="I94" s="8"/>
      <c r="J94" s="8"/>
      <c r="K94" s="65"/>
      <c r="P94" s="17">
        <f>IF($J$1=0,$E$1,$E$2)</f>
        <v>0.2413793103448276</v>
      </c>
      <c r="Q94" s="17">
        <f>P94*M97</f>
        <v>6.7142290923503767E-2</v>
      </c>
      <c r="R94" s="49">
        <f>$N$1</f>
        <v>263.95501138952164</v>
      </c>
      <c r="S94" s="42"/>
      <c r="T94" s="15"/>
      <c r="U94" s="15"/>
      <c r="W94" s="43"/>
      <c r="X94" s="17">
        <f>1-X92</f>
        <v>0.48333333333333339</v>
      </c>
      <c r="Y94" s="17">
        <f>X94*U93</f>
        <v>1.6766922094508301E-2</v>
      </c>
      <c r="Z94" s="49">
        <f>$N$2</f>
        <v>5.417119078554947</v>
      </c>
      <c r="AB94" s="55">
        <f>SUM(Z94,V93,R94,N97,J91,F79)</f>
        <v>549.57849909326308</v>
      </c>
      <c r="AC94" s="60">
        <f t="shared" ref="AC94:AC95" si="27">AB94/6</f>
        <v>91.596416515543851</v>
      </c>
    </row>
    <row r="95" spans="7:29">
      <c r="H95" s="50"/>
      <c r="I95" s="50"/>
      <c r="J95" s="51"/>
      <c r="K95" s="65"/>
      <c r="L95" s="1"/>
      <c r="M95" s="1"/>
      <c r="N95" s="1"/>
      <c r="O95" s="63"/>
      <c r="S95" s="65"/>
      <c r="X95" s="17">
        <f>IF($J$1=0,$E$1,$E$2)</f>
        <v>0.2413793103448276</v>
      </c>
      <c r="Y95" s="17">
        <f>X95*U96</f>
        <v>7.8332672744087749E-3</v>
      </c>
      <c r="Z95" s="49">
        <f>$N$1</f>
        <v>263.95501138952164</v>
      </c>
      <c r="AB95" s="55">
        <f>SUM(Z95,V96,R94,N97,J91,F79)</f>
        <v>549.57849909326308</v>
      </c>
      <c r="AC95" s="60">
        <f t="shared" si="27"/>
        <v>91.596416515543851</v>
      </c>
    </row>
    <row r="96" spans="7:29">
      <c r="H96" s="50"/>
      <c r="I96" s="8"/>
      <c r="J96" s="8"/>
      <c r="K96" s="65"/>
      <c r="N96" s="1"/>
      <c r="O96" s="63"/>
      <c r="S96" s="65"/>
      <c r="T96" s="17">
        <f>1-T93</f>
        <v>0.48333333333333339</v>
      </c>
      <c r="U96" s="17">
        <f>T96*Q94</f>
        <v>3.2452107279693491E-2</v>
      </c>
      <c r="V96" s="49">
        <f>$N$2</f>
        <v>5.417119078554947</v>
      </c>
      <c r="W96" s="42"/>
      <c r="X96" s="15"/>
      <c r="Y96" s="15"/>
      <c r="AB96" s="55"/>
    </row>
    <row r="97" spans="3:29">
      <c r="H97" s="50"/>
      <c r="I97" s="50"/>
      <c r="J97" s="51"/>
      <c r="K97" s="65"/>
      <c r="L97" s="17">
        <f>1-L85</f>
        <v>0.75862068965517238</v>
      </c>
      <c r="M97" s="17">
        <f>L97*I91</f>
        <v>0.27816091954022987</v>
      </c>
      <c r="N97" s="49">
        <f>$N$2</f>
        <v>5.417119078554947</v>
      </c>
      <c r="O97" s="63"/>
      <c r="W97" s="43"/>
      <c r="X97" s="17">
        <f>1-X95</f>
        <v>0.75862068965517238</v>
      </c>
      <c r="Y97" s="17">
        <f>X97*U96</f>
        <v>2.4618840005284717E-2</v>
      </c>
      <c r="Z97" s="49">
        <f>$N$2</f>
        <v>5.417119078554947</v>
      </c>
      <c r="AB97" s="55">
        <f>SUM(Z97,V96,R94,N97,J91,F79)</f>
        <v>291.04060678229638</v>
      </c>
      <c r="AC97" s="60">
        <f>AB97/6</f>
        <v>48.506767797049399</v>
      </c>
    </row>
    <row r="98" spans="3:29">
      <c r="H98" s="50"/>
      <c r="I98" s="50"/>
      <c r="J98" s="8"/>
      <c r="O98" s="65"/>
      <c r="P98" s="1"/>
      <c r="Q98" s="1"/>
      <c r="R98" s="1"/>
      <c r="X98" s="17">
        <f>$E$1</f>
        <v>0.51666666666666661</v>
      </c>
      <c r="Y98" s="17">
        <f>X98*U99</f>
        <v>2.6316691040131932E-2</v>
      </c>
      <c r="Z98" s="49">
        <f>$N$1</f>
        <v>263.95501138952164</v>
      </c>
      <c r="AB98" s="55">
        <f>SUM(Z98,V99,R100,N97,J91,F79)</f>
        <v>549.57849909326308</v>
      </c>
      <c r="AC98" s="60">
        <f>AB98/6</f>
        <v>91.596416515543851</v>
      </c>
    </row>
    <row r="99" spans="3:29">
      <c r="H99" s="50"/>
      <c r="I99" s="50"/>
      <c r="J99" s="51"/>
      <c r="O99" s="65"/>
      <c r="R99" s="1"/>
      <c r="T99" s="17">
        <f>IF($J$1=0,$E$1,$E$2)</f>
        <v>0.2413793103448276</v>
      </c>
      <c r="U99" s="17">
        <f>T99*Q100</f>
        <v>5.0935531045416649E-2</v>
      </c>
      <c r="V99" s="49">
        <f>$N$1</f>
        <v>263.95501138952164</v>
      </c>
      <c r="W99" s="42"/>
      <c r="X99" s="15"/>
      <c r="Y99" s="15"/>
      <c r="AB99" s="55"/>
      <c r="AC99" s="44"/>
    </row>
    <row r="100" spans="3:29">
      <c r="H100" s="8"/>
      <c r="I100" s="50"/>
      <c r="J100" s="8"/>
      <c r="O100" s="65"/>
      <c r="P100" s="17">
        <f>L97</f>
        <v>0.75862068965517238</v>
      </c>
      <c r="Q100" s="17">
        <f>P100*M97</f>
        <v>0.2110186286167261</v>
      </c>
      <c r="R100" s="49">
        <f>$N$2</f>
        <v>5.417119078554947</v>
      </c>
      <c r="S100" s="42"/>
      <c r="T100" s="15"/>
      <c r="U100" s="15"/>
      <c r="W100" s="43"/>
      <c r="X100" s="17">
        <f>1-X98</f>
        <v>0.48333333333333339</v>
      </c>
      <c r="Y100" s="17">
        <f>X100*U99</f>
        <v>2.4618840005284717E-2</v>
      </c>
      <c r="Z100" s="49">
        <f>$N$2</f>
        <v>5.417119078554947</v>
      </c>
      <c r="AB100" s="55">
        <f>SUM(Z100,V99,R100,N97,J91,F79)</f>
        <v>291.04060678229638</v>
      </c>
      <c r="AC100" s="60">
        <f>AB100/6</f>
        <v>48.506767797049399</v>
      </c>
    </row>
    <row r="101" spans="3:29">
      <c r="H101" s="8"/>
      <c r="I101" s="50"/>
      <c r="J101" s="8"/>
      <c r="S101" s="65"/>
      <c r="X101" s="17">
        <f>IF($J$1=0,$E$1,$E$2)</f>
        <v>0.2413793103448276</v>
      </c>
      <c r="Y101" s="17">
        <f>X101*U102</f>
        <v>3.8640747689626422E-2</v>
      </c>
      <c r="Z101" s="49">
        <f>$N$1</f>
        <v>263.95501138952164</v>
      </c>
      <c r="AB101" s="55">
        <f>SUM(Z101,V102,R100,N97,J91,F79)</f>
        <v>291.04060678229638</v>
      </c>
      <c r="AC101" s="60">
        <f>AB101/6</f>
        <v>48.506767797049399</v>
      </c>
    </row>
    <row r="102" spans="3:29">
      <c r="S102" s="65"/>
      <c r="T102" s="17">
        <f>1-T99</f>
        <v>0.75862068965517238</v>
      </c>
      <c r="U102" s="17">
        <f>T102*Q100</f>
        <v>0.16008309757130945</v>
      </c>
      <c r="V102" s="49">
        <f>$N$2</f>
        <v>5.417119078554947</v>
      </c>
      <c r="W102" s="42"/>
      <c r="X102" s="15"/>
      <c r="Y102" s="15"/>
      <c r="AB102" s="55"/>
    </row>
    <row r="103" spans="3:29">
      <c r="W103" s="43"/>
      <c r="X103" s="17">
        <f>1-X101</f>
        <v>0.75862068965517238</v>
      </c>
      <c r="Y103" s="17">
        <f>X103*U102</f>
        <v>0.12144234988168302</v>
      </c>
      <c r="Z103" s="49">
        <f>$N$2</f>
        <v>5.417119078554947</v>
      </c>
      <c r="AB103" s="55">
        <f>SUM(Z103,V102,R100,N97,J91,F79)</f>
        <v>32.502714471329682</v>
      </c>
      <c r="AC103" s="60">
        <f>AB103/6</f>
        <v>5.417119078554947</v>
      </c>
    </row>
    <row r="104" spans="3:29">
      <c r="AC104" s="44"/>
    </row>
    <row r="105" spans="3:29">
      <c r="D105" t="s">
        <v>74</v>
      </c>
      <c r="E105" s="15">
        <f>SUM(E9:E101)</f>
        <v>1</v>
      </c>
      <c r="I105" s="15">
        <f>SUM(I9:I101)</f>
        <v>1</v>
      </c>
      <c r="M105" s="15">
        <f>SUM(M9:M101)</f>
        <v>1</v>
      </c>
      <c r="Q105" s="15">
        <f>SUM(Q9:Q101)</f>
        <v>1</v>
      </c>
      <c r="U105" s="15">
        <f>SUM(U9:U102)</f>
        <v>1</v>
      </c>
      <c r="Y105" s="15">
        <f>SUM(Y8:Y103)</f>
        <v>0.99999999999999967</v>
      </c>
    </row>
    <row r="106" spans="3:29">
      <c r="D106" t="s">
        <v>75</v>
      </c>
    </row>
    <row r="107" spans="3:29">
      <c r="E107" s="58">
        <f>E31*F31+E79*F79</f>
        <v>138.99503010588774</v>
      </c>
      <c r="F107" s="58"/>
      <c r="G107" s="58"/>
      <c r="H107" s="58"/>
      <c r="I107" s="58">
        <f>SUM(F31,J19)*I19+SUM(F31,J43)*I43+SUM(F79,J67)*I67+SUM(F79,J91)*I91</f>
        <v>243.59015731817738</v>
      </c>
      <c r="J107" s="58"/>
      <c r="K107" s="58"/>
      <c r="L107" s="58"/>
      <c r="M107" s="58">
        <f>SUM(F31,J19,N13)*M13+SUM(F31,J19,N25)*M25+SUM(F31,J43,N37)*M37+SUM(F31,J43,N49)*M49+SUM(F79,J67,N61)*M61+SUM(F79,J67,N73)*M73+SUM(F79,J91,N85)*M85+SUM(F79,J91,N97)*M97</f>
        <v>338.7154262051605</v>
      </c>
      <c r="N107" s="58"/>
      <c r="O107" s="58"/>
      <c r="P107" s="58"/>
      <c r="Q107" s="58">
        <f>SUM($F$31,$J$19,$N$13,$R$10)*Q10+SUM($F$31,$J$19,$N$13,$R$16)*Q16+SUM($F$31,$J$19,$N$25,$R$22)*Q22+SUM($F$31,$J$19,$N$25,$R$28)*Q28+SUM($F$31,$J$43,$N$37,$R$34)*Q34+SUM($F$31,$J$43,$N$37,$R$40)*Q40+SUM($F$31,$J$43,$N$49,$R$46)*Q46+SUM($F$31,$J$43,$N$49,$R$52)*Q52+SUM($F$79,$J$67,$N$61,$R$58)*Q58+SUM($F$79,$J$67,$N$61,$R$64)*Q64+SUM($F$79,$J$67,$N$73,$R$70)*Q70+SUM($F$79,$J$67,$N$73,$R$76)*Q76+SUM($F$79,$J$91,$N$85,$R$82)*Q82+SUM($F$79,$J$91,$N$85,$R$88)*Q88+SUM($F$79,$J$91,$N$97,$R$94)*Q94+SUM($F$79,$J$91,$N$97,$R$100)*Q100</f>
        <v>431.23376282902751</v>
      </c>
      <c r="R107" s="58"/>
      <c r="S107" s="58"/>
      <c r="T107" s="58"/>
      <c r="U107" s="58">
        <f>SUM($F$31,$J$19,$N$13,$R$10,V9)*U9+SUM($F$31,$J$19,$N$13,$R$16,V15)*U15+SUM($F$31,$J$19,$N$25,$R$22,V21)*U21+SUM($F$31,$J$19,$N$25,$R$28,V27)*U27+SUM($F$31,$J$43,$N$37,$R$34,V33)*U33+SUM($F$31,$J$43,$N$37,$R$40,V39)*U39+SUM($F$31,$J$43,$N$49,$R$46,V45)*U45+SUM($F$31,$J$43,$N$49,$R$52,V51)*U51+SUM($F$79,$J$67,$N$61,$R$58,V57)*U57+SUM($F$79,$J$67,$N$61,$R$64,V63)*U63+SUM($F$79,$J$67,$N$73,$R$70,V69)*U69+SUM($F$79,$J$67,$N$73,$R$76,V75)*U75+SUM($F$79,$J$91,$N$85,$R$82,V81)*U81+SUM($F$79,$J$91,$N$85,$R$88,V87)*U87+SUM($F$79,$J$91,$N$97,$R$94,V93)*U93+SUM($F$79,$J$91,$N$97,$R$100,V99)*U99+SUM($F$31,$J$19,$N$13,$R$10,V12)*U12+SUM($F$31,$J$19,$N$13,$R$16,V18)*U18+SUM($F$31,$J$19,$N$25,$R$22,V24)*U24+SUM($F$31,$J$19,$N$25,$R$28,V30)*U30+SUM($F$31,$J$43,$N$37,$R$34,V36)*U36+SUM($F$31,$J$43,$N$37,$R$40,V42)*U42+SUM($F$31,$J$43,$N$49,$R$46,V48)*U48+SUM($F$31,$J$43,$N$49,$R$52,V54)*U54+SUM($F$79,$J$67,$N$61,$R$58,V60)*U60+SUM($F$79,$J$67,$N$61,$R$64,V66)*U66+SUM($F$79,$J$67,$N$73,$R$70,V72)*U72+SUM($F$79,$J$67,$N$73,$R$76,V78)*U78+SUM($F$79,$J$91,$N$85,$R$82,V84)*U84+SUM($F$79,$J$91,$N$85,$R$88,V90)*U90+SUM($F$79,$J$91,$N$97,$R$94,V96)*U96+SUM($F$79,$J$91,$N$97,$R$100,V102)*U102</f>
        <v>523.03444396207135</v>
      </c>
      <c r="V107" s="58"/>
      <c r="W107" s="58"/>
      <c r="X107" s="58"/>
      <c r="Y107" s="58">
        <f>SUMPRODUCT(Y8:Y103,AB8:AB103)</f>
        <v>614.63756361229616</v>
      </c>
    </row>
    <row r="108" spans="3:29">
      <c r="E108" s="58">
        <f>E107/1</f>
        <v>138.99503010588774</v>
      </c>
      <c r="F108" s="58"/>
      <c r="G108" s="58"/>
      <c r="H108" s="58"/>
      <c r="I108" s="58">
        <f>I107/2</f>
        <v>121.79507865908869</v>
      </c>
      <c r="J108" s="58"/>
      <c r="K108" s="58"/>
      <c r="L108" s="58"/>
      <c r="M108" s="58">
        <f>M107/3</f>
        <v>112.90514206838684</v>
      </c>
      <c r="N108" s="58"/>
      <c r="O108" s="58"/>
      <c r="P108" s="58"/>
      <c r="Q108" s="58">
        <f>Q107/4</f>
        <v>107.80844070725688</v>
      </c>
      <c r="R108" s="58"/>
      <c r="S108" s="58"/>
      <c r="T108" s="58"/>
      <c r="U108" s="58">
        <f>U107/5</f>
        <v>104.60688879241427</v>
      </c>
      <c r="V108" s="58"/>
      <c r="W108" s="58"/>
      <c r="X108" s="58"/>
      <c r="Y108" s="58">
        <f>Y107/6</f>
        <v>102.43959393538269</v>
      </c>
    </row>
    <row r="110" spans="3:29">
      <c r="E110" s="1">
        <v>1</v>
      </c>
      <c r="I110" s="1">
        <v>2</v>
      </c>
      <c r="M110" s="1">
        <v>3</v>
      </c>
      <c r="Q110" s="1">
        <v>4</v>
      </c>
      <c r="U110" s="1">
        <v>5</v>
      </c>
      <c r="Y110" s="1">
        <v>6</v>
      </c>
    </row>
    <row r="111" spans="3:29">
      <c r="C111" t="s">
        <v>82</v>
      </c>
      <c r="E111" s="58">
        <f>E107*(($N$3*(1+$N$3)^E110)/(((1+$N$3)^E110)-1))</f>
        <v>145.94478161118201</v>
      </c>
      <c r="I111" s="58">
        <f>I107*(($N$3*(1+$N$3)^I110)/(((1+$N$3)^I110)-1))</f>
        <v>131.00397485038562</v>
      </c>
      <c r="M111" s="58">
        <f>M107*(($N$3*(1+$N$3)^M110)/(((1+$N$3)^M110)-1))</f>
        <v>124.37920547525731</v>
      </c>
      <c r="Q111" s="58">
        <f>Q107*(($N$3*(1+$N$3)^Q110)/(((1+$N$3)^Q110)-1))</f>
        <v>121.61302373590108</v>
      </c>
      <c r="U111" s="58">
        <f>U107*(($N$3*(1+$N$3)^U110)/(((1+$N$3)^U110)-1))</f>
        <v>120.80777510827036</v>
      </c>
      <c r="Y111" s="58">
        <f>Y107*(($N$3*(1+$N$3)^Y110)/(((1+$N$3)^Y110)-1))</f>
        <v>121.09433658830942</v>
      </c>
    </row>
    <row r="112" spans="3:29">
      <c r="C112" t="s">
        <v>83</v>
      </c>
    </row>
  </sheetData>
  <mergeCells count="48">
    <mergeCell ref="S101:S102"/>
    <mergeCell ref="D55:D79"/>
    <mergeCell ref="S65:S66"/>
    <mergeCell ref="S71:S72"/>
    <mergeCell ref="S77:S78"/>
    <mergeCell ref="S83:S84"/>
    <mergeCell ref="S89:S90"/>
    <mergeCell ref="S95:S96"/>
    <mergeCell ref="O98:O100"/>
    <mergeCell ref="K92:K97"/>
    <mergeCell ref="O95:O97"/>
    <mergeCell ref="S11:S12"/>
    <mergeCell ref="S17:S18"/>
    <mergeCell ref="S23:S24"/>
    <mergeCell ref="S29:S30"/>
    <mergeCell ref="S35:S36"/>
    <mergeCell ref="S41:S42"/>
    <mergeCell ref="S47:S48"/>
    <mergeCell ref="S53:S54"/>
    <mergeCell ref="S59:S60"/>
    <mergeCell ref="G80:G91"/>
    <mergeCell ref="O83:O85"/>
    <mergeCell ref="K86:K91"/>
    <mergeCell ref="O86:O88"/>
    <mergeCell ref="G68:G79"/>
    <mergeCell ref="K68:K73"/>
    <mergeCell ref="O71:O73"/>
    <mergeCell ref="O74:O76"/>
    <mergeCell ref="B54:B55"/>
    <mergeCell ref="C54:C55"/>
    <mergeCell ref="O59:O61"/>
    <mergeCell ref="K62:K67"/>
    <mergeCell ref="O62:O64"/>
    <mergeCell ref="D32:D54"/>
    <mergeCell ref="G32:G43"/>
    <mergeCell ref="O35:O37"/>
    <mergeCell ref="K38:K43"/>
    <mergeCell ref="O38:O40"/>
    <mergeCell ref="K44:K49"/>
    <mergeCell ref="O47:O49"/>
    <mergeCell ref="O50:O52"/>
    <mergeCell ref="O11:O13"/>
    <mergeCell ref="K14:K19"/>
    <mergeCell ref="O14:O16"/>
    <mergeCell ref="G20:G31"/>
    <mergeCell ref="K20:K25"/>
    <mergeCell ref="O23:O25"/>
    <mergeCell ref="O26:O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8"/>
  <sheetViews>
    <sheetView topLeftCell="C1" zoomScale="70" zoomScaleNormal="70" workbookViewId="0">
      <pane xSplit="1" ySplit="6" topLeftCell="D7" activePane="bottomRight" state="frozen"/>
      <selection activeCell="C1" sqref="C1"/>
      <selection pane="topRight" activeCell="D1" sqref="D1"/>
      <selection pane="bottomLeft" activeCell="C7" sqref="C7"/>
      <selection pane="bottomRight" activeCell="F13" sqref="F13"/>
    </sheetView>
  </sheetViews>
  <sheetFormatPr defaultRowHeight="15"/>
  <cols>
    <col min="4" max="4" width="10.85546875" bestFit="1" customWidth="1"/>
    <col min="6" max="6" width="10.5703125" bestFit="1" customWidth="1"/>
    <col min="9" max="9" width="10.85546875" bestFit="1" customWidth="1"/>
    <col min="10" max="10" width="12.140625" bestFit="1" customWidth="1"/>
    <col min="13" max="13" width="10.85546875" bestFit="1" customWidth="1"/>
    <col min="14" max="14" width="12.140625" bestFit="1" customWidth="1"/>
    <col min="17" max="17" width="10.85546875" bestFit="1" customWidth="1"/>
    <col min="18" max="18" width="12.140625" bestFit="1" customWidth="1"/>
    <col min="21" max="21" width="10.85546875" bestFit="1" customWidth="1"/>
    <col min="22" max="22" width="12.140625" bestFit="1" customWidth="1"/>
    <col min="23" max="26" width="12.140625" customWidth="1"/>
    <col min="28" max="28" width="11" bestFit="1" customWidth="1"/>
  </cols>
  <sheetData>
    <row r="1" spans="1:29">
      <c r="D1" t="s">
        <v>4</v>
      </c>
      <c r="E1" s="15">
        <f>Sheet1!F38</f>
        <v>0.68333333333333335</v>
      </c>
      <c r="G1" s="56" t="s">
        <v>72</v>
      </c>
      <c r="H1" s="1">
        <v>0</v>
      </c>
      <c r="J1" s="57">
        <v>1</v>
      </c>
      <c r="L1" s="56" t="s">
        <v>70</v>
      </c>
      <c r="M1" s="56" t="s">
        <v>76</v>
      </c>
      <c r="N1" s="59">
        <f>Sheet1!R38</f>
        <v>235.69094894251003</v>
      </c>
    </row>
    <row r="2" spans="1:29">
      <c r="D2" t="s">
        <v>5</v>
      </c>
      <c r="E2" s="15">
        <f>Sheet1!E6</f>
        <v>0.31578947368421051</v>
      </c>
      <c r="G2" s="56" t="s">
        <v>73</v>
      </c>
      <c r="H2" s="1">
        <v>1</v>
      </c>
      <c r="M2" s="56" t="s">
        <v>77</v>
      </c>
      <c r="N2" s="59">
        <f>Sheet1!R42</f>
        <v>1.0828396339164925</v>
      </c>
    </row>
    <row r="4" spans="1:29">
      <c r="AC4" s="44">
        <f>AC5/5</f>
        <v>0</v>
      </c>
    </row>
    <row r="5" spans="1:29">
      <c r="E5" s="1" t="s">
        <v>63</v>
      </c>
      <c r="F5" s="1" t="s">
        <v>62</v>
      </c>
      <c r="H5" s="1" t="s">
        <v>64</v>
      </c>
      <c r="I5" s="1" t="s">
        <v>65</v>
      </c>
      <c r="J5" s="1" t="s">
        <v>70</v>
      </c>
      <c r="L5" s="1" t="s">
        <v>64</v>
      </c>
      <c r="M5" s="1" t="s">
        <v>65</v>
      </c>
      <c r="N5" s="1" t="s">
        <v>70</v>
      </c>
      <c r="P5" s="1" t="s">
        <v>64</v>
      </c>
      <c r="Q5" s="1" t="s">
        <v>65</v>
      </c>
      <c r="R5" s="1" t="s">
        <v>70</v>
      </c>
      <c r="T5" s="1" t="s">
        <v>64</v>
      </c>
      <c r="U5" s="1" t="s">
        <v>65</v>
      </c>
      <c r="V5" s="1" t="s">
        <v>70</v>
      </c>
      <c r="W5" s="1"/>
      <c r="X5" s="1"/>
      <c r="Y5" s="1"/>
      <c r="Z5" s="1"/>
      <c r="AB5" s="55"/>
      <c r="AC5" s="55">
        <f>SUM(AC9:AC101)</f>
        <v>0</v>
      </c>
    </row>
    <row r="6" spans="1:29">
      <c r="F6" s="1" t="s">
        <v>35</v>
      </c>
      <c r="J6" s="1" t="s">
        <v>35</v>
      </c>
      <c r="N6" s="1" t="s">
        <v>35</v>
      </c>
      <c r="R6" s="1" t="s">
        <v>35</v>
      </c>
      <c r="V6" s="1" t="s">
        <v>35</v>
      </c>
      <c r="W6" s="1"/>
      <c r="X6" s="1"/>
      <c r="Y6" s="1"/>
      <c r="Z6" s="1"/>
    </row>
    <row r="7" spans="1:29">
      <c r="F7" s="1"/>
      <c r="J7" s="1"/>
      <c r="N7" s="1"/>
      <c r="R7" s="1"/>
      <c r="V7" s="1"/>
      <c r="W7" s="1"/>
      <c r="X7" s="1"/>
      <c r="Y7" s="1"/>
      <c r="Z7" s="1"/>
    </row>
    <row r="8" spans="1:29">
      <c r="F8" s="1"/>
      <c r="J8" s="1"/>
      <c r="N8" s="1"/>
      <c r="R8" s="1"/>
      <c r="V8" s="1"/>
      <c r="X8" s="17">
        <f>$E$1</f>
        <v>0.68333333333333335</v>
      </c>
      <c r="Y8" s="17">
        <f>X8*U9</f>
        <v>0.10181121915723595</v>
      </c>
      <c r="Z8" s="49">
        <f>$N$1</f>
        <v>235.69094894251003</v>
      </c>
      <c r="AB8" s="55">
        <f>SUM(Z8,V9,R10,N13,J19,F31)</f>
        <v>1414.1456936550601</v>
      </c>
    </row>
    <row r="9" spans="1:29">
      <c r="T9" s="17">
        <f>$E$1</f>
        <v>0.68333333333333335</v>
      </c>
      <c r="U9" s="17">
        <f>T9*Q10</f>
        <v>0.14899202803497943</v>
      </c>
      <c r="V9" s="49">
        <f>$N$1</f>
        <v>235.69094894251003</v>
      </c>
      <c r="W9" s="42"/>
      <c r="X9" s="15"/>
      <c r="Y9" s="15"/>
      <c r="AB9" s="55"/>
      <c r="AC9" s="44"/>
    </row>
    <row r="10" spans="1:29">
      <c r="P10" s="17">
        <f>$E$1</f>
        <v>0.68333333333333335</v>
      </c>
      <c r="Q10" s="17">
        <f>P10*M13</f>
        <v>0.21803711419753088</v>
      </c>
      <c r="R10" s="49">
        <f>$N$1</f>
        <v>235.69094894251003</v>
      </c>
      <c r="S10" s="42"/>
      <c r="T10" s="15"/>
      <c r="U10" s="15"/>
      <c r="W10" s="43"/>
      <c r="X10" s="17">
        <f>1-X8</f>
        <v>0.31666666666666665</v>
      </c>
      <c r="Y10" s="17">
        <f>X10*U9</f>
        <v>4.7180808877743487E-2</v>
      </c>
      <c r="Z10" s="49">
        <f>$N$2</f>
        <v>1.0828396339164925</v>
      </c>
      <c r="AB10" s="55">
        <f>SUM(Z10,V9,R10,N13,J19,F31)</f>
        <v>1179.5375843464665</v>
      </c>
    </row>
    <row r="11" spans="1:29">
      <c r="O11" s="63"/>
      <c r="S11" s="65"/>
      <c r="X11" s="17">
        <f>IF($J$1=0,$E$1,$E$2)</f>
        <v>0.31578947368421051</v>
      </c>
      <c r="Y11" s="17">
        <f>X11*U12</f>
        <v>2.180371141975309E-2</v>
      </c>
      <c r="Z11" s="49">
        <f>$N$1</f>
        <v>235.69094894251003</v>
      </c>
      <c r="AB11" s="55">
        <f>SUM(Z11,V12,R10,N13,J19,F31)</f>
        <v>1179.5375843464665</v>
      </c>
      <c r="AC11" s="44"/>
    </row>
    <row r="12" spans="1:29">
      <c r="O12" s="63"/>
      <c r="S12" s="65"/>
      <c r="T12" s="17">
        <f>1-T9</f>
        <v>0.31666666666666665</v>
      </c>
      <c r="U12" s="17">
        <f>T12*Q10</f>
        <v>6.904508616255145E-2</v>
      </c>
      <c r="V12" s="49">
        <f>$N$2</f>
        <v>1.0828396339164925</v>
      </c>
      <c r="W12" s="42"/>
      <c r="X12" s="15"/>
      <c r="Y12" s="15"/>
      <c r="AB12" s="55"/>
    </row>
    <row r="13" spans="1:29">
      <c r="L13" s="17">
        <f>$E$1</f>
        <v>0.68333333333333335</v>
      </c>
      <c r="M13" s="17">
        <f>L13*I19</f>
        <v>0.31907870370370373</v>
      </c>
      <c r="N13" s="49">
        <f>$N$1</f>
        <v>235.69094894251003</v>
      </c>
      <c r="O13" s="63"/>
      <c r="W13" s="43"/>
      <c r="X13" s="17">
        <f>1-X11</f>
        <v>0.68421052631578949</v>
      </c>
      <c r="Y13" s="17">
        <f>X13*U12</f>
        <v>4.724137474279836E-2</v>
      </c>
      <c r="Z13" s="49">
        <f>$N$2</f>
        <v>1.0828396339164925</v>
      </c>
      <c r="AB13" s="55">
        <f>SUM(Z13,V12,R10,N13,J19,F31)</f>
        <v>944.92947503787309</v>
      </c>
    </row>
    <row r="14" spans="1:29">
      <c r="K14" s="63"/>
      <c r="O14" s="65"/>
      <c r="P14" s="1"/>
      <c r="Q14" s="1"/>
      <c r="R14" s="1"/>
      <c r="X14" s="17">
        <f>$E$1</f>
        <v>0.68333333333333335</v>
      </c>
      <c r="Y14" s="17">
        <f>X14*U15</f>
        <v>2.1803711419753086E-2</v>
      </c>
      <c r="Z14" s="49">
        <f>$N$1</f>
        <v>235.69094894251003</v>
      </c>
      <c r="AB14" s="55">
        <f>SUM(Z14,V15,R16,N13,J19,F31)</f>
        <v>1179.5375843464665</v>
      </c>
    </row>
    <row r="15" spans="1:29">
      <c r="A15" s="8"/>
      <c r="B15" s="8"/>
      <c r="C15" s="8"/>
      <c r="D15" s="8"/>
      <c r="E15" s="8"/>
      <c r="F15" s="8"/>
      <c r="K15" s="63"/>
      <c r="O15" s="65"/>
      <c r="R15" s="1"/>
      <c r="T15" s="17">
        <f>IF($J$1=0,$E$1,$E$2)</f>
        <v>0.31578947368421051</v>
      </c>
      <c r="U15" s="17">
        <f>T15*Q16</f>
        <v>3.1907870370370371E-2</v>
      </c>
      <c r="V15" s="49">
        <f>$N$1</f>
        <v>235.69094894251003</v>
      </c>
      <c r="W15" s="42"/>
      <c r="X15" s="15"/>
      <c r="Y15" s="15"/>
      <c r="AB15" s="55"/>
      <c r="AC15" s="44"/>
    </row>
    <row r="16" spans="1:29">
      <c r="A16" s="8"/>
      <c r="B16" s="8"/>
      <c r="C16" s="8"/>
      <c r="D16" s="8"/>
      <c r="E16" s="8"/>
      <c r="F16" s="8"/>
      <c r="K16" s="63"/>
      <c r="O16" s="65"/>
      <c r="P16" s="17">
        <f>1-P10</f>
        <v>0.31666666666666665</v>
      </c>
      <c r="Q16" s="17">
        <f>P16*M13</f>
        <v>0.10104158950617284</v>
      </c>
      <c r="R16" s="49">
        <f>$N$2</f>
        <v>1.0828396339164925</v>
      </c>
      <c r="S16" s="42"/>
      <c r="T16" s="15"/>
      <c r="U16" s="15"/>
      <c r="W16" s="43"/>
      <c r="X16" s="17">
        <f>1-X14</f>
        <v>0.31666666666666665</v>
      </c>
      <c r="Y16" s="17">
        <f>X16*U15</f>
        <v>1.0104158950617283E-2</v>
      </c>
      <c r="Z16" s="49">
        <f>$N$2</f>
        <v>1.0828396339164925</v>
      </c>
      <c r="AB16" s="55">
        <f>SUM(Z16,V15,R16,N13,J19,F31)</f>
        <v>944.92947503787309</v>
      </c>
    </row>
    <row r="17" spans="1:29">
      <c r="A17" s="8"/>
      <c r="B17" s="52"/>
      <c r="C17" s="8"/>
      <c r="D17" s="8"/>
      <c r="E17" s="8"/>
      <c r="F17" s="8"/>
      <c r="G17" s="44"/>
      <c r="K17" s="63"/>
      <c r="S17" s="65"/>
      <c r="X17" s="17">
        <f>IF($J$1=0,$E$1,$E$2)</f>
        <v>0.31578947368421051</v>
      </c>
      <c r="Y17" s="17">
        <f>X17*U18</f>
        <v>2.1831700779727098E-2</v>
      </c>
      <c r="Z17" s="49">
        <f>V15</f>
        <v>235.69094894251003</v>
      </c>
      <c r="AB17" s="55">
        <f>SUM(Z17,V18,R16,N13,J19,F31)</f>
        <v>944.92947503787309</v>
      </c>
      <c r="AC17" s="44"/>
    </row>
    <row r="18" spans="1:29">
      <c r="A18" s="8"/>
      <c r="B18" s="8"/>
      <c r="C18" s="8"/>
      <c r="D18" s="8"/>
      <c r="E18" s="8"/>
      <c r="F18" s="8"/>
      <c r="G18" s="40"/>
      <c r="K18" s="63"/>
      <c r="S18" s="65"/>
      <c r="T18" s="17">
        <f>1-T15</f>
        <v>0.68421052631578949</v>
      </c>
      <c r="U18" s="17">
        <f>T18*Q16</f>
        <v>6.9133719135802477E-2</v>
      </c>
      <c r="V18" s="49">
        <f>$N$2</f>
        <v>1.0828396339164925</v>
      </c>
      <c r="W18" s="42"/>
      <c r="X18" s="15"/>
      <c r="Y18" s="15"/>
      <c r="AB18" s="55"/>
    </row>
    <row r="19" spans="1:29">
      <c r="A19" s="8"/>
      <c r="B19" s="8"/>
      <c r="C19" s="8"/>
      <c r="D19" s="8"/>
      <c r="E19" s="8"/>
      <c r="F19" s="8"/>
      <c r="G19" s="8"/>
      <c r="H19" s="17">
        <f>$E$1</f>
        <v>0.68333333333333335</v>
      </c>
      <c r="I19" s="17">
        <f>H19*E31</f>
        <v>0.46694444444444444</v>
      </c>
      <c r="J19" s="49">
        <f>$N$1</f>
        <v>235.69094894251003</v>
      </c>
      <c r="K19" s="63"/>
      <c r="P19" s="9"/>
      <c r="Q19" s="9"/>
      <c r="R19" s="9"/>
      <c r="S19" s="8"/>
      <c r="T19" s="8"/>
      <c r="U19" s="8"/>
      <c r="V19" s="8"/>
      <c r="W19" s="43"/>
      <c r="X19" s="17">
        <f>1-X17</f>
        <v>0.68421052631578949</v>
      </c>
      <c r="Y19" s="17">
        <f>X19*U18</f>
        <v>4.7302018356075379E-2</v>
      </c>
      <c r="Z19" s="49">
        <f>$N$2</f>
        <v>1.0828396339164925</v>
      </c>
      <c r="AB19" s="55">
        <f>SUM(Z19,V18,R16,N13,J19,F31)</f>
        <v>710.32136572927959</v>
      </c>
    </row>
    <row r="20" spans="1:29">
      <c r="A20" s="8"/>
      <c r="B20" s="8"/>
      <c r="C20" s="8"/>
      <c r="D20" s="53"/>
      <c r="E20" s="8"/>
      <c r="F20" s="8"/>
      <c r="G20" s="63"/>
      <c r="H20" s="15"/>
      <c r="I20" s="15"/>
      <c r="K20" s="65"/>
      <c r="P20" s="1"/>
      <c r="Q20" s="1"/>
      <c r="R20" s="1"/>
      <c r="X20" s="17">
        <f>$E$1</f>
        <v>0.68333333333333335</v>
      </c>
      <c r="Y20" s="17">
        <f>X20*U21</f>
        <v>2.1803711419753086E-2</v>
      </c>
      <c r="Z20" s="49">
        <f>$N$1</f>
        <v>235.69094894251003</v>
      </c>
      <c r="AB20" s="55">
        <f>SUM(Z20,V21,R22,N25,J19,F31)</f>
        <v>1179.5375843464667</v>
      </c>
    </row>
    <row r="21" spans="1:29">
      <c r="A21" s="8"/>
      <c r="B21" s="40"/>
      <c r="C21" s="54"/>
      <c r="D21" s="53"/>
      <c r="E21" s="9"/>
      <c r="F21" s="8"/>
      <c r="G21" s="63"/>
      <c r="H21" s="15"/>
      <c r="I21" s="15"/>
      <c r="K21" s="65"/>
      <c r="R21" s="1"/>
      <c r="T21" s="17">
        <f>$E$1</f>
        <v>0.68333333333333335</v>
      </c>
      <c r="U21" s="17">
        <f>T21*Q22</f>
        <v>3.1907870370370371E-2</v>
      </c>
      <c r="V21" s="49">
        <f>$N$1</f>
        <v>235.69094894251003</v>
      </c>
      <c r="W21" s="42"/>
      <c r="X21" s="15"/>
      <c r="Y21" s="15"/>
      <c r="AB21" s="55"/>
      <c r="AC21" s="44"/>
    </row>
    <row r="22" spans="1:29">
      <c r="A22" s="8"/>
      <c r="B22" s="40"/>
      <c r="C22" s="54"/>
      <c r="D22" s="53"/>
      <c r="E22" s="8"/>
      <c r="F22" s="8"/>
      <c r="G22" s="63"/>
      <c r="H22" s="8"/>
      <c r="I22" s="8"/>
      <c r="J22" s="8"/>
      <c r="K22" s="65"/>
      <c r="P22" s="17">
        <f>IF($J$1=0,$E$1,$E$2)</f>
        <v>0.31578947368421051</v>
      </c>
      <c r="Q22" s="17">
        <f>P22*M25</f>
        <v>4.6694444444444441E-2</v>
      </c>
      <c r="R22" s="49">
        <f>$N$1</f>
        <v>235.69094894251003</v>
      </c>
      <c r="S22" s="42"/>
      <c r="T22" s="15"/>
      <c r="U22" s="15"/>
      <c r="W22" s="43"/>
      <c r="X22" s="17">
        <f>1-X20</f>
        <v>0.31666666666666665</v>
      </c>
      <c r="Y22" s="17">
        <f>X22*U21</f>
        <v>1.0104158950617283E-2</v>
      </c>
      <c r="Z22" s="49">
        <f>V24</f>
        <v>1.0828396339164925</v>
      </c>
      <c r="AB22" s="55">
        <f>SUM(Z22,V21,R22,N25,J19,F31)</f>
        <v>944.92947503787309</v>
      </c>
    </row>
    <row r="23" spans="1:29">
      <c r="A23" s="8"/>
      <c r="B23" s="8"/>
      <c r="C23" s="8"/>
      <c r="D23" s="53"/>
      <c r="E23" s="8"/>
      <c r="F23" s="8"/>
      <c r="G23" s="63"/>
      <c r="H23" s="50"/>
      <c r="I23" s="50"/>
      <c r="J23" s="51"/>
      <c r="K23" s="65"/>
      <c r="L23" s="1"/>
      <c r="M23" s="1"/>
      <c r="N23" s="1"/>
      <c r="O23" s="63"/>
      <c r="S23" s="65"/>
      <c r="X23" s="17">
        <f>IF($J$1=0,$E$1,$E$2)</f>
        <v>0.31578947368421051</v>
      </c>
      <c r="Y23" s="17">
        <f>X23*U24</f>
        <v>4.6694444444444431E-3</v>
      </c>
      <c r="Z23" s="49">
        <f>$N$1</f>
        <v>235.69094894251003</v>
      </c>
      <c r="AB23" s="55">
        <f>SUM(Z23,V24,R22,N25,J19,F31)</f>
        <v>944.92947503787309</v>
      </c>
      <c r="AC23" s="44"/>
    </row>
    <row r="24" spans="1:29">
      <c r="A24" s="8"/>
      <c r="B24" s="8"/>
      <c r="C24" s="8"/>
      <c r="D24" s="8"/>
      <c r="E24" s="50"/>
      <c r="F24" s="51"/>
      <c r="G24" s="63"/>
      <c r="H24" s="50"/>
      <c r="I24" s="8"/>
      <c r="J24" s="8"/>
      <c r="K24" s="65"/>
      <c r="N24" s="1"/>
      <c r="O24" s="63"/>
      <c r="S24" s="65"/>
      <c r="T24" s="17">
        <f>1-T21</f>
        <v>0.31666666666666665</v>
      </c>
      <c r="U24" s="17">
        <f>T24*Q22</f>
        <v>1.4786574074074072E-2</v>
      </c>
      <c r="V24" s="49">
        <f>$N$2</f>
        <v>1.0828396339164925</v>
      </c>
      <c r="W24" s="42"/>
      <c r="X24" s="15"/>
      <c r="Y24" s="15"/>
      <c r="AB24" s="55"/>
    </row>
    <row r="25" spans="1:29">
      <c r="A25" s="8"/>
      <c r="B25" s="8"/>
      <c r="C25" s="8"/>
      <c r="D25" s="8"/>
      <c r="E25" s="9"/>
      <c r="F25" s="8"/>
      <c r="G25" s="63"/>
      <c r="H25" s="50"/>
      <c r="I25" s="50"/>
      <c r="J25" s="51"/>
      <c r="K25" s="65"/>
      <c r="L25" s="17">
        <f>1-L13</f>
        <v>0.31666666666666665</v>
      </c>
      <c r="M25" s="17">
        <f>L25*I19</f>
        <v>0.14786574074074074</v>
      </c>
      <c r="N25" s="49">
        <f>$N$2</f>
        <v>1.0828396339164925</v>
      </c>
      <c r="O25" s="63"/>
      <c r="W25" s="43"/>
      <c r="X25" s="17">
        <f>1-X23</f>
        <v>0.68421052631578949</v>
      </c>
      <c r="Y25" s="17">
        <f>X25*U24</f>
        <v>1.0117129629629629E-2</v>
      </c>
      <c r="Z25" s="49">
        <f>$N$2</f>
        <v>1.0828396339164925</v>
      </c>
      <c r="AB25" s="55">
        <f>SUM(Z25,V24,R22,N25,J19,F31)</f>
        <v>710.32136572927959</v>
      </c>
    </row>
    <row r="26" spans="1:29">
      <c r="A26" s="8"/>
      <c r="B26" s="8"/>
      <c r="C26" s="8"/>
      <c r="D26" s="8"/>
      <c r="E26" s="8"/>
      <c r="F26" s="8"/>
      <c r="G26" s="63"/>
      <c r="H26" s="50"/>
      <c r="I26" s="50"/>
      <c r="J26" s="8"/>
      <c r="O26" s="65"/>
      <c r="P26" s="1"/>
      <c r="Q26" s="1"/>
      <c r="R26" s="1"/>
      <c r="X26" s="17">
        <f>$E$1</f>
        <v>0.68333333333333335</v>
      </c>
      <c r="Y26" s="17">
        <f>X26*U27</f>
        <v>2.1831700779727098E-2</v>
      </c>
      <c r="Z26" s="49">
        <f>$N$1</f>
        <v>235.69094894251003</v>
      </c>
      <c r="AB26" s="55">
        <f>SUM(Z26,V27,R28,N25,J19,F31)</f>
        <v>944.92947503787309</v>
      </c>
    </row>
    <row r="27" spans="1:29">
      <c r="A27" s="8"/>
      <c r="B27" s="8"/>
      <c r="C27" s="8"/>
      <c r="D27" s="8"/>
      <c r="E27" s="8"/>
      <c r="F27" s="8"/>
      <c r="G27" s="63"/>
      <c r="H27" s="50"/>
      <c r="I27" s="50"/>
      <c r="J27" s="51"/>
      <c r="O27" s="65"/>
      <c r="R27" s="1"/>
      <c r="T27" s="17">
        <f>IF($J$1=0,$E$1,$E$2)</f>
        <v>0.31578947368421051</v>
      </c>
      <c r="U27" s="17">
        <f>T27*Q28</f>
        <v>3.1948830409356727E-2</v>
      </c>
      <c r="V27" s="49">
        <f>$N$1</f>
        <v>235.69094894251003</v>
      </c>
      <c r="W27" s="42"/>
      <c r="X27" s="15"/>
      <c r="Y27" s="15"/>
      <c r="AB27" s="55"/>
      <c r="AC27" s="44"/>
    </row>
    <row r="28" spans="1:29">
      <c r="G28" s="63"/>
      <c r="H28" s="8"/>
      <c r="I28" s="50"/>
      <c r="J28" s="8"/>
      <c r="O28" s="65"/>
      <c r="P28" s="17">
        <f>1-P22</f>
        <v>0.68421052631578949</v>
      </c>
      <c r="Q28" s="17">
        <f>P28*M25</f>
        <v>0.1011712962962963</v>
      </c>
      <c r="R28" s="49">
        <f>$N$2</f>
        <v>1.0828396339164925</v>
      </c>
      <c r="S28" s="42"/>
      <c r="T28" s="15"/>
      <c r="U28" s="15"/>
      <c r="W28" s="43"/>
      <c r="X28" s="17">
        <f>1-X26</f>
        <v>0.31666666666666665</v>
      </c>
      <c r="Y28" s="17">
        <f>X28*U27</f>
        <v>1.011712962962963E-2</v>
      </c>
      <c r="Z28" s="49">
        <f>$N$2</f>
        <v>1.0828396339164925</v>
      </c>
      <c r="AB28" s="55">
        <f>SUM(Z28,V27,R28,N25,J19,F31)</f>
        <v>710.32136572927948</v>
      </c>
    </row>
    <row r="29" spans="1:29">
      <c r="E29" s="1"/>
      <c r="F29" s="1"/>
      <c r="G29" s="63"/>
      <c r="H29" s="8"/>
      <c r="I29" s="50"/>
      <c r="J29" s="8"/>
      <c r="S29" s="65"/>
      <c r="X29" s="17">
        <f>IF($J$1=0,$E$1,$E$2)</f>
        <v>0.31578947368421051</v>
      </c>
      <c r="Y29" s="17">
        <f>X29*U30</f>
        <v>2.1859726069559864E-2</v>
      </c>
      <c r="Z29" s="49">
        <f>V27</f>
        <v>235.69094894251003</v>
      </c>
      <c r="AB29" s="55">
        <f>SUM(Z29,V30,R28,N25,J19,F31)</f>
        <v>710.32136572927948</v>
      </c>
      <c r="AC29" s="44"/>
    </row>
    <row r="30" spans="1:29">
      <c r="F30" s="1"/>
      <c r="G30" s="63"/>
      <c r="H30" s="8"/>
      <c r="I30" s="50"/>
      <c r="J30" s="8"/>
      <c r="S30" s="65"/>
      <c r="T30" s="17">
        <f>1-T27</f>
        <v>0.68421052631578949</v>
      </c>
      <c r="U30" s="17">
        <f>T30*Q28</f>
        <v>6.9222465886939574E-2</v>
      </c>
      <c r="V30" s="49">
        <f>$N$2</f>
        <v>1.0828396339164925</v>
      </c>
      <c r="W30" s="42"/>
      <c r="X30" s="15"/>
      <c r="Y30" s="15"/>
      <c r="AB30" s="55"/>
    </row>
    <row r="31" spans="1:29">
      <c r="E31" s="17">
        <f>$E$1</f>
        <v>0.68333333333333335</v>
      </c>
      <c r="F31" s="49">
        <f>$N$1</f>
        <v>235.69094894251003</v>
      </c>
      <c r="G31" s="63"/>
      <c r="T31" s="1"/>
      <c r="U31" s="1"/>
      <c r="V31" s="1"/>
      <c r="W31" s="43"/>
      <c r="X31" s="17">
        <f>1-X29</f>
        <v>0.68421052631578949</v>
      </c>
      <c r="Y31" s="17">
        <f>X31*U30</f>
        <v>4.7362739817379707E-2</v>
      </c>
      <c r="Z31" s="49">
        <f>$N$2</f>
        <v>1.0828396339164925</v>
      </c>
      <c r="AB31" s="55">
        <f>SUM(Z31,V30,R28,N25,J19,F31)</f>
        <v>475.71325642068604</v>
      </c>
    </row>
    <row r="32" spans="1:29">
      <c r="D32" s="63"/>
      <c r="E32" s="1" t="s">
        <v>71</v>
      </c>
      <c r="G32" s="65"/>
      <c r="P32" s="1"/>
      <c r="Q32" s="1"/>
      <c r="R32" s="1"/>
      <c r="V32" s="1"/>
      <c r="X32" s="17">
        <f>$E$1</f>
        <v>0.68333333333333335</v>
      </c>
      <c r="Y32" s="17">
        <f>X32*U33</f>
        <v>2.1803711419753086E-2</v>
      </c>
      <c r="Z32" s="49">
        <f>$N$1</f>
        <v>235.69094894251003</v>
      </c>
      <c r="AB32" s="55">
        <f>SUM(Z32,V33,R34,N37,J43,F31)</f>
        <v>1179.5375843464667</v>
      </c>
    </row>
    <row r="33" spans="4:29">
      <c r="D33" s="63"/>
      <c r="G33" s="65"/>
      <c r="R33" s="1"/>
      <c r="T33" s="17">
        <f>$E$1</f>
        <v>0.68333333333333335</v>
      </c>
      <c r="U33" s="17">
        <f>T33*Q34</f>
        <v>3.1907870370370371E-2</v>
      </c>
      <c r="V33" s="49">
        <f>$N$1</f>
        <v>235.69094894251003</v>
      </c>
      <c r="W33" s="42"/>
      <c r="X33" s="15"/>
      <c r="Y33" s="15"/>
      <c r="AB33" s="55"/>
      <c r="AC33" s="44"/>
    </row>
    <row r="34" spans="4:29">
      <c r="D34" s="63"/>
      <c r="G34" s="65"/>
      <c r="P34" s="17">
        <f>$E$1</f>
        <v>0.68333333333333335</v>
      </c>
      <c r="Q34" s="17">
        <f>P34*M37</f>
        <v>4.6694444444444441E-2</v>
      </c>
      <c r="R34" s="49">
        <f>$N$1</f>
        <v>235.69094894251003</v>
      </c>
      <c r="S34" s="42"/>
      <c r="T34" s="15"/>
      <c r="U34" s="15"/>
      <c r="W34" s="43"/>
      <c r="X34" s="17">
        <f>1-X32</f>
        <v>0.31666666666666665</v>
      </c>
      <c r="Y34" s="17">
        <f>X34*U33</f>
        <v>1.0104158950617283E-2</v>
      </c>
      <c r="Z34" s="49">
        <f>$N$2</f>
        <v>1.0828396339164925</v>
      </c>
      <c r="AB34" s="55">
        <f>SUM(Z34,V33,R34,N37,J43,F31)</f>
        <v>944.92947503787309</v>
      </c>
    </row>
    <row r="35" spans="4:29">
      <c r="D35" s="63"/>
      <c r="G35" s="65"/>
      <c r="L35" s="1"/>
      <c r="M35" s="1"/>
      <c r="N35" s="1"/>
      <c r="O35" s="63"/>
      <c r="S35" s="65"/>
      <c r="X35" s="17">
        <f>IF($J$1=0,$E$1,$E$2)</f>
        <v>0.31578947368421051</v>
      </c>
      <c r="Y35" s="17">
        <f>X35*U36</f>
        <v>4.6694444444444431E-3</v>
      </c>
      <c r="Z35" s="49">
        <f>$N$1</f>
        <v>235.69094894251003</v>
      </c>
      <c r="AB35" s="55">
        <f>SUM(Z35,V36,R34,N37,J43,F31)</f>
        <v>944.92947503787309</v>
      </c>
      <c r="AC35" s="44"/>
    </row>
    <row r="36" spans="4:29">
      <c r="D36" s="63"/>
      <c r="G36" s="65"/>
      <c r="N36" s="1"/>
      <c r="O36" s="63"/>
      <c r="S36" s="65"/>
      <c r="T36" s="17">
        <f>1-T33</f>
        <v>0.31666666666666665</v>
      </c>
      <c r="U36" s="17">
        <f>T36*Q34</f>
        <v>1.4786574074074072E-2</v>
      </c>
      <c r="V36" s="49">
        <f>$N$2</f>
        <v>1.0828396339164925</v>
      </c>
      <c r="W36" s="42"/>
      <c r="X36" s="15"/>
      <c r="Y36" s="15"/>
      <c r="AB36" s="55"/>
    </row>
    <row r="37" spans="4:29">
      <c r="D37" s="63"/>
      <c r="G37" s="65"/>
      <c r="L37" s="17">
        <f>IF($J$1=0,$E$1,$E$2)</f>
        <v>0.31578947368421051</v>
      </c>
      <c r="M37" s="17">
        <f>L37*I43</f>
        <v>6.8333333333333329E-2</v>
      </c>
      <c r="N37" s="49">
        <f>$N$1</f>
        <v>235.69094894251003</v>
      </c>
      <c r="O37" s="63"/>
      <c r="W37" s="43"/>
      <c r="X37" s="17">
        <f>1-X35</f>
        <v>0.68421052631578949</v>
      </c>
      <c r="Y37" s="17">
        <f>X37*U36</f>
        <v>1.0117129629629629E-2</v>
      </c>
      <c r="Z37" s="49">
        <f>$N$2</f>
        <v>1.0828396339164925</v>
      </c>
      <c r="AB37" s="55">
        <f>SUM(Z37,V36,R34,N37,J43,F31)</f>
        <v>710.32136572927948</v>
      </c>
    </row>
    <row r="38" spans="4:29">
      <c r="D38" s="63"/>
      <c r="G38" s="65"/>
      <c r="K38" s="63"/>
      <c r="O38" s="65"/>
      <c r="P38" s="1"/>
      <c r="Q38" s="1"/>
      <c r="R38" s="1"/>
      <c r="X38" s="17">
        <f>$E$1</f>
        <v>0.68333333333333335</v>
      </c>
      <c r="Y38" s="17">
        <f>X38*U39</f>
        <v>4.6694444444444439E-3</v>
      </c>
      <c r="Z38" s="49">
        <f>$N$1</f>
        <v>235.69094894251003</v>
      </c>
      <c r="AB38" s="55">
        <f>SUM(Z38,V39,R40,N37,J43,F31)</f>
        <v>944.92947503787309</v>
      </c>
    </row>
    <row r="39" spans="4:29">
      <c r="D39" s="63"/>
      <c r="G39" s="65"/>
      <c r="K39" s="63"/>
      <c r="O39" s="65"/>
      <c r="R39" s="1"/>
      <c r="T39" s="17">
        <f>IF($J$1=0,$E$1,$E$2)</f>
        <v>0.31578947368421051</v>
      </c>
      <c r="U39" s="17">
        <f>T39*Q40</f>
        <v>6.8333333333333328E-3</v>
      </c>
      <c r="V39" s="49">
        <f>$N$1</f>
        <v>235.69094894251003</v>
      </c>
      <c r="W39" s="42"/>
      <c r="X39" s="15"/>
      <c r="Y39" s="15"/>
      <c r="AB39" s="55"/>
      <c r="AC39" s="44"/>
    </row>
    <row r="40" spans="4:29">
      <c r="D40" s="63"/>
      <c r="G40" s="65"/>
      <c r="K40" s="63"/>
      <c r="O40" s="65"/>
      <c r="P40" s="17">
        <f>1-P34</f>
        <v>0.31666666666666665</v>
      </c>
      <c r="Q40" s="17">
        <f>P40*M37</f>
        <v>2.1638888888888888E-2</v>
      </c>
      <c r="R40" s="49">
        <f>$N$2</f>
        <v>1.0828396339164925</v>
      </c>
      <c r="S40" s="42"/>
      <c r="T40" s="15"/>
      <c r="U40" s="15"/>
      <c r="W40" s="43"/>
      <c r="X40" s="17">
        <f>1-X38</f>
        <v>0.31666666666666665</v>
      </c>
      <c r="Y40" s="17">
        <f>X40*U39</f>
        <v>2.1638888888888888E-3</v>
      </c>
      <c r="Z40" s="49">
        <f>$N$2</f>
        <v>1.0828396339164925</v>
      </c>
      <c r="AB40" s="55">
        <f>SUM(Z40,V39,R40,N37,J43,F31)</f>
        <v>710.32136572927948</v>
      </c>
    </row>
    <row r="41" spans="4:29">
      <c r="D41" s="63"/>
      <c r="G41" s="65"/>
      <c r="H41" s="1"/>
      <c r="I41" s="1"/>
      <c r="J41" s="1"/>
      <c r="K41" s="63"/>
      <c r="S41" s="65"/>
      <c r="X41" s="17">
        <f>IF($J$1=0,$E$1,$E$2)</f>
        <v>0.31578947368421051</v>
      </c>
      <c r="Y41" s="17">
        <f>X41*U42</f>
        <v>4.6754385964912276E-3</v>
      </c>
      <c r="Z41" s="49">
        <f>V39</f>
        <v>235.69094894251003</v>
      </c>
      <c r="AB41" s="55">
        <f>SUM(Z41,V42,R40,N37,J43,F31)</f>
        <v>710.32136572927948</v>
      </c>
      <c r="AC41" s="44"/>
    </row>
    <row r="42" spans="4:29">
      <c r="D42" s="63"/>
      <c r="G42" s="65"/>
      <c r="J42" s="1"/>
      <c r="K42" s="63"/>
      <c r="S42" s="65"/>
      <c r="T42" s="17">
        <f>1-T39</f>
        <v>0.68421052631578949</v>
      </c>
      <c r="U42" s="17">
        <f>T42*Q40</f>
        <v>1.4805555555555556E-2</v>
      </c>
      <c r="V42" s="49">
        <f>$N$2</f>
        <v>1.0828396339164925</v>
      </c>
      <c r="W42" s="42"/>
      <c r="X42" s="15"/>
      <c r="Y42" s="15"/>
      <c r="AB42" s="55"/>
    </row>
    <row r="43" spans="4:29">
      <c r="D43" s="63"/>
      <c r="G43" s="65"/>
      <c r="H43" s="17">
        <f>1-H19</f>
        <v>0.31666666666666665</v>
      </c>
      <c r="I43" s="17">
        <f>H43*E31</f>
        <v>0.21638888888888888</v>
      </c>
      <c r="J43" s="49">
        <f>$N$2</f>
        <v>1.0828396339164925</v>
      </c>
      <c r="K43" s="63"/>
      <c r="P43" s="9"/>
      <c r="Q43" s="9"/>
      <c r="R43" s="9"/>
      <c r="S43" s="8"/>
      <c r="T43" s="8"/>
      <c r="U43" s="8"/>
      <c r="V43" s="8"/>
      <c r="W43" s="43"/>
      <c r="X43" s="17">
        <f>1-X41</f>
        <v>0.68421052631578949</v>
      </c>
      <c r="Y43" s="17">
        <f>X43*U42</f>
        <v>1.0130116959064328E-2</v>
      </c>
      <c r="Z43" s="49">
        <f>$N$2</f>
        <v>1.0828396339164925</v>
      </c>
      <c r="AB43" s="55">
        <f>SUM(Z43,V42,R40,N37,J43,F31)</f>
        <v>475.71325642068604</v>
      </c>
    </row>
    <row r="44" spans="4:29">
      <c r="D44" s="63"/>
      <c r="H44" s="15"/>
      <c r="I44" s="15"/>
      <c r="K44" s="65"/>
      <c r="P44" s="1"/>
      <c r="Q44" s="1"/>
      <c r="R44" s="1"/>
      <c r="X44" s="17">
        <f>$E$1</f>
        <v>0.68333333333333335</v>
      </c>
      <c r="Y44" s="17">
        <f>X44*U45</f>
        <v>2.1831700779727098E-2</v>
      </c>
      <c r="Z44" s="49">
        <f>$N$1</f>
        <v>235.69094894251003</v>
      </c>
      <c r="AB44" s="55">
        <f>SUM(Z44,V45,R46,N49,J43,F31)</f>
        <v>944.92947503787309</v>
      </c>
    </row>
    <row r="45" spans="4:29">
      <c r="D45" s="63"/>
      <c r="H45" s="15"/>
      <c r="I45" s="15"/>
      <c r="K45" s="65"/>
      <c r="R45" s="1"/>
      <c r="T45" s="17">
        <f>$E$1</f>
        <v>0.68333333333333335</v>
      </c>
      <c r="U45" s="17">
        <f>T45*Q46</f>
        <v>3.1948830409356727E-2</v>
      </c>
      <c r="V45" s="49">
        <f>$N$1</f>
        <v>235.69094894251003</v>
      </c>
      <c r="W45" s="42"/>
      <c r="X45" s="15"/>
      <c r="Y45" s="15"/>
      <c r="AB45" s="55"/>
      <c r="AC45" s="44"/>
    </row>
    <row r="46" spans="4:29">
      <c r="D46" s="63"/>
      <c r="H46" s="8"/>
      <c r="I46" s="8"/>
      <c r="J46" s="8"/>
      <c r="K46" s="65"/>
      <c r="P46" s="17">
        <f>IF($J$1=0,$E$1,$E$2)</f>
        <v>0.31578947368421051</v>
      </c>
      <c r="Q46" s="17">
        <f>P46*M49</f>
        <v>4.6754385964912278E-2</v>
      </c>
      <c r="R46" s="49">
        <f>$N$1</f>
        <v>235.69094894251003</v>
      </c>
      <c r="S46" s="42"/>
      <c r="T46" s="15"/>
      <c r="U46" s="15"/>
      <c r="W46" s="43"/>
      <c r="X46" s="17">
        <f>1-X44</f>
        <v>0.31666666666666665</v>
      </c>
      <c r="Y46" s="17">
        <f>X46*U45</f>
        <v>1.011712962962963E-2</v>
      </c>
      <c r="Z46" s="49">
        <f>$N$2</f>
        <v>1.0828396339164925</v>
      </c>
      <c r="AB46" s="55">
        <f>SUM(Z46,V45,R46,N49,J43,F31)</f>
        <v>710.32136572927948</v>
      </c>
    </row>
    <row r="47" spans="4:29">
      <c r="D47" s="63"/>
      <c r="H47" s="50"/>
      <c r="I47" s="50"/>
      <c r="J47" s="51"/>
      <c r="K47" s="65"/>
      <c r="L47" s="1"/>
      <c r="M47" s="1"/>
      <c r="N47" s="1"/>
      <c r="O47" s="63"/>
      <c r="S47" s="65"/>
      <c r="X47" s="17">
        <f>IF($J$1=0,$E$1,$E$2)</f>
        <v>0.31578947368421051</v>
      </c>
      <c r="Y47" s="17">
        <f>X47*U48</f>
        <v>4.6754385964912276E-3</v>
      </c>
      <c r="Z47" s="49">
        <f>$N$1</f>
        <v>235.69094894251003</v>
      </c>
      <c r="AB47" s="55">
        <f>SUM(Z47,V48,R46,N49,J43,F31)</f>
        <v>710.32136572927948</v>
      </c>
      <c r="AC47" s="44"/>
    </row>
    <row r="48" spans="4:29">
      <c r="D48" s="63"/>
      <c r="H48" s="50"/>
      <c r="I48" s="8"/>
      <c r="J48" s="8"/>
      <c r="K48" s="65"/>
      <c r="N48" s="1"/>
      <c r="O48" s="63"/>
      <c r="S48" s="65"/>
      <c r="T48" s="17">
        <f>1-T45</f>
        <v>0.31666666666666665</v>
      </c>
      <c r="U48" s="17">
        <f>T48*Q46</f>
        <v>1.4805555555555554E-2</v>
      </c>
      <c r="V48" s="49">
        <f>$N$2</f>
        <v>1.0828396339164925</v>
      </c>
      <c r="W48" s="42"/>
      <c r="X48" s="15"/>
      <c r="Y48" s="15"/>
      <c r="AB48" s="55"/>
    </row>
    <row r="49" spans="2:29">
      <c r="D49" s="63"/>
      <c r="H49" s="50"/>
      <c r="I49" s="50"/>
      <c r="J49" s="51"/>
      <c r="K49" s="65"/>
      <c r="L49" s="17">
        <f>1-L37</f>
        <v>0.68421052631578949</v>
      </c>
      <c r="M49" s="17">
        <f>L49*I43</f>
        <v>0.14805555555555555</v>
      </c>
      <c r="N49" s="49">
        <f>$N$2</f>
        <v>1.0828396339164925</v>
      </c>
      <c r="O49" s="63"/>
      <c r="W49" s="43"/>
      <c r="X49" s="17">
        <f>1-X47</f>
        <v>0.68421052631578949</v>
      </c>
      <c r="Y49" s="17">
        <f>X49*U48</f>
        <v>1.0130116959064328E-2</v>
      </c>
      <c r="Z49" s="49">
        <f>$N$2</f>
        <v>1.0828396339164925</v>
      </c>
      <c r="AB49" s="55">
        <f>SUM(Z49,V48,R46,N49,J43,F31)</f>
        <v>475.71325642068604</v>
      </c>
    </row>
    <row r="50" spans="2:29">
      <c r="D50" s="63"/>
      <c r="H50" s="50"/>
      <c r="I50" s="50"/>
      <c r="J50" s="8"/>
      <c r="O50" s="65"/>
      <c r="P50" s="1"/>
      <c r="Q50" s="1"/>
      <c r="R50" s="1"/>
      <c r="X50" s="17">
        <f>$E$1</f>
        <v>0.68333333333333335</v>
      </c>
      <c r="Y50" s="17">
        <f>X50*U51</f>
        <v>2.1859726069559864E-2</v>
      </c>
      <c r="Z50" s="49">
        <f>$N$1</f>
        <v>235.69094894251003</v>
      </c>
      <c r="AB50" s="55">
        <f>SUM(Z50,V51,R52,N49,J43,F31)</f>
        <v>710.32136572927948</v>
      </c>
    </row>
    <row r="51" spans="2:29">
      <c r="D51" s="63"/>
      <c r="H51" s="50"/>
      <c r="I51" s="50"/>
      <c r="J51" s="51"/>
      <c r="O51" s="65"/>
      <c r="R51" s="1"/>
      <c r="T51" s="17">
        <f>IF($J$1=0,$E$1,$E$2)</f>
        <v>0.31578947368421051</v>
      </c>
      <c r="U51" s="17">
        <f>T51*Q52</f>
        <v>3.198984302862419E-2</v>
      </c>
      <c r="V51" s="49">
        <f>$N$1</f>
        <v>235.69094894251003</v>
      </c>
      <c r="W51" s="42"/>
      <c r="X51" s="15"/>
      <c r="Y51" s="15"/>
      <c r="AB51" s="55"/>
      <c r="AC51" s="44"/>
    </row>
    <row r="52" spans="2:29">
      <c r="D52" s="63"/>
      <c r="H52" s="8"/>
      <c r="I52" s="50"/>
      <c r="J52" s="8"/>
      <c r="O52" s="65"/>
      <c r="P52" s="17">
        <f>1-P46</f>
        <v>0.68421052631578949</v>
      </c>
      <c r="Q52" s="17">
        <f>P52*M49</f>
        <v>0.10130116959064328</v>
      </c>
      <c r="R52" s="49">
        <f>$N$2</f>
        <v>1.0828396339164925</v>
      </c>
      <c r="S52" s="42"/>
      <c r="T52" s="15"/>
      <c r="U52" s="15"/>
      <c r="W52" s="43"/>
      <c r="X52" s="17">
        <f>1-X50</f>
        <v>0.31666666666666665</v>
      </c>
      <c r="Y52" s="17">
        <f>X52*U51</f>
        <v>1.0130116959064326E-2</v>
      </c>
      <c r="Z52" s="49">
        <f>$N$2</f>
        <v>1.0828396339164925</v>
      </c>
      <c r="AB52" s="55">
        <f>SUM(Z52,V51,R52,N49,J43,F31)</f>
        <v>475.71325642068598</v>
      </c>
    </row>
    <row r="53" spans="2:29">
      <c r="D53" s="63"/>
      <c r="H53" s="8"/>
      <c r="I53" s="50"/>
      <c r="J53" s="8"/>
      <c r="S53" s="65"/>
      <c r="X53" s="17">
        <f>IF($J$1=0,$E$1,$E$2)</f>
        <v>0.31578947368421051</v>
      </c>
      <c r="Y53" s="17">
        <f>X53*U54</f>
        <v>2.1887787335374449E-2</v>
      </c>
      <c r="Z53" s="49">
        <f>$N$1</f>
        <v>235.69094894251003</v>
      </c>
      <c r="AB53" s="55">
        <f>SUM(Z53,V54,R52,N49,J43,F31)</f>
        <v>475.71325642068598</v>
      </c>
      <c r="AC53" s="44"/>
    </row>
    <row r="54" spans="2:29">
      <c r="B54" s="66"/>
      <c r="C54" s="64" t="s">
        <v>0</v>
      </c>
      <c r="D54" s="63"/>
      <c r="H54" s="8"/>
      <c r="I54" s="50"/>
      <c r="J54" s="8"/>
      <c r="S54" s="65"/>
      <c r="T54" s="17">
        <f>1-T51</f>
        <v>0.68421052631578949</v>
      </c>
      <c r="U54" s="17">
        <f>T54*Q52</f>
        <v>6.931132656201909E-2</v>
      </c>
      <c r="V54" s="49">
        <f>$N$2</f>
        <v>1.0828396339164925</v>
      </c>
      <c r="W54" s="42"/>
      <c r="X54" s="15"/>
      <c r="Y54" s="15"/>
      <c r="AB54" s="55"/>
      <c r="AC54" s="44"/>
    </row>
    <row r="55" spans="2:29">
      <c r="B55" s="66"/>
      <c r="C55" s="64"/>
      <c r="D55" s="65"/>
      <c r="H55" s="8"/>
      <c r="I55" s="50"/>
      <c r="J55" s="8"/>
      <c r="S55" s="8"/>
      <c r="T55" s="50"/>
      <c r="U55" s="50"/>
      <c r="V55" s="51"/>
      <c r="W55" s="43"/>
      <c r="X55" s="17">
        <f>1-X53</f>
        <v>0.68421052631578949</v>
      </c>
      <c r="Y55" s="17">
        <f>X55*U54</f>
        <v>4.7423539226644641E-2</v>
      </c>
      <c r="Z55" s="49">
        <f>$N$2</f>
        <v>1.0828396339164925</v>
      </c>
      <c r="AB55" s="55">
        <f>SUM(Z55,V54,R52,N49,J43,F31)</f>
        <v>241.10514711209248</v>
      </c>
      <c r="AC55" s="44"/>
    </row>
    <row r="56" spans="2:29">
      <c r="C56" s="51">
        <f>AC4</f>
        <v>0</v>
      </c>
      <c r="D56" s="65"/>
      <c r="X56" s="17">
        <f>$E$1</f>
        <v>0.68333333333333335</v>
      </c>
      <c r="Y56" s="17">
        <f>X56*U57</f>
        <v>2.1803711419753086E-2</v>
      </c>
      <c r="Z56" s="49">
        <f>$N$1</f>
        <v>235.69094894251003</v>
      </c>
      <c r="AB56" s="55">
        <f>SUM(Z56,V57,R58,N61,J67,F79)</f>
        <v>1179.5375843464667</v>
      </c>
    </row>
    <row r="57" spans="2:29">
      <c r="D57" s="65"/>
      <c r="T57" s="17">
        <f>$E$1</f>
        <v>0.68333333333333335</v>
      </c>
      <c r="U57" s="17">
        <f>T57*Q58</f>
        <v>3.1907870370370371E-2</v>
      </c>
      <c r="V57" s="49">
        <f>$N$1</f>
        <v>235.69094894251003</v>
      </c>
      <c r="W57" s="42"/>
      <c r="X57" s="15"/>
      <c r="Y57" s="15"/>
      <c r="AB57" s="55"/>
      <c r="AC57" s="44"/>
    </row>
    <row r="58" spans="2:29">
      <c r="D58" s="65"/>
      <c r="P58" s="17">
        <f>$E$1</f>
        <v>0.68333333333333335</v>
      </c>
      <c r="Q58" s="17">
        <f>P58*M61</f>
        <v>4.6694444444444441E-2</v>
      </c>
      <c r="R58" s="49">
        <f>$N$1</f>
        <v>235.69094894251003</v>
      </c>
      <c r="S58" s="42"/>
      <c r="T58" s="15"/>
      <c r="U58" s="15"/>
      <c r="W58" s="43"/>
      <c r="X58" s="17">
        <f>1-X56</f>
        <v>0.31666666666666665</v>
      </c>
      <c r="Y58" s="17">
        <f>X58*U57</f>
        <v>1.0104158950617283E-2</v>
      </c>
      <c r="Z58" s="49">
        <f>$N$2</f>
        <v>1.0828396339164925</v>
      </c>
      <c r="AB58" s="55">
        <f>SUM(Z58,V57,R58,N61,J67,F79)</f>
        <v>944.92947503787298</v>
      </c>
    </row>
    <row r="59" spans="2:29">
      <c r="D59" s="65"/>
      <c r="O59" s="63"/>
      <c r="S59" s="65"/>
      <c r="X59" s="17">
        <f>IF($J$1=0,$E$1,$E$2)</f>
        <v>0.31578947368421051</v>
      </c>
      <c r="Y59" s="17">
        <f>X59*U60</f>
        <v>4.6694444444444431E-3</v>
      </c>
      <c r="Z59" s="49">
        <f>$N$1</f>
        <v>235.69094894251003</v>
      </c>
      <c r="AB59" s="55">
        <f>SUM(Z59,V60,R58,N61,J67,F79)</f>
        <v>944.92947503787298</v>
      </c>
      <c r="AC59" s="44"/>
    </row>
    <row r="60" spans="2:29">
      <c r="D60" s="65"/>
      <c r="O60" s="63"/>
      <c r="S60" s="65"/>
      <c r="T60" s="17">
        <f>1-T57</f>
        <v>0.31666666666666665</v>
      </c>
      <c r="U60" s="17">
        <f>T60*Q58</f>
        <v>1.4786574074074072E-2</v>
      </c>
      <c r="V60" s="49">
        <f>$N$2</f>
        <v>1.0828396339164925</v>
      </c>
      <c r="W60" s="42"/>
      <c r="X60" s="15"/>
      <c r="Y60" s="15"/>
      <c r="AB60" s="55"/>
    </row>
    <row r="61" spans="2:29">
      <c r="D61" s="65"/>
      <c r="L61" s="17">
        <f>$E$1</f>
        <v>0.68333333333333335</v>
      </c>
      <c r="M61" s="17">
        <f>L61*I67</f>
        <v>6.8333333333333329E-2</v>
      </c>
      <c r="N61" s="49">
        <f>$N$1</f>
        <v>235.69094894251003</v>
      </c>
      <c r="O61" s="63"/>
      <c r="W61" s="43"/>
      <c r="X61" s="17">
        <f>1-X59</f>
        <v>0.68421052631578949</v>
      </c>
      <c r="Y61" s="17">
        <f>X61*U60</f>
        <v>1.0117129629629629E-2</v>
      </c>
      <c r="Z61" s="49">
        <f>$N$2</f>
        <v>1.0828396339164925</v>
      </c>
      <c r="AB61" s="55">
        <f>SUM(Z61,V60,R58,N61,J67,F79)</f>
        <v>710.32136572927959</v>
      </c>
    </row>
    <row r="62" spans="2:29">
      <c r="D62" s="65"/>
      <c r="K62" s="63"/>
      <c r="O62" s="65"/>
      <c r="P62" s="1"/>
      <c r="Q62" s="1"/>
      <c r="R62" s="1"/>
      <c r="X62" s="17">
        <f>$E$1</f>
        <v>0.68333333333333335</v>
      </c>
      <c r="Y62" s="17">
        <f>X62*U63</f>
        <v>4.6694444444444439E-3</v>
      </c>
      <c r="Z62" s="49">
        <f>$N$1</f>
        <v>235.69094894251003</v>
      </c>
      <c r="AB62" s="55">
        <f>SUM(Z62,V63,R64,N61,J67,F79)</f>
        <v>944.92947503787298</v>
      </c>
    </row>
    <row r="63" spans="2:29">
      <c r="D63" s="65"/>
      <c r="K63" s="63"/>
      <c r="O63" s="65"/>
      <c r="R63" s="1"/>
      <c r="T63" s="17">
        <f>IF($J$1=0,$E$1,$E$2)</f>
        <v>0.31578947368421051</v>
      </c>
      <c r="U63" s="17">
        <f>T63*Q64</f>
        <v>6.8333333333333328E-3</v>
      </c>
      <c r="V63" s="49">
        <f>$N$1</f>
        <v>235.69094894251003</v>
      </c>
      <c r="W63" s="42"/>
      <c r="X63" s="15"/>
      <c r="Y63" s="15"/>
      <c r="AB63" s="55"/>
      <c r="AC63" s="44"/>
    </row>
    <row r="64" spans="2:29">
      <c r="D64" s="65"/>
      <c r="K64" s="63"/>
      <c r="O64" s="65"/>
      <c r="P64" s="17">
        <f>1-P58</f>
        <v>0.31666666666666665</v>
      </c>
      <c r="Q64" s="17">
        <f>P64*M61</f>
        <v>2.1638888888888888E-2</v>
      </c>
      <c r="R64" s="49">
        <f>$N$2</f>
        <v>1.0828396339164925</v>
      </c>
      <c r="S64" s="42"/>
      <c r="T64" s="15"/>
      <c r="U64" s="15"/>
      <c r="W64" s="43"/>
      <c r="X64" s="17">
        <f>1-X62</f>
        <v>0.31666666666666665</v>
      </c>
      <c r="Y64" s="17">
        <f>X64*U63</f>
        <v>2.1638888888888888E-3</v>
      </c>
      <c r="Z64" s="49">
        <f>$N$2</f>
        <v>1.0828396339164925</v>
      </c>
      <c r="AB64" s="55">
        <f>SUM(Z64,V63,R64,N61,J67,F79)</f>
        <v>710.32136572927959</v>
      </c>
    </row>
    <row r="65" spans="4:29">
      <c r="D65" s="65"/>
      <c r="G65" s="44"/>
      <c r="K65" s="63"/>
      <c r="S65" s="65"/>
      <c r="X65" s="17">
        <f>IF($J$1=0,$E$1,$E$2)</f>
        <v>0.31578947368421051</v>
      </c>
      <c r="Y65" s="17">
        <f>X65*U66</f>
        <v>4.6754385964912276E-3</v>
      </c>
      <c r="Z65" s="49">
        <f>$N$1</f>
        <v>235.69094894251003</v>
      </c>
      <c r="AB65" s="55">
        <f>SUM(Z65,V66,R64,N61,J67,F79)</f>
        <v>710.32136572927959</v>
      </c>
      <c r="AC65" s="44"/>
    </row>
    <row r="66" spans="4:29">
      <c r="D66" s="65"/>
      <c r="G66" s="40"/>
      <c r="K66" s="63"/>
      <c r="S66" s="65"/>
      <c r="T66" s="17">
        <f>1-T63</f>
        <v>0.68421052631578949</v>
      </c>
      <c r="U66" s="17">
        <f>T66*Q64</f>
        <v>1.4805555555555556E-2</v>
      </c>
      <c r="V66" s="49">
        <f>$N$2</f>
        <v>1.0828396339164925</v>
      </c>
      <c r="W66" s="42"/>
      <c r="X66" s="15"/>
      <c r="Y66" s="15"/>
      <c r="AB66" s="55"/>
    </row>
    <row r="67" spans="4:29">
      <c r="D67" s="65"/>
      <c r="G67" s="8"/>
      <c r="H67" s="17">
        <f>IF($J$1=0,$E$1,$E$2)</f>
        <v>0.31578947368421051</v>
      </c>
      <c r="I67" s="17">
        <f>H67*E79</f>
        <v>9.9999999999999992E-2</v>
      </c>
      <c r="J67" s="49">
        <f>$N$1</f>
        <v>235.69094894251003</v>
      </c>
      <c r="K67" s="63"/>
      <c r="P67" s="9"/>
      <c r="Q67" s="9"/>
      <c r="R67" s="9"/>
      <c r="S67" s="8"/>
      <c r="T67" s="8"/>
      <c r="U67" s="8"/>
      <c r="V67" s="8"/>
      <c r="W67" s="43"/>
      <c r="X67" s="17">
        <f>1-X65</f>
        <v>0.68421052631578949</v>
      </c>
      <c r="Y67" s="17">
        <f>X67*U66</f>
        <v>1.0130116959064328E-2</v>
      </c>
      <c r="Z67" s="49">
        <f>$N$2</f>
        <v>1.0828396339164925</v>
      </c>
      <c r="AB67" s="55">
        <f>SUM(Z67,V66,R64,N61,J67,F79)</f>
        <v>475.71325642068604</v>
      </c>
    </row>
    <row r="68" spans="4:29">
      <c r="D68" s="65"/>
      <c r="G68" s="63"/>
      <c r="H68" s="15"/>
      <c r="I68" s="15"/>
      <c r="K68" s="65"/>
      <c r="P68" s="1"/>
      <c r="Q68" s="1"/>
      <c r="R68" s="1"/>
      <c r="X68" s="17">
        <f>$E$1</f>
        <v>0.68333333333333335</v>
      </c>
      <c r="Y68" s="17">
        <f>X68*U69</f>
        <v>4.6694444444444439E-3</v>
      </c>
      <c r="Z68" s="49">
        <f>$N$1</f>
        <v>235.69094894251003</v>
      </c>
      <c r="AB68" s="55">
        <f>SUM(Z68,V69,R70,N73,J67,F79)</f>
        <v>944.9294750378732</v>
      </c>
    </row>
    <row r="69" spans="4:29">
      <c r="D69" s="65"/>
      <c r="G69" s="63"/>
      <c r="H69" s="15"/>
      <c r="I69" s="15"/>
      <c r="K69" s="65"/>
      <c r="R69" s="1"/>
      <c r="T69" s="17">
        <f>$E$1</f>
        <v>0.68333333333333335</v>
      </c>
      <c r="U69" s="17">
        <f>T69*Q70</f>
        <v>6.8333333333333328E-3</v>
      </c>
      <c r="V69" s="49">
        <f>$N$1</f>
        <v>235.69094894251003</v>
      </c>
      <c r="W69" s="42"/>
      <c r="X69" s="15"/>
      <c r="Y69" s="15"/>
      <c r="AB69" s="55"/>
      <c r="AC69" s="44"/>
    </row>
    <row r="70" spans="4:29">
      <c r="D70" s="65"/>
      <c r="G70" s="63"/>
      <c r="H70" s="8"/>
      <c r="I70" s="8"/>
      <c r="J70" s="8"/>
      <c r="K70" s="65"/>
      <c r="P70" s="17">
        <f>IF($J$1=0,$E$1,$E$2)</f>
        <v>0.31578947368421051</v>
      </c>
      <c r="Q70" s="17">
        <f>P70*M73</f>
        <v>9.9999999999999985E-3</v>
      </c>
      <c r="R70" s="49">
        <f>$N$1</f>
        <v>235.69094894251003</v>
      </c>
      <c r="S70" s="42"/>
      <c r="T70" s="15"/>
      <c r="U70" s="15"/>
      <c r="W70" s="43"/>
      <c r="X70" s="17">
        <f>1-X68</f>
        <v>0.31666666666666665</v>
      </c>
      <c r="Y70" s="17">
        <f>X70*U69</f>
        <v>2.1638888888888888E-3</v>
      </c>
      <c r="Z70" s="49">
        <f>$N$2</f>
        <v>1.0828396339164925</v>
      </c>
      <c r="AB70" s="55">
        <f>SUM(Z70,V69,R70,N73,J67,F79)</f>
        <v>710.32136572927959</v>
      </c>
    </row>
    <row r="71" spans="4:29">
      <c r="D71" s="65"/>
      <c r="G71" s="63"/>
      <c r="H71" s="50"/>
      <c r="I71" s="50"/>
      <c r="J71" s="51"/>
      <c r="K71" s="65"/>
      <c r="L71" s="1"/>
      <c r="M71" s="1"/>
      <c r="N71" s="1"/>
      <c r="O71" s="63"/>
      <c r="S71" s="65"/>
      <c r="X71" s="17">
        <f>IF($J$1=0,$E$1,$E$2)</f>
        <v>0.31578947368421051</v>
      </c>
      <c r="Y71" s="17">
        <f>X71*U72</f>
        <v>9.999999999999998E-4</v>
      </c>
      <c r="Z71" s="49">
        <f>$N$1</f>
        <v>235.69094894251003</v>
      </c>
      <c r="AB71" s="55">
        <f>SUM(Z71,V72,R70,N73,J67,F79)</f>
        <v>710.32136572927959</v>
      </c>
      <c r="AC71" s="44"/>
    </row>
    <row r="72" spans="4:29">
      <c r="D72" s="65"/>
      <c r="G72" s="63"/>
      <c r="H72" s="50"/>
      <c r="I72" s="8"/>
      <c r="J72" s="8"/>
      <c r="K72" s="65"/>
      <c r="N72" s="1"/>
      <c r="O72" s="63"/>
      <c r="S72" s="65"/>
      <c r="T72" s="17">
        <f>1-T69</f>
        <v>0.31666666666666665</v>
      </c>
      <c r="U72" s="17">
        <f>T72*Q70</f>
        <v>3.1666666666666662E-3</v>
      </c>
      <c r="V72" s="49">
        <f>$N$2</f>
        <v>1.0828396339164925</v>
      </c>
      <c r="W72" s="42"/>
      <c r="X72" s="15"/>
      <c r="Y72" s="15"/>
      <c r="AB72" s="55"/>
    </row>
    <row r="73" spans="4:29">
      <c r="D73" s="65"/>
      <c r="G73" s="63"/>
      <c r="H73" s="50"/>
      <c r="I73" s="50"/>
      <c r="J73" s="51"/>
      <c r="K73" s="65"/>
      <c r="L73" s="17">
        <f>1-L61</f>
        <v>0.31666666666666665</v>
      </c>
      <c r="M73" s="17">
        <f>L73*I67</f>
        <v>3.1666666666666662E-2</v>
      </c>
      <c r="N73" s="49">
        <f>$N$2</f>
        <v>1.0828396339164925</v>
      </c>
      <c r="O73" s="63"/>
      <c r="W73" s="43"/>
      <c r="X73" s="17">
        <f>1-X71</f>
        <v>0.68421052631578949</v>
      </c>
      <c r="Y73" s="17">
        <f>X73*U72</f>
        <v>2.1666666666666666E-3</v>
      </c>
      <c r="Z73" s="49">
        <f>$N$2</f>
        <v>1.0828396339164925</v>
      </c>
      <c r="AB73" s="55">
        <f>SUM(Z73,V72,R70,N73,J67,F79)</f>
        <v>475.71325642068604</v>
      </c>
    </row>
    <row r="74" spans="4:29">
      <c r="D74" s="65"/>
      <c r="G74" s="63"/>
      <c r="H74" s="50"/>
      <c r="I74" s="50"/>
      <c r="J74" s="8"/>
      <c r="O74" s="65"/>
      <c r="P74" s="1"/>
      <c r="Q74" s="1"/>
      <c r="R74" s="1"/>
      <c r="X74" s="17">
        <f>$E$1</f>
        <v>0.68333333333333335</v>
      </c>
      <c r="Y74" s="17">
        <f>X74*U75</f>
        <v>4.6754385964912276E-3</v>
      </c>
      <c r="Z74" s="49">
        <f>$N$1</f>
        <v>235.69094894251003</v>
      </c>
      <c r="AB74" s="55">
        <f>SUM(Z74,V75,R76,N73,J67,F79)</f>
        <v>710.32136572927959</v>
      </c>
    </row>
    <row r="75" spans="4:29">
      <c r="D75" s="65"/>
      <c r="G75" s="63"/>
      <c r="H75" s="50"/>
      <c r="I75" s="50"/>
      <c r="J75" s="51"/>
      <c r="O75" s="65"/>
      <c r="R75" s="1"/>
      <c r="T75" s="17">
        <f>IF($J$1=0,$E$1,$E$2)</f>
        <v>0.31578947368421051</v>
      </c>
      <c r="U75" s="17">
        <f>T75*Q76</f>
        <v>6.8421052631578933E-3</v>
      </c>
      <c r="V75" s="49">
        <f>$N$1</f>
        <v>235.69094894251003</v>
      </c>
      <c r="W75" s="42"/>
      <c r="X75" s="15"/>
      <c r="Y75" s="15"/>
      <c r="AB75" s="55"/>
      <c r="AC75" s="44"/>
    </row>
    <row r="76" spans="4:29">
      <c r="D76" s="65"/>
      <c r="G76" s="63"/>
      <c r="H76" s="8"/>
      <c r="I76" s="50"/>
      <c r="J76" s="8"/>
      <c r="O76" s="65"/>
      <c r="P76" s="17">
        <f>1-P70</f>
        <v>0.68421052631578949</v>
      </c>
      <c r="Q76" s="17">
        <f>P76*M73</f>
        <v>2.1666666666666664E-2</v>
      </c>
      <c r="R76" s="49">
        <f>$N$2</f>
        <v>1.0828396339164925</v>
      </c>
      <c r="S76" s="42"/>
      <c r="T76" s="15"/>
      <c r="U76" s="15"/>
      <c r="W76" s="43"/>
      <c r="X76" s="17">
        <f>1-X74</f>
        <v>0.31666666666666665</v>
      </c>
      <c r="Y76" s="17">
        <f>X76*U75</f>
        <v>2.1666666666666661E-3</v>
      </c>
      <c r="Z76" s="49">
        <f>$N$2</f>
        <v>1.0828396339164925</v>
      </c>
      <c r="AB76" s="55">
        <f>SUM(Z76,V75,R76,N73,J67,F79)</f>
        <v>475.71325642068598</v>
      </c>
    </row>
    <row r="77" spans="4:29">
      <c r="D77" s="65"/>
      <c r="G77" s="63"/>
      <c r="H77" s="8"/>
      <c r="I77" s="50"/>
      <c r="J77" s="8"/>
      <c r="S77" s="65"/>
      <c r="X77" s="17">
        <f>IF($J$1=0,$E$1,$E$2)</f>
        <v>0.31578947368421051</v>
      </c>
      <c r="Y77" s="17">
        <f>X77*U78</f>
        <v>4.6814404432132953E-3</v>
      </c>
      <c r="Z77" s="49">
        <f>$N$1</f>
        <v>235.69094894251003</v>
      </c>
      <c r="AB77" s="55">
        <f>SUM(Z77,V78,R76,N73,J67,F79)</f>
        <v>475.71325642068598</v>
      </c>
      <c r="AC77" s="44"/>
    </row>
    <row r="78" spans="4:29">
      <c r="D78" s="65"/>
      <c r="G78" s="63"/>
      <c r="H78" s="8"/>
      <c r="I78" s="50"/>
      <c r="J78" s="8"/>
      <c r="S78" s="65"/>
      <c r="T78" s="17">
        <f>1-T75</f>
        <v>0.68421052631578949</v>
      </c>
      <c r="U78" s="17">
        <f>T78*Q76</f>
        <v>1.482456140350877E-2</v>
      </c>
      <c r="V78" s="49">
        <f>$N$2</f>
        <v>1.0828396339164925</v>
      </c>
      <c r="W78" s="42"/>
      <c r="X78" s="15"/>
      <c r="Y78" s="15"/>
      <c r="AB78" s="55"/>
    </row>
    <row r="79" spans="4:29">
      <c r="D79" s="65"/>
      <c r="E79" s="17">
        <f>1-E31</f>
        <v>0.31666666666666665</v>
      </c>
      <c r="F79" s="49">
        <f>$N$2</f>
        <v>1.0828396339164925</v>
      </c>
      <c r="G79" s="63"/>
      <c r="T79" s="1"/>
      <c r="U79" s="1"/>
      <c r="V79" s="1"/>
      <c r="W79" s="43"/>
      <c r="X79" s="17">
        <f>1-X77</f>
        <v>0.68421052631578949</v>
      </c>
      <c r="Y79" s="17">
        <f>X79*U78</f>
        <v>1.0143120960295474E-2</v>
      </c>
      <c r="Z79" s="49">
        <f>$N$2</f>
        <v>1.0828396339164925</v>
      </c>
      <c r="AB79" s="55">
        <f>SUM(Z79,V78,R76,N73,J67,F79)</f>
        <v>241.10514711209248</v>
      </c>
    </row>
    <row r="80" spans="4:29">
      <c r="E80" s="1" t="s">
        <v>2</v>
      </c>
      <c r="G80" s="65"/>
      <c r="P80" s="1"/>
      <c r="Q80" s="1"/>
      <c r="R80" s="1"/>
      <c r="V80" s="1"/>
      <c r="X80" s="17">
        <f>$E$1</f>
        <v>0.68333333333333335</v>
      </c>
      <c r="Y80" s="17">
        <f>X80*U81</f>
        <v>2.1831700779727098E-2</v>
      </c>
      <c r="Z80" s="49">
        <f>$N$1</f>
        <v>235.69094894251003</v>
      </c>
      <c r="AB80" s="55">
        <f>SUM(Z80,V81,R82,N85,J91,F79)</f>
        <v>944.92947503787309</v>
      </c>
    </row>
    <row r="81" spans="7:29">
      <c r="G81" s="65"/>
      <c r="R81" s="1"/>
      <c r="T81" s="17">
        <f>$E$1</f>
        <v>0.68333333333333335</v>
      </c>
      <c r="U81" s="17">
        <f>T81*Q82</f>
        <v>3.1948830409356727E-2</v>
      </c>
      <c r="V81" s="49">
        <f>$N$1</f>
        <v>235.69094894251003</v>
      </c>
      <c r="W81" s="42"/>
      <c r="X81" s="15"/>
      <c r="Y81" s="15"/>
      <c r="AB81" s="55"/>
      <c r="AC81" s="44"/>
    </row>
    <row r="82" spans="7:29">
      <c r="G82" s="65"/>
      <c r="P82" s="17">
        <f>$E$1</f>
        <v>0.68333333333333335</v>
      </c>
      <c r="Q82" s="17">
        <f>P82*M85</f>
        <v>4.6754385964912284E-2</v>
      </c>
      <c r="R82" s="49">
        <f>$N$1</f>
        <v>235.69094894251003</v>
      </c>
      <c r="S82" s="42"/>
      <c r="T82" s="15"/>
      <c r="U82" s="15"/>
      <c r="W82" s="43"/>
      <c r="X82" s="17">
        <f>1-X80</f>
        <v>0.31666666666666665</v>
      </c>
      <c r="Y82" s="17">
        <f>X82*U81</f>
        <v>1.011712962962963E-2</v>
      </c>
      <c r="Z82" s="49">
        <f>$N$2</f>
        <v>1.0828396339164925</v>
      </c>
      <c r="AB82" s="55">
        <f>SUM(Z82,V81,R82,N85,J91,F79)</f>
        <v>710.32136572927948</v>
      </c>
    </row>
    <row r="83" spans="7:29">
      <c r="G83" s="65"/>
      <c r="L83" s="1"/>
      <c r="M83" s="1"/>
      <c r="N83" s="1"/>
      <c r="O83" s="63"/>
      <c r="S83" s="65"/>
      <c r="X83" s="17">
        <f>IF($J$1=0,$E$1,$E$2)</f>
        <v>0.31578947368421051</v>
      </c>
      <c r="Y83" s="17">
        <f>X83*U84</f>
        <v>4.6754385964912276E-3</v>
      </c>
      <c r="Z83" s="49">
        <f>$N$1</f>
        <v>235.69094894251003</v>
      </c>
      <c r="AB83" s="55">
        <f>SUM(Z83,V84,R82,N85,J91,F79)</f>
        <v>710.32136572927948</v>
      </c>
      <c r="AC83" s="44"/>
    </row>
    <row r="84" spans="7:29">
      <c r="G84" s="65"/>
      <c r="N84" s="1"/>
      <c r="O84" s="63"/>
      <c r="S84" s="65"/>
      <c r="T84" s="17">
        <f>1-T81</f>
        <v>0.31666666666666665</v>
      </c>
      <c r="U84" s="17">
        <f>T84*Q82</f>
        <v>1.4805555555555556E-2</v>
      </c>
      <c r="V84" s="49">
        <f>$N$2</f>
        <v>1.0828396339164925</v>
      </c>
      <c r="W84" s="42"/>
      <c r="X84" s="15"/>
      <c r="Y84" s="15"/>
      <c r="AB84" s="55"/>
    </row>
    <row r="85" spans="7:29">
      <c r="G85" s="65"/>
      <c r="L85" s="17">
        <f>H67</f>
        <v>0.31578947368421051</v>
      </c>
      <c r="M85" s="17">
        <f>L85*I91</f>
        <v>6.8421052631578952E-2</v>
      </c>
      <c r="N85" s="49">
        <f>$N$1</f>
        <v>235.69094894251003</v>
      </c>
      <c r="O85" s="63"/>
      <c r="W85" s="43"/>
      <c r="X85" s="17">
        <f>1-X83</f>
        <v>0.68421052631578949</v>
      </c>
      <c r="Y85" s="17">
        <f>X85*U84</f>
        <v>1.0130116959064328E-2</v>
      </c>
      <c r="Z85" s="49">
        <f>$N$2</f>
        <v>1.0828396339164925</v>
      </c>
      <c r="AB85" s="55">
        <f>SUM(Z85,V84,R82,N85,J91,F79)</f>
        <v>475.71325642068598</v>
      </c>
    </row>
    <row r="86" spans="7:29">
      <c r="G86" s="65"/>
      <c r="K86" s="63"/>
      <c r="O86" s="65"/>
      <c r="P86" s="1"/>
      <c r="Q86" s="1"/>
      <c r="R86" s="1"/>
      <c r="X86" s="17">
        <f>$E$1</f>
        <v>0.68333333333333335</v>
      </c>
      <c r="Y86" s="17">
        <f>X86*U87</f>
        <v>4.6754385964912284E-3</v>
      </c>
      <c r="Z86" s="49">
        <f>$N$1</f>
        <v>235.69094894251003</v>
      </c>
      <c r="AB86" s="55">
        <f>SUM(Z86,V87,R88,N85,J91,F79)</f>
        <v>710.32136572927948</v>
      </c>
    </row>
    <row r="87" spans="7:29">
      <c r="G87" s="65"/>
      <c r="K87" s="63"/>
      <c r="O87" s="65"/>
      <c r="R87" s="1"/>
      <c r="T87" s="17">
        <f>IF($J$1=0,$E$1,$E$2)</f>
        <v>0.31578947368421051</v>
      </c>
      <c r="U87" s="17">
        <f>T87*Q88</f>
        <v>6.842105263157895E-3</v>
      </c>
      <c r="V87" s="49">
        <f>$N$1</f>
        <v>235.69094894251003</v>
      </c>
      <c r="W87" s="42"/>
      <c r="X87" s="15"/>
      <c r="Y87" s="15"/>
      <c r="AB87" s="55"/>
      <c r="AC87" s="44"/>
    </row>
    <row r="88" spans="7:29">
      <c r="G88" s="65"/>
      <c r="K88" s="63"/>
      <c r="O88" s="65"/>
      <c r="P88" s="17">
        <f>1-P82</f>
        <v>0.31666666666666665</v>
      </c>
      <c r="Q88" s="17">
        <f>P88*M85</f>
        <v>2.1666666666666667E-2</v>
      </c>
      <c r="R88" s="49">
        <f>$N$2</f>
        <v>1.0828396339164925</v>
      </c>
      <c r="S88" s="42"/>
      <c r="T88" s="15"/>
      <c r="U88" s="15"/>
      <c r="W88" s="43"/>
      <c r="X88" s="17">
        <f>1-X86</f>
        <v>0.31666666666666665</v>
      </c>
      <c r="Y88" s="17">
        <f>X88*U87</f>
        <v>2.1666666666666666E-3</v>
      </c>
      <c r="Z88" s="49">
        <f>$N$2</f>
        <v>1.0828396339164925</v>
      </c>
      <c r="AB88" s="55">
        <f>SUM(Z88,V87,R88,N85,J91,F79)</f>
        <v>475.71325642068598</v>
      </c>
    </row>
    <row r="89" spans="7:29">
      <c r="G89" s="65"/>
      <c r="H89" s="1"/>
      <c r="I89" s="1"/>
      <c r="J89" s="1"/>
      <c r="K89" s="63"/>
      <c r="S89" s="65"/>
      <c r="X89" s="17">
        <f>IF($J$1=0,$E$1,$E$2)</f>
        <v>0.31578947368421051</v>
      </c>
      <c r="Y89" s="17">
        <f>X89*U90</f>
        <v>4.6814404432132962E-3</v>
      </c>
      <c r="Z89" s="49">
        <f>$N$1</f>
        <v>235.69094894251003</v>
      </c>
      <c r="AB89" s="55">
        <f>SUM(Z89,V90,R88,N85,J91,F79)</f>
        <v>475.71325642068598</v>
      </c>
      <c r="AC89" s="44"/>
    </row>
    <row r="90" spans="7:29">
      <c r="G90" s="65"/>
      <c r="J90" s="1"/>
      <c r="K90" s="63"/>
      <c r="S90" s="65"/>
      <c r="T90" s="17">
        <f>1-T87</f>
        <v>0.68421052631578949</v>
      </c>
      <c r="U90" s="17">
        <f>T90*Q88</f>
        <v>1.4824561403508773E-2</v>
      </c>
      <c r="V90" s="49">
        <f>$N$2</f>
        <v>1.0828396339164925</v>
      </c>
      <c r="W90" s="42"/>
      <c r="X90" s="15"/>
      <c r="Y90" s="15"/>
      <c r="AB90" s="55"/>
    </row>
    <row r="91" spans="7:29">
      <c r="G91" s="65"/>
      <c r="H91" s="17">
        <f>1-H67</f>
        <v>0.68421052631578949</v>
      </c>
      <c r="I91" s="17">
        <f>H91*E79</f>
        <v>0.21666666666666667</v>
      </c>
      <c r="J91" s="49">
        <f>$N$2</f>
        <v>1.0828396339164925</v>
      </c>
      <c r="K91" s="63"/>
      <c r="P91" s="9"/>
      <c r="Q91" s="9"/>
      <c r="R91" s="9"/>
      <c r="S91" s="8"/>
      <c r="T91" s="8"/>
      <c r="U91" s="8"/>
      <c r="V91" s="8"/>
      <c r="W91" s="43"/>
      <c r="X91" s="17">
        <f>1-X89</f>
        <v>0.68421052631578949</v>
      </c>
      <c r="Y91" s="17">
        <f>X91*U90</f>
        <v>1.0143120960295477E-2</v>
      </c>
      <c r="Z91" s="49">
        <f>$N$2</f>
        <v>1.0828396339164925</v>
      </c>
      <c r="AB91" s="55">
        <f>SUM(Z91,V90,R88,N85,J91,F79)</f>
        <v>241.10514711209248</v>
      </c>
    </row>
    <row r="92" spans="7:29">
      <c r="H92" s="15"/>
      <c r="I92" s="15"/>
      <c r="K92" s="65"/>
      <c r="P92" s="1"/>
      <c r="Q92" s="1"/>
      <c r="R92" s="1"/>
      <c r="X92" s="17">
        <f>$E$1</f>
        <v>0.68333333333333335</v>
      </c>
      <c r="Y92" s="17">
        <f>X92*U93</f>
        <v>2.1859726069559864E-2</v>
      </c>
      <c r="Z92" s="49">
        <f>$N$1</f>
        <v>235.69094894251003</v>
      </c>
      <c r="AB92" s="55">
        <f>SUM(Z92,V93,R94,N97,J91,F79)</f>
        <v>710.32136572927959</v>
      </c>
    </row>
    <row r="93" spans="7:29">
      <c r="H93" s="15"/>
      <c r="I93" s="15"/>
      <c r="K93" s="65"/>
      <c r="R93" s="1"/>
      <c r="T93" s="17">
        <f>$E$1</f>
        <v>0.68333333333333335</v>
      </c>
      <c r="U93" s="17">
        <f>T93*Q94</f>
        <v>3.198984302862419E-2</v>
      </c>
      <c r="V93" s="49">
        <f>$N$1</f>
        <v>235.69094894251003</v>
      </c>
      <c r="W93" s="42"/>
      <c r="X93" s="15"/>
      <c r="Y93" s="15"/>
      <c r="AB93" s="55"/>
      <c r="AC93" s="44"/>
    </row>
    <row r="94" spans="7:29">
      <c r="H94" s="8"/>
      <c r="I94" s="8"/>
      <c r="J94" s="8"/>
      <c r="K94" s="65"/>
      <c r="P94" s="17">
        <f>IF($J$1=0,$E$1,$E$2)</f>
        <v>0.31578947368421051</v>
      </c>
      <c r="Q94" s="17">
        <f>P94*M97</f>
        <v>4.6814404432132965E-2</v>
      </c>
      <c r="R94" s="49">
        <f>$N$1</f>
        <v>235.69094894251003</v>
      </c>
      <c r="S94" s="42"/>
      <c r="T94" s="15"/>
      <c r="U94" s="15"/>
      <c r="W94" s="43"/>
      <c r="X94" s="17">
        <f>1-X92</f>
        <v>0.31666666666666665</v>
      </c>
      <c r="Y94" s="17">
        <f>X94*U93</f>
        <v>1.0130116959064326E-2</v>
      </c>
      <c r="Z94" s="49">
        <f>$N$2</f>
        <v>1.0828396339164925</v>
      </c>
      <c r="AB94" s="55">
        <f>SUM(Z94,V93,R94,N97,J91,F79)</f>
        <v>475.71325642068598</v>
      </c>
    </row>
    <row r="95" spans="7:29">
      <c r="H95" s="50"/>
      <c r="I95" s="50"/>
      <c r="J95" s="51"/>
      <c r="K95" s="65"/>
      <c r="L95" s="1"/>
      <c r="M95" s="1"/>
      <c r="N95" s="1"/>
      <c r="O95" s="63"/>
      <c r="S95" s="65"/>
      <c r="X95" s="17">
        <f>IF($J$1=0,$E$1,$E$2)</f>
        <v>0.31578947368421051</v>
      </c>
      <c r="Y95" s="17">
        <f>X95*U96</f>
        <v>4.6814404432132962E-3</v>
      </c>
      <c r="Z95" s="49">
        <f>$N$1</f>
        <v>235.69094894251003</v>
      </c>
      <c r="AB95" s="55">
        <f>SUM(Z95,V96,R94,N97,J91,F79)</f>
        <v>475.71325642068598</v>
      </c>
      <c r="AC95" s="44"/>
    </row>
    <row r="96" spans="7:29">
      <c r="H96" s="50"/>
      <c r="I96" s="8"/>
      <c r="J96" s="8"/>
      <c r="K96" s="65"/>
      <c r="N96" s="1"/>
      <c r="O96" s="63"/>
      <c r="S96" s="65"/>
      <c r="T96" s="17">
        <f>1-T93</f>
        <v>0.31666666666666665</v>
      </c>
      <c r="U96" s="17">
        <f>T96*Q94</f>
        <v>1.4824561403508772E-2</v>
      </c>
      <c r="V96" s="49">
        <f>$N$2</f>
        <v>1.0828396339164925</v>
      </c>
      <c r="W96" s="42"/>
      <c r="X96" s="15"/>
      <c r="Y96" s="15"/>
      <c r="AB96" s="55"/>
    </row>
    <row r="97" spans="4:29">
      <c r="H97" s="50"/>
      <c r="I97" s="50"/>
      <c r="J97" s="51"/>
      <c r="K97" s="65"/>
      <c r="L97" s="17">
        <f>1-L85</f>
        <v>0.68421052631578949</v>
      </c>
      <c r="M97" s="17">
        <f>L97*I91</f>
        <v>0.14824561403508774</v>
      </c>
      <c r="N97" s="49">
        <f>$N$2</f>
        <v>1.0828396339164925</v>
      </c>
      <c r="O97" s="63"/>
      <c r="W97" s="43"/>
      <c r="X97" s="17">
        <f>1-X95</f>
        <v>0.68421052631578949</v>
      </c>
      <c r="Y97" s="17">
        <f>X97*U96</f>
        <v>1.0143120960295475E-2</v>
      </c>
      <c r="Z97" s="49">
        <f>$N$2</f>
        <v>1.0828396339164925</v>
      </c>
      <c r="AB97" s="55">
        <f>SUM(Z97,V96,R94,N97,J91,F79)</f>
        <v>241.10514711209248</v>
      </c>
    </row>
    <row r="98" spans="4:29">
      <c r="H98" s="50"/>
      <c r="I98" s="50"/>
      <c r="J98" s="8"/>
      <c r="O98" s="65"/>
      <c r="P98" s="1"/>
      <c r="Q98" s="1"/>
      <c r="R98" s="1"/>
      <c r="X98" s="17">
        <f>$E$1</f>
        <v>0.68333333333333335</v>
      </c>
      <c r="Y98" s="17">
        <f>X98*U99</f>
        <v>2.1887787335374449E-2</v>
      </c>
      <c r="Z98" s="49">
        <f>$N$1</f>
        <v>235.69094894251003</v>
      </c>
      <c r="AB98" s="55">
        <f>SUM(Z98,V99,R100,N97,J91,F79)</f>
        <v>475.71325642068598</v>
      </c>
    </row>
    <row r="99" spans="4:29">
      <c r="H99" s="50"/>
      <c r="I99" s="50"/>
      <c r="J99" s="51"/>
      <c r="O99" s="65"/>
      <c r="R99" s="1"/>
      <c r="T99" s="17">
        <f>IF($J$1=0,$E$1,$E$2)</f>
        <v>0.31578947368421051</v>
      </c>
      <c r="U99" s="17">
        <f>T99*Q100</f>
        <v>3.2030908295669923E-2</v>
      </c>
      <c r="V99" s="49">
        <f>$N$1</f>
        <v>235.69094894251003</v>
      </c>
      <c r="W99" s="42"/>
      <c r="X99" s="15"/>
      <c r="Y99" s="15"/>
      <c r="AB99" s="55"/>
      <c r="AC99" s="44"/>
    </row>
    <row r="100" spans="4:29">
      <c r="H100" s="8"/>
      <c r="I100" s="50"/>
      <c r="J100" s="8"/>
      <c r="O100" s="65"/>
      <c r="P100" s="17">
        <f>L97</f>
        <v>0.68421052631578949</v>
      </c>
      <c r="Q100" s="17">
        <f>P100*M97</f>
        <v>0.10143120960295476</v>
      </c>
      <c r="R100" s="49">
        <f>$N$2</f>
        <v>1.0828396339164925</v>
      </c>
      <c r="S100" s="42"/>
      <c r="T100" s="15"/>
      <c r="U100" s="15"/>
      <c r="W100" s="43"/>
      <c r="X100" s="17">
        <f>1-X98</f>
        <v>0.31666666666666665</v>
      </c>
      <c r="Y100" s="17">
        <f>X100*U99</f>
        <v>1.0143120960295475E-2</v>
      </c>
      <c r="Z100" s="49">
        <f>$N$2</f>
        <v>1.0828396339164925</v>
      </c>
      <c r="AB100" s="55">
        <f>SUM(Z100,V99,R100,N97,J91,F79)</f>
        <v>241.10514711209242</v>
      </c>
    </row>
    <row r="101" spans="4:29">
      <c r="H101" s="8"/>
      <c r="I101" s="50"/>
      <c r="J101" s="8"/>
      <c r="S101" s="65"/>
      <c r="X101" s="17">
        <f>IF($J$1=0,$E$1,$E$2)</f>
        <v>0.31578947368421051</v>
      </c>
      <c r="Y101" s="17">
        <f>X101*U102</f>
        <v>2.1915884623353105E-2</v>
      </c>
      <c r="Z101" s="49">
        <f>$N$1</f>
        <v>235.69094894251003</v>
      </c>
      <c r="AB101" s="55">
        <f>SUM(Z101,V102,R100,N97,J91,F79)</f>
        <v>241.10514711209242</v>
      </c>
      <c r="AC101" s="44"/>
    </row>
    <row r="102" spans="4:29">
      <c r="S102" s="65"/>
      <c r="T102" s="17">
        <f>1-T99</f>
        <v>0.68421052631578949</v>
      </c>
      <c r="U102" s="17">
        <f>T102*Q100</f>
        <v>6.9400301307284834E-2</v>
      </c>
      <c r="V102" s="49">
        <f>$N$2</f>
        <v>1.0828396339164925</v>
      </c>
      <c r="W102" s="42"/>
      <c r="X102" s="15"/>
      <c r="Y102" s="15"/>
      <c r="AB102" s="55"/>
    </row>
    <row r="103" spans="4:29">
      <c r="W103" s="43"/>
      <c r="X103" s="17">
        <f>1-X101</f>
        <v>0.68421052631578949</v>
      </c>
      <c r="Y103" s="17">
        <f>X103*U102</f>
        <v>4.7484416683931732E-2</v>
      </c>
      <c r="Z103" s="49">
        <f>$N$2</f>
        <v>1.0828396339164925</v>
      </c>
      <c r="AB103" s="55">
        <f>SUM(Z103,V102,R100,N97,J91,F79)</f>
        <v>6.4970378034989551</v>
      </c>
    </row>
    <row r="104" spans="4:29">
      <c r="AC104" s="44"/>
    </row>
    <row r="105" spans="4:29">
      <c r="D105" t="s">
        <v>74</v>
      </c>
      <c r="E105" s="15">
        <f>SUM(E9:E101)</f>
        <v>1</v>
      </c>
      <c r="I105" s="15">
        <f>SUM(I9:I101)</f>
        <v>1</v>
      </c>
      <c r="M105" s="15">
        <f>SUM(M9:M101)</f>
        <v>1</v>
      </c>
      <c r="Q105" s="15">
        <f>SUM(Q9:Q101)</f>
        <v>1</v>
      </c>
      <c r="U105" s="15">
        <f>SUM(U9:U102)</f>
        <v>0.99999999999999956</v>
      </c>
      <c r="Y105" s="15">
        <f>SUM(Y8:Y103)</f>
        <v>0.99999999999999944</v>
      </c>
    </row>
    <row r="106" spans="4:29">
      <c r="D106" t="s">
        <v>75</v>
      </c>
    </row>
    <row r="107" spans="4:29">
      <c r="E107" s="58">
        <f>E31*F31+E79*F79</f>
        <v>161.39838099478874</v>
      </c>
      <c r="F107" s="58"/>
      <c r="G107" s="58"/>
      <c r="H107" s="58"/>
      <c r="I107" s="58">
        <f>SUM(F31,J19)*I19+SUM(F31,J43)*I43+SUM(F79,J67)*I67+SUM(F79,J91)*I91</f>
        <v>295.49098482282727</v>
      </c>
      <c r="J107" s="58"/>
      <c r="K107" s="58"/>
      <c r="L107" s="58"/>
      <c r="M107" s="58">
        <f>SUM(F31,J19,N13)*M13+SUM(F31,J19,N25)*M25+SUM(F31,J43,N37)*M37+SUM(F31,J43,N49)*M49+SUM(F79,J67,N61)*M61+SUM(F79,J67,N73)*M73+SUM(F79,J91,N85)*M85+SUM(F79,J91,N97)*M97</f>
        <v>419.54751792027957</v>
      </c>
      <c r="N107" s="58"/>
      <c r="O107" s="58"/>
      <c r="P107" s="58"/>
      <c r="Q107" s="58">
        <f>SUM($F$31,$J$19,$N$13,$R$10)*Q10+SUM($F$31,$J$19,$N$13,$R$16)*Q16+SUM($F$31,$J$19,$N$25,$R$22)*Q22+SUM($F$31,$J$19,$N$25,$R$28)*Q28+SUM($F$31,$J$43,$N$37,$R$34)*Q34+SUM($F$31,$J$43,$N$37,$R$40)*Q40+SUM($F$31,$J$43,$N$49,$R$46)*Q46+SUM($F$31,$J$43,$N$49,$R$52)*Q52+SUM($F$79,$J$67,$N$61,$R$58)*Q58+SUM($F$79,$J$67,$N$61,$R$64)*Q64+SUM($F$79,$J$67,$N$73,$R$70)*Q70+SUM($F$79,$J$67,$N$73,$R$76)*Q76+SUM($F$79,$J$91,$N$85,$R$82)*Q82+SUM($F$79,$J$91,$N$85,$R$88)*Q88+SUM($F$79,$J$91,$N$97,$R$94)*Q94+SUM($F$79,$J$91,$N$97,$R$100)*Q100</f>
        <v>539.91535484570068</v>
      </c>
      <c r="R107" s="58"/>
      <c r="S107" s="58"/>
      <c r="T107" s="58"/>
      <c r="U107" s="58">
        <f>SUM($F$31,$J$19,$N$13,$R$10,V9)*U9+SUM($F$31,$J$19,$N$13,$R$16,V15)*U15+SUM($F$31,$J$19,$N$25,$R$22,V21)*U21+SUM($F$31,$J$19,$N$25,$R$28,V27)*U27+SUM($F$31,$J$43,$N$37,$R$34,V33)*U33+SUM($F$31,$J$43,$N$37,$R$40,V39)*U39+SUM($F$31,$J$43,$N$49,$R$46,V45)*U45+SUM($F$31,$J$43,$N$49,$R$52,V51)*U51+SUM($F$79,$J$67,$N$61,$R$58,V57)*U57+SUM($F$79,$J$67,$N$61,$R$64,V63)*U63+SUM($F$79,$J$67,$N$73,$R$70,V69)*U69+SUM($F$79,$J$67,$N$73,$R$76,V75)*U75+SUM($F$79,$J$91,$N$85,$R$82,V81)*U81+SUM($F$79,$J$91,$N$85,$R$88,V87)*U87+SUM($F$79,$J$91,$N$97,$R$94,V93)*U93+SUM($F$79,$J$91,$N$97,$R$100,V99)*U99+SUM($F$31,$J$19,$N$13,$R$10,V12)*U12+SUM($F$31,$J$19,$N$13,$R$16,V18)*U18+SUM($F$31,$J$19,$N$25,$R$22,V24)*U24+SUM($F$31,$J$19,$N$25,$R$28,V30)*U30+SUM($F$31,$J$43,$N$37,$R$34,V36)*U36+SUM($F$31,$J$43,$N$37,$R$40,V42)*U42+SUM($F$31,$J$43,$N$49,$R$46,V48)*U48+SUM($F$31,$J$43,$N$49,$R$52,V54)*U54+SUM($F$79,$J$67,$N$61,$R$58,V60)*U60+SUM($F$79,$J$67,$N$61,$R$64,V66)*U66+SUM($F$79,$J$67,$N$73,$R$70,V72)*U72+SUM($F$79,$J$67,$N$73,$R$76,V78)*U78+SUM($F$79,$J$91,$N$85,$R$82,V84)*U84+SUM($F$79,$J$91,$N$85,$R$88,V90)*U90+SUM($F$79,$J$91,$N$97,$R$94,V96)*U96+SUM($F$79,$J$91,$N$97,$R$100,V102)*U102</f>
        <v>658.9274341429807</v>
      </c>
      <c r="V107" s="58"/>
      <c r="W107" s="58"/>
      <c r="X107" s="58"/>
      <c r="Y107" s="58">
        <f>SUMPRODUCT(Y8:Y103,AB8:AB103)</f>
        <v>777.44121304886448</v>
      </c>
    </row>
    <row r="108" spans="4:29">
      <c r="E108" s="58">
        <f>E107/1</f>
        <v>161.39838099478874</v>
      </c>
      <c r="F108" s="58"/>
      <c r="G108" s="58"/>
      <c r="H108" s="58"/>
      <c r="I108" s="58">
        <f>I107/2</f>
        <v>147.74549241141364</v>
      </c>
      <c r="J108" s="58"/>
      <c r="K108" s="58"/>
      <c r="L108" s="58"/>
      <c r="M108" s="58">
        <f>M107/3</f>
        <v>139.8491726400932</v>
      </c>
      <c r="N108" s="58"/>
      <c r="O108" s="58"/>
      <c r="P108" s="58"/>
      <c r="Q108" s="58">
        <f>Q107/4</f>
        <v>134.97883871142517</v>
      </c>
      <c r="R108" s="58"/>
      <c r="S108" s="58"/>
      <c r="T108" s="58"/>
      <c r="U108" s="58">
        <f>U107/5</f>
        <v>131.78548682859613</v>
      </c>
      <c r="V108" s="58"/>
      <c r="W108" s="58"/>
      <c r="X108" s="58"/>
      <c r="Y108" s="58">
        <f>Y107/6</f>
        <v>129.57353550814409</v>
      </c>
    </row>
  </sheetData>
  <mergeCells count="48">
    <mergeCell ref="K92:K97"/>
    <mergeCell ref="O95:O97"/>
    <mergeCell ref="S95:S96"/>
    <mergeCell ref="O98:O100"/>
    <mergeCell ref="S101:S102"/>
    <mergeCell ref="G80:G91"/>
    <mergeCell ref="O83:O85"/>
    <mergeCell ref="S83:S84"/>
    <mergeCell ref="K86:K91"/>
    <mergeCell ref="O86:O88"/>
    <mergeCell ref="S89:S90"/>
    <mergeCell ref="O50:O52"/>
    <mergeCell ref="S53:S54"/>
    <mergeCell ref="B54:B55"/>
    <mergeCell ref="C54:C55"/>
    <mergeCell ref="D55:D79"/>
    <mergeCell ref="O59:O61"/>
    <mergeCell ref="S59:S60"/>
    <mergeCell ref="K62:K67"/>
    <mergeCell ref="O62:O64"/>
    <mergeCell ref="S65:S66"/>
    <mergeCell ref="G68:G79"/>
    <mergeCell ref="K68:K73"/>
    <mergeCell ref="O71:O73"/>
    <mergeCell ref="S71:S72"/>
    <mergeCell ref="O74:O76"/>
    <mergeCell ref="S77:S78"/>
    <mergeCell ref="S29:S30"/>
    <mergeCell ref="D32:D54"/>
    <mergeCell ref="G32:G43"/>
    <mergeCell ref="O35:O37"/>
    <mergeCell ref="S35:S36"/>
    <mergeCell ref="K38:K43"/>
    <mergeCell ref="O38:O40"/>
    <mergeCell ref="S41:S42"/>
    <mergeCell ref="K44:K49"/>
    <mergeCell ref="O47:O49"/>
    <mergeCell ref="G20:G31"/>
    <mergeCell ref="K20:K25"/>
    <mergeCell ref="O23:O25"/>
    <mergeCell ref="S23:S24"/>
    <mergeCell ref="O26:O28"/>
    <mergeCell ref="S47:S48"/>
    <mergeCell ref="O11:O13"/>
    <mergeCell ref="S11:S12"/>
    <mergeCell ref="K14:K19"/>
    <mergeCell ref="O14:O16"/>
    <mergeCell ref="S17:S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Baseline</vt:lpstr>
      <vt:lpstr>Scenario_I</vt:lpstr>
    </vt:vector>
  </TitlesOfParts>
  <Company>Univeristy of Texas at Austin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Cockrell School of Engineering</dc:creator>
  <cp:lastModifiedBy>Cockrell School of Engineering</cp:lastModifiedBy>
  <dcterms:created xsi:type="dcterms:W3CDTF">2011-06-20T19:19:11Z</dcterms:created>
  <dcterms:modified xsi:type="dcterms:W3CDTF">2011-06-25T23:08:53Z</dcterms:modified>
</cp:coreProperties>
</file>