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enovo_X220t\Samuel\River Projects\Risk_Reliab_Resil_Vuln Research\Spreadsheet\"/>
    </mc:Choice>
  </mc:AlternateContent>
  <bookViews>
    <workbookView xWindow="2025" yWindow="15" windowWidth="12840" windowHeight="6840" activeTab="5"/>
  </bookViews>
  <sheets>
    <sheet name="Sheet1" sheetId="1" r:id="rId1"/>
    <sheet name="Baseline" sheetId="5" r:id="rId2"/>
    <sheet name="Baseline (2)" sheetId="7" r:id="rId3"/>
    <sheet name="Scenario_I" sheetId="6" r:id="rId4"/>
    <sheet name="12 Years Exercise" sheetId="8" r:id="rId5"/>
    <sheet name="20Y Analysis " sheetId="9" r:id="rId6"/>
  </sheets>
  <calcPr calcId="162913"/>
</workbook>
</file>

<file path=xl/calcChain.xml><?xml version="1.0" encoding="utf-8"?>
<calcChain xmlns="http://schemas.openxmlformats.org/spreadsheetml/2006/main">
  <c r="D12" i="9" l="1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F13" i="8"/>
  <c r="F14" i="8"/>
  <c r="F15" i="8"/>
  <c r="F16" i="8"/>
  <c r="F17" i="8"/>
  <c r="F18" i="8"/>
  <c r="F19" i="8"/>
  <c r="F20" i="8"/>
  <c r="F21" i="8"/>
  <c r="F22" i="8"/>
  <c r="F12" i="8"/>
  <c r="E23" i="8"/>
  <c r="E13" i="8"/>
  <c r="E14" i="8"/>
  <c r="E15" i="8"/>
  <c r="E16" i="8"/>
  <c r="E17" i="8"/>
  <c r="E18" i="8"/>
  <c r="E19" i="8"/>
  <c r="E20" i="8"/>
  <c r="E21" i="8"/>
  <c r="E22" i="8"/>
  <c r="E12" i="8"/>
  <c r="D24" i="8"/>
  <c r="D23" i="8"/>
  <c r="D25" i="8"/>
  <c r="F25" i="9" l="1"/>
  <c r="E21" i="9"/>
  <c r="E17" i="9"/>
  <c r="E23" i="9"/>
  <c r="E19" i="9"/>
  <c r="F22" i="9"/>
  <c r="E22" i="9"/>
  <c r="E18" i="9"/>
  <c r="F18" i="9"/>
  <c r="F23" i="9"/>
  <c r="F21" i="9"/>
  <c r="F19" i="9"/>
  <c r="F17" i="9"/>
  <c r="F24" i="9"/>
  <c r="F20" i="9"/>
  <c r="E24" i="9"/>
  <c r="E20" i="9"/>
  <c r="F13" i="9"/>
  <c r="D33" i="9"/>
  <c r="F16" i="9"/>
  <c r="E13" i="9"/>
  <c r="F28" i="9"/>
  <c r="F30" i="9"/>
  <c r="E25" i="9"/>
  <c r="F29" i="9"/>
  <c r="F26" i="9"/>
  <c r="F14" i="9"/>
  <c r="E29" i="9"/>
  <c r="E15" i="9"/>
  <c r="E27" i="9"/>
  <c r="F27" i="9"/>
  <c r="E14" i="9"/>
  <c r="E26" i="9"/>
  <c r="E30" i="9"/>
  <c r="F15" i="9"/>
  <c r="E16" i="9"/>
  <c r="E28" i="9"/>
  <c r="F12" i="9"/>
  <c r="D32" i="9"/>
  <c r="D34" i="9" s="1"/>
  <c r="D31" i="9"/>
  <c r="E12" i="9"/>
  <c r="F23" i="8"/>
  <c r="M40" i="5"/>
  <c r="N31" i="1"/>
  <c r="N116" i="5"/>
  <c r="N117" i="5" s="1"/>
  <c r="H122" i="5"/>
  <c r="H121" i="5"/>
  <c r="H120" i="5"/>
  <c r="I122" i="5"/>
  <c r="I121" i="5"/>
  <c r="I120" i="5"/>
  <c r="I117" i="5"/>
  <c r="AB104" i="7"/>
  <c r="AB106" i="7" s="1"/>
  <c r="W102" i="7"/>
  <c r="W105" i="7" s="1"/>
  <c r="AB98" i="7"/>
  <c r="AB100" i="7" s="1"/>
  <c r="R97" i="7"/>
  <c r="AB92" i="7"/>
  <c r="AB94" i="7" s="1"/>
  <c r="W90" i="7"/>
  <c r="W93" i="7" s="1"/>
  <c r="M88" i="7"/>
  <c r="M100" i="7" s="1"/>
  <c r="AB86" i="7"/>
  <c r="AB88" i="7" s="1"/>
  <c r="AB80" i="7"/>
  <c r="AB82" i="7" s="1"/>
  <c r="W78" i="7"/>
  <c r="W81" i="7" s="1"/>
  <c r="AB74" i="7"/>
  <c r="AB76" i="7" s="1"/>
  <c r="R73" i="7"/>
  <c r="R79" i="7" s="1"/>
  <c r="H70" i="7"/>
  <c r="H94" i="7" s="1"/>
  <c r="AB68" i="7"/>
  <c r="AB70" i="7" s="1"/>
  <c r="W66" i="7"/>
  <c r="W69" i="7" s="1"/>
  <c r="AB62" i="7"/>
  <c r="AB64" i="7" s="1"/>
  <c r="AM60" i="7"/>
  <c r="AB56" i="7"/>
  <c r="W54" i="7"/>
  <c r="W57" i="7" s="1"/>
  <c r="AB50" i="7"/>
  <c r="R49" i="7"/>
  <c r="AB44" i="7"/>
  <c r="AB46" i="7" s="1"/>
  <c r="W42" i="7"/>
  <c r="W45" i="7" s="1"/>
  <c r="M40" i="7"/>
  <c r="M52" i="7" s="1"/>
  <c r="AB38" i="7"/>
  <c r="AB40" i="7" s="1"/>
  <c r="AB32" i="7"/>
  <c r="AB34" i="7" s="1"/>
  <c r="W30" i="7"/>
  <c r="W33" i="7" s="1"/>
  <c r="AB29" i="7"/>
  <c r="AB31" i="7" s="1"/>
  <c r="AB26" i="7"/>
  <c r="AB28" i="7" s="1"/>
  <c r="R25" i="7"/>
  <c r="R31" i="7" s="1"/>
  <c r="AK22" i="7"/>
  <c r="AL22" i="7" s="1"/>
  <c r="AK23" i="7" s="1"/>
  <c r="AB20" i="7"/>
  <c r="AB22" i="7" s="1"/>
  <c r="W18" i="7"/>
  <c r="W21" i="7" s="1"/>
  <c r="AB14" i="7"/>
  <c r="AB16" i="7" s="1"/>
  <c r="AK4" i="7"/>
  <c r="AI4" i="7"/>
  <c r="AA2" i="7"/>
  <c r="U2" i="7"/>
  <c r="X2" i="7" s="1"/>
  <c r="X1" i="7" s="1"/>
  <c r="E2" i="7"/>
  <c r="E2" i="5"/>
  <c r="AK4" i="5"/>
  <c r="AI4" i="5"/>
  <c r="F31" i="9" l="1"/>
  <c r="D36" i="9" s="1"/>
  <c r="E31" i="9"/>
  <c r="D35" i="9" s="1"/>
  <c r="L120" i="5"/>
  <c r="AL23" i="7"/>
  <c r="AK24" i="7" s="1"/>
  <c r="AL24" i="7" s="1"/>
  <c r="AK25" i="7" s="1"/>
  <c r="AL25" i="7" s="1"/>
  <c r="AK26" i="7" s="1"/>
  <c r="AL26" i="7" s="1"/>
  <c r="AK27" i="7" s="1"/>
  <c r="AL27" i="7" s="1"/>
  <c r="AK28" i="7" s="1"/>
  <c r="AL28" i="7" s="1"/>
  <c r="AK29" i="7" s="1"/>
  <c r="AL29" i="7" s="1"/>
  <c r="AK30" i="7" s="1"/>
  <c r="AL30" i="7" s="1"/>
  <c r="AK31" i="7" s="1"/>
  <c r="AL31" i="7" s="1"/>
  <c r="AK32" i="7" s="1"/>
  <c r="AL32" i="7" s="1"/>
  <c r="AK33" i="7" s="1"/>
  <c r="AL33" i="7" s="1"/>
  <c r="AK34" i="7" s="1"/>
  <c r="AL34" i="7" s="1"/>
  <c r="AK35" i="7" s="1"/>
  <c r="AL35" i="7" s="1"/>
  <c r="AK36" i="7" s="1"/>
  <c r="AL36" i="7" s="1"/>
  <c r="AK37" i="7" s="1"/>
  <c r="AL37" i="7" s="1"/>
  <c r="AB101" i="7"/>
  <c r="AB95" i="7"/>
  <c r="AB89" i="7"/>
  <c r="AB83" i="7"/>
  <c r="AB77" i="7"/>
  <c r="AB71" i="7"/>
  <c r="AB65" i="7"/>
  <c r="W96" i="7"/>
  <c r="R85" i="7"/>
  <c r="W84" i="7"/>
  <c r="W72" i="7"/>
  <c r="M64" i="7"/>
  <c r="R61" i="7"/>
  <c r="AB59" i="7"/>
  <c r="AB47" i="7"/>
  <c r="AB41" i="7"/>
  <c r="AB52" i="7"/>
  <c r="AB58" i="7"/>
  <c r="R103" i="7"/>
  <c r="AB11" i="7"/>
  <c r="AB17" i="7"/>
  <c r="AB23" i="7"/>
  <c r="AB35" i="7"/>
  <c r="W60" i="7"/>
  <c r="R55" i="7"/>
  <c r="W12" i="7"/>
  <c r="R13" i="7"/>
  <c r="M16" i="7"/>
  <c r="H22" i="7"/>
  <c r="W24" i="7"/>
  <c r="E34" i="7"/>
  <c r="W36" i="7"/>
  <c r="R37" i="7"/>
  <c r="W48" i="7"/>
  <c r="AB53" i="7"/>
  <c r="AK22" i="5"/>
  <c r="AL22" i="5" s="1"/>
  <c r="AK23" i="5" s="1"/>
  <c r="AL23" i="5" s="1"/>
  <c r="AK24" i="5" s="1"/>
  <c r="AL24" i="5" s="1"/>
  <c r="AK25" i="5" s="1"/>
  <c r="AL25" i="5" s="1"/>
  <c r="AK26" i="5" s="1"/>
  <c r="AL26" i="5" s="1"/>
  <c r="AK27" i="5" s="1"/>
  <c r="AL27" i="5" s="1"/>
  <c r="AK28" i="5" s="1"/>
  <c r="AL28" i="5" s="1"/>
  <c r="AK29" i="5" s="1"/>
  <c r="AL29" i="5" s="1"/>
  <c r="AK30" i="5" s="1"/>
  <c r="AL30" i="5" s="1"/>
  <c r="AK31" i="5" s="1"/>
  <c r="AL31" i="5" s="1"/>
  <c r="AK32" i="5" s="1"/>
  <c r="AL32" i="5" s="1"/>
  <c r="AK33" i="5" s="1"/>
  <c r="AL33" i="5" s="1"/>
  <c r="AK34" i="5" s="1"/>
  <c r="AL34" i="5" s="1"/>
  <c r="AK35" i="5" s="1"/>
  <c r="AL35" i="5" s="1"/>
  <c r="AK36" i="5" s="1"/>
  <c r="AL36" i="5" s="1"/>
  <c r="AK37" i="5" s="1"/>
  <c r="AL37" i="5" s="1"/>
  <c r="E2" i="6"/>
  <c r="AC5" i="6"/>
  <c r="AC4" i="6" s="1"/>
  <c r="C56" i="6" s="1"/>
  <c r="U2" i="5"/>
  <c r="I79" i="1"/>
  <c r="I81" i="1" s="1"/>
  <c r="I52" i="1"/>
  <c r="I54" i="1" s="1"/>
  <c r="I42" i="1"/>
  <c r="H42" i="1"/>
  <c r="I22" i="1"/>
  <c r="I23" i="1" s="1"/>
  <c r="P38" i="1" s="1"/>
  <c r="Q38" i="1" s="1"/>
  <c r="L75" i="1" s="1"/>
  <c r="N41" i="1"/>
  <c r="F38" i="1"/>
  <c r="E1" i="6" s="1"/>
  <c r="P82" i="6" s="1"/>
  <c r="K42" i="1"/>
  <c r="K38" i="1"/>
  <c r="L38" i="1" s="1"/>
  <c r="O38" i="1" s="1"/>
  <c r="K79" i="1" s="1"/>
  <c r="F42" i="1"/>
  <c r="K32" i="1"/>
  <c r="L32" i="1" s="1"/>
  <c r="K28" i="1"/>
  <c r="L28" i="1" s="1"/>
  <c r="O28" i="1" s="1"/>
  <c r="K52" i="1" s="1"/>
  <c r="F28" i="1"/>
  <c r="P94" i="6" l="1"/>
  <c r="F32" i="1"/>
  <c r="E1" i="7"/>
  <c r="E1" i="5"/>
  <c r="K48" i="1"/>
  <c r="K65" i="1"/>
  <c r="F49" i="1"/>
  <c r="K75" i="1"/>
  <c r="L79" i="1"/>
  <c r="F62" i="1"/>
  <c r="L121" i="5"/>
  <c r="F76" i="1"/>
  <c r="K61" i="1"/>
  <c r="N120" i="5"/>
  <c r="M120" i="5"/>
  <c r="W51" i="7"/>
  <c r="R43" i="7"/>
  <c r="W27" i="7"/>
  <c r="H46" i="7"/>
  <c r="I46" i="7" s="1"/>
  <c r="I22" i="7"/>
  <c r="N16" i="7" s="1"/>
  <c r="S13" i="7" s="1"/>
  <c r="W15" i="7"/>
  <c r="W63" i="7"/>
  <c r="AB37" i="7"/>
  <c r="AB25" i="7"/>
  <c r="AB13" i="7"/>
  <c r="AB49" i="7"/>
  <c r="R67" i="7"/>
  <c r="W75" i="7"/>
  <c r="R91" i="7"/>
  <c r="AB67" i="7"/>
  <c r="AB79" i="7"/>
  <c r="AB91" i="7"/>
  <c r="AB103" i="7"/>
  <c r="AB55" i="7"/>
  <c r="W39" i="7"/>
  <c r="E82" i="7"/>
  <c r="E108" i="7" s="1"/>
  <c r="M28" i="7"/>
  <c r="R19" i="7"/>
  <c r="AB19" i="7"/>
  <c r="AB43" i="7"/>
  <c r="AB61" i="7"/>
  <c r="M76" i="7"/>
  <c r="W87" i="7"/>
  <c r="W99" i="7"/>
  <c r="AB73" i="7"/>
  <c r="AB85" i="7"/>
  <c r="AB97" i="7"/>
  <c r="AB29" i="5"/>
  <c r="AB31" i="5" s="1"/>
  <c r="AB98" i="5"/>
  <c r="AB100" i="5" s="1"/>
  <c r="AB86" i="5"/>
  <c r="AB88" i="5" s="1"/>
  <c r="M88" i="5"/>
  <c r="AB74" i="5"/>
  <c r="AB76" i="5" s="1"/>
  <c r="AB62" i="5"/>
  <c r="AB64" i="5" s="1"/>
  <c r="W78" i="5"/>
  <c r="AB50" i="5"/>
  <c r="AB38" i="5"/>
  <c r="AB40" i="5" s="1"/>
  <c r="W42" i="5"/>
  <c r="AB20" i="5"/>
  <c r="AB22" i="5" s="1"/>
  <c r="AB32" i="5"/>
  <c r="W18" i="5"/>
  <c r="AA2" i="5"/>
  <c r="W90" i="5"/>
  <c r="H70" i="5"/>
  <c r="R97" i="5"/>
  <c r="AB104" i="5"/>
  <c r="AB106" i="5" s="1"/>
  <c r="AB92" i="5"/>
  <c r="AB94" i="5" s="1"/>
  <c r="W102" i="5"/>
  <c r="W105" i="5" s="1"/>
  <c r="AB80" i="5"/>
  <c r="AB82" i="5" s="1"/>
  <c r="AB68" i="5"/>
  <c r="AB70" i="5" s="1"/>
  <c r="W66" i="5"/>
  <c r="R73" i="5"/>
  <c r="R79" i="5" s="1"/>
  <c r="AB56" i="5"/>
  <c r="AB58" i="5" s="1"/>
  <c r="AB44" i="5"/>
  <c r="AB46" i="5" s="1"/>
  <c r="W54" i="5"/>
  <c r="R49" i="5"/>
  <c r="R55" i="5" s="1"/>
  <c r="AB14" i="5"/>
  <c r="AB26" i="5"/>
  <c r="W30" i="5"/>
  <c r="R25" i="5"/>
  <c r="R31" i="5" s="1"/>
  <c r="X2" i="5"/>
  <c r="X1" i="5" s="1"/>
  <c r="E34" i="5" s="1"/>
  <c r="P88" i="6"/>
  <c r="X8" i="6"/>
  <c r="T9" i="6"/>
  <c r="X11" i="6"/>
  <c r="X14" i="6"/>
  <c r="T15" i="6"/>
  <c r="X17" i="6"/>
  <c r="X20" i="6"/>
  <c r="T21" i="6"/>
  <c r="X23" i="6"/>
  <c r="X26" i="6"/>
  <c r="T27" i="6"/>
  <c r="X29" i="6"/>
  <c r="P34" i="6"/>
  <c r="L37" i="6"/>
  <c r="P46" i="6"/>
  <c r="P58" i="6"/>
  <c r="L61" i="6"/>
  <c r="H67" i="6"/>
  <c r="P70" i="6"/>
  <c r="X80" i="6"/>
  <c r="T81" i="6"/>
  <c r="X83" i="6"/>
  <c r="X86" i="6"/>
  <c r="T87" i="6"/>
  <c r="X89" i="6"/>
  <c r="X92" i="6"/>
  <c r="T93" i="6"/>
  <c r="X95" i="6"/>
  <c r="X98" i="6"/>
  <c r="T99" i="6"/>
  <c r="X101" i="6"/>
  <c r="P10" i="6"/>
  <c r="L13" i="6"/>
  <c r="H19" i="6"/>
  <c r="P22" i="6"/>
  <c r="E31" i="6"/>
  <c r="X32" i="6"/>
  <c r="T33" i="6"/>
  <c r="X35" i="6"/>
  <c r="X38" i="6"/>
  <c r="T39" i="6"/>
  <c r="X41" i="6"/>
  <c r="X44" i="6"/>
  <c r="T45" i="6"/>
  <c r="X47" i="6"/>
  <c r="X50" i="6"/>
  <c r="T51" i="6"/>
  <c r="X53" i="6"/>
  <c r="X56" i="6"/>
  <c r="T57" i="6"/>
  <c r="X59" i="6"/>
  <c r="X62" i="6"/>
  <c r="T63" i="6"/>
  <c r="X65" i="6"/>
  <c r="X68" i="6"/>
  <c r="T69" i="6"/>
  <c r="X71" i="6"/>
  <c r="X74" i="6"/>
  <c r="T75" i="6"/>
  <c r="X77" i="6"/>
  <c r="P28" i="1"/>
  <c r="R38" i="1"/>
  <c r="G38" i="1"/>
  <c r="G76" i="1" s="1"/>
  <c r="L42" i="1"/>
  <c r="N42" i="1"/>
  <c r="P42" i="1" s="1"/>
  <c r="Q42" i="1" s="1"/>
  <c r="N28" i="7" l="1"/>
  <c r="S31" i="7" s="1"/>
  <c r="Q28" i="1"/>
  <c r="N32" i="1"/>
  <c r="P32" i="1" s="1"/>
  <c r="L81" i="1"/>
  <c r="L77" i="1"/>
  <c r="M75" i="1"/>
  <c r="P75" i="1" s="1"/>
  <c r="N1" i="6"/>
  <c r="M79" i="1"/>
  <c r="N79" i="1" s="1"/>
  <c r="S19" i="7"/>
  <c r="X18" i="7" s="1"/>
  <c r="AC17" i="7" s="1"/>
  <c r="L122" i="5"/>
  <c r="N121" i="5"/>
  <c r="M121" i="5"/>
  <c r="F66" i="1"/>
  <c r="I63" i="1" s="1"/>
  <c r="I65" i="1"/>
  <c r="I61" i="1"/>
  <c r="F80" i="1"/>
  <c r="I75" i="1"/>
  <c r="I48" i="1"/>
  <c r="F53" i="1"/>
  <c r="I70" i="7"/>
  <c r="I94" i="7"/>
  <c r="N52" i="7"/>
  <c r="N40" i="7"/>
  <c r="S43" i="7" s="1"/>
  <c r="X15" i="7"/>
  <c r="X12" i="7"/>
  <c r="AC13" i="7" s="1"/>
  <c r="AB101" i="5"/>
  <c r="AB103" i="5" s="1"/>
  <c r="AB89" i="5"/>
  <c r="AB91" i="5" s="1"/>
  <c r="W96" i="5"/>
  <c r="W99" i="5" s="1"/>
  <c r="R85" i="5"/>
  <c r="R91" i="5" s="1"/>
  <c r="H22" i="5"/>
  <c r="AB77" i="5"/>
  <c r="AB79" i="5" s="1"/>
  <c r="AB65" i="5"/>
  <c r="AB67" i="5" s="1"/>
  <c r="W72" i="5"/>
  <c r="W75" i="5" s="1"/>
  <c r="R61" i="5"/>
  <c r="R67" i="5" s="1"/>
  <c r="AB53" i="5"/>
  <c r="AB55" i="5" s="1"/>
  <c r="AB41" i="5"/>
  <c r="AB43" i="5" s="1"/>
  <c r="W48" i="5"/>
  <c r="W51" i="5" s="1"/>
  <c r="R37" i="5"/>
  <c r="R43" i="5" s="1"/>
  <c r="AB23" i="5"/>
  <c r="AB25" i="5" s="1"/>
  <c r="AB11" i="5"/>
  <c r="AB13" i="5" s="1"/>
  <c r="R13" i="5"/>
  <c r="R19" i="5" s="1"/>
  <c r="AB17" i="5"/>
  <c r="AB19" i="5" s="1"/>
  <c r="AB95" i="5"/>
  <c r="AB97" i="5" s="1"/>
  <c r="AB83" i="5"/>
  <c r="AB85" i="5" s="1"/>
  <c r="W84" i="5"/>
  <c r="W87" i="5" s="1"/>
  <c r="AB71" i="5"/>
  <c r="AB73" i="5" s="1"/>
  <c r="AB59" i="5"/>
  <c r="AB61" i="5" s="1"/>
  <c r="W60" i="5"/>
  <c r="W63" i="5" s="1"/>
  <c r="M64" i="5"/>
  <c r="M76" i="5" s="1"/>
  <c r="AB47" i="5"/>
  <c r="AB49" i="5" s="1"/>
  <c r="AB35" i="5"/>
  <c r="AB37" i="5" s="1"/>
  <c r="W36" i="5"/>
  <c r="W39" i="5" s="1"/>
  <c r="W24" i="5"/>
  <c r="W27" i="5" s="1"/>
  <c r="W12" i="5"/>
  <c r="W15" i="5" s="1"/>
  <c r="M16" i="5"/>
  <c r="M28" i="5" s="1"/>
  <c r="X79" i="6"/>
  <c r="T72" i="6"/>
  <c r="X70" i="6"/>
  <c r="X67" i="6"/>
  <c r="T78" i="6"/>
  <c r="X76" i="6"/>
  <c r="X73" i="6"/>
  <c r="T66" i="6"/>
  <c r="X64" i="6"/>
  <c r="X61" i="6"/>
  <c r="X55" i="6"/>
  <c r="T48" i="6"/>
  <c r="X46" i="6"/>
  <c r="T42" i="6"/>
  <c r="X40" i="6"/>
  <c r="X37" i="6"/>
  <c r="L25" i="6"/>
  <c r="P16" i="6"/>
  <c r="T102" i="6"/>
  <c r="X100" i="6"/>
  <c r="X97" i="6"/>
  <c r="T90" i="6"/>
  <c r="X88" i="6"/>
  <c r="X85" i="6"/>
  <c r="P76" i="6"/>
  <c r="H91" i="6"/>
  <c r="L85" i="6"/>
  <c r="P52" i="6"/>
  <c r="L49" i="6"/>
  <c r="P40" i="6"/>
  <c r="T30" i="6"/>
  <c r="X25" i="6"/>
  <c r="X22" i="6"/>
  <c r="T18" i="6"/>
  <c r="X13" i="6"/>
  <c r="X10" i="6"/>
  <c r="T60" i="6"/>
  <c r="X58" i="6"/>
  <c r="T54" i="6"/>
  <c r="X52" i="6"/>
  <c r="X49" i="6"/>
  <c r="X43" i="6"/>
  <c r="T36" i="6"/>
  <c r="X34" i="6"/>
  <c r="E79" i="6"/>
  <c r="I67" i="6" s="1"/>
  <c r="M61" i="6" s="1"/>
  <c r="Q58" i="6" s="1"/>
  <c r="U57" i="6" s="1"/>
  <c r="Y56" i="6" s="1"/>
  <c r="P28" i="6"/>
  <c r="H43" i="6"/>
  <c r="I43" i="6" s="1"/>
  <c r="M37" i="6" s="1"/>
  <c r="Q34" i="6" s="1"/>
  <c r="U33" i="6" s="1"/>
  <c r="Y32" i="6" s="1"/>
  <c r="I19" i="6"/>
  <c r="X103" i="6"/>
  <c r="T96" i="6"/>
  <c r="X94" i="6"/>
  <c r="X91" i="6"/>
  <c r="T84" i="6"/>
  <c r="X82" i="6"/>
  <c r="L73" i="6"/>
  <c r="P64" i="6"/>
  <c r="X31" i="6"/>
  <c r="X28" i="6"/>
  <c r="T24" i="6"/>
  <c r="X19" i="6"/>
  <c r="X16" i="6"/>
  <c r="T12" i="6"/>
  <c r="AB28" i="5"/>
  <c r="AB34" i="5"/>
  <c r="AB52" i="5"/>
  <c r="AB16" i="5"/>
  <c r="W93" i="5"/>
  <c r="H94" i="5"/>
  <c r="M52" i="5"/>
  <c r="W33" i="5"/>
  <c r="W21" i="5"/>
  <c r="W81" i="5"/>
  <c r="W57" i="5"/>
  <c r="W45" i="5"/>
  <c r="E82" i="5"/>
  <c r="I70" i="5" s="1"/>
  <c r="O42" i="1"/>
  <c r="X21" i="7" l="1"/>
  <c r="AC20" i="7" s="1"/>
  <c r="S25" i="7"/>
  <c r="X24" i="7" s="1"/>
  <c r="AC23" i="7" s="1"/>
  <c r="I108" i="7"/>
  <c r="N76" i="7"/>
  <c r="S73" i="7" s="1"/>
  <c r="AC19" i="7"/>
  <c r="I94" i="5"/>
  <c r="I50" i="1"/>
  <c r="J52" i="1"/>
  <c r="J54" i="1"/>
  <c r="J61" i="1"/>
  <c r="J48" i="1"/>
  <c r="J65" i="1"/>
  <c r="I67" i="1"/>
  <c r="F31" i="6"/>
  <c r="Z23" i="6"/>
  <c r="V9" i="6"/>
  <c r="Z14" i="6"/>
  <c r="Z8" i="6"/>
  <c r="V27" i="6"/>
  <c r="Z29" i="6" s="1"/>
  <c r="V21" i="6"/>
  <c r="R94" i="6"/>
  <c r="Z11" i="6"/>
  <c r="Z26" i="6"/>
  <c r="N61" i="6"/>
  <c r="V81" i="6"/>
  <c r="Z89" i="6"/>
  <c r="Z92" i="6"/>
  <c r="R22" i="6"/>
  <c r="V33" i="6"/>
  <c r="Z47" i="6"/>
  <c r="Z50" i="6"/>
  <c r="Z56" i="6"/>
  <c r="V69" i="6"/>
  <c r="Z77" i="6"/>
  <c r="N85" i="6"/>
  <c r="N37" i="6"/>
  <c r="R46" i="6"/>
  <c r="R70" i="6"/>
  <c r="V87" i="6"/>
  <c r="Z95" i="6"/>
  <c r="Z98" i="6"/>
  <c r="R10" i="6"/>
  <c r="V39" i="6"/>
  <c r="Z41" i="6" s="1"/>
  <c r="V45" i="6"/>
  <c r="Z53" i="6"/>
  <c r="Z59" i="6"/>
  <c r="Z62" i="6"/>
  <c r="V75" i="6"/>
  <c r="V15" i="6"/>
  <c r="Z17" i="6" s="1"/>
  <c r="R58" i="6"/>
  <c r="Z80" i="6"/>
  <c r="V93" i="6"/>
  <c r="Z101" i="6"/>
  <c r="J19" i="6"/>
  <c r="Z32" i="6"/>
  <c r="V51" i="6"/>
  <c r="V57" i="6"/>
  <c r="Z65" i="6"/>
  <c r="Z68" i="6"/>
  <c r="Z20" i="6"/>
  <c r="R34" i="6"/>
  <c r="J67" i="6"/>
  <c r="Z83" i="6"/>
  <c r="Z86" i="6"/>
  <c r="V99" i="6"/>
  <c r="N13" i="6"/>
  <c r="Z35" i="6"/>
  <c r="Z38" i="6"/>
  <c r="Z44" i="6"/>
  <c r="V63" i="6"/>
  <c r="Z71" i="6"/>
  <c r="Z74" i="6"/>
  <c r="R82" i="6"/>
  <c r="E105" i="6"/>
  <c r="N75" i="1"/>
  <c r="J75" i="1"/>
  <c r="J63" i="1"/>
  <c r="L123" i="5"/>
  <c r="M122" i="5"/>
  <c r="N122" i="5"/>
  <c r="R42" i="1"/>
  <c r="K81" i="1"/>
  <c r="K77" i="1"/>
  <c r="I77" i="1"/>
  <c r="J81" i="1"/>
  <c r="J79" i="1"/>
  <c r="L52" i="1"/>
  <c r="L61" i="1"/>
  <c r="L48" i="1"/>
  <c r="L65" i="1"/>
  <c r="R28" i="1"/>
  <c r="X45" i="7"/>
  <c r="X42" i="7"/>
  <c r="AC14" i="7"/>
  <c r="AC16" i="7"/>
  <c r="S37" i="7"/>
  <c r="N64" i="7"/>
  <c r="AC11" i="7"/>
  <c r="X33" i="7"/>
  <c r="X30" i="7"/>
  <c r="S49" i="7"/>
  <c r="S55" i="7"/>
  <c r="N88" i="7"/>
  <c r="N100" i="7"/>
  <c r="I22" i="5"/>
  <c r="H46" i="5"/>
  <c r="I46" i="5" s="1"/>
  <c r="N40" i="5" s="1"/>
  <c r="S37" i="5" s="1"/>
  <c r="X36" i="5" s="1"/>
  <c r="Q64" i="6"/>
  <c r="U63" i="6" s="1"/>
  <c r="Y62" i="6" s="1"/>
  <c r="M73" i="6"/>
  <c r="Q70" i="6" s="1"/>
  <c r="U69" i="6" s="1"/>
  <c r="Y68" i="6" s="1"/>
  <c r="Y34" i="6"/>
  <c r="U36" i="6"/>
  <c r="Y35" i="6" s="1"/>
  <c r="Y58" i="6"/>
  <c r="U60" i="6"/>
  <c r="Y59" i="6" s="1"/>
  <c r="Q40" i="6"/>
  <c r="U39" i="6" s="1"/>
  <c r="Y38" i="6" s="1"/>
  <c r="M49" i="6"/>
  <c r="Q46" i="6" s="1"/>
  <c r="U45" i="6" s="1"/>
  <c r="Y44" i="6" s="1"/>
  <c r="I91" i="6"/>
  <c r="I105" i="6" s="1"/>
  <c r="M25" i="6"/>
  <c r="Q22" i="6" s="1"/>
  <c r="U21" i="6" s="1"/>
  <c r="Y20" i="6" s="1"/>
  <c r="Y46" i="6"/>
  <c r="Y64" i="6"/>
  <c r="U66" i="6"/>
  <c r="Y65" i="6" s="1"/>
  <c r="Y70" i="6"/>
  <c r="U72" i="6"/>
  <c r="Y71" i="6" s="1"/>
  <c r="L97" i="6"/>
  <c r="M85" i="6"/>
  <c r="Q28" i="6"/>
  <c r="U27" i="6" s="1"/>
  <c r="Y26" i="6" s="1"/>
  <c r="Q76" i="6"/>
  <c r="U75" i="6" s="1"/>
  <c r="Y74" i="6" s="1"/>
  <c r="M13" i="6"/>
  <c r="N64" i="5"/>
  <c r="S61" i="5" s="1"/>
  <c r="X60" i="5" s="1"/>
  <c r="M100" i="5"/>
  <c r="N76" i="5"/>
  <c r="S73" i="5" s="1"/>
  <c r="X72" i="5" s="1"/>
  <c r="E108" i="5"/>
  <c r="W69" i="5"/>
  <c r="O32" i="1"/>
  <c r="Q32" i="1"/>
  <c r="G42" i="1"/>
  <c r="C40" i="1"/>
  <c r="C78" i="1" s="1"/>
  <c r="Y61" i="6" l="1"/>
  <c r="Y37" i="6"/>
  <c r="X27" i="7"/>
  <c r="AC28" i="7" s="1"/>
  <c r="S67" i="5"/>
  <c r="X66" i="5" s="1"/>
  <c r="AC65" i="5" s="1"/>
  <c r="AC22" i="7"/>
  <c r="AC25" i="7"/>
  <c r="S79" i="7"/>
  <c r="X81" i="7" s="1"/>
  <c r="L63" i="1"/>
  <c r="L50" i="1"/>
  <c r="L67" i="1"/>
  <c r="L54" i="1"/>
  <c r="G28" i="1"/>
  <c r="N1" i="7"/>
  <c r="M52" i="1"/>
  <c r="N52" i="1" s="1"/>
  <c r="N1" i="5"/>
  <c r="M61" i="1"/>
  <c r="N61" i="1" s="1"/>
  <c r="M48" i="1"/>
  <c r="N48" i="1" s="1"/>
  <c r="M65" i="1"/>
  <c r="N65" i="1" s="1"/>
  <c r="J67" i="1"/>
  <c r="C41" i="1"/>
  <c r="G80" i="1"/>
  <c r="C79" i="1" s="1"/>
  <c r="U42" i="6"/>
  <c r="Y41" i="6" s="1"/>
  <c r="P79" i="1"/>
  <c r="Q79" i="1" s="1"/>
  <c r="N2" i="6"/>
  <c r="M81" i="1"/>
  <c r="M77" i="1"/>
  <c r="P77" i="1" s="1"/>
  <c r="N123" i="5"/>
  <c r="M123" i="5"/>
  <c r="J50" i="1"/>
  <c r="J56" i="1" s="1"/>
  <c r="K63" i="1"/>
  <c r="K50" i="1"/>
  <c r="K67" i="1"/>
  <c r="K54" i="1"/>
  <c r="N77" i="1"/>
  <c r="H75" i="1" s="1"/>
  <c r="J77" i="1"/>
  <c r="J83" i="1" s="1"/>
  <c r="AB8" i="6"/>
  <c r="Q75" i="1"/>
  <c r="AC26" i="7"/>
  <c r="S85" i="7"/>
  <c r="S91" i="7"/>
  <c r="X48" i="7"/>
  <c r="X51" i="7"/>
  <c r="X72" i="7"/>
  <c r="X75" i="7"/>
  <c r="AC32" i="7"/>
  <c r="AC34" i="7"/>
  <c r="AC41" i="7"/>
  <c r="AC43" i="7"/>
  <c r="S97" i="7"/>
  <c r="S103" i="7"/>
  <c r="X54" i="7"/>
  <c r="X57" i="7"/>
  <c r="AC29" i="7"/>
  <c r="AC31" i="7"/>
  <c r="S61" i="7"/>
  <c r="S67" i="7"/>
  <c r="X36" i="7"/>
  <c r="X39" i="7"/>
  <c r="AC44" i="7"/>
  <c r="AC46" i="7"/>
  <c r="N108" i="7"/>
  <c r="S43" i="5"/>
  <c r="X42" i="5" s="1"/>
  <c r="AC41" i="5" s="1"/>
  <c r="N16" i="5"/>
  <c r="S19" i="5" s="1"/>
  <c r="X18" i="5" s="1"/>
  <c r="AC19" i="5" s="1"/>
  <c r="N28" i="5"/>
  <c r="S25" i="5" s="1"/>
  <c r="X24" i="5" s="1"/>
  <c r="I108" i="5"/>
  <c r="N52" i="5"/>
  <c r="S49" i="5" s="1"/>
  <c r="X48" i="5" s="1"/>
  <c r="AC49" i="5" s="1"/>
  <c r="X39" i="5"/>
  <c r="AC38" i="5" s="1"/>
  <c r="Y40" i="6"/>
  <c r="X75" i="5"/>
  <c r="AC76" i="5" s="1"/>
  <c r="X63" i="5"/>
  <c r="AC62" i="5" s="1"/>
  <c r="Y67" i="6"/>
  <c r="Y73" i="6"/>
  <c r="U78" i="6"/>
  <c r="Q10" i="6"/>
  <c r="P100" i="6"/>
  <c r="M97" i="6"/>
  <c r="Q94" i="6" s="1"/>
  <c r="Y76" i="6"/>
  <c r="U48" i="6"/>
  <c r="Q16" i="6"/>
  <c r="Q52" i="6"/>
  <c r="Y43" i="6"/>
  <c r="Y28" i="6"/>
  <c r="Q82" i="6"/>
  <c r="Q88" i="6"/>
  <c r="U30" i="6"/>
  <c r="Y22" i="6"/>
  <c r="U24" i="6"/>
  <c r="AC73" i="5"/>
  <c r="AC71" i="5"/>
  <c r="AC61" i="5"/>
  <c r="AC59" i="5"/>
  <c r="AC35" i="5"/>
  <c r="AC37" i="5"/>
  <c r="S79" i="5"/>
  <c r="N88" i="5"/>
  <c r="N100" i="5"/>
  <c r="S97" i="5" s="1"/>
  <c r="R103" i="5"/>
  <c r="R32" i="1"/>
  <c r="P48" i="1" l="1"/>
  <c r="Q48" i="1" s="1"/>
  <c r="X78" i="7"/>
  <c r="AC77" i="7" s="1"/>
  <c r="S13" i="5"/>
  <c r="X12" i="5" s="1"/>
  <c r="AC67" i="5"/>
  <c r="X69" i="5"/>
  <c r="AC70" i="5" s="1"/>
  <c r="AC43" i="5"/>
  <c r="AC40" i="5"/>
  <c r="AC17" i="5"/>
  <c r="AC64" i="5"/>
  <c r="Q100" i="6"/>
  <c r="Q77" i="1"/>
  <c r="AD104" i="5"/>
  <c r="AD17" i="5"/>
  <c r="P40" i="5"/>
  <c r="Z48" i="5"/>
  <c r="Z60" i="5"/>
  <c r="AD71" i="5"/>
  <c r="AD83" i="5"/>
  <c r="AD98" i="5"/>
  <c r="Z12" i="5"/>
  <c r="AD26" i="5"/>
  <c r="Z42" i="5"/>
  <c r="AD56" i="5"/>
  <c r="K70" i="5"/>
  <c r="AD68" i="5"/>
  <c r="P88" i="5"/>
  <c r="AD95" i="5"/>
  <c r="K22" i="5"/>
  <c r="U25" i="5"/>
  <c r="Z36" i="5"/>
  <c r="AD50" i="5"/>
  <c r="AD62" i="5"/>
  <c r="AD77" i="5"/>
  <c r="Z90" i="5"/>
  <c r="AD101" i="5"/>
  <c r="AD14" i="5"/>
  <c r="AD29" i="5"/>
  <c r="U49" i="5"/>
  <c r="U61" i="5"/>
  <c r="Z72" i="5"/>
  <c r="Z84" i="5"/>
  <c r="Z96" i="5"/>
  <c r="U13" i="5"/>
  <c r="AD23" i="5"/>
  <c r="AD38" i="5"/>
  <c r="AD53" i="5"/>
  <c r="Z66" i="5"/>
  <c r="AD80" i="5"/>
  <c r="AD92" i="5"/>
  <c r="F34" i="5"/>
  <c r="Z18" i="5"/>
  <c r="U37" i="5"/>
  <c r="AD47" i="5"/>
  <c r="AD59" i="5"/>
  <c r="AD74" i="5"/>
  <c r="AD86" i="5"/>
  <c r="Z102" i="5"/>
  <c r="AD11" i="5"/>
  <c r="Z30" i="5"/>
  <c r="AD41" i="5"/>
  <c r="P64" i="5"/>
  <c r="U73" i="5"/>
  <c r="U85" i="5"/>
  <c r="U97" i="5"/>
  <c r="P16" i="5"/>
  <c r="Z24" i="5"/>
  <c r="AD35" i="5"/>
  <c r="Z54" i="5"/>
  <c r="AD65" i="5"/>
  <c r="Z78" i="5"/>
  <c r="AD89" i="5"/>
  <c r="P81" i="1"/>
  <c r="Q81" i="1" s="1"/>
  <c r="N81" i="1"/>
  <c r="H79" i="1" s="1"/>
  <c r="Z28" i="6"/>
  <c r="Z16" i="6"/>
  <c r="Z103" i="6"/>
  <c r="V30" i="6"/>
  <c r="Z13" i="6"/>
  <c r="V24" i="6"/>
  <c r="Z19" i="6"/>
  <c r="V18" i="6"/>
  <c r="Z55" i="6"/>
  <c r="Z79" i="6"/>
  <c r="V84" i="6"/>
  <c r="Z100" i="6"/>
  <c r="R16" i="6"/>
  <c r="AB14" i="6" s="1"/>
  <c r="Z31" i="6"/>
  <c r="V36" i="6"/>
  <c r="V42" i="6"/>
  <c r="Z64" i="6"/>
  <c r="Z67" i="6"/>
  <c r="V72" i="6"/>
  <c r="R100" i="6"/>
  <c r="Z25" i="6"/>
  <c r="R64" i="6"/>
  <c r="Z82" i="6"/>
  <c r="Z85" i="6"/>
  <c r="V90" i="6"/>
  <c r="N25" i="6"/>
  <c r="AB20" i="6" s="1"/>
  <c r="Z34" i="6"/>
  <c r="Z37" i="6"/>
  <c r="Z43" i="6"/>
  <c r="V48" i="6"/>
  <c r="Z70" i="6"/>
  <c r="Z73" i="6"/>
  <c r="V78" i="6"/>
  <c r="R88" i="6"/>
  <c r="Z10" i="6"/>
  <c r="AB10" i="6" s="1"/>
  <c r="R40" i="6"/>
  <c r="N49" i="6"/>
  <c r="N73" i="6"/>
  <c r="AB68" i="6" s="1"/>
  <c r="Z88" i="6"/>
  <c r="Z91" i="6"/>
  <c r="V96" i="6"/>
  <c r="R28" i="6"/>
  <c r="AB26" i="6" s="1"/>
  <c r="Z40" i="6"/>
  <c r="Z46" i="6"/>
  <c r="Z49" i="6"/>
  <c r="V54" i="6"/>
  <c r="V60" i="6"/>
  <c r="AB59" i="6" s="1"/>
  <c r="Z76" i="6"/>
  <c r="V12" i="6"/>
  <c r="AB11" i="6" s="1"/>
  <c r="J43" i="6"/>
  <c r="R52" i="6"/>
  <c r="R76" i="6"/>
  <c r="Z94" i="6"/>
  <c r="Z97" i="6"/>
  <c r="V102" i="6"/>
  <c r="Z52" i="6"/>
  <c r="Z58" i="6"/>
  <c r="AB58" i="6" s="1"/>
  <c r="Z61" i="6"/>
  <c r="AB61" i="6" s="1"/>
  <c r="V66" i="6"/>
  <c r="F79" i="6"/>
  <c r="J91" i="6"/>
  <c r="AB80" i="6" s="1"/>
  <c r="N97" i="6"/>
  <c r="AD101" i="7"/>
  <c r="AD95" i="7"/>
  <c r="P88" i="7"/>
  <c r="AD83" i="7"/>
  <c r="AD74" i="7"/>
  <c r="K70" i="7"/>
  <c r="P64" i="7"/>
  <c r="Z60" i="7"/>
  <c r="AD47" i="7"/>
  <c r="U13" i="7"/>
  <c r="Z24" i="7"/>
  <c r="Z36" i="7"/>
  <c r="AD98" i="7"/>
  <c r="AD92" i="7"/>
  <c r="AD86" i="7"/>
  <c r="AD80" i="7"/>
  <c r="U73" i="7"/>
  <c r="AD68" i="7"/>
  <c r="AD62" i="7"/>
  <c r="AD59" i="7"/>
  <c r="Z42" i="7"/>
  <c r="AD14" i="7"/>
  <c r="AD17" i="7"/>
  <c r="K22" i="7"/>
  <c r="U25" i="7"/>
  <c r="AD29" i="7"/>
  <c r="F34" i="7"/>
  <c r="U37" i="7"/>
  <c r="Z54" i="7"/>
  <c r="AD104" i="7"/>
  <c r="U97" i="7"/>
  <c r="Z90" i="7"/>
  <c r="U85" i="7"/>
  <c r="Z78" i="7"/>
  <c r="Z72" i="7"/>
  <c r="Z66" i="7"/>
  <c r="U61" i="7"/>
  <c r="U49" i="7"/>
  <c r="AD41" i="7"/>
  <c r="AD11" i="7"/>
  <c r="Z18" i="7"/>
  <c r="AD26" i="7"/>
  <c r="Z30" i="7"/>
  <c r="AD38" i="7"/>
  <c r="AD50" i="7"/>
  <c r="AD56" i="7"/>
  <c r="Z102" i="7"/>
  <c r="Z96" i="7"/>
  <c r="AD89" i="7"/>
  <c r="Z84" i="7"/>
  <c r="AD77" i="7"/>
  <c r="AD71" i="7"/>
  <c r="AD65" i="7"/>
  <c r="Z48" i="7"/>
  <c r="P40" i="7"/>
  <c r="Z12" i="7"/>
  <c r="Y12" i="7" s="1"/>
  <c r="P16" i="7"/>
  <c r="AD23" i="7"/>
  <c r="AD35" i="7"/>
  <c r="AD53" i="7"/>
  <c r="G32" i="1"/>
  <c r="N2" i="7"/>
  <c r="N2" i="5"/>
  <c r="M54" i="1"/>
  <c r="M63" i="1"/>
  <c r="M50" i="1"/>
  <c r="P52" i="1"/>
  <c r="Q52" i="1" s="1"/>
  <c r="M67" i="1"/>
  <c r="P65" i="1"/>
  <c r="Q65" i="1" s="1"/>
  <c r="P61" i="1"/>
  <c r="Q61" i="1" s="1"/>
  <c r="G49" i="1"/>
  <c r="G62" i="1"/>
  <c r="AC38" i="7"/>
  <c r="AC40" i="7"/>
  <c r="X66" i="7"/>
  <c r="X69" i="7"/>
  <c r="AC80" i="7"/>
  <c r="AC82" i="7"/>
  <c r="AC56" i="7"/>
  <c r="AC58" i="7"/>
  <c r="X102" i="7"/>
  <c r="X105" i="7"/>
  <c r="AC71" i="7"/>
  <c r="AC73" i="7"/>
  <c r="AC47" i="7"/>
  <c r="AC49" i="7"/>
  <c r="X84" i="7"/>
  <c r="X87" i="7"/>
  <c r="S108" i="7"/>
  <c r="AC35" i="7"/>
  <c r="AC37" i="7"/>
  <c r="X60" i="7"/>
  <c r="X63" i="7"/>
  <c r="AC79" i="7"/>
  <c r="AC53" i="7"/>
  <c r="AC55" i="7"/>
  <c r="X96" i="7"/>
  <c r="X99" i="7"/>
  <c r="AC76" i="7"/>
  <c r="AC74" i="7"/>
  <c r="AC50" i="7"/>
  <c r="AC52" i="7"/>
  <c r="X90" i="7"/>
  <c r="X93" i="7"/>
  <c r="X45" i="5"/>
  <c r="AC44" i="5" s="1"/>
  <c r="X21" i="5"/>
  <c r="AC22" i="5" s="1"/>
  <c r="X27" i="5"/>
  <c r="AC28" i="5" s="1"/>
  <c r="S31" i="5"/>
  <c r="X33" i="5" s="1"/>
  <c r="S55" i="5"/>
  <c r="AC47" i="5"/>
  <c r="X51" i="5"/>
  <c r="AC50" i="5" s="1"/>
  <c r="AC74" i="5"/>
  <c r="Y77" i="6"/>
  <c r="Y79" i="6"/>
  <c r="U87" i="6"/>
  <c r="U90" i="6"/>
  <c r="U51" i="6"/>
  <c r="U54" i="6"/>
  <c r="Y47" i="6"/>
  <c r="Y49" i="6"/>
  <c r="U93" i="6"/>
  <c r="U96" i="6"/>
  <c r="Q105" i="6"/>
  <c r="U9" i="6"/>
  <c r="Q107" i="6"/>
  <c r="Q108" i="6" s="1"/>
  <c r="U12" i="6"/>
  <c r="M105" i="6"/>
  <c r="Y23" i="6"/>
  <c r="Y25" i="6"/>
  <c r="Y29" i="6"/>
  <c r="Y31" i="6"/>
  <c r="U81" i="6"/>
  <c r="U84" i="6"/>
  <c r="U15" i="6"/>
  <c r="U18" i="6"/>
  <c r="U99" i="6"/>
  <c r="U102" i="6"/>
  <c r="AC23" i="5"/>
  <c r="AC25" i="5"/>
  <c r="X96" i="5"/>
  <c r="X99" i="5"/>
  <c r="S85" i="5"/>
  <c r="S91" i="5"/>
  <c r="N108" i="5"/>
  <c r="X78" i="5"/>
  <c r="X81" i="5"/>
  <c r="S103" i="5"/>
  <c r="C30" i="1"/>
  <c r="AB65" i="6" l="1"/>
  <c r="AB50" i="6"/>
  <c r="AB40" i="6"/>
  <c r="AB70" i="6"/>
  <c r="Q82" i="1"/>
  <c r="AB49" i="6"/>
  <c r="AB77" i="6"/>
  <c r="AB25" i="6"/>
  <c r="O16" i="5"/>
  <c r="X15" i="5"/>
  <c r="AC68" i="5"/>
  <c r="AC26" i="5"/>
  <c r="AC46" i="5"/>
  <c r="AC20" i="5"/>
  <c r="AD103" i="5"/>
  <c r="U19" i="5"/>
  <c r="T19" i="5" s="1"/>
  <c r="Z27" i="5"/>
  <c r="Z39" i="5"/>
  <c r="Z57" i="5"/>
  <c r="AD64" i="5"/>
  <c r="AD79" i="5"/>
  <c r="Z87" i="5"/>
  <c r="AD100" i="5"/>
  <c r="AD19" i="5"/>
  <c r="AF19" i="5" s="1"/>
  <c r="AG19" i="5" s="1"/>
  <c r="K46" i="5"/>
  <c r="AF38" i="5" s="1"/>
  <c r="AG38" i="5" s="1"/>
  <c r="Z45" i="5"/>
  <c r="AD61" i="5"/>
  <c r="AD76" i="5"/>
  <c r="AD94" i="5"/>
  <c r="AD97" i="5"/>
  <c r="Z15" i="5"/>
  <c r="Y15" i="5" s="1"/>
  <c r="AD28" i="5"/>
  <c r="AD40" i="5"/>
  <c r="AF40" i="5" s="1"/>
  <c r="AG40" i="5" s="1"/>
  <c r="AD55" i="5"/>
  <c r="AD70" i="5"/>
  <c r="AD82" i="5"/>
  <c r="Z93" i="5"/>
  <c r="AD106" i="5"/>
  <c r="P28" i="5"/>
  <c r="U31" i="5"/>
  <c r="U43" i="5"/>
  <c r="T43" i="5" s="1"/>
  <c r="Z51" i="5"/>
  <c r="AD67" i="5"/>
  <c r="Z81" i="5"/>
  <c r="U91" i="5"/>
  <c r="Z21" i="5"/>
  <c r="Y21" i="5" s="1"/>
  <c r="AD34" i="5"/>
  <c r="AD46" i="5"/>
  <c r="AD49" i="5"/>
  <c r="AF49" i="5" s="1"/>
  <c r="AG49" i="5" s="1"/>
  <c r="P76" i="5"/>
  <c r="U79" i="5"/>
  <c r="AD85" i="5"/>
  <c r="U103" i="5"/>
  <c r="AD13" i="5"/>
  <c r="AF13" i="5" s="1"/>
  <c r="Z33" i="5"/>
  <c r="AD37" i="5"/>
  <c r="AD58" i="5"/>
  <c r="AF58" i="5" s="1"/>
  <c r="AG58" i="5" s="1"/>
  <c r="Z69" i="5"/>
  <c r="K94" i="5"/>
  <c r="P100" i="5"/>
  <c r="F82" i="5"/>
  <c r="T97" i="5" s="1"/>
  <c r="AD22" i="5"/>
  <c r="AF22" i="5" s="1"/>
  <c r="P52" i="5"/>
  <c r="AF47" i="5" s="1"/>
  <c r="AG47" i="5" s="1"/>
  <c r="U55" i="5"/>
  <c r="Z63" i="5"/>
  <c r="AD73" i="5"/>
  <c r="AD91" i="5"/>
  <c r="Z105" i="5"/>
  <c r="AD16" i="5"/>
  <c r="AF16" i="5" s="1"/>
  <c r="AD31" i="5"/>
  <c r="AD43" i="5"/>
  <c r="AD52" i="5"/>
  <c r="U67" i="5"/>
  <c r="T67" i="5" s="1"/>
  <c r="Z75" i="5"/>
  <c r="AD88" i="5"/>
  <c r="Z99" i="5"/>
  <c r="AF11" i="7"/>
  <c r="AB92" i="6"/>
  <c r="AB97" i="6"/>
  <c r="I107" i="6"/>
  <c r="I108" i="6" s="1"/>
  <c r="AB32" i="6"/>
  <c r="AB53" i="6"/>
  <c r="AB86" i="6"/>
  <c r="AB47" i="6"/>
  <c r="AB62" i="6"/>
  <c r="AB67" i="6"/>
  <c r="AB31" i="6"/>
  <c r="AB79" i="6"/>
  <c r="Z22" i="6"/>
  <c r="AB22" i="6" s="1"/>
  <c r="AB23" i="6"/>
  <c r="AB16" i="6"/>
  <c r="O122" i="5"/>
  <c r="AD44" i="5"/>
  <c r="J121" i="5"/>
  <c r="P50" i="1"/>
  <c r="Q50" i="1" s="1"/>
  <c r="N50" i="1"/>
  <c r="H48" i="1" s="1"/>
  <c r="Z105" i="7"/>
  <c r="K94" i="7"/>
  <c r="F82" i="7"/>
  <c r="E110" i="7" s="1"/>
  <c r="E111" i="7" s="1"/>
  <c r="Z75" i="7"/>
  <c r="AD106" i="7"/>
  <c r="AD94" i="7"/>
  <c r="AD82" i="7"/>
  <c r="AD70" i="7"/>
  <c r="AD58" i="7"/>
  <c r="Z45" i="7"/>
  <c r="Z21" i="7"/>
  <c r="P28" i="7"/>
  <c r="O28" i="7" s="1"/>
  <c r="Z33" i="7"/>
  <c r="AD46" i="7"/>
  <c r="U55" i="7"/>
  <c r="AD19" i="7"/>
  <c r="AD28" i="7"/>
  <c r="AD43" i="7"/>
  <c r="U103" i="7"/>
  <c r="Z93" i="7"/>
  <c r="Z81" i="7"/>
  <c r="Z69" i="7"/>
  <c r="AD103" i="7"/>
  <c r="AD91" i="7"/>
  <c r="AD79" i="7"/>
  <c r="AD67" i="7"/>
  <c r="AD55" i="7"/>
  <c r="U43" i="7"/>
  <c r="AF41" i="7" s="1"/>
  <c r="AG41" i="7" s="1"/>
  <c r="AD49" i="7"/>
  <c r="AD13" i="7"/>
  <c r="AF13" i="7" s="1"/>
  <c r="AD31" i="7"/>
  <c r="P100" i="7"/>
  <c r="U91" i="7"/>
  <c r="U79" i="7"/>
  <c r="U67" i="7"/>
  <c r="T67" i="7" s="1"/>
  <c r="AD100" i="7"/>
  <c r="AD88" i="7"/>
  <c r="AD76" i="7"/>
  <c r="AD64" i="7"/>
  <c r="AD52" i="7"/>
  <c r="Z15" i="7"/>
  <c r="Y15" i="7" s="1"/>
  <c r="Z51" i="7"/>
  <c r="AD22" i="7"/>
  <c r="AD37" i="7"/>
  <c r="Z99" i="7"/>
  <c r="Z87" i="7"/>
  <c r="AF86" i="7" s="1"/>
  <c r="AG86" i="7" s="1"/>
  <c r="P76" i="7"/>
  <c r="O76" i="7" s="1"/>
  <c r="Z63" i="7"/>
  <c r="AD97" i="7"/>
  <c r="AD85" i="7"/>
  <c r="AD73" i="7"/>
  <c r="AF73" i="7" s="1"/>
  <c r="AG73" i="7" s="1"/>
  <c r="AD61" i="7"/>
  <c r="K46" i="7"/>
  <c r="O40" i="7" s="1"/>
  <c r="U19" i="7"/>
  <c r="T19" i="7" s="1"/>
  <c r="Z27" i="7"/>
  <c r="U31" i="7"/>
  <c r="T31" i="7" s="1"/>
  <c r="Z39" i="7"/>
  <c r="Y39" i="7" s="1"/>
  <c r="AD16" i="7"/>
  <c r="AF16" i="7" s="1"/>
  <c r="AD34" i="7"/>
  <c r="AD40" i="7"/>
  <c r="AF40" i="7" s="1"/>
  <c r="AG40" i="7" s="1"/>
  <c r="P52" i="7"/>
  <c r="O52" i="7" s="1"/>
  <c r="Z57" i="7"/>
  <c r="Y48" i="7"/>
  <c r="AD32" i="7"/>
  <c r="J22" i="7"/>
  <c r="J46" i="7"/>
  <c r="I110" i="7"/>
  <c r="I111" i="7" s="1"/>
  <c r="AT85" i="7" s="1"/>
  <c r="AB94" i="6"/>
  <c r="AB95" i="6"/>
  <c r="AB44" i="6"/>
  <c r="AB43" i="6"/>
  <c r="AB89" i="6"/>
  <c r="AB64" i="6"/>
  <c r="AB55" i="6"/>
  <c r="AB13" i="6"/>
  <c r="AB28" i="6"/>
  <c r="O121" i="5"/>
  <c r="AF41" i="5"/>
  <c r="AG41" i="5" s="1"/>
  <c r="AF23" i="5"/>
  <c r="AG23" i="5" s="1"/>
  <c r="AF29" i="5"/>
  <c r="AG29" i="5" s="1"/>
  <c r="T25" i="5"/>
  <c r="AF71" i="5"/>
  <c r="AG71" i="5" s="1"/>
  <c r="AF17" i="5"/>
  <c r="AG17" i="5" s="1"/>
  <c r="J122" i="5"/>
  <c r="P63" i="1"/>
  <c r="Q63" i="1" s="1"/>
  <c r="N63" i="1"/>
  <c r="H61" i="1" s="1"/>
  <c r="C31" i="1"/>
  <c r="G66" i="1"/>
  <c r="C64" i="1" s="1"/>
  <c r="G53" i="1"/>
  <c r="C51" i="1" s="1"/>
  <c r="O16" i="7"/>
  <c r="AS84" i="7"/>
  <c r="AS85" i="7" s="1"/>
  <c r="AS86" i="7" s="1"/>
  <c r="AS87" i="7" s="1"/>
  <c r="AS88" i="7" s="1"/>
  <c r="AS89" i="7" s="1"/>
  <c r="AF56" i="7"/>
  <c r="AG56" i="7" s="1"/>
  <c r="T49" i="7"/>
  <c r="AF104" i="7"/>
  <c r="AG104" i="7" s="1"/>
  <c r="AF14" i="7"/>
  <c r="AG14" i="7" s="1"/>
  <c r="T13" i="7"/>
  <c r="E107" i="6"/>
  <c r="E108" i="6" s="1"/>
  <c r="AB56" i="6"/>
  <c r="AB52" i="6"/>
  <c r="AB74" i="6"/>
  <c r="AB76" i="6"/>
  <c r="AB46" i="6"/>
  <c r="AB91" i="6"/>
  <c r="AB38" i="6"/>
  <c r="AB73" i="6"/>
  <c r="AB37" i="6"/>
  <c r="AB85" i="6"/>
  <c r="AB98" i="6"/>
  <c r="AB41" i="6"/>
  <c r="AB100" i="6"/>
  <c r="AB17" i="6"/>
  <c r="AB29" i="6"/>
  <c r="AF35" i="5"/>
  <c r="AG35" i="5" s="1"/>
  <c r="Y30" i="5"/>
  <c r="AD32" i="5"/>
  <c r="AF32" i="5" s="1"/>
  <c r="AG32" i="5" s="1"/>
  <c r="Y18" i="5"/>
  <c r="AD20" i="5"/>
  <c r="AF20" i="5" s="1"/>
  <c r="AG20" i="5" s="1"/>
  <c r="T13" i="5"/>
  <c r="Y72" i="5"/>
  <c r="AF14" i="5"/>
  <c r="AG14" i="5" s="1"/>
  <c r="Y12" i="5"/>
  <c r="O120" i="5"/>
  <c r="O123" i="5"/>
  <c r="P67" i="1"/>
  <c r="Q67" i="1" s="1"/>
  <c r="N67" i="1"/>
  <c r="H65" i="1" s="1"/>
  <c r="P54" i="1"/>
  <c r="Q54" i="1" s="1"/>
  <c r="N54" i="1"/>
  <c r="H52" i="1" s="1"/>
  <c r="AF65" i="7"/>
  <c r="AG65" i="7" s="1"/>
  <c r="AD20" i="7"/>
  <c r="T25" i="7"/>
  <c r="AD44" i="7"/>
  <c r="AF44" i="7" s="1"/>
  <c r="AG44" i="7" s="1"/>
  <c r="Y42" i="7"/>
  <c r="AF98" i="7"/>
  <c r="AG98" i="7" s="1"/>
  <c r="AF47" i="7"/>
  <c r="AG47" i="7" s="1"/>
  <c r="AB101" i="6"/>
  <c r="AB88" i="6"/>
  <c r="AB34" i="6"/>
  <c r="AB82" i="6"/>
  <c r="AB71" i="6"/>
  <c r="AB35" i="6"/>
  <c r="AB83" i="6"/>
  <c r="AB19" i="6"/>
  <c r="AB103" i="6"/>
  <c r="M107" i="6"/>
  <c r="M108" i="6" s="1"/>
  <c r="Y24" i="5"/>
  <c r="T73" i="5"/>
  <c r="AF11" i="5"/>
  <c r="J22" i="5"/>
  <c r="J46" i="5"/>
  <c r="AS84" i="5"/>
  <c r="AS85" i="5" s="1"/>
  <c r="AS86" i="5" s="1"/>
  <c r="AS87" i="5" s="1"/>
  <c r="AS88" i="5" s="1"/>
  <c r="AS89" i="5" s="1"/>
  <c r="AF95" i="5"/>
  <c r="AG95" i="5" s="1"/>
  <c r="J120" i="5"/>
  <c r="S110" i="7"/>
  <c r="S111" i="7" s="1"/>
  <c r="AT87" i="7" s="1"/>
  <c r="AC89" i="7"/>
  <c r="AC91" i="7"/>
  <c r="AC95" i="7"/>
  <c r="AC97" i="7"/>
  <c r="AC64" i="7"/>
  <c r="AC62" i="7"/>
  <c r="AC88" i="7"/>
  <c r="AC86" i="7"/>
  <c r="AC106" i="7"/>
  <c r="AC104" i="7"/>
  <c r="AC68" i="7"/>
  <c r="AC70" i="7"/>
  <c r="AC94" i="7"/>
  <c r="AC92" i="7"/>
  <c r="AC100" i="7"/>
  <c r="AC98" i="7"/>
  <c r="AC59" i="7"/>
  <c r="AC61" i="7"/>
  <c r="X108" i="7"/>
  <c r="X110" i="7"/>
  <c r="X111" i="7" s="1"/>
  <c r="AT88" i="7" s="1"/>
  <c r="AC83" i="7"/>
  <c r="AC85" i="7"/>
  <c r="AC101" i="7"/>
  <c r="AC103" i="7"/>
  <c r="AC65" i="7"/>
  <c r="AC67" i="7"/>
  <c r="X30" i="5"/>
  <c r="AC29" i="5" s="1"/>
  <c r="AC52" i="5"/>
  <c r="X54" i="5"/>
  <c r="X57" i="5"/>
  <c r="AM60" i="5"/>
  <c r="Y101" i="6"/>
  <c r="Y103" i="6"/>
  <c r="Y17" i="6"/>
  <c r="Y19" i="6"/>
  <c r="Y83" i="6"/>
  <c r="Y85" i="6"/>
  <c r="Y92" i="6"/>
  <c r="Y94" i="6"/>
  <c r="Y50" i="6"/>
  <c r="Y52" i="6"/>
  <c r="Y86" i="6"/>
  <c r="Y88" i="6"/>
  <c r="Y98" i="6"/>
  <c r="Y100" i="6"/>
  <c r="Y14" i="6"/>
  <c r="Y16" i="6"/>
  <c r="Y80" i="6"/>
  <c r="Y82" i="6"/>
  <c r="Y11" i="6"/>
  <c r="Y13" i="6"/>
  <c r="U105" i="6"/>
  <c r="U107" i="6"/>
  <c r="U108" i="6" s="1"/>
  <c r="Y8" i="6"/>
  <c r="Y10" i="6"/>
  <c r="Y95" i="6"/>
  <c r="Y97" i="6"/>
  <c r="Y53" i="6"/>
  <c r="Y55" i="6"/>
  <c r="Y89" i="6"/>
  <c r="Y91" i="6"/>
  <c r="AC97" i="5"/>
  <c r="AC95" i="5"/>
  <c r="AC82" i="5"/>
  <c r="AC80" i="5"/>
  <c r="AC77" i="5"/>
  <c r="AC79" i="5"/>
  <c r="AC100" i="5"/>
  <c r="AC98" i="5"/>
  <c r="AC14" i="5"/>
  <c r="AC16" i="5"/>
  <c r="AC11" i="5"/>
  <c r="AC13" i="5"/>
  <c r="AC32" i="5"/>
  <c r="AC34" i="5"/>
  <c r="S110" i="5"/>
  <c r="S111" i="5" s="1"/>
  <c r="AT87" i="5" s="1"/>
  <c r="X102" i="5"/>
  <c r="X105" i="5"/>
  <c r="X84" i="5"/>
  <c r="X87" i="5"/>
  <c r="S108" i="5"/>
  <c r="X90" i="5"/>
  <c r="X93" i="5"/>
  <c r="AF50" i="7" l="1"/>
  <c r="AG50" i="7" s="1"/>
  <c r="AF92" i="7"/>
  <c r="AG92" i="7" s="1"/>
  <c r="AF35" i="7"/>
  <c r="AG35" i="7" s="1"/>
  <c r="Y90" i="5"/>
  <c r="AF29" i="7"/>
  <c r="AG29" i="7" s="1"/>
  <c r="Y24" i="7"/>
  <c r="Y90" i="7"/>
  <c r="AF44" i="5"/>
  <c r="AG44" i="5" s="1"/>
  <c r="T31" i="5"/>
  <c r="Y96" i="7"/>
  <c r="Y18" i="7"/>
  <c r="AF17" i="7"/>
  <c r="AG17" i="7" s="1"/>
  <c r="T97" i="7"/>
  <c r="AF23" i="7"/>
  <c r="AG23" i="7" s="1"/>
  <c r="AF34" i="7"/>
  <c r="AG34" i="7" s="1"/>
  <c r="AL44" i="7" s="1"/>
  <c r="AF22" i="7"/>
  <c r="AF64" i="7"/>
  <c r="AG64" i="7" s="1"/>
  <c r="AF55" i="7"/>
  <c r="AG55" i="7" s="1"/>
  <c r="AF31" i="5"/>
  <c r="AG31" i="5" s="1"/>
  <c r="AF31" i="7"/>
  <c r="AG31" i="7" s="1"/>
  <c r="AF103" i="7"/>
  <c r="AG103" i="7" s="1"/>
  <c r="T103" i="7"/>
  <c r="T55" i="7"/>
  <c r="Y21" i="7"/>
  <c r="Q57" i="1"/>
  <c r="T37" i="7"/>
  <c r="AF32" i="7"/>
  <c r="AG32" i="7" s="1"/>
  <c r="Y51" i="7"/>
  <c r="AF83" i="7"/>
  <c r="AG83" i="7" s="1"/>
  <c r="Y30" i="7"/>
  <c r="AF38" i="7"/>
  <c r="AG38" i="7" s="1"/>
  <c r="AF89" i="5"/>
  <c r="AG89" i="5" s="1"/>
  <c r="E113" i="7"/>
  <c r="Z8" i="7"/>
  <c r="AK44" i="7"/>
  <c r="Y27" i="7"/>
  <c r="AD25" i="7"/>
  <c r="AF25" i="7" s="1"/>
  <c r="AG25" i="7" s="1"/>
  <c r="AG22" i="7"/>
  <c r="AL43" i="7" s="1"/>
  <c r="AK43" i="7"/>
  <c r="AF82" i="7"/>
  <c r="Y60" i="7"/>
  <c r="T103" i="5"/>
  <c r="Y93" i="5"/>
  <c r="AF92" i="5"/>
  <c r="AG92" i="5" s="1"/>
  <c r="AF94" i="5"/>
  <c r="AG94" i="5" s="1"/>
  <c r="Y27" i="5"/>
  <c r="AD25" i="5"/>
  <c r="AF25" i="5" s="1"/>
  <c r="AC31" i="5"/>
  <c r="AF50" i="5"/>
  <c r="AG50" i="5" s="1"/>
  <c r="AF53" i="5"/>
  <c r="AG53" i="5" s="1"/>
  <c r="AF101" i="7"/>
  <c r="AG101" i="7" s="1"/>
  <c r="T73" i="7"/>
  <c r="Y54" i="7"/>
  <c r="AF20" i="7"/>
  <c r="AG20" i="7" s="1"/>
  <c r="AF53" i="7"/>
  <c r="AG53" i="7" s="1"/>
  <c r="Q68" i="1"/>
  <c r="Y60" i="5"/>
  <c r="AF68" i="7"/>
  <c r="AG68" i="7" s="1"/>
  <c r="Y78" i="7"/>
  <c r="Y84" i="7"/>
  <c r="AF26" i="5"/>
  <c r="AG26" i="5" s="1"/>
  <c r="Y84" i="5"/>
  <c r="O88" i="7"/>
  <c r="AF62" i="7"/>
  <c r="AG62" i="7" s="1"/>
  <c r="Y72" i="7"/>
  <c r="Y102" i="7"/>
  <c r="Y57" i="7"/>
  <c r="AG16" i="7"/>
  <c r="AL42" i="7" s="1"/>
  <c r="AK42" i="7"/>
  <c r="AF85" i="7"/>
  <c r="AG85" i="7" s="1"/>
  <c r="Y87" i="7"/>
  <c r="AF76" i="7"/>
  <c r="AG76" i="7" s="1"/>
  <c r="T79" i="7"/>
  <c r="AG13" i="7"/>
  <c r="AL41" i="7" s="1"/>
  <c r="AK41" i="7"/>
  <c r="AF67" i="7"/>
  <c r="AG67" i="7" s="1"/>
  <c r="Y69" i="7"/>
  <c r="AF43" i="7"/>
  <c r="AG43" i="7" s="1"/>
  <c r="AF46" i="7"/>
  <c r="AG46" i="7" s="1"/>
  <c r="Y45" i="7"/>
  <c r="AF94" i="7"/>
  <c r="AG94" i="7" s="1"/>
  <c r="Y42" i="5"/>
  <c r="T49" i="5"/>
  <c r="Y102" i="5"/>
  <c r="Y36" i="7"/>
  <c r="Y99" i="5"/>
  <c r="AF98" i="5"/>
  <c r="AG98" i="5" s="1"/>
  <c r="AF52" i="5"/>
  <c r="AG52" i="5" s="1"/>
  <c r="Y105" i="5"/>
  <c r="AF104" i="5"/>
  <c r="AG104" i="5" s="1"/>
  <c r="T55" i="5"/>
  <c r="O100" i="5"/>
  <c r="AF37" i="5"/>
  <c r="AG37" i="5" s="1"/>
  <c r="AF85" i="5"/>
  <c r="AG85" i="5" s="1"/>
  <c r="AF46" i="5"/>
  <c r="AG46" i="5" s="1"/>
  <c r="Y81" i="5"/>
  <c r="AF80" i="5"/>
  <c r="AG80" i="5" s="1"/>
  <c r="AF82" i="5"/>
  <c r="AF28" i="5"/>
  <c r="AG28" i="5" s="1"/>
  <c r="AF76" i="5"/>
  <c r="AG76" i="5" s="1"/>
  <c r="AF64" i="5"/>
  <c r="AG64" i="5" s="1"/>
  <c r="J94" i="7"/>
  <c r="J70" i="7"/>
  <c r="J110" i="7" s="1"/>
  <c r="J111" i="7" s="1"/>
  <c r="AG16" i="5"/>
  <c r="AL42" i="5" s="1"/>
  <c r="AL55" i="5" s="1"/>
  <c r="AK42" i="5"/>
  <c r="Y63" i="5"/>
  <c r="AF62" i="5"/>
  <c r="AG62" i="5" s="1"/>
  <c r="J94" i="5"/>
  <c r="J70" i="5"/>
  <c r="T91" i="5"/>
  <c r="AF79" i="5"/>
  <c r="AG79" i="5" s="1"/>
  <c r="Y48" i="5"/>
  <c r="AF101" i="5"/>
  <c r="AG101" i="5" s="1"/>
  <c r="I110" i="5"/>
  <c r="I111" i="5" s="1"/>
  <c r="AT85" i="5" s="1"/>
  <c r="AF59" i="5"/>
  <c r="AG59" i="5" s="1"/>
  <c r="Y78" i="5"/>
  <c r="AF74" i="7"/>
  <c r="AG74" i="7" s="1"/>
  <c r="T85" i="7"/>
  <c r="Y66" i="5"/>
  <c r="AF95" i="7"/>
  <c r="AG95" i="7" s="1"/>
  <c r="Y54" i="5"/>
  <c r="O64" i="7"/>
  <c r="AF77" i="7"/>
  <c r="AG77" i="7" s="1"/>
  <c r="AF97" i="7"/>
  <c r="AG97" i="7" s="1"/>
  <c r="Y99" i="7"/>
  <c r="AF88" i="7"/>
  <c r="AG88" i="7" s="1"/>
  <c r="T91" i="7"/>
  <c r="AF49" i="7"/>
  <c r="AG49" i="7" s="1"/>
  <c r="AF79" i="7"/>
  <c r="AG79" i="7" s="1"/>
  <c r="Y81" i="7"/>
  <c r="AF28" i="7"/>
  <c r="AG28" i="7" s="1"/>
  <c r="Y33" i="7"/>
  <c r="AF58" i="7"/>
  <c r="AG58" i="7" s="1"/>
  <c r="AF106" i="7"/>
  <c r="Y105" i="7"/>
  <c r="O40" i="5"/>
  <c r="O88" i="5"/>
  <c r="Y96" i="5"/>
  <c r="O64" i="5"/>
  <c r="AF80" i="7"/>
  <c r="AG80" i="7" s="1"/>
  <c r="Y66" i="7"/>
  <c r="AF71" i="7"/>
  <c r="AG71" i="7" s="1"/>
  <c r="AF88" i="5"/>
  <c r="AG88" i="5" s="1"/>
  <c r="AF43" i="5"/>
  <c r="AG43" i="5" s="1"/>
  <c r="AF91" i="5"/>
  <c r="AG91" i="5" s="1"/>
  <c r="O52" i="5"/>
  <c r="Y33" i="5"/>
  <c r="T79" i="5"/>
  <c r="AF34" i="5"/>
  <c r="AF67" i="5"/>
  <c r="AG67" i="5" s="1"/>
  <c r="O28" i="5"/>
  <c r="N110" i="5"/>
  <c r="N111" i="5" s="1"/>
  <c r="AT86" i="5" s="1"/>
  <c r="AF70" i="5"/>
  <c r="AG70" i="5" s="1"/>
  <c r="AF61" i="5"/>
  <c r="AG61" i="5" s="1"/>
  <c r="AF100" i="5"/>
  <c r="AG100" i="5" s="1"/>
  <c r="Y57" i="5"/>
  <c r="AF103" i="5"/>
  <c r="AG103" i="5" s="1"/>
  <c r="AF56" i="5"/>
  <c r="AG56" i="5" s="1"/>
  <c r="T61" i="5"/>
  <c r="E110" i="5"/>
  <c r="E111" i="5" s="1"/>
  <c r="AK40" i="5"/>
  <c r="AG11" i="5"/>
  <c r="AL40" i="5" s="1"/>
  <c r="AL57" i="5" s="1"/>
  <c r="T61" i="7"/>
  <c r="AF89" i="7"/>
  <c r="AG89" i="7" s="1"/>
  <c r="T85" i="5"/>
  <c r="AF26" i="7"/>
  <c r="AG26" i="7" s="1"/>
  <c r="AF77" i="5"/>
  <c r="AG77" i="5" s="1"/>
  <c r="T37" i="5"/>
  <c r="N110" i="7"/>
  <c r="N111" i="7" s="1"/>
  <c r="AT86" i="7" s="1"/>
  <c r="AF61" i="7"/>
  <c r="AG61" i="7" s="1"/>
  <c r="Y63" i="7"/>
  <c r="AF37" i="7"/>
  <c r="AG37" i="7" s="1"/>
  <c r="AF52" i="7"/>
  <c r="AG52" i="7" s="1"/>
  <c r="AF100" i="7"/>
  <c r="AG100" i="7" s="1"/>
  <c r="O100" i="7"/>
  <c r="O110" i="7" s="1"/>
  <c r="O111" i="7" s="1"/>
  <c r="T43" i="7"/>
  <c r="T110" i="7" s="1"/>
  <c r="T111" i="7" s="1"/>
  <c r="AF91" i="7"/>
  <c r="AG91" i="7" s="1"/>
  <c r="Y93" i="7"/>
  <c r="AF19" i="7"/>
  <c r="AM21" i="7" s="1" a="1"/>
  <c r="AF70" i="7"/>
  <c r="AG70" i="7" s="1"/>
  <c r="Y75" i="7"/>
  <c r="AF83" i="5"/>
  <c r="AG83" i="5" s="1"/>
  <c r="Y36" i="5"/>
  <c r="AF65" i="5"/>
  <c r="AG65" i="5" s="1"/>
  <c r="AF59" i="7"/>
  <c r="AG59" i="7" s="1"/>
  <c r="AK40" i="7"/>
  <c r="AG11" i="7"/>
  <c r="Y75" i="5"/>
  <c r="Y110" i="5" s="1"/>
  <c r="Y111" i="5" s="1"/>
  <c r="AF74" i="5"/>
  <c r="AG74" i="5" s="1"/>
  <c r="AF73" i="5"/>
  <c r="AG73" i="5" s="1"/>
  <c r="AG22" i="5"/>
  <c r="AL43" i="5" s="1"/>
  <c r="AL54" i="5" s="1"/>
  <c r="AK43" i="5"/>
  <c r="Y69" i="5"/>
  <c r="AF68" i="5"/>
  <c r="AG68" i="5" s="1"/>
  <c r="AG13" i="5"/>
  <c r="AL41" i="5" s="1"/>
  <c r="AL56" i="5" s="1"/>
  <c r="AK41" i="5"/>
  <c r="O76" i="5"/>
  <c r="Y51" i="5"/>
  <c r="AF106" i="5"/>
  <c r="AF55" i="5"/>
  <c r="AG55" i="5" s="1"/>
  <c r="AF97" i="5"/>
  <c r="AG97" i="5" s="1"/>
  <c r="Y45" i="5"/>
  <c r="Y87" i="5"/>
  <c r="AF86" i="5"/>
  <c r="AG86" i="5" s="1"/>
  <c r="Y39" i="5"/>
  <c r="AC108" i="7"/>
  <c r="AC53" i="5"/>
  <c r="AC55" i="5"/>
  <c r="AC56" i="5"/>
  <c r="AC58" i="5"/>
  <c r="Y107" i="6"/>
  <c r="Y108" i="6" s="1"/>
  <c r="Y105" i="6"/>
  <c r="AC94" i="5"/>
  <c r="AC92" i="5"/>
  <c r="AC85" i="5"/>
  <c r="AC83" i="5"/>
  <c r="AC101" i="5"/>
  <c r="AC103" i="5"/>
  <c r="AC89" i="5"/>
  <c r="AC91" i="5"/>
  <c r="AC88" i="5"/>
  <c r="AC86" i="5"/>
  <c r="AC106" i="5"/>
  <c r="AC104" i="5"/>
  <c r="X110" i="5"/>
  <c r="X111" i="5" s="1"/>
  <c r="AT88" i="5" s="1"/>
  <c r="X108" i="5"/>
  <c r="J110" i="5" l="1"/>
  <c r="J111" i="5" s="1"/>
  <c r="Y110" i="7"/>
  <c r="Y111" i="7" s="1"/>
  <c r="AC110" i="7"/>
  <c r="AC111" i="7" s="1"/>
  <c r="AT89" i="7" s="1"/>
  <c r="AM32" i="7"/>
  <c r="AM24" i="7"/>
  <c r="AM33" i="7"/>
  <c r="AM25" i="7"/>
  <c r="AM30" i="7"/>
  <c r="AM22" i="7"/>
  <c r="AM31" i="7"/>
  <c r="AM23" i="7"/>
  <c r="AM36" i="7"/>
  <c r="AM28" i="7"/>
  <c r="AM37" i="7"/>
  <c r="AM29" i="7"/>
  <c r="AM21" i="7"/>
  <c r="AM34" i="7"/>
  <c r="AM26" i="7"/>
  <c r="AM35" i="7"/>
  <c r="AM27" i="7"/>
  <c r="AG106" i="5"/>
  <c r="AL46" i="5" s="1"/>
  <c r="AK46" i="5"/>
  <c r="E113" i="5"/>
  <c r="Z8" i="5"/>
  <c r="AG34" i="5"/>
  <c r="AL44" i="5" s="1"/>
  <c r="AK44" i="5"/>
  <c r="AM42" i="5"/>
  <c r="AM55" i="5" s="1"/>
  <c r="AK55" i="5"/>
  <c r="AK55" i="7"/>
  <c r="AM42" i="7"/>
  <c r="AM55" i="7" s="1"/>
  <c r="AL54" i="7"/>
  <c r="AK53" i="7"/>
  <c r="AM44" i="7"/>
  <c r="AM53" i="7" s="1"/>
  <c r="AL55" i="7"/>
  <c r="AL40" i="7"/>
  <c r="AM40" i="7"/>
  <c r="AK57" i="7"/>
  <c r="AG19" i="7"/>
  <c r="AB7" i="7"/>
  <c r="AB8" i="7" s="1"/>
  <c r="AE8" i="7" s="1"/>
  <c r="T110" i="5"/>
  <c r="T111" i="5" s="1"/>
  <c r="O110" i="5"/>
  <c r="O111" i="5" s="1"/>
  <c r="AM41" i="7"/>
  <c r="AM56" i="7" s="1"/>
  <c r="AK56" i="7"/>
  <c r="AG82" i="7"/>
  <c r="AL45" i="7" s="1"/>
  <c r="AK45" i="7"/>
  <c r="AT84" i="7"/>
  <c r="I113" i="7"/>
  <c r="N113" i="7" s="1"/>
  <c r="S113" i="7" s="1"/>
  <c r="X113" i="7" s="1"/>
  <c r="AC113" i="7" s="1"/>
  <c r="AK56" i="5"/>
  <c r="AM41" i="5"/>
  <c r="AM56" i="5" s="1"/>
  <c r="AK54" i="5"/>
  <c r="AM43" i="5"/>
  <c r="AM54" i="5" s="1"/>
  <c r="AM49" i="7"/>
  <c r="AK57" i="5"/>
  <c r="AM40" i="5"/>
  <c r="AM57" i="5" s="1"/>
  <c r="AG106" i="7"/>
  <c r="AL46" i="7" s="1"/>
  <c r="AK46" i="7"/>
  <c r="AG82" i="5"/>
  <c r="AL45" i="5" s="1"/>
  <c r="AK45" i="5"/>
  <c r="AL56" i="7"/>
  <c r="AP41" i="7"/>
  <c r="AP56" i="7" s="1"/>
  <c r="AG25" i="5"/>
  <c r="AN43" i="5" s="1"/>
  <c r="AN54" i="5" s="1"/>
  <c r="AM49" i="5"/>
  <c r="AM21" i="5" a="1"/>
  <c r="AK54" i="7"/>
  <c r="AM43" i="7"/>
  <c r="AM54" i="7" s="1"/>
  <c r="AN44" i="7"/>
  <c r="AL53" i="7"/>
  <c r="AB7" i="5"/>
  <c r="AB8" i="5" s="1"/>
  <c r="AE8" i="5" s="1"/>
  <c r="AP46" i="5"/>
  <c r="AP51" i="5" s="1"/>
  <c r="AC110" i="5"/>
  <c r="AC111" i="5" s="1"/>
  <c r="AP45" i="5"/>
  <c r="AP52" i="5" s="1"/>
  <c r="AP42" i="5"/>
  <c r="AP55" i="5" s="1"/>
  <c r="AC108" i="5"/>
  <c r="AP43" i="5" l="1"/>
  <c r="AP54" i="5" s="1"/>
  <c r="AP44" i="5"/>
  <c r="AP53" i="5" s="1"/>
  <c r="AN41" i="7"/>
  <c r="R1" i="7"/>
  <c r="AP44" i="7"/>
  <c r="AP53" i="7" s="1"/>
  <c r="AK52" i="5"/>
  <c r="AM45" i="5"/>
  <c r="AM52" i="5" s="1"/>
  <c r="AN40" i="5"/>
  <c r="AL52" i="7"/>
  <c r="AN45" i="7"/>
  <c r="AP45" i="7"/>
  <c r="AP52" i="7" s="1"/>
  <c r="AM57" i="7"/>
  <c r="AN41" i="5"/>
  <c r="AN56" i="5" s="1"/>
  <c r="AN42" i="7"/>
  <c r="AN43" i="7"/>
  <c r="AN42" i="5"/>
  <c r="AN55" i="5" s="1"/>
  <c r="AN45" i="5"/>
  <c r="AN52" i="5" s="1"/>
  <c r="AL52" i="5"/>
  <c r="AP41" i="5"/>
  <c r="AP56" i="5" s="1"/>
  <c r="AT84" i="5"/>
  <c r="I113" i="5"/>
  <c r="N113" i="5" s="1"/>
  <c r="S113" i="5" s="1"/>
  <c r="X113" i="5" s="1"/>
  <c r="AP40" i="5"/>
  <c r="AP57" i="5" s="1"/>
  <c r="AM24" i="5"/>
  <c r="AM23" i="5"/>
  <c r="AM21" i="5"/>
  <c r="AM34" i="5"/>
  <c r="AM37" i="5"/>
  <c r="AM22" i="5"/>
  <c r="AM25" i="5"/>
  <c r="AM36" i="5"/>
  <c r="AM35" i="5"/>
  <c r="AM32" i="5"/>
  <c r="AM31" i="5"/>
  <c r="AM28" i="5"/>
  <c r="AM27" i="5"/>
  <c r="AM30" i="5"/>
  <c r="AM33" i="5"/>
  <c r="AM26" i="5"/>
  <c r="AM29" i="5"/>
  <c r="AN56" i="7"/>
  <c r="AM46" i="7"/>
  <c r="AM51" i="7" s="1"/>
  <c r="AK51" i="7"/>
  <c r="AP43" i="7"/>
  <c r="AP54" i="7" s="1"/>
  <c r="AP40" i="7"/>
  <c r="AL57" i="7"/>
  <c r="AN40" i="7"/>
  <c r="AM44" i="5"/>
  <c r="AK53" i="5"/>
  <c r="AM46" i="5"/>
  <c r="AM51" i="5" s="1"/>
  <c r="AK51" i="5"/>
  <c r="AN53" i="7"/>
  <c r="AL51" i="7"/>
  <c r="AN46" i="7"/>
  <c r="AP46" i="7"/>
  <c r="AP51" i="7" s="1"/>
  <c r="AP42" i="7"/>
  <c r="AP55" i="7" s="1"/>
  <c r="AM45" i="7"/>
  <c r="AM52" i="7" s="1"/>
  <c r="AK52" i="7"/>
  <c r="AC8" i="5"/>
  <c r="AC7" i="5" s="1"/>
  <c r="C59" i="5" s="1"/>
  <c r="AC8" i="7"/>
  <c r="AC7" i="7" s="1"/>
  <c r="C59" i="7" s="1"/>
  <c r="AL53" i="5"/>
  <c r="AN44" i="5"/>
  <c r="AN53" i="5" s="1"/>
  <c r="AL51" i="5"/>
  <c r="AN46" i="5"/>
  <c r="R1" i="5"/>
  <c r="AT89" i="5"/>
  <c r="AC113" i="5"/>
  <c r="AP48" i="5" l="1"/>
  <c r="AP59" i="5"/>
  <c r="AN51" i="7"/>
  <c r="AM48" i="7"/>
  <c r="AO43" i="7" s="1"/>
  <c r="AO54" i="7" s="1"/>
  <c r="AN57" i="7"/>
  <c r="AN48" i="7"/>
  <c r="AN54" i="7"/>
  <c r="AM59" i="7"/>
  <c r="AN57" i="5"/>
  <c r="AN48" i="5"/>
  <c r="AN51" i="5"/>
  <c r="AN55" i="7"/>
  <c r="AM53" i="5"/>
  <c r="AM59" i="5" s="1"/>
  <c r="AM48" i="5"/>
  <c r="AO46" i="5" s="1"/>
  <c r="AO51" i="5" s="1"/>
  <c r="AP57" i="7"/>
  <c r="AP59" i="7" s="1"/>
  <c r="AP48" i="7"/>
  <c r="AN52" i="7"/>
  <c r="AO45" i="7"/>
  <c r="AO52" i="7" s="1"/>
  <c r="AO42" i="7" l="1"/>
  <c r="AO55" i="7" s="1"/>
  <c r="AO40" i="7"/>
  <c r="AN59" i="5"/>
  <c r="AO42" i="5"/>
  <c r="AO55" i="5" s="1"/>
  <c r="AO41" i="5"/>
  <c r="AO56" i="5" s="1"/>
  <c r="AO43" i="5"/>
  <c r="AO54" i="5" s="1"/>
  <c r="AO44" i="5"/>
  <c r="AO53" i="5" s="1"/>
  <c r="AO45" i="5"/>
  <c r="AO52" i="5" s="1"/>
  <c r="AO40" i="5"/>
  <c r="AO41" i="7"/>
  <c r="AO56" i="7" s="1"/>
  <c r="AO44" i="7"/>
  <c r="AO53" i="7" s="1"/>
  <c r="AO46" i="7"/>
  <c r="AO51" i="7" s="1"/>
  <c r="AO57" i="7"/>
  <c r="AN59" i="7"/>
  <c r="AO48" i="7" l="1"/>
  <c r="AO59" i="7"/>
  <c r="AO57" i="5"/>
  <c r="AO48" i="5"/>
  <c r="AO59" i="5"/>
</calcChain>
</file>

<file path=xl/sharedStrings.xml><?xml version="1.0" encoding="utf-8"?>
<sst xmlns="http://schemas.openxmlformats.org/spreadsheetml/2006/main" count="357" uniqueCount="124">
  <si>
    <t>Baseline</t>
  </si>
  <si>
    <t>(Rel)</t>
  </si>
  <si>
    <t>(1-Rel) = Risk</t>
  </si>
  <si>
    <t>Demand</t>
  </si>
  <si>
    <t>Reliability</t>
  </si>
  <si>
    <t>Resilience</t>
  </si>
  <si>
    <t>Vulnerability</t>
  </si>
  <si>
    <t>Max. Deficit</t>
  </si>
  <si>
    <t>Sustainability</t>
  </si>
  <si>
    <t>Scenario</t>
  </si>
  <si>
    <r>
      <t>(Million 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/year)</t>
    </r>
  </si>
  <si>
    <t>(%)</t>
  </si>
  <si>
    <t>I</t>
  </si>
  <si>
    <t>II</t>
  </si>
  <si>
    <t>I + II</t>
  </si>
  <si>
    <t>III</t>
  </si>
  <si>
    <t>IV</t>
  </si>
  <si>
    <t>III + IV</t>
  </si>
  <si>
    <t>I (LRGV)</t>
  </si>
  <si>
    <t>III (LRGV)</t>
  </si>
  <si>
    <t>I + III (LRGV)</t>
  </si>
  <si>
    <t>III (LRGV) Shared</t>
  </si>
  <si>
    <t>V(LRGV)</t>
  </si>
  <si>
    <t>Total Demand</t>
  </si>
  <si>
    <t>Surface Water</t>
  </si>
  <si>
    <t>IA</t>
  </si>
  <si>
    <t>IB</t>
  </si>
  <si>
    <t>IA + IB</t>
  </si>
  <si>
    <t>IIA1b</t>
  </si>
  <si>
    <t>IVA</t>
  </si>
  <si>
    <t>IIA1b + IVA</t>
  </si>
  <si>
    <t>IA(LRGV)</t>
  </si>
  <si>
    <t>IIA1b(LRGV)</t>
  </si>
  <si>
    <t>IA+IIA1b(LRGV)</t>
  </si>
  <si>
    <t>IIA1b(LRGV) Shared</t>
  </si>
  <si>
    <t>($)</t>
  </si>
  <si>
    <t>CRF</t>
  </si>
  <si>
    <t>Project Length</t>
  </si>
  <si>
    <t>(years)</t>
  </si>
  <si>
    <t>(fraction)</t>
  </si>
  <si>
    <t>Interest Rate</t>
  </si>
  <si>
    <t>Tot. Investment</t>
  </si>
  <si>
    <t>Annual Inv.</t>
  </si>
  <si>
    <t>Cost ($)</t>
  </si>
  <si>
    <t xml:space="preserve">Annual </t>
  </si>
  <si>
    <t>O&amp;M ($)</t>
  </si>
  <si>
    <t>Annual Failure</t>
  </si>
  <si>
    <t xml:space="preserve"> Cost ($)</t>
  </si>
  <si>
    <t>Total Annual</t>
  </si>
  <si>
    <t>Crop Profit</t>
  </si>
  <si>
    <t>Sc. I</t>
  </si>
  <si>
    <t>* Note - 2007-2008 Crop season data for DR's</t>
  </si>
  <si>
    <t>Crop Value</t>
  </si>
  <si>
    <t>($Mill)</t>
  </si>
  <si>
    <t>Water Distribution</t>
  </si>
  <si>
    <t>(MCM/year)</t>
  </si>
  <si>
    <t>Crop Season</t>
  </si>
  <si>
    <t>2010-2011</t>
  </si>
  <si>
    <t>2007-2008</t>
  </si>
  <si>
    <t>PADUA</t>
  </si>
  <si>
    <t>Benefit</t>
  </si>
  <si>
    <t>Benefit - Cost</t>
  </si>
  <si>
    <t>Net Benef.</t>
  </si>
  <si>
    <t>P (x)</t>
  </si>
  <si>
    <t>P ( y | x )</t>
  </si>
  <si>
    <t>P (x) * P (y)</t>
  </si>
  <si>
    <t>Cost</t>
  </si>
  <si>
    <t>Benefit-Cost</t>
  </si>
  <si>
    <t>Old Approach</t>
  </si>
  <si>
    <t>Proposed Approach</t>
  </si>
  <si>
    <t>Net Benefits</t>
  </si>
  <si>
    <t>Rel</t>
  </si>
  <si>
    <t>Old =</t>
  </si>
  <si>
    <t>Proposed =</t>
  </si>
  <si>
    <t>Total Profit</t>
  </si>
  <si>
    <t>Avg. Year</t>
  </si>
  <si>
    <t>Succesful</t>
  </si>
  <si>
    <t>Unsuccesful</t>
  </si>
  <si>
    <t>Frequency</t>
  </si>
  <si>
    <t>f(x)</t>
  </si>
  <si>
    <t>Annual Benefits =</t>
  </si>
  <si>
    <t>P(Supply)=</t>
  </si>
  <si>
    <t>P(Deficit)=</t>
  </si>
  <si>
    <t>P(Supply|Supply)=</t>
  </si>
  <si>
    <t>P(Supply|Deficit)=</t>
  </si>
  <si>
    <t>P(Deficit|Supply)=</t>
  </si>
  <si>
    <t>P(Deficit|Deficit)=</t>
  </si>
  <si>
    <t>* Resilience</t>
  </si>
  <si>
    <t>Old Method</t>
  </si>
  <si>
    <t>Scenario I</t>
  </si>
  <si>
    <t>Sum ($)</t>
  </si>
  <si>
    <t>Avg. $/year</t>
  </si>
  <si>
    <t>Proposed Method</t>
  </si>
  <si>
    <t>Expected Annual Net Benefit</t>
  </si>
  <si>
    <t>E($NB/year)</t>
  </si>
  <si>
    <t>Year</t>
  </si>
  <si>
    <t xml:space="preserve">Typical </t>
  </si>
  <si>
    <t>Method</t>
  </si>
  <si>
    <t>($Mill/year)</t>
  </si>
  <si>
    <t>Proposed</t>
  </si>
  <si>
    <t>for Y=0  P(S)=Rel?</t>
  </si>
  <si>
    <t>0 = Yes, 1 = No</t>
  </si>
  <si>
    <t>Method?</t>
  </si>
  <si>
    <t>Starting from a S = 0</t>
  </si>
  <si>
    <t>or Unsuccessful = 1</t>
  </si>
  <si>
    <t>n=</t>
  </si>
  <si>
    <t># total</t>
  </si>
  <si>
    <t>S =</t>
  </si>
  <si>
    <t>Combinations</t>
  </si>
  <si>
    <t>Sbar =</t>
  </si>
  <si>
    <t>S</t>
  </si>
  <si>
    <t>S bar</t>
  </si>
  <si>
    <t># of D</t>
  </si>
  <si>
    <t xml:space="preserve">n = </t>
  </si>
  <si>
    <t># of No D</t>
  </si>
  <si>
    <t>Resil.</t>
  </si>
  <si>
    <t>Count</t>
  </si>
  <si>
    <t>No Resil.</t>
  </si>
  <si>
    <t>Resil=</t>
  </si>
  <si>
    <t xml:space="preserve">Reliab = </t>
  </si>
  <si>
    <t xml:space="preserve">No Resil = </t>
  </si>
  <si>
    <t>Reliab =</t>
  </si>
  <si>
    <t>Deficit =</t>
  </si>
  <si>
    <t>No Deficit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</si>
</sst>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0.0000"/>
    <numFmt numFmtId="165" formatCode="0.000"/>
    <numFmt numFmtId="166" formatCode="0.0"/>
    <numFmt numFmtId="167" formatCode="&quot;(&quot;&quot;$&quot;\ #,###.#&quot;)&quot;"/>
    <numFmt numFmtId="168" formatCode="&quot;(&quot;&quot;$&quot;\ #,###.0&quot;)&quot;"/>
    <numFmt numFmtId="169" formatCode="&quot;$&quot;#,##0.00"/>
    <numFmt numFmtId="170" formatCode="&quot;(&quot;&quot;$&quot;\ #,##0.#&quot;)&quot;"/>
    <numFmt numFmtId="171" formatCode="&quot;(&quot;&quot;$&quot;\ #,##0.0&quot;)&quot;"/>
    <numFmt numFmtId="172" formatCode="&quot;$&quot;#,##0.0"/>
    <numFmt numFmtId="173" formatCode="_(&quot;$&quot;* #,##0.0_);_(&quot;$&quot;* \(#,##0.0\);_(&quot;$&quot;* &quot;-&quot;??_);_(@_)"/>
    <numFmt numFmtId="174" formatCode="&quot;$&quot;#,##0"/>
    <numFmt numFmtId="175" formatCode="0.000000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3" borderId="11" applyNumberFormat="0" applyAlignment="0" applyProtection="0"/>
    <xf numFmtId="0" fontId="5" fillId="4" borderId="12" applyNumberFormat="0" applyAlignment="0" applyProtection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5" xfId="0" applyBorder="1"/>
    <xf numFmtId="2" fontId="0" fillId="0" borderId="5" xfId="0" applyNumberFormat="1" applyBorder="1" applyAlignment="1">
      <alignment horizontal="center"/>
    </xf>
    <xf numFmtId="0" fontId="2" fillId="0" borderId="0" xfId="0" applyFont="1"/>
    <xf numFmtId="9" fontId="0" fillId="0" borderId="0" xfId="1" applyFon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3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9" fontId="0" fillId="0" borderId="3" xfId="1" applyFont="1" applyBorder="1" applyAlignment="1">
      <alignment horizontal="center"/>
    </xf>
    <xf numFmtId="0" fontId="0" fillId="0" borderId="0" xfId="0" applyBorder="1" applyAlignment="1">
      <alignment horizontal="left"/>
    </xf>
    <xf numFmtId="2" fontId="0" fillId="0" borderId="0" xfId="0" applyNumberFormat="1" applyBorder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0" borderId="7" xfId="0" applyBorder="1"/>
    <xf numFmtId="164" fontId="0" fillId="0" borderId="0" xfId="0" applyNumberFormat="1" applyBorder="1"/>
    <xf numFmtId="0" fontId="0" fillId="0" borderId="7" xfId="0" applyFill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1" fontId="2" fillId="2" borderId="9" xfId="0" applyNumberFormat="1" applyFont="1" applyFill="1" applyBorder="1" applyAlignment="1">
      <alignment horizontal="center"/>
    </xf>
    <xf numFmtId="0" fontId="2" fillId="2" borderId="9" xfId="0" applyFont="1" applyFill="1" applyBorder="1"/>
    <xf numFmtId="166" fontId="2" fillId="2" borderId="9" xfId="0" applyNumberFormat="1" applyFont="1" applyFill="1" applyBorder="1" applyAlignment="1">
      <alignment horizontal="center"/>
    </xf>
    <xf numFmtId="0" fontId="0" fillId="2" borderId="9" xfId="0" applyFill="1" applyBorder="1"/>
    <xf numFmtId="167" fontId="0" fillId="0" borderId="10" xfId="0" applyNumberForma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167" fontId="0" fillId="0" borderId="3" xfId="0" applyNumberFormat="1" applyBorder="1" applyAlignment="1">
      <alignment horizontal="center"/>
    </xf>
    <xf numFmtId="0" fontId="0" fillId="0" borderId="1" xfId="0" applyBorder="1"/>
    <xf numFmtId="0" fontId="0" fillId="0" borderId="2" xfId="0" applyBorder="1"/>
    <xf numFmtId="169" fontId="0" fillId="0" borderId="0" xfId="0" applyNumberFormat="1"/>
    <xf numFmtId="170" fontId="0" fillId="0" borderId="10" xfId="0" applyNumberFormat="1" applyBorder="1" applyAlignment="1">
      <alignment horizontal="center"/>
    </xf>
    <xf numFmtId="170" fontId="0" fillId="0" borderId="3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71" fontId="0" fillId="0" borderId="3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71" fontId="0" fillId="0" borderId="0" xfId="0" applyNumberFormat="1" applyBorder="1" applyAlignment="1">
      <alignment horizontal="center"/>
    </xf>
    <xf numFmtId="0" fontId="2" fillId="0" borderId="0" xfId="0" applyFont="1" applyBorder="1"/>
    <xf numFmtId="0" fontId="0" fillId="0" borderId="0" xfId="0" applyBorder="1" applyAlignment="1"/>
    <xf numFmtId="0" fontId="0" fillId="0" borderId="0" xfId="0" applyBorder="1" applyAlignment="1">
      <alignment vertical="center"/>
    </xf>
    <xf numFmtId="171" fontId="0" fillId="0" borderId="0" xfId="0" applyNumberFormat="1"/>
    <xf numFmtId="0" fontId="0" fillId="0" borderId="0" xfId="0" applyAlignment="1">
      <alignment horizontal="right"/>
    </xf>
    <xf numFmtId="0" fontId="4" fillId="3" borderId="11" xfId="2" applyAlignment="1">
      <alignment horizontal="center"/>
    </xf>
    <xf numFmtId="172" fontId="0" fillId="0" borderId="0" xfId="0" applyNumberFormat="1" applyAlignment="1">
      <alignment horizontal="center"/>
    </xf>
    <xf numFmtId="173" fontId="4" fillId="3" borderId="11" xfId="2" applyNumberFormat="1"/>
    <xf numFmtId="174" fontId="0" fillId="0" borderId="0" xfId="0" applyNumberFormat="1"/>
    <xf numFmtId="166" fontId="0" fillId="0" borderId="0" xfId="0" applyNumberFormat="1" applyAlignment="1">
      <alignment horizontal="center"/>
    </xf>
    <xf numFmtId="172" fontId="5" fillId="4" borderId="12" xfId="3" applyNumberFormat="1"/>
    <xf numFmtId="0" fontId="2" fillId="0" borderId="0" xfId="0" applyFont="1" applyAlignment="1">
      <alignment horizontal="right"/>
    </xf>
    <xf numFmtId="9" fontId="1" fillId="0" borderId="0" xfId="1" applyFont="1" applyAlignment="1">
      <alignment horizontal="center"/>
    </xf>
    <xf numFmtId="165" fontId="2" fillId="0" borderId="0" xfId="0" applyNumberFormat="1" applyFont="1" applyAlignment="1">
      <alignment horizontal="center"/>
    </xf>
    <xf numFmtId="171" fontId="0" fillId="0" borderId="0" xfId="0" applyNumberFormat="1" applyBorder="1" applyAlignment="1">
      <alignment horizontal="center"/>
    </xf>
    <xf numFmtId="172" fontId="5" fillId="4" borderId="12" xfId="3" applyNumberFormat="1" applyAlignment="1">
      <alignment horizontal="center"/>
    </xf>
    <xf numFmtId="171" fontId="5" fillId="4" borderId="12" xfId="3" applyNumberFormat="1"/>
    <xf numFmtId="172" fontId="0" fillId="0" borderId="0" xfId="0" applyNumberFormat="1"/>
    <xf numFmtId="175" fontId="0" fillId="0" borderId="7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71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165" fontId="0" fillId="0" borderId="0" xfId="0" applyNumberFormat="1"/>
  </cellXfs>
  <cellStyles count="4">
    <cellStyle name="Input" xfId="2" builtinId="20"/>
    <cellStyle name="Normal" xfId="0" builtinId="0"/>
    <cellStyle name="Output" xfId="3" builtinId="21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65000"/>
                <a:lumOff val="35000"/>
              </a:schemeClr>
            </a:solidFill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(Baseline!$E$111,Baseline!$I$111,Baseline!$N$111,Baseline!$S$111,Baseline!$X$111,Baseline!$AC$111)</c:f>
              <c:numCache>
                <c:formatCode>"$"#,##0.0</c:formatCode>
                <c:ptCount val="6"/>
                <c:pt idx="0">
                  <c:v>175.3134483114759</c:v>
                </c:pt>
                <c:pt idx="1">
                  <c:v>181.64498853133631</c:v>
                </c:pt>
                <c:pt idx="2">
                  <c:v>183.15249810749353</c:v>
                </c:pt>
                <c:pt idx="3">
                  <c:v>183.97086044883608</c:v>
                </c:pt>
                <c:pt idx="4">
                  <c:v>184.45449413326853</c:v>
                </c:pt>
                <c:pt idx="5">
                  <c:v>184.9236191587739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C2-4647-AA3A-E7C88E55A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555008"/>
        <c:axId val="142573568"/>
      </c:barChart>
      <c:lineChart>
        <c:grouping val="standard"/>
        <c:varyColors val="0"/>
        <c:ser>
          <c:idx val="1"/>
          <c:order val="1"/>
          <c:spPr>
            <a:ln w="38100">
              <a:solidFill>
                <a:schemeClr val="tx1"/>
              </a:solidFill>
              <a:prstDash val="dash"/>
            </a:ln>
          </c:spPr>
          <c:marker>
            <c:symbol val="none"/>
          </c:marker>
          <c:val>
            <c:numRef>
              <c:f>(Baseline!$E$113,Baseline!$I$113,Baseline!$N$113,Baseline!$S$113,Baseline!$X$113,Baseline!$AC$113)</c:f>
              <c:numCache>
                <c:formatCode>"$"#,##0.0</c:formatCode>
                <c:ptCount val="6"/>
                <c:pt idx="0">
                  <c:v>175.3134483114759</c:v>
                </c:pt>
                <c:pt idx="1">
                  <c:v>175.3134483114759</c:v>
                </c:pt>
                <c:pt idx="2">
                  <c:v>175.3134483114759</c:v>
                </c:pt>
                <c:pt idx="3">
                  <c:v>175.3134483114759</c:v>
                </c:pt>
                <c:pt idx="4">
                  <c:v>175.3134483114759</c:v>
                </c:pt>
                <c:pt idx="5">
                  <c:v>175.3134483114759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C2-4647-AA3A-E7C88E55A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555008"/>
        <c:axId val="142573568"/>
      </c:lineChart>
      <c:catAx>
        <c:axId val="142555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of years used to estimate the EANB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42573568"/>
        <c:crosses val="autoZero"/>
        <c:auto val="1"/>
        <c:lblAlgn val="ctr"/>
        <c:lblOffset val="100"/>
        <c:noMultiLvlLbl val="0"/>
      </c:catAx>
      <c:valAx>
        <c:axId val="142573568"/>
        <c:scaling>
          <c:orientation val="minMax"/>
          <c:max val="190"/>
        </c:scaling>
        <c:delete val="0"/>
        <c:axPos val="l"/>
        <c:majorGridlines>
          <c:spPr>
            <a:ln w="3175"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Annual Net benefits ($ Mill/year)</a:t>
                </a:r>
              </a:p>
            </c:rich>
          </c:tx>
          <c:layout/>
          <c:overlay val="0"/>
        </c:title>
        <c:numFmt formatCode="&quot;$&quot;#,##0" sourceLinked="0"/>
        <c:majorTickMark val="out"/>
        <c:minorTickMark val="none"/>
        <c:tickLblPos val="nextTo"/>
        <c:crossAx val="14255500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Baseline!$AK$21:$AK$37</c:f>
              <c:numCache>
                <c:formatCode>General</c:formatCode>
                <c:ptCount val="17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</c:numCache>
            </c:numRef>
          </c:cat>
          <c:val>
            <c:numRef>
              <c:f>Baseline!$AM$21:$AM$37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15</c:v>
                </c:pt>
                <c:pt idx="7">
                  <c:v>0</c:v>
                </c:pt>
                <c:pt idx="8">
                  <c:v>0</c:v>
                </c:pt>
                <c:pt idx="9">
                  <c:v>20</c:v>
                </c:pt>
                <c:pt idx="10">
                  <c:v>0</c:v>
                </c:pt>
                <c:pt idx="11">
                  <c:v>15</c:v>
                </c:pt>
                <c:pt idx="12">
                  <c:v>0</c:v>
                </c:pt>
                <c:pt idx="13">
                  <c:v>0</c:v>
                </c:pt>
                <c:pt idx="14">
                  <c:v>6</c:v>
                </c:pt>
                <c:pt idx="15">
                  <c:v>0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58-488E-9982-2C2943F78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581120"/>
        <c:axId val="142591104"/>
      </c:barChart>
      <c:catAx>
        <c:axId val="142581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2591104"/>
        <c:crosses val="autoZero"/>
        <c:auto val="1"/>
        <c:lblAlgn val="ctr"/>
        <c:lblOffset val="100"/>
        <c:noMultiLvlLbl val="0"/>
      </c:catAx>
      <c:valAx>
        <c:axId val="14259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581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Baseline!$AK$40:$AK$46</c:f>
              <c:numCache>
                <c:formatCode>"(""$"\ #,##0.0")"</c:formatCode>
                <c:ptCount val="7"/>
                <c:pt idx="0">
                  <c:v>1583.7300683371298</c:v>
                </c:pt>
                <c:pt idx="1">
                  <c:v>1325.192176026163</c:v>
                </c:pt>
                <c:pt idx="2">
                  <c:v>1066.6542837151965</c:v>
                </c:pt>
                <c:pt idx="3">
                  <c:v>808.11639140422972</c:v>
                </c:pt>
                <c:pt idx="4">
                  <c:v>549.57849909326308</c:v>
                </c:pt>
                <c:pt idx="5">
                  <c:v>291.04060678229638</c:v>
                </c:pt>
                <c:pt idx="6">
                  <c:v>32.502714471329682</c:v>
                </c:pt>
              </c:numCache>
            </c:numRef>
          </c:cat>
          <c:val>
            <c:numRef>
              <c:f>Baseline!$AM$40:$AM$46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15</c:v>
                </c:pt>
                <c:pt idx="3">
                  <c:v>20</c:v>
                </c:pt>
                <c:pt idx="4">
                  <c:v>15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5F-4F84-B2A3-4A9D89793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143680"/>
        <c:axId val="143145216"/>
      </c:barChart>
      <c:catAx>
        <c:axId val="143143680"/>
        <c:scaling>
          <c:orientation val="minMax"/>
        </c:scaling>
        <c:delete val="0"/>
        <c:axPos val="b"/>
        <c:numFmt formatCode="&quot;(&quot;&quot;$&quot;\ #,##0.0&quot;)&quot;" sourceLinked="1"/>
        <c:majorTickMark val="out"/>
        <c:minorTickMark val="none"/>
        <c:tickLblPos val="nextTo"/>
        <c:crossAx val="143145216"/>
        <c:crosses val="autoZero"/>
        <c:auto val="1"/>
        <c:lblAlgn val="ctr"/>
        <c:lblOffset val="100"/>
        <c:noMultiLvlLbl val="0"/>
      </c:catAx>
      <c:valAx>
        <c:axId val="14314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3143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Baseline!$AL$40:$AL$46</c:f>
              <c:numCache>
                <c:formatCode>"(""$"\ #,##0.0")"</c:formatCode>
                <c:ptCount val="7"/>
                <c:pt idx="0">
                  <c:v>263.95501138952164</c:v>
                </c:pt>
                <c:pt idx="1">
                  <c:v>220.86536267102716</c:v>
                </c:pt>
                <c:pt idx="2">
                  <c:v>177.77571395253275</c:v>
                </c:pt>
                <c:pt idx="3">
                  <c:v>134.6860652340383</c:v>
                </c:pt>
                <c:pt idx="4">
                  <c:v>91.596416515543851</c:v>
                </c:pt>
                <c:pt idx="5">
                  <c:v>48.506767797049399</c:v>
                </c:pt>
                <c:pt idx="6">
                  <c:v>5.417119078554947</c:v>
                </c:pt>
              </c:numCache>
            </c:numRef>
          </c:cat>
          <c:val>
            <c:numRef>
              <c:f>Baseline!$AP$40:$AP$46</c:f>
              <c:numCache>
                <c:formatCode>0.000</c:formatCode>
                <c:ptCount val="7"/>
                <c:pt idx="0">
                  <c:v>8.0530194867784607E-2</c:v>
                </c:pt>
                <c:pt idx="1">
                  <c:v>0.29776382072095803</c:v>
                </c:pt>
                <c:pt idx="2">
                  <c:v>0.38011704646873334</c:v>
                </c:pt>
                <c:pt idx="3">
                  <c:v>0.19426625572678063</c:v>
                </c:pt>
                <c:pt idx="4">
                  <c:v>4.340431486880468E-2</c:v>
                </c:pt>
                <c:pt idx="5">
                  <c:v>3.8086530612244894E-3</c:v>
                </c:pt>
                <c:pt idx="6">
                  <c:v>1.0971428571428562E-4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40-42C8-B417-48D09505E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170560"/>
        <c:axId val="143180544"/>
      </c:barChart>
      <c:catAx>
        <c:axId val="143170560"/>
        <c:scaling>
          <c:orientation val="minMax"/>
        </c:scaling>
        <c:delete val="0"/>
        <c:axPos val="b"/>
        <c:numFmt formatCode="&quot;(&quot;&quot;$&quot;\ #,##0.0&quot;)&quot;" sourceLinked="1"/>
        <c:majorTickMark val="out"/>
        <c:minorTickMark val="none"/>
        <c:tickLblPos val="nextTo"/>
        <c:crossAx val="143180544"/>
        <c:crosses val="autoZero"/>
        <c:auto val="1"/>
        <c:lblAlgn val="ctr"/>
        <c:lblOffset val="100"/>
        <c:noMultiLvlLbl val="0"/>
      </c:catAx>
      <c:valAx>
        <c:axId val="143180544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431705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Baseline!$AL$51:$AL$57</c:f>
              <c:numCache>
                <c:formatCode>"(""$"\ #,##0.0")"</c:formatCode>
                <c:ptCount val="7"/>
                <c:pt idx="0">
                  <c:v>5.417119078554947</c:v>
                </c:pt>
                <c:pt idx="1">
                  <c:v>48.506767797049399</c:v>
                </c:pt>
                <c:pt idx="2">
                  <c:v>91.596416515543851</c:v>
                </c:pt>
                <c:pt idx="3">
                  <c:v>134.6860652340383</c:v>
                </c:pt>
                <c:pt idx="4">
                  <c:v>177.77571395253275</c:v>
                </c:pt>
                <c:pt idx="5">
                  <c:v>220.86536267102716</c:v>
                </c:pt>
                <c:pt idx="6">
                  <c:v>263.95501138952164</c:v>
                </c:pt>
              </c:numCache>
            </c:numRef>
          </c:cat>
          <c:val>
            <c:numRef>
              <c:f>Baseline!$AP$51:$AP$57</c:f>
              <c:numCache>
                <c:formatCode>0.000</c:formatCode>
                <c:ptCount val="7"/>
                <c:pt idx="0">
                  <c:v>1.0971428571428562E-4</c:v>
                </c:pt>
                <c:pt idx="1">
                  <c:v>3.8086530612244894E-3</c:v>
                </c:pt>
                <c:pt idx="2">
                  <c:v>4.340431486880468E-2</c:v>
                </c:pt>
                <c:pt idx="3">
                  <c:v>0.19426625572678063</c:v>
                </c:pt>
                <c:pt idx="4">
                  <c:v>0.38011704646873334</c:v>
                </c:pt>
                <c:pt idx="5">
                  <c:v>0.29776382072095803</c:v>
                </c:pt>
                <c:pt idx="6">
                  <c:v>8.0530194867784607E-2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A-4ABD-83E8-04072CA2D3D4}"/>
            </c:ext>
          </c:extLst>
        </c:ser>
        <c:ser>
          <c:idx val="1"/>
          <c:order val="1"/>
          <c:invertIfNegative val="0"/>
          <c:cat>
            <c:numRef>
              <c:f>Baseline!$AL$51:$AL$57</c:f>
              <c:numCache>
                <c:formatCode>"(""$"\ #,##0.0")"</c:formatCode>
                <c:ptCount val="7"/>
                <c:pt idx="0">
                  <c:v>5.417119078554947</c:v>
                </c:pt>
                <c:pt idx="1">
                  <c:v>48.506767797049399</c:v>
                </c:pt>
                <c:pt idx="2">
                  <c:v>91.596416515543851</c:v>
                </c:pt>
                <c:pt idx="3">
                  <c:v>134.6860652340383</c:v>
                </c:pt>
                <c:pt idx="4">
                  <c:v>177.77571395253275</c:v>
                </c:pt>
                <c:pt idx="5">
                  <c:v>220.86536267102716</c:v>
                </c:pt>
                <c:pt idx="6">
                  <c:v>263.95501138952164</c:v>
                </c:pt>
              </c:numCache>
            </c:numRef>
          </c:cat>
          <c:val>
            <c:numRef>
              <c:f>Baseline!$AO$51:$AO$57</c:f>
              <c:numCache>
                <c:formatCode>0.000</c:formatCode>
                <c:ptCount val="7"/>
                <c:pt idx="0">
                  <c:v>1.5625E-2</c:v>
                </c:pt>
                <c:pt idx="1">
                  <c:v>9.375E-2</c:v>
                </c:pt>
                <c:pt idx="2">
                  <c:v>0.234375</c:v>
                </c:pt>
                <c:pt idx="3">
                  <c:v>0.3125</c:v>
                </c:pt>
                <c:pt idx="4">
                  <c:v>0.234375</c:v>
                </c:pt>
                <c:pt idx="5">
                  <c:v>9.375E-2</c:v>
                </c:pt>
                <c:pt idx="6">
                  <c:v>1.5625E-2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EA-4ABD-83E8-04072CA2D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205504"/>
        <c:axId val="143207040"/>
      </c:barChart>
      <c:catAx>
        <c:axId val="143205504"/>
        <c:scaling>
          <c:orientation val="minMax"/>
        </c:scaling>
        <c:delete val="0"/>
        <c:axPos val="b"/>
        <c:numFmt formatCode="&quot;(&quot;&quot;$&quot;\ #,##0.0&quot;)&quot;" sourceLinked="1"/>
        <c:majorTickMark val="out"/>
        <c:minorTickMark val="none"/>
        <c:tickLblPos val="nextTo"/>
        <c:crossAx val="143207040"/>
        <c:crosses val="autoZero"/>
        <c:auto val="1"/>
        <c:lblAlgn val="ctr"/>
        <c:lblOffset val="100"/>
        <c:noMultiLvlLbl val="0"/>
      </c:catAx>
      <c:valAx>
        <c:axId val="143207040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43205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65000"/>
                <a:lumOff val="35000"/>
              </a:schemeClr>
            </a:solidFill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('Baseline (2)'!$E$111,'Baseline (2)'!$I$111,'Baseline (2)'!$N$111,'Baseline (2)'!$S$111,'Baseline (2)'!$X$111,'Baseline (2)'!$AC$111)</c:f>
              <c:numCache>
                <c:formatCode>"$"#,##0.0</c:formatCode>
                <c:ptCount val="6"/>
                <c:pt idx="0">
                  <c:v>197.47383908098737</c:v>
                </c:pt>
                <c:pt idx="1">
                  <c:v>192.72518391609205</c:v>
                </c:pt>
                <c:pt idx="2">
                  <c:v>190.69004598827976</c:v>
                </c:pt>
                <c:pt idx="3">
                  <c:v>189.62402135942577</c:v>
                </c:pt>
                <c:pt idx="4">
                  <c:v>188.97886879183349</c:v>
                </c:pt>
                <c:pt idx="5">
                  <c:v>188.33846923052701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9F-4048-BDA7-7825E06F7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274368"/>
        <c:axId val="143276288"/>
      </c:barChart>
      <c:lineChart>
        <c:grouping val="standard"/>
        <c:varyColors val="0"/>
        <c:ser>
          <c:idx val="1"/>
          <c:order val="1"/>
          <c:spPr>
            <a:ln w="38100">
              <a:solidFill>
                <a:schemeClr val="tx1"/>
              </a:solidFill>
              <a:prstDash val="dash"/>
            </a:ln>
          </c:spPr>
          <c:marker>
            <c:symbol val="none"/>
          </c:marker>
          <c:val>
            <c:numRef>
              <c:f>('Baseline (2)'!$E$113,'Baseline (2)'!$I$113,'Baseline (2)'!$N$113,'Baseline (2)'!$S$113,'Baseline (2)'!$X$113,'Baseline (2)'!$AC$113)</c:f>
              <c:numCache>
                <c:formatCode>"$"#,##0.0</c:formatCode>
                <c:ptCount val="6"/>
                <c:pt idx="0">
                  <c:v>197.47383908098737</c:v>
                </c:pt>
                <c:pt idx="1">
                  <c:v>197.47383908098737</c:v>
                </c:pt>
                <c:pt idx="2">
                  <c:v>197.47383908098737</c:v>
                </c:pt>
                <c:pt idx="3">
                  <c:v>197.47383908098737</c:v>
                </c:pt>
                <c:pt idx="4">
                  <c:v>197.47383908098737</c:v>
                </c:pt>
                <c:pt idx="5">
                  <c:v>197.47383908098737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9F-4048-BDA7-7825E06F7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274368"/>
        <c:axId val="143276288"/>
      </c:lineChart>
      <c:catAx>
        <c:axId val="143274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of years used to estimate the EANB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43276288"/>
        <c:crosses val="autoZero"/>
        <c:auto val="1"/>
        <c:lblAlgn val="ctr"/>
        <c:lblOffset val="100"/>
        <c:noMultiLvlLbl val="0"/>
      </c:catAx>
      <c:valAx>
        <c:axId val="143276288"/>
        <c:scaling>
          <c:orientation val="minMax"/>
        </c:scaling>
        <c:delete val="0"/>
        <c:axPos val="l"/>
        <c:majorGridlines>
          <c:spPr>
            <a:ln w="3175"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Annual Net benefits ($ Mill/year)</a:t>
                </a:r>
              </a:p>
            </c:rich>
          </c:tx>
          <c:layout/>
          <c:overlay val="0"/>
        </c:title>
        <c:numFmt formatCode="&quot;$&quot;#,##0" sourceLinked="0"/>
        <c:majorTickMark val="out"/>
        <c:minorTickMark val="none"/>
        <c:tickLblPos val="nextTo"/>
        <c:crossAx val="14327436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'Baseline (2)'!$AK$21:$AK$37</c:f>
              <c:numCache>
                <c:formatCode>General</c:formatCode>
                <c:ptCount val="17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</c:numCache>
            </c:numRef>
          </c:cat>
          <c:val>
            <c:numRef>
              <c:f>'Baseline (2)'!$AM$21:$AM$37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15</c:v>
                </c:pt>
                <c:pt idx="7">
                  <c:v>0</c:v>
                </c:pt>
                <c:pt idx="8">
                  <c:v>0</c:v>
                </c:pt>
                <c:pt idx="9">
                  <c:v>20</c:v>
                </c:pt>
                <c:pt idx="10">
                  <c:v>0</c:v>
                </c:pt>
                <c:pt idx="11">
                  <c:v>15</c:v>
                </c:pt>
                <c:pt idx="12">
                  <c:v>0</c:v>
                </c:pt>
                <c:pt idx="13">
                  <c:v>0</c:v>
                </c:pt>
                <c:pt idx="14">
                  <c:v>6</c:v>
                </c:pt>
                <c:pt idx="15">
                  <c:v>0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03-4477-9ACF-A741A88F9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302656"/>
        <c:axId val="143304192"/>
      </c:barChart>
      <c:catAx>
        <c:axId val="143302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3304192"/>
        <c:crosses val="autoZero"/>
        <c:auto val="1"/>
        <c:lblAlgn val="ctr"/>
        <c:lblOffset val="100"/>
        <c:noMultiLvlLbl val="0"/>
      </c:catAx>
      <c:valAx>
        <c:axId val="143304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33026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'Baseline (2)'!$AK$40:$AK$46</c:f>
              <c:numCache>
                <c:formatCode>"(""$"\ #,##0.0")"</c:formatCode>
                <c:ptCount val="7"/>
                <c:pt idx="0">
                  <c:v>1583.7300683371298</c:v>
                </c:pt>
                <c:pt idx="1">
                  <c:v>1325.192176026163</c:v>
                </c:pt>
                <c:pt idx="2">
                  <c:v>1066.6542837151965</c:v>
                </c:pt>
                <c:pt idx="3">
                  <c:v>808.11639140422972</c:v>
                </c:pt>
                <c:pt idx="4">
                  <c:v>549.57849909326308</c:v>
                </c:pt>
                <c:pt idx="5">
                  <c:v>291.04060678229638</c:v>
                </c:pt>
                <c:pt idx="6">
                  <c:v>32.502714471329682</c:v>
                </c:pt>
              </c:numCache>
            </c:numRef>
          </c:cat>
          <c:val>
            <c:numRef>
              <c:f>'Baseline (2)'!$AM$40:$AM$46</c:f>
              <c:numCache>
                <c:formatCode>General</c:formatCode>
                <c:ptCount val="7"/>
                <c:pt idx="0">
                  <c:v>1</c:v>
                </c:pt>
                <c:pt idx="1">
                  <c:v>6</c:v>
                </c:pt>
                <c:pt idx="2">
                  <c:v>15</c:v>
                </c:pt>
                <c:pt idx="3">
                  <c:v>20</c:v>
                </c:pt>
                <c:pt idx="4">
                  <c:v>15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63-480B-9180-7A81A3019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471360"/>
        <c:axId val="143472896"/>
      </c:barChart>
      <c:catAx>
        <c:axId val="143471360"/>
        <c:scaling>
          <c:orientation val="minMax"/>
        </c:scaling>
        <c:delete val="0"/>
        <c:axPos val="b"/>
        <c:numFmt formatCode="&quot;(&quot;&quot;$&quot;\ #,##0.0&quot;)&quot;" sourceLinked="1"/>
        <c:majorTickMark val="out"/>
        <c:minorTickMark val="none"/>
        <c:tickLblPos val="nextTo"/>
        <c:crossAx val="143472896"/>
        <c:crosses val="autoZero"/>
        <c:auto val="1"/>
        <c:lblAlgn val="ctr"/>
        <c:lblOffset val="100"/>
        <c:noMultiLvlLbl val="0"/>
      </c:catAx>
      <c:valAx>
        <c:axId val="143472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34713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'Baseline (2)'!$AL$40:$AL$46</c:f>
              <c:numCache>
                <c:formatCode>"(""$"\ #,##0.0")"</c:formatCode>
                <c:ptCount val="7"/>
                <c:pt idx="0">
                  <c:v>263.95501138952164</c:v>
                </c:pt>
                <c:pt idx="1">
                  <c:v>220.86536267102716</c:v>
                </c:pt>
                <c:pt idx="2">
                  <c:v>177.77571395253275</c:v>
                </c:pt>
                <c:pt idx="3">
                  <c:v>134.6860652340383</c:v>
                </c:pt>
                <c:pt idx="4">
                  <c:v>91.596416515543851</c:v>
                </c:pt>
                <c:pt idx="5">
                  <c:v>48.506767797049399</c:v>
                </c:pt>
                <c:pt idx="6">
                  <c:v>5.417119078554947</c:v>
                </c:pt>
              </c:numCache>
            </c:numRef>
          </c:cat>
          <c:val>
            <c:numRef>
              <c:f>'Baseline (2)'!$AP$40:$AP$46</c:f>
              <c:numCache>
                <c:formatCode>0.000</c:formatCode>
                <c:ptCount val="7"/>
                <c:pt idx="0">
                  <c:v>0.16804740936174559</c:v>
                </c:pt>
                <c:pt idx="1">
                  <c:v>0.29308860301405026</c:v>
                </c:pt>
                <c:pt idx="2">
                  <c:v>0.27152297971083478</c:v>
                </c:pt>
                <c:pt idx="3">
                  <c:v>0.17489552686380674</c:v>
                </c:pt>
                <c:pt idx="4">
                  <c:v>7.0816093294460633E-2</c:v>
                </c:pt>
                <c:pt idx="5">
                  <c:v>1.8996244897959185E-2</c:v>
                </c:pt>
                <c:pt idx="6">
                  <c:v>2.6331428571428582E-3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82-42D7-894C-716692849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488512"/>
        <c:axId val="143490048"/>
      </c:barChart>
      <c:catAx>
        <c:axId val="143488512"/>
        <c:scaling>
          <c:orientation val="minMax"/>
        </c:scaling>
        <c:delete val="0"/>
        <c:axPos val="b"/>
        <c:numFmt formatCode="&quot;(&quot;&quot;$&quot;\ #,##0.0&quot;)&quot;" sourceLinked="1"/>
        <c:majorTickMark val="out"/>
        <c:minorTickMark val="none"/>
        <c:tickLblPos val="nextTo"/>
        <c:crossAx val="143490048"/>
        <c:crosses val="autoZero"/>
        <c:auto val="1"/>
        <c:lblAlgn val="ctr"/>
        <c:lblOffset val="100"/>
        <c:noMultiLvlLbl val="0"/>
      </c:catAx>
      <c:valAx>
        <c:axId val="143490048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43488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'Baseline (2)'!$AL$51:$AL$57</c:f>
              <c:numCache>
                <c:formatCode>"(""$"\ #,##0.0")"</c:formatCode>
                <c:ptCount val="7"/>
                <c:pt idx="0">
                  <c:v>5.417119078554947</c:v>
                </c:pt>
                <c:pt idx="1">
                  <c:v>48.506767797049399</c:v>
                </c:pt>
                <c:pt idx="2">
                  <c:v>91.596416515543851</c:v>
                </c:pt>
                <c:pt idx="3">
                  <c:v>134.6860652340383</c:v>
                </c:pt>
                <c:pt idx="4">
                  <c:v>177.77571395253275</c:v>
                </c:pt>
                <c:pt idx="5">
                  <c:v>220.86536267102716</c:v>
                </c:pt>
                <c:pt idx="6">
                  <c:v>263.95501138952164</c:v>
                </c:pt>
              </c:numCache>
            </c:numRef>
          </c:cat>
          <c:val>
            <c:numRef>
              <c:f>'Baseline (2)'!$AP$51:$AP$57</c:f>
              <c:numCache>
                <c:formatCode>0.000</c:formatCode>
                <c:ptCount val="7"/>
                <c:pt idx="0">
                  <c:v>2.6331428571428582E-3</c:v>
                </c:pt>
                <c:pt idx="1">
                  <c:v>1.8996244897959185E-2</c:v>
                </c:pt>
                <c:pt idx="2">
                  <c:v>7.0816093294460633E-2</c:v>
                </c:pt>
                <c:pt idx="3">
                  <c:v>0.17489552686380674</c:v>
                </c:pt>
                <c:pt idx="4">
                  <c:v>0.27152297971083478</c:v>
                </c:pt>
                <c:pt idx="5">
                  <c:v>0.29308860301405026</c:v>
                </c:pt>
                <c:pt idx="6">
                  <c:v>0.16804740936174559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8F-4BB2-89FB-F4FDF5D3D999}"/>
            </c:ext>
          </c:extLst>
        </c:ser>
        <c:ser>
          <c:idx val="1"/>
          <c:order val="1"/>
          <c:invertIfNegative val="0"/>
          <c:cat>
            <c:numRef>
              <c:f>'Baseline (2)'!$AL$51:$AL$57</c:f>
              <c:numCache>
                <c:formatCode>"(""$"\ #,##0.0")"</c:formatCode>
                <c:ptCount val="7"/>
                <c:pt idx="0">
                  <c:v>5.417119078554947</c:v>
                </c:pt>
                <c:pt idx="1">
                  <c:v>48.506767797049399</c:v>
                </c:pt>
                <c:pt idx="2">
                  <c:v>91.596416515543851</c:v>
                </c:pt>
                <c:pt idx="3">
                  <c:v>134.6860652340383</c:v>
                </c:pt>
                <c:pt idx="4">
                  <c:v>177.77571395253275</c:v>
                </c:pt>
                <c:pt idx="5">
                  <c:v>220.86536267102716</c:v>
                </c:pt>
                <c:pt idx="6">
                  <c:v>263.95501138952164</c:v>
                </c:pt>
              </c:numCache>
            </c:numRef>
          </c:cat>
          <c:val>
            <c:numRef>
              <c:f>'Baseline (2)'!$AO$51:$AO$57</c:f>
              <c:numCache>
                <c:formatCode>0.000</c:formatCode>
                <c:ptCount val="7"/>
                <c:pt idx="0">
                  <c:v>1.5625E-2</c:v>
                </c:pt>
                <c:pt idx="1">
                  <c:v>9.375E-2</c:v>
                </c:pt>
                <c:pt idx="2">
                  <c:v>0.234375</c:v>
                </c:pt>
                <c:pt idx="3">
                  <c:v>0.3125</c:v>
                </c:pt>
                <c:pt idx="4">
                  <c:v>0.234375</c:v>
                </c:pt>
                <c:pt idx="5">
                  <c:v>9.375E-2</c:v>
                </c:pt>
                <c:pt idx="6">
                  <c:v>1.5625E-2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8F-4BB2-89FB-F4FDF5D3D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502336"/>
        <c:axId val="143520512"/>
      </c:barChart>
      <c:catAx>
        <c:axId val="143502336"/>
        <c:scaling>
          <c:orientation val="minMax"/>
        </c:scaling>
        <c:delete val="0"/>
        <c:axPos val="b"/>
        <c:numFmt formatCode="&quot;(&quot;&quot;$&quot;\ #,##0.0&quot;)&quot;" sourceLinked="1"/>
        <c:majorTickMark val="out"/>
        <c:minorTickMark val="none"/>
        <c:tickLblPos val="nextTo"/>
        <c:crossAx val="143520512"/>
        <c:crosses val="autoZero"/>
        <c:auto val="1"/>
        <c:lblAlgn val="ctr"/>
        <c:lblOffset val="100"/>
        <c:noMultiLvlLbl val="0"/>
      </c:catAx>
      <c:valAx>
        <c:axId val="143520512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435023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(Scenario_I!$E$108,Scenario_I!$I$108,Scenario_I!$M$108,Scenario_I!$Q$108,Scenario_I!$U$108,Scenario_I!$Y$108)</c:f>
              <c:numCache>
                <c:formatCode>"$"#,##0.0</c:formatCode>
                <c:ptCount val="6"/>
                <c:pt idx="0">
                  <c:v>161.39838099478874</c:v>
                </c:pt>
                <c:pt idx="1">
                  <c:v>161.39838099478874</c:v>
                </c:pt>
                <c:pt idx="2">
                  <c:v>161.39838099478877</c:v>
                </c:pt>
                <c:pt idx="3">
                  <c:v>161.39838099478874</c:v>
                </c:pt>
                <c:pt idx="4">
                  <c:v>161.39838099478868</c:v>
                </c:pt>
                <c:pt idx="5">
                  <c:v>161.39838099478854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6F-4111-BB19-82B6471F81D0}"/>
            </c:ext>
          </c:extLst>
        </c:ser>
        <c:ser>
          <c:idx val="1"/>
          <c:order val="1"/>
          <c:marker>
            <c:symbol val="none"/>
          </c:marker>
          <c:val>
            <c:numRef>
              <c:f>(Baseline!$E$111,Baseline!$I$111,Baseline!$N$111,Baseline!$S$111,Baseline!$X$111,Baseline!$AC$111)</c:f>
              <c:numCache>
                <c:formatCode>"$"#,##0.0</c:formatCode>
                <c:ptCount val="6"/>
                <c:pt idx="0">
                  <c:v>175.3134483114759</c:v>
                </c:pt>
                <c:pt idx="1">
                  <c:v>181.64498853133631</c:v>
                </c:pt>
                <c:pt idx="2">
                  <c:v>183.15249810749353</c:v>
                </c:pt>
                <c:pt idx="3">
                  <c:v>183.97086044883608</c:v>
                </c:pt>
                <c:pt idx="4">
                  <c:v>184.45449413326853</c:v>
                </c:pt>
                <c:pt idx="5">
                  <c:v>184.9236191587739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6F-4111-BB19-82B6471F8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615104"/>
        <c:axId val="143616640"/>
      </c:lineChart>
      <c:catAx>
        <c:axId val="143615104"/>
        <c:scaling>
          <c:orientation val="minMax"/>
        </c:scaling>
        <c:delete val="0"/>
        <c:axPos val="b"/>
        <c:majorTickMark val="out"/>
        <c:minorTickMark val="none"/>
        <c:tickLblPos val="nextTo"/>
        <c:crossAx val="143616640"/>
        <c:crosses val="autoZero"/>
        <c:auto val="1"/>
        <c:lblAlgn val="ctr"/>
        <c:lblOffset val="100"/>
        <c:noMultiLvlLbl val="0"/>
      </c:catAx>
      <c:valAx>
        <c:axId val="143616640"/>
        <c:scaling>
          <c:orientation val="minMax"/>
        </c:scaling>
        <c:delete val="0"/>
        <c:axPos val="l"/>
        <c:majorGridlines/>
        <c:numFmt formatCode="&quot;$&quot;#,##0" sourceLinked="0"/>
        <c:majorTickMark val="out"/>
        <c:minorTickMark val="none"/>
        <c:tickLblPos val="nextTo"/>
        <c:crossAx val="1436151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340178</xdr:colOff>
      <xdr:row>79</xdr:row>
      <xdr:rowOff>85354</xdr:rowOff>
    </xdr:from>
    <xdr:to>
      <xdr:col>43</xdr:col>
      <xdr:colOff>114300</xdr:colOff>
      <xdr:row>102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367394</xdr:colOff>
      <xdr:row>19</xdr:row>
      <xdr:rowOff>163286</xdr:rowOff>
    </xdr:from>
    <xdr:to>
      <xdr:col>47</xdr:col>
      <xdr:colOff>40822</xdr:colOff>
      <xdr:row>34</xdr:row>
      <xdr:rowOff>54429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54428</xdr:colOff>
      <xdr:row>36</xdr:row>
      <xdr:rowOff>0</xdr:rowOff>
    </xdr:from>
    <xdr:to>
      <xdr:col>50</xdr:col>
      <xdr:colOff>340177</xdr:colOff>
      <xdr:row>50</xdr:row>
      <xdr:rowOff>81643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43</xdr:col>
      <xdr:colOff>68037</xdr:colOff>
      <xdr:row>51</xdr:row>
      <xdr:rowOff>95250</xdr:rowOff>
    </xdr:from>
    <xdr:to>
      <xdr:col>50</xdr:col>
      <xdr:colOff>353786</xdr:colOff>
      <xdr:row>65</xdr:row>
      <xdr:rowOff>176893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35</xdr:col>
      <xdr:colOff>0</xdr:colOff>
      <xdr:row>62</xdr:row>
      <xdr:rowOff>0</xdr:rowOff>
    </xdr:from>
    <xdr:to>
      <xdr:col>42</xdr:col>
      <xdr:colOff>258534</xdr:colOff>
      <xdr:row>76</xdr:row>
      <xdr:rowOff>81643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340178</xdr:colOff>
      <xdr:row>79</xdr:row>
      <xdr:rowOff>85354</xdr:rowOff>
    </xdr:from>
    <xdr:to>
      <xdr:col>43</xdr:col>
      <xdr:colOff>114300</xdr:colOff>
      <xdr:row>102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367394</xdr:colOff>
      <xdr:row>19</xdr:row>
      <xdr:rowOff>163286</xdr:rowOff>
    </xdr:from>
    <xdr:to>
      <xdr:col>47</xdr:col>
      <xdr:colOff>40822</xdr:colOff>
      <xdr:row>34</xdr:row>
      <xdr:rowOff>54429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54428</xdr:colOff>
      <xdr:row>36</xdr:row>
      <xdr:rowOff>0</xdr:rowOff>
    </xdr:from>
    <xdr:to>
      <xdr:col>50</xdr:col>
      <xdr:colOff>340177</xdr:colOff>
      <xdr:row>50</xdr:row>
      <xdr:rowOff>81643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43</xdr:col>
      <xdr:colOff>68037</xdr:colOff>
      <xdr:row>51</xdr:row>
      <xdr:rowOff>95250</xdr:rowOff>
    </xdr:from>
    <xdr:to>
      <xdr:col>50</xdr:col>
      <xdr:colOff>353786</xdr:colOff>
      <xdr:row>65</xdr:row>
      <xdr:rowOff>176893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35</xdr:col>
      <xdr:colOff>0</xdr:colOff>
      <xdr:row>62</xdr:row>
      <xdr:rowOff>0</xdr:rowOff>
    </xdr:from>
    <xdr:to>
      <xdr:col>42</xdr:col>
      <xdr:colOff>258534</xdr:colOff>
      <xdr:row>76</xdr:row>
      <xdr:rowOff>81643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13606</xdr:colOff>
      <xdr:row>117</xdr:row>
      <xdr:rowOff>1</xdr:rowOff>
    </xdr:from>
    <xdr:to>
      <xdr:col>27</xdr:col>
      <xdr:colOff>707571</xdr:colOff>
      <xdr:row>131</xdr:row>
      <xdr:rowOff>81644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83"/>
  <sheetViews>
    <sheetView topLeftCell="H28" zoomScale="115" zoomScaleNormal="115" workbookViewId="0">
      <selection activeCell="C36" sqref="C36:I44"/>
    </sheetView>
  </sheetViews>
  <sheetFormatPr defaultRowHeight="14.25" x14ac:dyDescent="0.45"/>
  <cols>
    <col min="1" max="1" width="4" customWidth="1"/>
    <col min="3" max="3" width="16.3984375" bestFit="1" customWidth="1"/>
    <col min="4" max="4" width="10" bestFit="1" customWidth="1"/>
    <col min="5" max="5" width="10.1328125" bestFit="1" customWidth="1"/>
    <col min="6" max="6" width="12.59765625" bestFit="1" customWidth="1"/>
    <col min="7" max="7" width="11.59765625" bestFit="1" customWidth="1"/>
    <col min="8" max="8" width="17.73046875" bestFit="1" customWidth="1"/>
    <col min="9" max="9" width="13.86328125" bestFit="1" customWidth="1"/>
    <col min="10" max="10" width="18.3984375" bestFit="1" customWidth="1"/>
    <col min="11" max="11" width="16.3984375" bestFit="1" customWidth="1"/>
    <col min="12" max="12" width="11" bestFit="1" customWidth="1"/>
    <col min="13" max="13" width="12.3984375" bestFit="1" customWidth="1"/>
    <col min="14" max="14" width="14" bestFit="1" customWidth="1"/>
    <col min="15" max="15" width="11.59765625" bestFit="1" customWidth="1"/>
    <col min="16" max="16" width="20.1328125" bestFit="1" customWidth="1"/>
    <col min="17" max="17" width="10.59765625" bestFit="1" customWidth="1"/>
    <col min="18" max="18" width="13.1328125" bestFit="1" customWidth="1"/>
  </cols>
  <sheetData>
    <row r="1" spans="2:16" x14ac:dyDescent="0.45">
      <c r="J1" s="13" t="s">
        <v>24</v>
      </c>
    </row>
    <row r="2" spans="2:16" x14ac:dyDescent="0.45">
      <c r="B2" s="13" t="s">
        <v>23</v>
      </c>
    </row>
    <row r="3" spans="2:16" x14ac:dyDescent="0.45">
      <c r="B3" s="3"/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J3" s="3"/>
      <c r="K3" s="3" t="s">
        <v>3</v>
      </c>
      <c r="L3" s="3" t="s">
        <v>4</v>
      </c>
      <c r="M3" s="3" t="s">
        <v>5</v>
      </c>
      <c r="N3" s="3" t="s">
        <v>6</v>
      </c>
      <c r="O3" s="3" t="s">
        <v>7</v>
      </c>
      <c r="P3" s="3" t="s">
        <v>8</v>
      </c>
    </row>
    <row r="4" spans="2:16" ht="16.149999999999999" thickBot="1" x14ac:dyDescent="0.5">
      <c r="B4" s="4" t="s">
        <v>9</v>
      </c>
      <c r="C4" s="4" t="s">
        <v>10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J4" s="4" t="s">
        <v>9</v>
      </c>
      <c r="K4" s="4" t="s">
        <v>10</v>
      </c>
      <c r="L4" s="4" t="s">
        <v>11</v>
      </c>
      <c r="M4" s="4" t="s">
        <v>11</v>
      </c>
      <c r="N4" s="4" t="s">
        <v>11</v>
      </c>
      <c r="O4" s="4" t="s">
        <v>11</v>
      </c>
      <c r="P4" s="4" t="s">
        <v>11</v>
      </c>
    </row>
    <row r="5" spans="2:16" ht="14.65" thickTop="1" x14ac:dyDescent="0.45">
      <c r="B5" s="5" t="s">
        <v>0</v>
      </c>
      <c r="C5" s="6">
        <v>1130.546</v>
      </c>
      <c r="D5" s="7">
        <v>0.51666666666666661</v>
      </c>
      <c r="E5" s="7">
        <v>0.2413793103448276</v>
      </c>
      <c r="F5" s="7">
        <v>0.48973855610841038</v>
      </c>
      <c r="G5" s="7">
        <v>0.97174850308686223</v>
      </c>
      <c r="H5" s="7">
        <v>0.20591414256621424</v>
      </c>
      <c r="J5" s="1" t="s">
        <v>0</v>
      </c>
      <c r="K5" s="1">
        <v>941.58699999999999</v>
      </c>
      <c r="L5" s="14">
        <v>0.51666666666666661</v>
      </c>
      <c r="M5" s="14">
        <v>0.2413793103448276</v>
      </c>
      <c r="N5" s="14">
        <v>0.53411088110377813</v>
      </c>
      <c r="O5" s="14">
        <v>0.98999403472099712</v>
      </c>
      <c r="P5" s="14">
        <v>0.15527910211251522</v>
      </c>
    </row>
    <row r="6" spans="2:16" x14ac:dyDescent="0.45">
      <c r="B6" s="8" t="s">
        <v>12</v>
      </c>
      <c r="C6" s="9">
        <v>1020.954</v>
      </c>
      <c r="D6" s="10">
        <v>0.68333333333333335</v>
      </c>
      <c r="E6" s="10">
        <v>0.31578947368421051</v>
      </c>
      <c r="F6" s="10">
        <v>0.4920711879146345</v>
      </c>
      <c r="G6" s="10">
        <v>0.97174934734654017</v>
      </c>
      <c r="H6" s="10">
        <v>0.23589318677709731</v>
      </c>
      <c r="J6" s="1" t="s">
        <v>25</v>
      </c>
      <c r="K6" s="1">
        <v>850.322</v>
      </c>
      <c r="L6" s="14">
        <v>0.68333333333333335</v>
      </c>
      <c r="M6" s="14">
        <v>0.31578947368421051</v>
      </c>
      <c r="N6" s="14">
        <v>0.53764053370603992</v>
      </c>
      <c r="O6" s="14">
        <v>0.98999339446802459</v>
      </c>
      <c r="P6" s="14">
        <v>0.17775597072340107</v>
      </c>
    </row>
    <row r="7" spans="2:16" x14ac:dyDescent="0.45">
      <c r="B7" s="8" t="s">
        <v>13</v>
      </c>
      <c r="C7" s="9">
        <v>1130.546</v>
      </c>
      <c r="D7" s="10">
        <v>0.65</v>
      </c>
      <c r="E7" s="10">
        <v>0.33333333333333331</v>
      </c>
      <c r="F7" s="10">
        <v>0.45113660275574646</v>
      </c>
      <c r="G7" s="10">
        <v>0.97174850308686223</v>
      </c>
      <c r="H7" s="10">
        <v>0.24075452519486323</v>
      </c>
      <c r="J7" s="1" t="s">
        <v>26</v>
      </c>
      <c r="K7" s="1">
        <v>941.58699999999999</v>
      </c>
      <c r="L7" s="14">
        <v>0.65</v>
      </c>
      <c r="M7" s="14">
        <v>0.33333333333333331</v>
      </c>
      <c r="N7" s="14">
        <v>0.49596040745601699</v>
      </c>
      <c r="O7" s="14">
        <v>0.98999403472099712</v>
      </c>
      <c r="P7" s="14">
        <v>0.18181467598343667</v>
      </c>
    </row>
    <row r="8" spans="2:16" x14ac:dyDescent="0.45">
      <c r="B8" s="8" t="s">
        <v>14</v>
      </c>
      <c r="C8" s="9">
        <v>1020.954</v>
      </c>
      <c r="D8" s="10">
        <v>0.8</v>
      </c>
      <c r="E8" s="10">
        <v>0.33333333333333331</v>
      </c>
      <c r="F8" s="10">
        <v>0.45283084024996012</v>
      </c>
      <c r="G8" s="10">
        <v>0.97102427118539802</v>
      </c>
      <c r="H8" s="10">
        <v>0.25499471416575653</v>
      </c>
      <c r="J8" s="1" t="s">
        <v>27</v>
      </c>
      <c r="K8" s="1">
        <v>850.322</v>
      </c>
      <c r="L8" s="14">
        <v>0.8</v>
      </c>
      <c r="M8" s="14">
        <v>0.33333333333333331</v>
      </c>
      <c r="N8" s="14">
        <v>0.49046532687212357</v>
      </c>
      <c r="O8" s="14">
        <v>0.98912281907773381</v>
      </c>
      <c r="P8" s="14">
        <v>0.19607160629577025</v>
      </c>
    </row>
    <row r="9" spans="2:16" x14ac:dyDescent="0.45">
      <c r="B9" s="8" t="s">
        <v>15</v>
      </c>
      <c r="C9" s="9">
        <v>855.48327999999992</v>
      </c>
      <c r="D9" s="10">
        <v>6.6666666666666652E-2</v>
      </c>
      <c r="E9" s="10">
        <v>1.7857142857142856E-2</v>
      </c>
      <c r="F9" s="10">
        <v>0.32069623560371852</v>
      </c>
      <c r="G9" s="10">
        <v>0.93336011374444716</v>
      </c>
      <c r="H9" s="10">
        <v>8.5680056770301175E-2</v>
      </c>
      <c r="J9" s="1" t="s">
        <v>28</v>
      </c>
      <c r="K9" s="15">
        <v>666.52427999999998</v>
      </c>
      <c r="L9" s="14">
        <v>0.7</v>
      </c>
      <c r="M9" s="14">
        <v>0.27777777777777779</v>
      </c>
      <c r="N9" s="14">
        <v>0.54788755281019552</v>
      </c>
      <c r="O9" s="14">
        <v>0.90449900298796715</v>
      </c>
      <c r="P9" s="14">
        <v>0.30270003917411337</v>
      </c>
    </row>
    <row r="10" spans="2:16" x14ac:dyDescent="0.45">
      <c r="B10" s="8" t="s">
        <v>16</v>
      </c>
      <c r="C10" s="9">
        <v>1130.546</v>
      </c>
      <c r="D10" s="10">
        <v>0.43333333333333335</v>
      </c>
      <c r="E10" s="10">
        <v>0.23529411764705882</v>
      </c>
      <c r="F10" s="10">
        <v>0.48601816473250553</v>
      </c>
      <c r="G10" s="10">
        <v>0.97174850308686223</v>
      </c>
      <c r="H10" s="10">
        <v>0.19615780836483998</v>
      </c>
      <c r="J10" s="1" t="s">
        <v>29</v>
      </c>
      <c r="K10" s="15">
        <v>941.58699999999999</v>
      </c>
      <c r="L10" s="14">
        <v>0.43333333333333335</v>
      </c>
      <c r="M10" s="14">
        <v>0.23529411764705882</v>
      </c>
      <c r="N10" s="14">
        <v>0.52923179102793083</v>
      </c>
      <c r="O10" s="14">
        <v>0.98999403472099712</v>
      </c>
      <c r="P10" s="14">
        <v>0.14803854963539451</v>
      </c>
    </row>
    <row r="11" spans="2:16" x14ac:dyDescent="0.45">
      <c r="B11" s="8" t="s">
        <v>17</v>
      </c>
      <c r="C11" s="9">
        <v>855.48327999999992</v>
      </c>
      <c r="D11" s="10">
        <v>6.6666666666666652E-2</v>
      </c>
      <c r="E11" s="10">
        <v>1.7857142857142856E-2</v>
      </c>
      <c r="F11" s="10">
        <v>0.37636977028585161</v>
      </c>
      <c r="G11" s="10">
        <v>0.98532525123683201</v>
      </c>
      <c r="H11" s="10">
        <v>5.7451931883475277E-2</v>
      </c>
      <c r="J11" s="1" t="s">
        <v>30</v>
      </c>
      <c r="K11" s="15">
        <v>666.52427999999998</v>
      </c>
      <c r="L11" s="14">
        <v>0.58333333333333326</v>
      </c>
      <c r="M11" s="14">
        <v>0.2</v>
      </c>
      <c r="N11" s="14">
        <v>0.56055044861039949</v>
      </c>
      <c r="O11" s="14">
        <v>0.98944037716811928</v>
      </c>
      <c r="P11" s="14">
        <v>0.15253730017955008</v>
      </c>
    </row>
    <row r="12" spans="2:16" x14ac:dyDescent="0.45">
      <c r="B12" s="8" t="s">
        <v>18</v>
      </c>
      <c r="C12" s="9">
        <v>1130.546</v>
      </c>
      <c r="D12" s="10">
        <v>0.51666666666666661</v>
      </c>
      <c r="E12" s="10">
        <v>0.2413793103448276</v>
      </c>
      <c r="F12" s="10">
        <v>0.48249901823962515</v>
      </c>
      <c r="G12" s="10">
        <v>0.97174850308686223</v>
      </c>
      <c r="H12" s="10">
        <v>0.20664066076703483</v>
      </c>
      <c r="J12" s="1" t="s">
        <v>31</v>
      </c>
      <c r="K12" s="15">
        <v>941.58699999999999</v>
      </c>
      <c r="L12" s="14">
        <v>0.51666666666666661</v>
      </c>
      <c r="M12" s="14">
        <v>0.2413793103448276</v>
      </c>
      <c r="N12" s="14">
        <v>0.52615302921144236</v>
      </c>
      <c r="O12" s="14">
        <v>0.98999403472099712</v>
      </c>
      <c r="P12" s="14">
        <v>0.15593797723522362</v>
      </c>
    </row>
    <row r="13" spans="2:16" x14ac:dyDescent="0.45">
      <c r="B13" s="8" t="s">
        <v>19</v>
      </c>
      <c r="C13" s="9">
        <v>1130.546</v>
      </c>
      <c r="D13" s="10">
        <v>0.6</v>
      </c>
      <c r="E13" s="10">
        <v>0.33333333333333331</v>
      </c>
      <c r="F13" s="10">
        <v>0.4883510768979149</v>
      </c>
      <c r="G13" s="10">
        <v>0.97174850308686223</v>
      </c>
      <c r="H13" s="10">
        <v>0.2318787128773358</v>
      </c>
      <c r="J13" s="1" t="s">
        <v>32</v>
      </c>
      <c r="K13" s="15">
        <v>941.58699999999999</v>
      </c>
      <c r="L13" s="14">
        <v>0.6</v>
      </c>
      <c r="M13" s="14">
        <v>0.33333333333333331</v>
      </c>
      <c r="N13" s="14">
        <v>0.53533597877763472</v>
      </c>
      <c r="O13" s="14">
        <v>0.98999403472099712</v>
      </c>
      <c r="P13" s="14">
        <v>0.17462523695281482</v>
      </c>
    </row>
    <row r="14" spans="2:16" x14ac:dyDescent="0.45">
      <c r="B14" s="8" t="s">
        <v>20</v>
      </c>
      <c r="C14" s="9">
        <v>1130.546</v>
      </c>
      <c r="D14" s="10">
        <v>0.6166666666666667</v>
      </c>
      <c r="E14" s="10">
        <v>0.30434782608695654</v>
      </c>
      <c r="F14" s="10">
        <v>0.49971733155530301</v>
      </c>
      <c r="G14" s="10">
        <v>0.97174850308686223</v>
      </c>
      <c r="H14" s="10">
        <v>0.22694436295744652</v>
      </c>
      <c r="J14" s="1" t="s">
        <v>33</v>
      </c>
      <c r="K14" s="15">
        <v>941.58699999999999</v>
      </c>
      <c r="L14" s="14">
        <v>0.6166666666666667</v>
      </c>
      <c r="M14" s="14">
        <v>0.30434782608695654</v>
      </c>
      <c r="N14" s="14">
        <v>0.54843152628266179</v>
      </c>
      <c r="O14" s="14">
        <v>0.98999403472099712</v>
      </c>
      <c r="P14" s="14">
        <v>0.1706478499426051</v>
      </c>
    </row>
    <row r="15" spans="2:16" x14ac:dyDescent="0.45">
      <c r="B15" s="8" t="s">
        <v>21</v>
      </c>
      <c r="C15" s="9">
        <v>1130.546</v>
      </c>
      <c r="D15" s="10">
        <v>0.6</v>
      </c>
      <c r="E15" s="10">
        <v>0.33333333333333331</v>
      </c>
      <c r="F15" s="10">
        <v>0.4881576358637888</v>
      </c>
      <c r="G15" s="10">
        <v>0.97174850308686223</v>
      </c>
      <c r="H15" s="10">
        <v>0.23190062658513966</v>
      </c>
      <c r="J15" s="1" t="s">
        <v>34</v>
      </c>
      <c r="K15" s="15">
        <v>941.58699999999999</v>
      </c>
      <c r="L15" s="14">
        <v>0.6</v>
      </c>
      <c r="M15" s="14">
        <v>0.33333333333333331</v>
      </c>
      <c r="N15" s="14">
        <v>0.53516434232339993</v>
      </c>
      <c r="O15" s="14">
        <v>0.98999403472099712</v>
      </c>
      <c r="P15" s="14">
        <v>0.17464136037984457</v>
      </c>
    </row>
    <row r="16" spans="2:16" ht="14.65" thickBot="1" x14ac:dyDescent="0.5">
      <c r="B16" s="11" t="s">
        <v>22</v>
      </c>
      <c r="C16" s="4">
        <v>1130.546</v>
      </c>
      <c r="D16" s="12">
        <v>0.55000000000000004</v>
      </c>
      <c r="E16" s="12">
        <v>0.25925925925925924</v>
      </c>
      <c r="F16" s="12">
        <v>0.47751053077341521</v>
      </c>
      <c r="G16" s="12">
        <v>0.97174850308686223</v>
      </c>
      <c r="H16" s="12">
        <v>0.21419236827108368</v>
      </c>
      <c r="J16" s="1" t="s">
        <v>22</v>
      </c>
      <c r="K16" s="15">
        <v>941.58699999999999</v>
      </c>
      <c r="L16" s="14">
        <v>0.55000000000000004</v>
      </c>
      <c r="M16" s="14">
        <v>0.25925925925925924</v>
      </c>
      <c r="N16" s="14">
        <v>0.52321322264635084</v>
      </c>
      <c r="O16" s="14">
        <v>0.98999403472099712</v>
      </c>
      <c r="P16" s="14">
        <v>0.16149907525192697</v>
      </c>
    </row>
    <row r="17" spans="2:18" ht="14.65" thickTop="1" x14ac:dyDescent="0.45">
      <c r="B17" s="8"/>
      <c r="C17" s="9"/>
      <c r="D17" s="10"/>
      <c r="E17" s="10"/>
      <c r="F17" s="10"/>
      <c r="G17" s="10"/>
      <c r="H17" s="10"/>
      <c r="J17" s="1"/>
      <c r="K17" s="15"/>
      <c r="L17" s="14"/>
      <c r="M17" s="14"/>
      <c r="N17" s="14"/>
      <c r="O17" s="14"/>
      <c r="P17" s="14"/>
    </row>
    <row r="18" spans="2:18" x14ac:dyDescent="0.45">
      <c r="B18" s="8"/>
      <c r="C18" s="9"/>
      <c r="D18" s="10"/>
      <c r="E18" s="10"/>
      <c r="F18" s="10"/>
      <c r="G18" s="10"/>
      <c r="H18" s="10"/>
      <c r="J18" s="1"/>
      <c r="K18" s="15"/>
      <c r="L18" s="14"/>
      <c r="M18" s="14"/>
      <c r="N18" s="14"/>
      <c r="O18" s="14"/>
      <c r="P18" s="14"/>
    </row>
    <row r="19" spans="2:18" x14ac:dyDescent="0.45">
      <c r="B19" s="8"/>
      <c r="C19" s="9"/>
      <c r="D19" s="10"/>
      <c r="E19" s="10"/>
      <c r="F19" s="10"/>
      <c r="G19" s="10"/>
      <c r="H19" s="10" t="s">
        <v>54</v>
      </c>
      <c r="I19" s="1" t="s">
        <v>52</v>
      </c>
      <c r="J19" s="1"/>
      <c r="K19" s="15"/>
      <c r="L19" s="14"/>
      <c r="M19" s="14"/>
      <c r="N19" s="14"/>
      <c r="O19" s="14"/>
      <c r="P19" s="14"/>
    </row>
    <row r="20" spans="2:18" x14ac:dyDescent="0.45">
      <c r="B20" s="8"/>
      <c r="C20" s="19" t="s">
        <v>51</v>
      </c>
      <c r="D20" s="10"/>
      <c r="E20" s="10"/>
      <c r="F20" s="10"/>
      <c r="G20" s="10"/>
      <c r="H20" s="10" t="s">
        <v>55</v>
      </c>
      <c r="I20" s="1" t="s">
        <v>53</v>
      </c>
      <c r="J20" s="1"/>
      <c r="K20" s="15"/>
      <c r="L20" s="14"/>
      <c r="M20" s="14"/>
      <c r="N20" s="14"/>
      <c r="O20" s="14"/>
      <c r="P20" s="14"/>
    </row>
    <row r="21" spans="2:18" x14ac:dyDescent="0.45">
      <c r="B21" s="8"/>
      <c r="C21" s="9"/>
      <c r="D21" s="10"/>
      <c r="E21" s="10"/>
      <c r="F21" s="10" t="s">
        <v>58</v>
      </c>
      <c r="G21" s="20" t="s">
        <v>56</v>
      </c>
      <c r="H21" s="10">
        <v>702.4</v>
      </c>
      <c r="I21" s="1">
        <v>164</v>
      </c>
      <c r="J21" s="1"/>
      <c r="K21" s="15"/>
      <c r="L21" s="14"/>
      <c r="M21" s="14"/>
      <c r="N21" s="14"/>
      <c r="O21" s="14"/>
      <c r="P21" s="14"/>
    </row>
    <row r="22" spans="2:18" x14ac:dyDescent="0.45">
      <c r="B22" s="8"/>
      <c r="C22" s="9"/>
      <c r="D22" s="10"/>
      <c r="E22" s="10"/>
      <c r="F22" s="10" t="s">
        <v>57</v>
      </c>
      <c r="G22" s="20" t="s">
        <v>56</v>
      </c>
      <c r="H22" s="10">
        <v>1130.5</v>
      </c>
      <c r="I22" s="22">
        <f>(H22*I21)/H21</f>
        <v>263.95501138952164</v>
      </c>
      <c r="J22" s="1"/>
      <c r="K22" s="15"/>
      <c r="L22" s="14"/>
      <c r="M22" s="14"/>
      <c r="N22" s="14"/>
      <c r="O22" s="14"/>
      <c r="P22" s="14"/>
    </row>
    <row r="23" spans="2:18" x14ac:dyDescent="0.45">
      <c r="B23" s="8"/>
      <c r="C23" s="9"/>
      <c r="D23" s="10"/>
      <c r="E23" s="10" t="s">
        <v>59</v>
      </c>
      <c r="F23" s="10" t="s">
        <v>57</v>
      </c>
      <c r="G23" s="20" t="s">
        <v>56</v>
      </c>
      <c r="H23" s="10">
        <v>1021</v>
      </c>
      <c r="I23" s="22">
        <f>(H23*I22)/H22</f>
        <v>238.38838268792711</v>
      </c>
      <c r="J23" s="1"/>
      <c r="K23" s="15"/>
      <c r="L23" s="14"/>
      <c r="M23" s="14"/>
      <c r="N23" s="14"/>
      <c r="O23" s="14"/>
      <c r="P23" s="14"/>
    </row>
    <row r="24" spans="2:18" x14ac:dyDescent="0.45">
      <c r="B24" s="8"/>
      <c r="C24" s="9"/>
      <c r="D24" s="10"/>
      <c r="E24" s="10"/>
      <c r="F24" s="10"/>
      <c r="G24" s="20"/>
      <c r="H24" s="10"/>
      <c r="J24" s="1"/>
      <c r="K24" s="15"/>
      <c r="L24" s="14"/>
      <c r="M24" s="14"/>
      <c r="N24" s="14"/>
      <c r="O24" s="14"/>
      <c r="P24" s="14"/>
    </row>
    <row r="26" spans="2:18" x14ac:dyDescent="0.45">
      <c r="G26" s="47" t="s">
        <v>62</v>
      </c>
      <c r="H26" s="23" t="s">
        <v>41</v>
      </c>
      <c r="I26" s="9" t="s">
        <v>37</v>
      </c>
      <c r="J26" s="9" t="s">
        <v>40</v>
      </c>
      <c r="K26" s="9" t="s">
        <v>36</v>
      </c>
      <c r="L26" s="9" t="s">
        <v>42</v>
      </c>
      <c r="M26" s="9" t="s">
        <v>44</v>
      </c>
      <c r="N26" s="9" t="s">
        <v>46</v>
      </c>
      <c r="O26" s="36" t="s">
        <v>48</v>
      </c>
      <c r="P26" s="29" t="s">
        <v>49</v>
      </c>
      <c r="Q26" s="33" t="s">
        <v>60</v>
      </c>
      <c r="R26" s="33" t="s">
        <v>61</v>
      </c>
    </row>
    <row r="27" spans="2:18" x14ac:dyDescent="0.45">
      <c r="G27" s="48" t="s">
        <v>35</v>
      </c>
      <c r="H27" s="24" t="s">
        <v>35</v>
      </c>
      <c r="I27" s="2" t="s">
        <v>38</v>
      </c>
      <c r="J27" s="18" t="s">
        <v>11</v>
      </c>
      <c r="K27" s="2" t="s">
        <v>39</v>
      </c>
      <c r="L27" s="2" t="s">
        <v>43</v>
      </c>
      <c r="M27" s="2" t="s">
        <v>45</v>
      </c>
      <c r="N27" s="2" t="s">
        <v>47</v>
      </c>
      <c r="O27" s="34" t="s">
        <v>43</v>
      </c>
      <c r="P27" s="32" t="s">
        <v>35</v>
      </c>
      <c r="Q27" s="34" t="s">
        <v>35</v>
      </c>
      <c r="R27" s="34" t="s">
        <v>35</v>
      </c>
    </row>
    <row r="28" spans="2:18" x14ac:dyDescent="0.45">
      <c r="F28" s="17">
        <f>D5</f>
        <v>0.51666666666666661</v>
      </c>
      <c r="G28" s="39">
        <f>F28*R28</f>
        <v>136.37675588458617</v>
      </c>
      <c r="H28" s="23">
        <v>0</v>
      </c>
      <c r="I28" s="9">
        <v>0</v>
      </c>
      <c r="J28" s="9">
        <v>0.08</v>
      </c>
      <c r="K28" s="25">
        <f>IF(I28=0,0,(J28*(1+J28)^(I28))/((1+J28)^(I28)-1))</f>
        <v>0</v>
      </c>
      <c r="L28" s="26">
        <f>K28*H28</f>
        <v>0</v>
      </c>
      <c r="M28" s="9">
        <v>0</v>
      </c>
      <c r="N28" s="9">
        <v>0</v>
      </c>
      <c r="O28" s="33">
        <f>N28+M28+L28</f>
        <v>0</v>
      </c>
      <c r="P28" s="30">
        <f>$I$22</f>
        <v>263.95501138952164</v>
      </c>
      <c r="Q28" s="35">
        <f>P28</f>
        <v>263.95501138952164</v>
      </c>
      <c r="R28" s="37">
        <f>Q28-O28</f>
        <v>263.95501138952164</v>
      </c>
    </row>
    <row r="29" spans="2:18" x14ac:dyDescent="0.45">
      <c r="E29" s="73"/>
      <c r="F29" s="1" t="s">
        <v>1</v>
      </c>
      <c r="H29" s="27"/>
      <c r="I29" s="8"/>
      <c r="J29" s="8"/>
      <c r="K29" s="28"/>
      <c r="L29" s="8"/>
      <c r="M29" s="8"/>
      <c r="N29" s="8"/>
      <c r="O29" s="36"/>
      <c r="P29" s="27"/>
      <c r="Q29" s="36"/>
      <c r="R29" s="37"/>
    </row>
    <row r="30" spans="2:18" x14ac:dyDescent="0.45">
      <c r="C30" s="40">
        <f>F28*(R28)+F32*(R32)</f>
        <v>138.99503010588774</v>
      </c>
      <c r="D30" s="71" t="s">
        <v>0</v>
      </c>
      <c r="E30" s="73"/>
      <c r="H30" s="27"/>
      <c r="I30" s="8"/>
      <c r="J30" s="8"/>
      <c r="K30" s="28"/>
      <c r="L30" s="8"/>
      <c r="M30" s="8"/>
      <c r="N30" s="8" t="s">
        <v>6</v>
      </c>
      <c r="O30" s="36"/>
      <c r="P30" s="27"/>
      <c r="Q30" s="36"/>
      <c r="R30" s="37"/>
    </row>
    <row r="31" spans="2:18" x14ac:dyDescent="0.45">
      <c r="C31" s="40">
        <f>SUM(G28,G32)</f>
        <v>138.99503010588774</v>
      </c>
      <c r="D31" s="71"/>
      <c r="E31" s="72"/>
      <c r="H31" s="27"/>
      <c r="I31" s="8"/>
      <c r="J31" s="8"/>
      <c r="K31" s="28"/>
      <c r="L31" s="8"/>
      <c r="M31" s="8"/>
      <c r="N31" s="10">
        <f>F5</f>
        <v>0.48973855610841038</v>
      </c>
      <c r="O31" s="36"/>
      <c r="P31" s="27"/>
      <c r="Q31" s="36"/>
      <c r="R31" s="37"/>
    </row>
    <row r="32" spans="2:18" x14ac:dyDescent="0.45">
      <c r="E32" s="72"/>
      <c r="F32" s="17">
        <f>1-F28</f>
        <v>0.48333333333333339</v>
      </c>
      <c r="G32" s="39">
        <f>F32*R32</f>
        <v>2.618274221301558</v>
      </c>
      <c r="H32" s="23">
        <v>0</v>
      </c>
      <c r="I32" s="9">
        <v>0</v>
      </c>
      <c r="J32" s="9">
        <v>0.08</v>
      </c>
      <c r="K32" s="25">
        <f>IF(I32=0,0,(J32*(1+J32)^(I32))/((1+J32)^(I32)-1))</f>
        <v>0</v>
      </c>
      <c r="L32" s="26">
        <f>K32*H32</f>
        <v>0</v>
      </c>
      <c r="M32" s="9">
        <v>0</v>
      </c>
      <c r="N32" s="26">
        <f>N31*P28</f>
        <v>129.26894615548335</v>
      </c>
      <c r="O32" s="37">
        <f>N32+M32+L32</f>
        <v>129.26894615548335</v>
      </c>
      <c r="P32" s="70">
        <f>P28-N32</f>
        <v>134.6860652340383</v>
      </c>
      <c r="Q32" s="35">
        <f>P32</f>
        <v>134.6860652340383</v>
      </c>
      <c r="R32" s="37">
        <f t="shared" ref="R32:R42" si="0">Q32-O32</f>
        <v>5.417119078554947</v>
      </c>
    </row>
    <row r="33" spans="3:18" x14ac:dyDescent="0.45">
      <c r="F33" s="1" t="s">
        <v>2</v>
      </c>
      <c r="H33" s="27"/>
      <c r="I33" s="8"/>
      <c r="J33" s="8"/>
      <c r="K33" s="8"/>
      <c r="L33" s="8"/>
      <c r="M33" s="8"/>
      <c r="N33" s="8"/>
      <c r="O33" s="36"/>
      <c r="P33" s="27"/>
      <c r="Q33" s="36"/>
      <c r="R33" s="35"/>
    </row>
    <row r="34" spans="3:18" x14ac:dyDescent="0.45">
      <c r="H34" s="27"/>
      <c r="I34" s="8"/>
      <c r="J34" s="8"/>
      <c r="K34" s="8"/>
      <c r="L34" s="8"/>
      <c r="M34" s="8"/>
      <c r="N34" s="8"/>
      <c r="O34" s="36"/>
      <c r="P34" s="27"/>
      <c r="Q34" s="36"/>
      <c r="R34" s="35"/>
    </row>
    <row r="35" spans="3:18" x14ac:dyDescent="0.45">
      <c r="H35" s="27"/>
      <c r="I35" s="8"/>
      <c r="J35" s="8"/>
      <c r="K35" s="8"/>
      <c r="L35" s="8"/>
      <c r="M35" s="8"/>
      <c r="N35" s="8"/>
      <c r="O35" s="36"/>
      <c r="P35" s="27"/>
      <c r="Q35" s="36"/>
      <c r="R35" s="35"/>
    </row>
    <row r="36" spans="3:18" x14ac:dyDescent="0.45">
      <c r="G36" s="47" t="s">
        <v>62</v>
      </c>
      <c r="H36" s="23" t="s">
        <v>41</v>
      </c>
      <c r="I36" s="9" t="s">
        <v>37</v>
      </c>
      <c r="J36" s="9" t="s">
        <v>40</v>
      </c>
      <c r="K36" s="9" t="s">
        <v>36</v>
      </c>
      <c r="L36" s="9" t="s">
        <v>42</v>
      </c>
      <c r="M36" s="9" t="s">
        <v>44</v>
      </c>
      <c r="N36" s="9" t="s">
        <v>46</v>
      </c>
      <c r="O36" s="36" t="s">
        <v>48</v>
      </c>
      <c r="P36" s="29" t="s">
        <v>49</v>
      </c>
      <c r="Q36" s="33" t="s">
        <v>60</v>
      </c>
      <c r="R36" s="33" t="s">
        <v>61</v>
      </c>
    </row>
    <row r="37" spans="3:18" x14ac:dyDescent="0.45">
      <c r="G37" s="48" t="s">
        <v>35</v>
      </c>
      <c r="H37" s="24" t="s">
        <v>35</v>
      </c>
      <c r="I37" s="2" t="s">
        <v>38</v>
      </c>
      <c r="J37" s="18" t="s">
        <v>11</v>
      </c>
      <c r="K37" s="2" t="s">
        <v>39</v>
      </c>
      <c r="L37" s="2" t="s">
        <v>43</v>
      </c>
      <c r="M37" s="2" t="s">
        <v>45</v>
      </c>
      <c r="N37" s="2" t="s">
        <v>47</v>
      </c>
      <c r="O37" s="34" t="s">
        <v>43</v>
      </c>
      <c r="P37" s="29" t="s">
        <v>35</v>
      </c>
      <c r="Q37" s="33" t="s">
        <v>35</v>
      </c>
      <c r="R37" s="34" t="s">
        <v>35</v>
      </c>
    </row>
    <row r="38" spans="3:18" x14ac:dyDescent="0.45">
      <c r="F38" s="17">
        <f>D6</f>
        <v>0.68333333333333335</v>
      </c>
      <c r="G38" s="39">
        <f>F38*R38</f>
        <v>161.05548177738186</v>
      </c>
      <c r="H38" s="23">
        <v>18.100000000000001</v>
      </c>
      <c r="I38" s="9">
        <v>10</v>
      </c>
      <c r="J38" s="9">
        <v>0.08</v>
      </c>
      <c r="K38" s="25">
        <f>IF(I38=0,0,(J38*(1+J38)^(I38))/((1+J38)^(I38)-1))</f>
        <v>0.14902948869707539</v>
      </c>
      <c r="L38" s="26">
        <f>K38*H38</f>
        <v>2.6974337454170647</v>
      </c>
      <c r="M38" s="9">
        <v>0</v>
      </c>
      <c r="N38" s="9">
        <v>0</v>
      </c>
      <c r="O38" s="37">
        <f>N38+M38+L38</f>
        <v>2.6974337454170647</v>
      </c>
      <c r="P38" s="30">
        <f>I23</f>
        <v>238.38838268792711</v>
      </c>
      <c r="Q38" s="35">
        <f>P38</f>
        <v>238.38838268792711</v>
      </c>
      <c r="R38" s="37">
        <f t="shared" si="0"/>
        <v>235.69094894251003</v>
      </c>
    </row>
    <row r="39" spans="3:18" x14ac:dyDescent="0.45">
      <c r="E39" s="73"/>
      <c r="F39" s="1" t="s">
        <v>1</v>
      </c>
      <c r="H39" s="27"/>
      <c r="I39" s="8"/>
      <c r="J39" s="8"/>
      <c r="K39" s="28"/>
      <c r="L39" s="8"/>
      <c r="M39" s="8"/>
      <c r="N39" s="8"/>
      <c r="O39" s="36"/>
      <c r="P39" s="27"/>
      <c r="Q39" s="36"/>
      <c r="R39" s="37"/>
    </row>
    <row r="40" spans="3:18" x14ac:dyDescent="0.45">
      <c r="C40" s="40">
        <f>F38*(R38)+F42*(R42)</f>
        <v>161.39838099478874</v>
      </c>
      <c r="D40" s="71" t="s">
        <v>50</v>
      </c>
      <c r="E40" s="73"/>
      <c r="H40" s="27"/>
      <c r="I40" s="8"/>
      <c r="J40" s="8"/>
      <c r="K40" s="28"/>
      <c r="L40" s="8"/>
      <c r="M40" s="8"/>
      <c r="N40" s="8" t="s">
        <v>6</v>
      </c>
      <c r="O40" s="36"/>
      <c r="P40" s="27"/>
      <c r="Q40" s="36"/>
      <c r="R40" s="37"/>
    </row>
    <row r="41" spans="3:18" x14ac:dyDescent="0.45">
      <c r="C41" s="40">
        <f>SUM(G38,G42)</f>
        <v>161.39838099478874</v>
      </c>
      <c r="D41" s="71"/>
      <c r="E41" s="72"/>
      <c r="H41" s="27"/>
      <c r="I41" s="8"/>
      <c r="J41" s="8"/>
      <c r="K41" s="28"/>
      <c r="L41" s="8"/>
      <c r="M41" s="8"/>
      <c r="N41" s="10">
        <f>F6</f>
        <v>0.4920711879146345</v>
      </c>
      <c r="O41" s="36"/>
      <c r="P41" s="27"/>
      <c r="Q41" s="36"/>
      <c r="R41" s="37"/>
    </row>
    <row r="42" spans="3:18" x14ac:dyDescent="0.45">
      <c r="E42" s="72"/>
      <c r="F42" s="17">
        <f>1-F38</f>
        <v>0.31666666666666665</v>
      </c>
      <c r="G42" s="45">
        <f>F42*R42</f>
        <v>0.34289921740688928</v>
      </c>
      <c r="H42" s="23">
        <f>H38</f>
        <v>18.100000000000001</v>
      </c>
      <c r="I42" s="9">
        <f>I38</f>
        <v>10</v>
      </c>
      <c r="J42" s="9">
        <v>0.08</v>
      </c>
      <c r="K42" s="25">
        <f>IF(I42=0,0,(J42*(1+J42)^(I42))/((1+J42)^(I42)-1))</f>
        <v>0.14902948869707539</v>
      </c>
      <c r="L42" s="26">
        <f>K42*H42</f>
        <v>2.6974337454170647</v>
      </c>
      <c r="M42" s="9">
        <v>0</v>
      </c>
      <c r="N42" s="26">
        <f>N41*P38</f>
        <v>117.30405465429678</v>
      </c>
      <c r="O42" s="37">
        <f>N42+M42+L42</f>
        <v>120.00148839971384</v>
      </c>
      <c r="P42" s="31">
        <f>P38-N42</f>
        <v>121.08432803363033</v>
      </c>
      <c r="Q42" s="35">
        <f>P42</f>
        <v>121.08432803363033</v>
      </c>
      <c r="R42" s="37">
        <f t="shared" si="0"/>
        <v>1.0828396339164925</v>
      </c>
    </row>
    <row r="43" spans="3:18" x14ac:dyDescent="0.45">
      <c r="F43" s="1" t="s">
        <v>2</v>
      </c>
      <c r="H43" s="27"/>
      <c r="I43" s="8"/>
      <c r="J43" s="8"/>
      <c r="K43" s="8"/>
      <c r="L43" s="8"/>
      <c r="M43" s="8"/>
      <c r="N43" s="8"/>
      <c r="O43" s="38"/>
      <c r="P43" s="27"/>
      <c r="Q43" s="36"/>
      <c r="R43" s="35"/>
    </row>
    <row r="46" spans="3:18" x14ac:dyDescent="0.45">
      <c r="F46" s="1" t="s">
        <v>63</v>
      </c>
      <c r="I46" s="1" t="s">
        <v>64</v>
      </c>
      <c r="J46" s="1" t="s">
        <v>65</v>
      </c>
      <c r="K46" s="1" t="s">
        <v>66</v>
      </c>
      <c r="L46" s="1" t="s">
        <v>60</v>
      </c>
      <c r="M46" s="1" t="s">
        <v>67</v>
      </c>
    </row>
    <row r="47" spans="3:18" x14ac:dyDescent="0.45">
      <c r="C47" s="13" t="s">
        <v>69</v>
      </c>
      <c r="G47" s="1" t="s">
        <v>62</v>
      </c>
      <c r="H47" s="44"/>
      <c r="K47" s="1" t="s">
        <v>35</v>
      </c>
      <c r="L47" s="1" t="s">
        <v>35</v>
      </c>
      <c r="M47" s="1" t="s">
        <v>35</v>
      </c>
    </row>
    <row r="48" spans="3:18" x14ac:dyDescent="0.45">
      <c r="G48" s="1" t="s">
        <v>35</v>
      </c>
      <c r="H48" s="40">
        <f>(N48+N50)</f>
        <v>138.99503010588774</v>
      </c>
      <c r="I48" s="17">
        <f>F49</f>
        <v>0.51666666666666661</v>
      </c>
      <c r="J48" s="17">
        <f>I48*$F$49</f>
        <v>0.26694444444444437</v>
      </c>
      <c r="K48" s="49">
        <f>O28</f>
        <v>0</v>
      </c>
      <c r="L48" s="49">
        <f>Q28</f>
        <v>263.95501138952164</v>
      </c>
      <c r="M48" s="49">
        <f>R28</f>
        <v>263.95501138952164</v>
      </c>
      <c r="N48" s="41">
        <f>I48*M48</f>
        <v>136.37675588458617</v>
      </c>
      <c r="P48" s="44">
        <f>R28+M48</f>
        <v>527.91002277904329</v>
      </c>
      <c r="Q48" s="44">
        <f>P48*J48</f>
        <v>140.92264774740568</v>
      </c>
    </row>
    <row r="49" spans="2:17" x14ac:dyDescent="0.45">
      <c r="F49" s="17">
        <f>F28</f>
        <v>0.51666666666666661</v>
      </c>
      <c r="G49" s="41">
        <f>G28</f>
        <v>136.37675588458617</v>
      </c>
      <c r="H49" s="42"/>
      <c r="I49" s="1"/>
      <c r="J49" s="15"/>
    </row>
    <row r="50" spans="2:17" x14ac:dyDescent="0.45">
      <c r="E50" s="73"/>
      <c r="F50" s="1" t="s">
        <v>1</v>
      </c>
      <c r="H50" s="43"/>
      <c r="I50" s="17">
        <f>F53</f>
        <v>0.48333333333333339</v>
      </c>
      <c r="J50" s="17">
        <f>I50*$F$49</f>
        <v>0.24972222222222223</v>
      </c>
      <c r="K50" s="49">
        <f>O32</f>
        <v>129.26894615548335</v>
      </c>
      <c r="L50" s="49">
        <f>Q32</f>
        <v>134.6860652340383</v>
      </c>
      <c r="M50" s="49">
        <f>R32</f>
        <v>5.417119078554947</v>
      </c>
      <c r="N50" s="41">
        <f>I50*M50</f>
        <v>2.618274221301558</v>
      </c>
      <c r="P50" s="44">
        <f>M50+R32</f>
        <v>10.834238157109894</v>
      </c>
      <c r="Q50" s="44">
        <f>P50*J50</f>
        <v>2.7055500286782763</v>
      </c>
    </row>
    <row r="51" spans="2:17" x14ac:dyDescent="0.45">
      <c r="B51" s="44"/>
      <c r="C51" s="40">
        <f>SUM(G49,G53)</f>
        <v>138.99503010588774</v>
      </c>
      <c r="D51" s="71" t="s">
        <v>0</v>
      </c>
      <c r="E51" s="73"/>
      <c r="I51" s="1"/>
    </row>
    <row r="52" spans="2:17" x14ac:dyDescent="0.45">
      <c r="C52" s="40"/>
      <c r="D52" s="71"/>
      <c r="E52" s="72"/>
      <c r="H52" s="40">
        <f>N52+N54</f>
        <v>67.822817222581392</v>
      </c>
      <c r="I52" s="16">
        <f>E5</f>
        <v>0.2413793103448276</v>
      </c>
      <c r="J52" s="17">
        <f>I52*$F$53</f>
        <v>0.11666666666666668</v>
      </c>
      <c r="K52" s="49">
        <f>O28</f>
        <v>0</v>
      </c>
      <c r="L52" s="49">
        <f>Q28</f>
        <v>263.95501138952164</v>
      </c>
      <c r="M52" s="49">
        <f>R28</f>
        <v>263.95501138952164</v>
      </c>
      <c r="N52" s="41">
        <f>I52*M52</f>
        <v>63.713278611263846</v>
      </c>
      <c r="P52" s="21">
        <f>R32+M52</f>
        <v>269.37213046807659</v>
      </c>
      <c r="Q52" s="44">
        <f>P52*J52</f>
        <v>31.426748554608938</v>
      </c>
    </row>
    <row r="53" spans="2:17" x14ac:dyDescent="0.45">
      <c r="E53" s="72"/>
      <c r="F53" s="17">
        <f>1-F49</f>
        <v>0.48333333333333339</v>
      </c>
      <c r="G53" s="41">
        <f>G32</f>
        <v>2.618274221301558</v>
      </c>
      <c r="H53" s="42"/>
      <c r="I53" s="1"/>
      <c r="J53" s="15"/>
    </row>
    <row r="54" spans="2:17" x14ac:dyDescent="0.45">
      <c r="F54" s="1" t="s">
        <v>2</v>
      </c>
      <c r="H54" s="43"/>
      <c r="I54" s="16">
        <f>1-I52</f>
        <v>0.75862068965517238</v>
      </c>
      <c r="J54" s="17">
        <f>I54*$F$53</f>
        <v>0.3666666666666667</v>
      </c>
      <c r="K54" s="49">
        <f>O32</f>
        <v>129.26894615548335</v>
      </c>
      <c r="L54" s="49">
        <f>Q32</f>
        <v>134.6860652340383</v>
      </c>
      <c r="M54" s="49">
        <f>R32</f>
        <v>5.417119078554947</v>
      </c>
      <c r="N54" s="41">
        <f>I54*M54</f>
        <v>4.1095386113175456</v>
      </c>
      <c r="P54" s="21">
        <f>M54+R32</f>
        <v>10.834238157109894</v>
      </c>
      <c r="Q54" s="44">
        <f>P54*J54</f>
        <v>3.9725539909402947</v>
      </c>
    </row>
    <row r="55" spans="2:17" x14ac:dyDescent="0.45">
      <c r="J55" s="15"/>
    </row>
    <row r="56" spans="2:17" x14ac:dyDescent="0.45">
      <c r="J56" s="15">
        <f>SUM(J48:J54)</f>
        <v>1</v>
      </c>
    </row>
    <row r="57" spans="2:17" x14ac:dyDescent="0.45">
      <c r="J57" s="15"/>
      <c r="Q57" s="44">
        <f>SUM(Q48:Q54)/2</f>
        <v>89.513750160816599</v>
      </c>
    </row>
    <row r="58" spans="2:17" x14ac:dyDescent="0.45">
      <c r="J58" s="15"/>
    </row>
    <row r="59" spans="2:17" x14ac:dyDescent="0.45">
      <c r="F59" s="1" t="s">
        <v>63</v>
      </c>
      <c r="I59" s="1" t="s">
        <v>64</v>
      </c>
      <c r="J59" s="1" t="s">
        <v>65</v>
      </c>
      <c r="K59" s="1" t="s">
        <v>66</v>
      </c>
      <c r="L59" s="1" t="s">
        <v>60</v>
      </c>
      <c r="M59" s="1" t="s">
        <v>67</v>
      </c>
    </row>
    <row r="60" spans="2:17" x14ac:dyDescent="0.45">
      <c r="C60" s="13" t="s">
        <v>68</v>
      </c>
      <c r="G60" s="1" t="s">
        <v>62</v>
      </c>
      <c r="H60" s="44"/>
      <c r="K60" s="1" t="s">
        <v>35</v>
      </c>
      <c r="L60" s="1" t="s">
        <v>35</v>
      </c>
      <c r="M60" s="1" t="s">
        <v>35</v>
      </c>
    </row>
    <row r="61" spans="2:17" x14ac:dyDescent="0.45">
      <c r="G61" s="1" t="s">
        <v>35</v>
      </c>
      <c r="H61" s="40">
        <f>(N61+N63)</f>
        <v>138.99503010588774</v>
      </c>
      <c r="I61" s="17">
        <f>F62</f>
        <v>0.51666666666666661</v>
      </c>
      <c r="J61" s="17">
        <f>I61*$F$62</f>
        <v>0.26694444444444437</v>
      </c>
      <c r="K61" s="49">
        <f>O28</f>
        <v>0</v>
      </c>
      <c r="L61" s="49">
        <f>Q28</f>
        <v>263.95501138952164</v>
      </c>
      <c r="M61" s="49">
        <f>R28</f>
        <v>263.95501138952164</v>
      </c>
      <c r="N61" s="41">
        <f>I61*M61</f>
        <v>136.37675588458617</v>
      </c>
      <c r="P61" s="44">
        <f>R28+M61</f>
        <v>527.91002277904329</v>
      </c>
      <c r="Q61" s="44">
        <f>P61*J61</f>
        <v>140.92264774740568</v>
      </c>
    </row>
    <row r="62" spans="2:17" x14ac:dyDescent="0.45">
      <c r="F62" s="17">
        <f>F28</f>
        <v>0.51666666666666661</v>
      </c>
      <c r="G62" s="41">
        <f>G28</f>
        <v>136.37675588458617</v>
      </c>
      <c r="H62" s="42"/>
      <c r="I62" s="1"/>
      <c r="J62" s="15"/>
    </row>
    <row r="63" spans="2:17" x14ac:dyDescent="0.45">
      <c r="E63" s="73"/>
      <c r="F63" s="1" t="s">
        <v>1</v>
      </c>
      <c r="H63" s="43"/>
      <c r="I63" s="17">
        <f>F66</f>
        <v>0.48333333333333339</v>
      </c>
      <c r="J63" s="17">
        <f>I63*$F$62</f>
        <v>0.24972222222222223</v>
      </c>
      <c r="K63" s="49">
        <f>O32</f>
        <v>129.26894615548335</v>
      </c>
      <c r="L63" s="49">
        <f>Q32</f>
        <v>134.6860652340383</v>
      </c>
      <c r="M63" s="49">
        <f>R32</f>
        <v>5.417119078554947</v>
      </c>
      <c r="N63" s="41">
        <f>I63*M63</f>
        <v>2.618274221301558</v>
      </c>
      <c r="P63" s="44">
        <f>M63+R32</f>
        <v>10.834238157109894</v>
      </c>
      <c r="Q63" s="44">
        <f>P63*J63</f>
        <v>2.7055500286782763</v>
      </c>
    </row>
    <row r="64" spans="2:17" x14ac:dyDescent="0.45">
      <c r="B64" s="44"/>
      <c r="C64" s="40">
        <f>SUM(G62,G66)</f>
        <v>138.99503010588774</v>
      </c>
      <c r="D64" s="71" t="s">
        <v>0</v>
      </c>
      <c r="E64" s="73"/>
      <c r="I64" s="1"/>
    </row>
    <row r="65" spans="3:17" x14ac:dyDescent="0.45">
      <c r="C65" s="40"/>
      <c r="D65" s="71"/>
      <c r="E65" s="72"/>
      <c r="H65" s="40">
        <f>N65+N67</f>
        <v>138.99503010588774</v>
      </c>
      <c r="I65" s="16">
        <f>F62</f>
        <v>0.51666666666666661</v>
      </c>
      <c r="J65" s="17">
        <f>I65*$F$66</f>
        <v>0.24972222222222223</v>
      </c>
      <c r="K65" s="49">
        <f>O28</f>
        <v>0</v>
      </c>
      <c r="L65" s="49">
        <f>Q28</f>
        <v>263.95501138952164</v>
      </c>
      <c r="M65" s="49">
        <f>R28</f>
        <v>263.95501138952164</v>
      </c>
      <c r="N65" s="41">
        <f>I65*M65</f>
        <v>136.37675588458617</v>
      </c>
      <c r="P65" s="21">
        <f>R28+M65</f>
        <v>527.91002277904329</v>
      </c>
      <c r="Q65" s="44">
        <f>P65*J65</f>
        <v>131.83086402176664</v>
      </c>
    </row>
    <row r="66" spans="3:17" x14ac:dyDescent="0.45">
      <c r="E66" s="72"/>
      <c r="F66" s="17">
        <f>1-F62</f>
        <v>0.48333333333333339</v>
      </c>
      <c r="G66" s="41">
        <f>G32</f>
        <v>2.618274221301558</v>
      </c>
      <c r="H66" s="42"/>
      <c r="I66" s="1"/>
      <c r="J66" s="15"/>
    </row>
    <row r="67" spans="3:17" x14ac:dyDescent="0.45">
      <c r="F67" s="1" t="s">
        <v>2</v>
      </c>
      <c r="H67" s="43"/>
      <c r="I67" s="16">
        <f>1-I65</f>
        <v>0.48333333333333339</v>
      </c>
      <c r="J67" s="17">
        <f>I67*$F$66</f>
        <v>0.23361111111111116</v>
      </c>
      <c r="K67" s="49">
        <f>O32</f>
        <v>129.26894615548335</v>
      </c>
      <c r="L67" s="49">
        <f>Q32</f>
        <v>134.6860652340383</v>
      </c>
      <c r="M67" s="49">
        <f>R32</f>
        <v>5.417119078554947</v>
      </c>
      <c r="N67" s="41">
        <f>I67*M67</f>
        <v>2.618274221301558</v>
      </c>
      <c r="P67" s="21">
        <f>M67+R32</f>
        <v>10.834238157109894</v>
      </c>
      <c r="Q67" s="44">
        <f>P67*J67</f>
        <v>2.5309984139248396</v>
      </c>
    </row>
    <row r="68" spans="3:17" x14ac:dyDescent="0.45">
      <c r="J68" s="15"/>
      <c r="Q68" s="44">
        <f>SUM(Q61:Q67)/2</f>
        <v>138.99503010588774</v>
      </c>
    </row>
    <row r="69" spans="3:17" x14ac:dyDescent="0.45">
      <c r="J69" s="15"/>
    </row>
    <row r="70" spans="3:17" x14ac:dyDescent="0.45">
      <c r="J70" s="15"/>
    </row>
    <row r="71" spans="3:17" x14ac:dyDescent="0.45">
      <c r="J71" s="15"/>
    </row>
    <row r="72" spans="3:17" x14ac:dyDescent="0.45">
      <c r="J72" s="15"/>
    </row>
    <row r="73" spans="3:17" x14ac:dyDescent="0.45">
      <c r="I73" s="1" t="s">
        <v>64</v>
      </c>
      <c r="J73" s="1" t="s">
        <v>65</v>
      </c>
      <c r="K73" s="1" t="s">
        <v>66</v>
      </c>
      <c r="L73" s="1" t="s">
        <v>60</v>
      </c>
      <c r="M73" s="1" t="s">
        <v>67</v>
      </c>
    </row>
    <row r="74" spans="3:17" x14ac:dyDescent="0.45">
      <c r="G74" s="1" t="s">
        <v>62</v>
      </c>
      <c r="H74" s="44"/>
      <c r="K74" s="1" t="s">
        <v>35</v>
      </c>
      <c r="L74" s="1" t="s">
        <v>35</v>
      </c>
      <c r="M74" s="1" t="s">
        <v>35</v>
      </c>
    </row>
    <row r="75" spans="3:17" x14ac:dyDescent="0.45">
      <c r="G75" s="1" t="s">
        <v>35</v>
      </c>
      <c r="H75" s="40">
        <f>(N75+N77)</f>
        <v>161.39838099478874</v>
      </c>
      <c r="I75" s="17">
        <f>F76</f>
        <v>0.68333333333333335</v>
      </c>
      <c r="J75" s="17">
        <f>I75*$F$76</f>
        <v>0.46694444444444444</v>
      </c>
      <c r="K75" s="49">
        <f>O38</f>
        <v>2.6974337454170647</v>
      </c>
      <c r="L75" s="49">
        <f>Q38</f>
        <v>238.38838268792711</v>
      </c>
      <c r="M75" s="49">
        <f>R38</f>
        <v>235.69094894251003</v>
      </c>
      <c r="N75" s="41">
        <f>I75*M75</f>
        <v>161.05548177738186</v>
      </c>
      <c r="P75" s="44">
        <f>R38+M75</f>
        <v>471.38189788502007</v>
      </c>
      <c r="Q75" s="44">
        <f>P75*J75</f>
        <v>220.10915842908852</v>
      </c>
    </row>
    <row r="76" spans="3:17" x14ac:dyDescent="0.45">
      <c r="F76" s="17">
        <f>F38</f>
        <v>0.68333333333333335</v>
      </c>
      <c r="G76" s="41">
        <f>G38</f>
        <v>161.05548177738186</v>
      </c>
      <c r="H76" s="42"/>
      <c r="I76" s="1"/>
      <c r="J76" s="15"/>
    </row>
    <row r="77" spans="3:17" x14ac:dyDescent="0.45">
      <c r="E77" s="73"/>
      <c r="F77" s="1" t="s">
        <v>1</v>
      </c>
      <c r="H77" s="43"/>
      <c r="I77" s="17">
        <f>F80</f>
        <v>0.31666666666666665</v>
      </c>
      <c r="J77" s="17">
        <f>I77*$F$76</f>
        <v>0.21638888888888888</v>
      </c>
      <c r="K77" s="49">
        <f>O42</f>
        <v>120.00148839971384</v>
      </c>
      <c r="L77" s="49">
        <f>Q42</f>
        <v>121.08432803363033</v>
      </c>
      <c r="M77" s="49">
        <f>R42</f>
        <v>1.0828396339164925</v>
      </c>
      <c r="N77" s="41">
        <f>I77*M77</f>
        <v>0.34289921740688928</v>
      </c>
      <c r="P77" s="44">
        <f>M77+R38</f>
        <v>236.77378857642651</v>
      </c>
      <c r="Q77" s="44">
        <f>P77*J77</f>
        <v>51.235217028065627</v>
      </c>
    </row>
    <row r="78" spans="3:17" x14ac:dyDescent="0.45">
      <c r="C78" s="40">
        <f>C40</f>
        <v>161.39838099478874</v>
      </c>
      <c r="D78" s="71" t="s">
        <v>50</v>
      </c>
      <c r="E78" s="73"/>
      <c r="I78" s="1"/>
    </row>
    <row r="79" spans="3:17" x14ac:dyDescent="0.45">
      <c r="C79" s="40">
        <f>SUM(G76,G80)</f>
        <v>161.39838099478874</v>
      </c>
      <c r="D79" s="71"/>
      <c r="E79" s="72"/>
      <c r="H79" s="40">
        <f>N79+N81</f>
        <v>75.169610994524973</v>
      </c>
      <c r="I79" s="16">
        <f>E6</f>
        <v>0.31578947368421051</v>
      </c>
      <c r="J79" s="17">
        <f>I79*$F$80</f>
        <v>9.9999999999999992E-2</v>
      </c>
      <c r="K79" s="49">
        <f>O38</f>
        <v>2.6974337454170647</v>
      </c>
      <c r="L79" s="49">
        <f>Q38</f>
        <v>238.38838268792711</v>
      </c>
      <c r="M79" s="49">
        <f>R38</f>
        <v>235.69094894251003</v>
      </c>
      <c r="N79" s="41">
        <f>I79*M79</f>
        <v>74.428720718687373</v>
      </c>
      <c r="P79" s="21">
        <f>R42+M79</f>
        <v>236.77378857642651</v>
      </c>
      <c r="Q79" s="44">
        <f>P79*J79</f>
        <v>23.677378857642648</v>
      </c>
    </row>
    <row r="80" spans="3:17" x14ac:dyDescent="0.45">
      <c r="E80" s="72"/>
      <c r="F80" s="17">
        <f>1-F76</f>
        <v>0.31666666666666665</v>
      </c>
      <c r="G80" s="46">
        <f>G42</f>
        <v>0.34289921740688928</v>
      </c>
      <c r="H80" s="42"/>
      <c r="I80" s="1"/>
      <c r="J80" s="15"/>
    </row>
    <row r="81" spans="6:17" x14ac:dyDescent="0.45">
      <c r="F81" s="1" t="s">
        <v>2</v>
      </c>
      <c r="H81" s="43"/>
      <c r="I81" s="16">
        <f>1-I79</f>
        <v>0.68421052631578949</v>
      </c>
      <c r="J81" s="17">
        <f>I81*$F$80</f>
        <v>0.21666666666666667</v>
      </c>
      <c r="K81" s="49">
        <f>O42</f>
        <v>120.00148839971384</v>
      </c>
      <c r="L81" s="49">
        <f>Q42</f>
        <v>121.08432803363033</v>
      </c>
      <c r="M81" s="49">
        <f>R42</f>
        <v>1.0828396339164925</v>
      </c>
      <c r="N81" s="41">
        <f>I81*M81</f>
        <v>0.74089027583760014</v>
      </c>
      <c r="P81" s="21">
        <f>M81+R42</f>
        <v>2.165679267832985</v>
      </c>
      <c r="Q81" s="44">
        <f>P81*J81</f>
        <v>0.46923050803048011</v>
      </c>
    </row>
    <row r="82" spans="6:17" x14ac:dyDescent="0.45">
      <c r="J82" s="15"/>
      <c r="Q82" s="44">
        <f>SUM(Q75:Q81)/2</f>
        <v>147.74549241141364</v>
      </c>
    </row>
    <row r="83" spans="6:17" x14ac:dyDescent="0.45">
      <c r="J83" s="15">
        <f>SUM(J75:J81)</f>
        <v>1</v>
      </c>
    </row>
  </sheetData>
  <mergeCells count="15">
    <mergeCell ref="E50:E51"/>
    <mergeCell ref="D51:D52"/>
    <mergeCell ref="E52:E53"/>
    <mergeCell ref="E77:E78"/>
    <mergeCell ref="D78:D79"/>
    <mergeCell ref="E79:E80"/>
    <mergeCell ref="E63:E64"/>
    <mergeCell ref="D64:D65"/>
    <mergeCell ref="E65:E66"/>
    <mergeCell ref="D30:D31"/>
    <mergeCell ref="E31:E32"/>
    <mergeCell ref="E29:E30"/>
    <mergeCell ref="E39:E40"/>
    <mergeCell ref="D40:D41"/>
    <mergeCell ref="E41:E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4"/>
  <sheetViews>
    <sheetView topLeftCell="C1" zoomScale="40" zoomScaleNormal="40" workbookViewId="0">
      <pane xSplit="1" ySplit="9" topLeftCell="G52" activePane="bottomRight" state="frozen"/>
      <selection activeCell="C1" sqref="C1"/>
      <selection pane="topRight" activeCell="D1" sqref="D1"/>
      <selection pane="bottomLeft" activeCell="C7" sqref="C7"/>
      <selection pane="bottomRight" activeCell="J1" sqref="J1"/>
    </sheetView>
  </sheetViews>
  <sheetFormatPr defaultRowHeight="14.25" x14ac:dyDescent="0.45"/>
  <cols>
    <col min="3" max="3" width="11.59765625" bestFit="1" customWidth="1"/>
    <col min="4" max="4" width="10.86328125" bestFit="1" customWidth="1"/>
    <col min="6" max="6" width="10.59765625" bestFit="1" customWidth="1"/>
    <col min="9" max="9" width="10.86328125" bestFit="1" customWidth="1"/>
    <col min="10" max="10" width="12.1328125" bestFit="1" customWidth="1"/>
    <col min="11" max="11" width="18.1328125" bestFit="1" customWidth="1"/>
    <col min="13" max="13" width="10.86328125" bestFit="1" customWidth="1"/>
    <col min="14" max="14" width="12.1328125" bestFit="1" customWidth="1"/>
    <col min="17" max="17" width="16" customWidth="1"/>
    <col min="18" max="18" width="19.1328125" bestFit="1" customWidth="1"/>
    <col min="21" max="21" width="18.265625" bestFit="1" customWidth="1"/>
    <col min="22" max="22" width="12.1328125" bestFit="1" customWidth="1"/>
    <col min="23" max="26" width="12.1328125" customWidth="1"/>
    <col min="27" max="27" width="9.265625" bestFit="1" customWidth="1"/>
    <col min="28" max="28" width="11.59765625" bestFit="1" customWidth="1"/>
    <col min="29" max="29" width="11.86328125" bestFit="1" customWidth="1"/>
    <col min="30" max="30" width="9.73046875" bestFit="1" customWidth="1"/>
    <col min="32" max="32" width="12.3984375" customWidth="1"/>
    <col min="33" max="33" width="11.59765625" bestFit="1" customWidth="1"/>
    <col min="34" max="34" width="10.59765625" bestFit="1" customWidth="1"/>
    <col min="37" max="37" width="11.59765625" customWidth="1"/>
    <col min="38" max="38" width="12.1328125" customWidth="1"/>
    <col min="40" max="40" width="9.1328125" customWidth="1"/>
    <col min="41" max="41" width="12.3984375" customWidth="1"/>
  </cols>
  <sheetData>
    <row r="1" spans="4:37" x14ac:dyDescent="0.45">
      <c r="D1" t="s">
        <v>4</v>
      </c>
      <c r="E1" s="15">
        <f>Sheet1!F28</f>
        <v>0.51666666666666661</v>
      </c>
      <c r="G1" s="56" t="s">
        <v>72</v>
      </c>
      <c r="H1" s="1">
        <v>0</v>
      </c>
      <c r="I1" s="1" t="s">
        <v>102</v>
      </c>
      <c r="J1" s="57">
        <v>1</v>
      </c>
      <c r="L1" s="56" t="s">
        <v>70</v>
      </c>
      <c r="M1" s="56" t="s">
        <v>76</v>
      </c>
      <c r="N1" s="59">
        <f>Sheet1!R28</f>
        <v>263.95501138952164</v>
      </c>
      <c r="Q1" s="56" t="s">
        <v>80</v>
      </c>
      <c r="R1" s="62">
        <f>AC111</f>
        <v>184.9236191587739</v>
      </c>
      <c r="T1" s="63" t="s">
        <v>81</v>
      </c>
      <c r="U1" s="65">
        <v>0.7</v>
      </c>
      <c r="W1" s="56" t="s">
        <v>83</v>
      </c>
      <c r="X1" s="15">
        <f>1-X2</f>
        <v>0.65714285714285703</v>
      </c>
      <c r="Z1" s="63" t="s">
        <v>84</v>
      </c>
      <c r="AA1" s="65">
        <v>0.8</v>
      </c>
      <c r="AB1" s="13" t="s">
        <v>87</v>
      </c>
    </row>
    <row r="2" spans="4:37" x14ac:dyDescent="0.45">
      <c r="D2" t="s">
        <v>5</v>
      </c>
      <c r="E2" s="15">
        <f>Sheet1!E5</f>
        <v>0.2413793103448276</v>
      </c>
      <c r="G2" s="56" t="s">
        <v>73</v>
      </c>
      <c r="H2" s="1">
        <v>1</v>
      </c>
      <c r="M2" s="56" t="s">
        <v>77</v>
      </c>
      <c r="N2" s="59">
        <f>Sheet1!R32</f>
        <v>5.417119078554947</v>
      </c>
      <c r="T2" s="63" t="s">
        <v>82</v>
      </c>
      <c r="U2" s="65">
        <f>1-U1</f>
        <v>0.30000000000000004</v>
      </c>
      <c r="W2" s="56" t="s">
        <v>85</v>
      </c>
      <c r="X2" s="15">
        <f>(AA1*U2)/U1</f>
        <v>0.34285714285714297</v>
      </c>
      <c r="Z2" s="56" t="s">
        <v>86</v>
      </c>
      <c r="AA2" s="15">
        <f>1-AA1</f>
        <v>0.19999999999999996</v>
      </c>
      <c r="AG2" t="s">
        <v>0</v>
      </c>
      <c r="AH2">
        <v>205.74497990272582</v>
      </c>
      <c r="AJ2">
        <v>161.79551886012632</v>
      </c>
    </row>
    <row r="3" spans="4:37" x14ac:dyDescent="0.45">
      <c r="G3" t="s">
        <v>103</v>
      </c>
      <c r="J3" s="57">
        <v>0</v>
      </c>
      <c r="AG3" t="s">
        <v>89</v>
      </c>
      <c r="AH3">
        <v>226.5166047992964</v>
      </c>
      <c r="AJ3">
        <v>197.29162856064309</v>
      </c>
    </row>
    <row r="4" spans="4:37" x14ac:dyDescent="0.45">
      <c r="G4" t="s">
        <v>104</v>
      </c>
      <c r="AI4">
        <f>AH2-AH3</f>
        <v>-20.771624896570586</v>
      </c>
      <c r="AK4">
        <f>AJ2-AJ3</f>
        <v>-35.496109700516769</v>
      </c>
    </row>
    <row r="5" spans="4:37" x14ac:dyDescent="0.45">
      <c r="G5" t="s">
        <v>100</v>
      </c>
      <c r="J5" s="57">
        <v>1</v>
      </c>
      <c r="AB5" s="55"/>
      <c r="AC5" s="44"/>
    </row>
    <row r="6" spans="4:37" x14ac:dyDescent="0.45">
      <c r="G6" t="s">
        <v>101</v>
      </c>
      <c r="Z6" t="s">
        <v>88</v>
      </c>
      <c r="AB6" t="s">
        <v>92</v>
      </c>
    </row>
    <row r="7" spans="4:37" x14ac:dyDescent="0.45">
      <c r="AB7" s="55">
        <f>SUMPRODUCT(AF11:AF106,AC11:AC106)</f>
        <v>1109.5417149526434</v>
      </c>
      <c r="AC7" s="44">
        <f>AC8/6</f>
        <v>1436.6513624964082</v>
      </c>
    </row>
    <row r="8" spans="4:37" x14ac:dyDescent="0.45">
      <c r="E8" s="1" t="s">
        <v>63</v>
      </c>
      <c r="F8" s="1" t="s">
        <v>62</v>
      </c>
      <c r="H8" s="1" t="s">
        <v>64</v>
      </c>
      <c r="I8" s="1" t="s">
        <v>65</v>
      </c>
      <c r="J8" s="1" t="s">
        <v>70</v>
      </c>
      <c r="L8" s="1" t="s">
        <v>64</v>
      </c>
      <c r="M8" s="1" t="s">
        <v>65</v>
      </c>
      <c r="N8" s="1" t="s">
        <v>70</v>
      </c>
      <c r="P8" s="1" t="s">
        <v>64</v>
      </c>
      <c r="Q8" s="1" t="s">
        <v>65</v>
      </c>
      <c r="R8" s="1" t="s">
        <v>70</v>
      </c>
      <c r="T8" s="1" t="s">
        <v>64</v>
      </c>
      <c r="U8" s="1" t="s">
        <v>65</v>
      </c>
      <c r="V8" s="1" t="s">
        <v>70</v>
      </c>
      <c r="W8" s="1"/>
      <c r="X8" s="1"/>
      <c r="Y8" s="1"/>
      <c r="Z8" s="67">
        <f>E111</f>
        <v>175.3134483114759</v>
      </c>
      <c r="AB8" s="68">
        <f>AB7/6</f>
        <v>184.9236191587739</v>
      </c>
      <c r="AC8" s="55">
        <f>SUM(AG11:AG106)</f>
        <v>8619.9081749784491</v>
      </c>
      <c r="AE8" s="64">
        <f>(AB8-Z8)/Z8</f>
        <v>5.4817077297024071E-2</v>
      </c>
    </row>
    <row r="9" spans="4:37" x14ac:dyDescent="0.45">
      <c r="F9" s="1" t="s">
        <v>35</v>
      </c>
      <c r="J9" s="1" t="s">
        <v>35</v>
      </c>
      <c r="N9" s="1" t="s">
        <v>35</v>
      </c>
      <c r="R9" s="1" t="s">
        <v>35</v>
      </c>
      <c r="V9" s="1" t="s">
        <v>35</v>
      </c>
      <c r="W9" s="1"/>
      <c r="X9" s="1"/>
      <c r="Y9" s="1"/>
      <c r="Z9" s="1"/>
    </row>
    <row r="10" spans="4:37" x14ac:dyDescent="0.45">
      <c r="F10" s="1"/>
      <c r="K10" s="1"/>
      <c r="P10" s="1"/>
      <c r="U10" s="1"/>
      <c r="Z10" s="1"/>
      <c r="AA10" s="1"/>
      <c r="AB10" s="1"/>
      <c r="AC10" s="1"/>
      <c r="AD10" s="1"/>
    </row>
    <row r="11" spans="4:37" x14ac:dyDescent="0.45">
      <c r="F11" s="1"/>
      <c r="K11" s="1"/>
      <c r="P11" s="1"/>
      <c r="U11" s="1"/>
      <c r="Z11" s="1"/>
      <c r="AB11" s="17">
        <f>IF($J$1=0,$U$1,$X$1)</f>
        <v>0.65714285714285703</v>
      </c>
      <c r="AC11" s="17">
        <f>AB11*X12</f>
        <v>8.0530194867784607E-2</v>
      </c>
      <c r="AD11" s="49">
        <f>$N$1</f>
        <v>263.95501138952164</v>
      </c>
      <c r="AF11" s="55">
        <f>SUM(AD11,Z12,U13,P16,K22,F34)</f>
        <v>1583.7300683371298</v>
      </c>
      <c r="AG11" s="60">
        <f>AF11/6</f>
        <v>263.95501138952164</v>
      </c>
    </row>
    <row r="12" spans="4:37" x14ac:dyDescent="0.45">
      <c r="W12" s="17">
        <f>IF($J$1=0,$U$1,$X$1)</f>
        <v>0.65714285714285703</v>
      </c>
      <c r="X12" s="17">
        <f>W12*S13</f>
        <v>0.12254594871184615</v>
      </c>
      <c r="Y12" s="17">
        <f>Z12+U13+P16+K22+F34</f>
        <v>1319.7750569476082</v>
      </c>
      <c r="Z12" s="49">
        <f>$N$1</f>
        <v>263.95501138952164</v>
      </c>
      <c r="AA12" s="42"/>
      <c r="AB12" s="15"/>
      <c r="AC12" s="15"/>
      <c r="AF12" s="55"/>
      <c r="AG12" s="44"/>
    </row>
    <row r="13" spans="4:37" x14ac:dyDescent="0.45">
      <c r="R13" s="17">
        <f>IF($J$1=0,$U$1,$X$1)</f>
        <v>0.65714285714285703</v>
      </c>
      <c r="S13" s="17">
        <f>R13*N16</f>
        <v>0.18648296543107026</v>
      </c>
      <c r="T13" s="17">
        <f>U13+P16+K22+F34</f>
        <v>1055.8200455580866</v>
      </c>
      <c r="U13" s="49">
        <f>$N$1</f>
        <v>263.95501138952164</v>
      </c>
      <c r="V13" s="42"/>
      <c r="W13" s="15"/>
      <c r="X13" s="15"/>
      <c r="Y13" s="15"/>
      <c r="AA13" s="43"/>
      <c r="AB13" s="17">
        <f>1-AB11</f>
        <v>0.34285714285714297</v>
      </c>
      <c r="AC13" s="17">
        <f>AB13*X12</f>
        <v>4.2015753844061553E-2</v>
      </c>
      <c r="AD13" s="49">
        <f>$N$2</f>
        <v>5.417119078554947</v>
      </c>
      <c r="AF13" s="55">
        <f>SUM(AD13,Z12,U13,P16,K22,F34)</f>
        <v>1325.192176026163</v>
      </c>
      <c r="AG13" s="60">
        <f t="shared" ref="AG13:AG14" si="0">AF13/6</f>
        <v>220.86536267102716</v>
      </c>
    </row>
    <row r="14" spans="4:37" x14ac:dyDescent="0.45">
      <c r="Q14" s="73"/>
      <c r="V14" s="72"/>
      <c r="AB14" s="17">
        <f>IF($J$1=0,$U$1,$AA$1)</f>
        <v>0.8</v>
      </c>
      <c r="AC14" s="17">
        <f>AB14*X15</f>
        <v>5.1149613375379294E-2</v>
      </c>
      <c r="AD14" s="49">
        <f>$N$1</f>
        <v>263.95501138952164</v>
      </c>
      <c r="AF14" s="55">
        <f>SUM(AD14,Z15,U13,P16,K22,F34)</f>
        <v>1325.192176026163</v>
      </c>
      <c r="AG14" s="60">
        <f t="shared" si="0"/>
        <v>220.86536267102716</v>
      </c>
    </row>
    <row r="15" spans="4:37" x14ac:dyDescent="0.45">
      <c r="Q15" s="73"/>
      <c r="V15" s="72"/>
      <c r="W15" s="17">
        <f>1-W12</f>
        <v>0.34285714285714297</v>
      </c>
      <c r="X15" s="17">
        <f>W15*S13</f>
        <v>6.393701671922411E-2</v>
      </c>
      <c r="Y15" s="17">
        <f>+Z15+U13+P16+K22+F34</f>
        <v>1061.2371646366414</v>
      </c>
      <c r="Z15" s="49">
        <f>$N$2</f>
        <v>5.417119078554947</v>
      </c>
      <c r="AA15" s="42"/>
      <c r="AB15" s="15"/>
      <c r="AC15" s="15"/>
      <c r="AF15" s="55"/>
    </row>
    <row r="16" spans="4:37" x14ac:dyDescent="0.45">
      <c r="M16" s="17">
        <f>IF($J$1=0,$U$1,$X$1)</f>
        <v>0.65714285714285703</v>
      </c>
      <c r="N16" s="17">
        <f>M16*I22</f>
        <v>0.28377842565597655</v>
      </c>
      <c r="O16" s="17">
        <f>P16+K22+F34</f>
        <v>791.86503416856499</v>
      </c>
      <c r="P16" s="49">
        <f>$N$1</f>
        <v>263.95501138952164</v>
      </c>
      <c r="Q16" s="73"/>
      <c r="AA16" s="43"/>
      <c r="AB16" s="17">
        <f>1-AB14</f>
        <v>0.19999999999999996</v>
      </c>
      <c r="AC16" s="17">
        <f>AB16*X15</f>
        <v>1.278740334384482E-2</v>
      </c>
      <c r="AD16" s="49">
        <f>$N$2</f>
        <v>5.417119078554947</v>
      </c>
      <c r="AF16" s="55">
        <f>SUM(AD16,Z15,U13,P16,K22,F34)</f>
        <v>1066.6542837151965</v>
      </c>
      <c r="AG16" s="60">
        <f>AF16/6</f>
        <v>177.77571395253275</v>
      </c>
    </row>
    <row r="17" spans="1:39" x14ac:dyDescent="0.45">
      <c r="L17" s="73"/>
      <c r="Q17" s="72"/>
      <c r="R17" s="1"/>
      <c r="S17" s="1"/>
      <c r="T17" s="1"/>
      <c r="U17" s="1"/>
      <c r="AB17" s="17">
        <f>IF($J$1=0,$U$1,$X$1)</f>
        <v>0.65714285714285703</v>
      </c>
      <c r="AC17" s="17">
        <f>AB17*X18</f>
        <v>5.1149613375379294E-2</v>
      </c>
      <c r="AD17" s="49">
        <f>$N$1</f>
        <v>263.95501138952164</v>
      </c>
      <c r="AF17" s="55">
        <f>SUM(AD17,Z18,U19,P16,K22,F34)</f>
        <v>1325.192176026163</v>
      </c>
      <c r="AG17" s="60">
        <f>AF17/6</f>
        <v>220.86536267102716</v>
      </c>
    </row>
    <row r="18" spans="1:39" x14ac:dyDescent="0.45">
      <c r="A18" s="8"/>
      <c r="B18" s="8"/>
      <c r="C18" s="8"/>
      <c r="D18" s="8"/>
      <c r="E18" s="8"/>
      <c r="F18" s="8"/>
      <c r="L18" s="73"/>
      <c r="Q18" s="72"/>
      <c r="U18" s="1"/>
      <c r="W18" s="17">
        <f>IF($J$1=0,$U$1,$AA$1)</f>
        <v>0.8</v>
      </c>
      <c r="X18" s="17">
        <f>W18*S19</f>
        <v>7.7836368179925022E-2</v>
      </c>
      <c r="Y18" s="17">
        <f>+Z18+U19+P16+K22+F34</f>
        <v>1061.2371646366414</v>
      </c>
      <c r="Z18" s="49">
        <f>$N$1</f>
        <v>263.95501138952164</v>
      </c>
      <c r="AA18" s="42"/>
      <c r="AB18" s="15"/>
      <c r="AC18" s="15"/>
      <c r="AF18" s="55"/>
      <c r="AG18" s="44"/>
    </row>
    <row r="19" spans="1:39" x14ac:dyDescent="0.45">
      <c r="A19" s="8"/>
      <c r="B19" s="8"/>
      <c r="C19" s="8"/>
      <c r="D19" s="8"/>
      <c r="E19" s="8"/>
      <c r="F19" s="8"/>
      <c r="L19" s="73"/>
      <c r="Q19" s="72"/>
      <c r="R19" s="17">
        <f>1-R13</f>
        <v>0.34285714285714297</v>
      </c>
      <c r="S19" s="17">
        <f>R19*N16</f>
        <v>9.7295460224906274E-2</v>
      </c>
      <c r="T19" s="17">
        <f>U19+P16+K22+F34</f>
        <v>797.28215324711982</v>
      </c>
      <c r="U19" s="49">
        <f>$N$2</f>
        <v>5.417119078554947</v>
      </c>
      <c r="V19" s="42"/>
      <c r="W19" s="15"/>
      <c r="X19" s="15"/>
      <c r="Y19" s="15"/>
      <c r="AA19" s="43"/>
      <c r="AB19" s="17">
        <f>1-AB17</f>
        <v>0.34285714285714297</v>
      </c>
      <c r="AC19" s="17">
        <f>AB19*X18</f>
        <v>2.6686754804545732E-2</v>
      </c>
      <c r="AD19" s="49">
        <f>$N$2</f>
        <v>5.417119078554947</v>
      </c>
      <c r="AF19" s="55">
        <f>SUM(AD19,Z18,U19,P16,K22,F34)</f>
        <v>1066.6542837151965</v>
      </c>
      <c r="AG19" s="60">
        <f t="shared" ref="AG19:AG20" si="1">AF19/6</f>
        <v>177.77571395253275</v>
      </c>
    </row>
    <row r="20" spans="1:39" x14ac:dyDescent="0.45">
      <c r="A20" s="8"/>
      <c r="B20" s="52"/>
      <c r="C20" s="8"/>
      <c r="D20" s="8"/>
      <c r="E20" s="8"/>
      <c r="F20" s="8"/>
      <c r="G20" s="44"/>
      <c r="L20" s="73"/>
      <c r="V20" s="72"/>
      <c r="AB20" s="17">
        <f>IF($J$1=0,$U$1,$AA$1)</f>
        <v>0.8</v>
      </c>
      <c r="AC20" s="17">
        <f>AB20*X21</f>
        <v>1.5567273635985002E-2</v>
      </c>
      <c r="AD20" s="49">
        <f>Z18</f>
        <v>263.95501138952164</v>
      </c>
      <c r="AF20" s="55">
        <f>SUM(AD20,Z21,U19,P16,K22,F34)</f>
        <v>1066.6542837151965</v>
      </c>
      <c r="AG20" s="60">
        <f t="shared" si="1"/>
        <v>177.77571395253275</v>
      </c>
    </row>
    <row r="21" spans="1:39" x14ac:dyDescent="0.45">
      <c r="A21" s="8"/>
      <c r="B21" s="8"/>
      <c r="C21" s="8"/>
      <c r="D21" s="8"/>
      <c r="E21" s="8"/>
      <c r="F21" s="8"/>
      <c r="G21" s="40"/>
      <c r="L21" s="73"/>
      <c r="V21" s="72"/>
      <c r="W21" s="17">
        <f>1-W18</f>
        <v>0.19999999999999996</v>
      </c>
      <c r="X21" s="17">
        <f>W21*S19</f>
        <v>1.9459092044981252E-2</v>
      </c>
      <c r="Y21" s="17">
        <f>+Z21+U19+P16+K22+F34</f>
        <v>802.69927232567488</v>
      </c>
      <c r="Z21" s="49">
        <f>$N$2</f>
        <v>5.417119078554947</v>
      </c>
      <c r="AA21" s="42"/>
      <c r="AB21" s="15"/>
      <c r="AC21" s="15"/>
      <c r="AF21" s="55"/>
      <c r="AI21" s="57">
        <v>100</v>
      </c>
      <c r="AK21">
        <v>0</v>
      </c>
      <c r="AL21">
        <v>100</v>
      </c>
      <c r="AM21">
        <f t="array" ref="AM21:AM37">FREQUENCY(AF11:AF106,AK21:AK37)</f>
        <v>0</v>
      </c>
    </row>
    <row r="22" spans="1:39" x14ac:dyDescent="0.45">
      <c r="A22" s="8"/>
      <c r="B22" s="8"/>
      <c r="C22" s="8"/>
      <c r="D22" s="8"/>
      <c r="E22" s="8"/>
      <c r="F22" s="8"/>
      <c r="G22" s="8"/>
      <c r="H22" s="17">
        <f>IF($J$1=0,$U$1,$X$1)</f>
        <v>0.65714285714285703</v>
      </c>
      <c r="I22" s="17">
        <f>H22*E34</f>
        <v>0.4318367346938774</v>
      </c>
      <c r="J22" s="17">
        <f>F34+K22</f>
        <v>527.91002277904329</v>
      </c>
      <c r="K22" s="49">
        <f>$N$1</f>
        <v>263.95501138952164</v>
      </c>
      <c r="L22" s="73"/>
      <c r="R22" s="9"/>
      <c r="S22" s="9"/>
      <c r="T22" s="9"/>
      <c r="U22" s="9"/>
      <c r="V22" s="8"/>
      <c r="W22" s="8"/>
      <c r="X22" s="8"/>
      <c r="Y22" s="8"/>
      <c r="Z22" s="8"/>
      <c r="AA22" s="43"/>
      <c r="AB22" s="17">
        <f>1-AB20</f>
        <v>0.19999999999999996</v>
      </c>
      <c r="AC22" s="17">
        <f>AB22*X21</f>
        <v>3.8918184089962496E-3</v>
      </c>
      <c r="AD22" s="49">
        <f>$N$2</f>
        <v>5.417119078554947</v>
      </c>
      <c r="AF22" s="55">
        <f>SUM(AD22,Z21,U19,P16,K22,F34)</f>
        <v>808.11639140422972</v>
      </c>
      <c r="AG22" s="60">
        <f>AF22/6</f>
        <v>134.6860652340383</v>
      </c>
      <c r="AK22">
        <f>AL21</f>
        <v>100</v>
      </c>
      <c r="AL22">
        <f>AK22+$AI$21</f>
        <v>200</v>
      </c>
      <c r="AM22">
        <v>1</v>
      </c>
    </row>
    <row r="23" spans="1:39" x14ac:dyDescent="0.45">
      <c r="A23" s="8"/>
      <c r="B23" s="8"/>
      <c r="C23" s="8"/>
      <c r="D23" s="53"/>
      <c r="E23" s="8"/>
      <c r="F23" s="8"/>
      <c r="G23" s="73"/>
      <c r="H23" s="15"/>
      <c r="I23" s="15"/>
      <c r="J23" s="15"/>
      <c r="L23" s="72"/>
      <c r="R23" s="1"/>
      <c r="S23" s="1"/>
      <c r="T23" s="1"/>
      <c r="U23" s="1"/>
      <c r="AB23" s="17">
        <f>IF($J$1=0,$U$1,$X$1)</f>
        <v>0.65714285714285703</v>
      </c>
      <c r="AC23" s="17">
        <f>AB23*X24</f>
        <v>5.1149613375379294E-2</v>
      </c>
      <c r="AD23" s="49">
        <f>$N$1</f>
        <v>263.95501138952164</v>
      </c>
      <c r="AF23" s="55">
        <f>SUM(AD23,Z24,U25,P28,K22,F34)</f>
        <v>1325.1921760261632</v>
      </c>
      <c r="AG23" s="60">
        <f>AF23/6</f>
        <v>220.86536267102721</v>
      </c>
      <c r="AK23">
        <f t="shared" ref="AK23:AK37" si="2">AL22</f>
        <v>200</v>
      </c>
      <c r="AL23">
        <f t="shared" ref="AL23:AL37" si="3">AK23+$AI$21</f>
        <v>300</v>
      </c>
      <c r="AM23">
        <v>0</v>
      </c>
    </row>
    <row r="24" spans="1:39" x14ac:dyDescent="0.45">
      <c r="A24" s="8"/>
      <c r="B24" s="40"/>
      <c r="C24" s="54"/>
      <c r="D24" s="53"/>
      <c r="E24" s="9"/>
      <c r="F24" s="8"/>
      <c r="G24" s="73"/>
      <c r="H24" s="15"/>
      <c r="I24" s="15"/>
      <c r="J24" s="15"/>
      <c r="L24" s="72"/>
      <c r="U24" s="1"/>
      <c r="W24" s="17">
        <f>IF($J$1=0,$U$1,$X$1)</f>
        <v>0.65714285714285703</v>
      </c>
      <c r="X24" s="17">
        <f>W24*S25</f>
        <v>7.7836368179925022E-2</v>
      </c>
      <c r="Y24" s="17">
        <f>+Z24+U25+P28+K22+F34</f>
        <v>1061.2371646366414</v>
      </c>
      <c r="Z24" s="49">
        <f>$N$1</f>
        <v>263.95501138952164</v>
      </c>
      <c r="AA24" s="42"/>
      <c r="AB24" s="15"/>
      <c r="AC24" s="15"/>
      <c r="AF24" s="55"/>
      <c r="AG24" s="44"/>
      <c r="AK24">
        <f t="shared" si="2"/>
        <v>300</v>
      </c>
      <c r="AL24">
        <f t="shared" si="3"/>
        <v>400</v>
      </c>
      <c r="AM24">
        <v>6</v>
      </c>
    </row>
    <row r="25" spans="1:39" x14ac:dyDescent="0.45">
      <c r="A25" s="8"/>
      <c r="B25" s="40"/>
      <c r="C25" s="54"/>
      <c r="D25" s="53"/>
      <c r="E25" s="8"/>
      <c r="F25" s="8"/>
      <c r="G25" s="73"/>
      <c r="H25" s="8"/>
      <c r="I25" s="8"/>
      <c r="J25" s="8"/>
      <c r="K25" s="8"/>
      <c r="L25" s="72"/>
      <c r="R25" s="17">
        <f>IF($J$1=0,$U$1,$AA$1)</f>
        <v>0.8</v>
      </c>
      <c r="S25" s="17">
        <f>R25*N28</f>
        <v>0.11844664723032071</v>
      </c>
      <c r="T25" s="17">
        <f>U25+P28+K22+F34</f>
        <v>797.28215324711982</v>
      </c>
      <c r="U25" s="49">
        <f>$N$1</f>
        <v>263.95501138952164</v>
      </c>
      <c r="V25" s="42"/>
      <c r="W25" s="15"/>
      <c r="X25" s="15"/>
      <c r="Y25" s="15"/>
      <c r="AA25" s="43"/>
      <c r="AB25" s="17">
        <f>1-AB23</f>
        <v>0.34285714285714297</v>
      </c>
      <c r="AC25" s="17">
        <f>AB25*X24</f>
        <v>2.6686754804545732E-2</v>
      </c>
      <c r="AD25" s="49">
        <f>Z27</f>
        <v>5.417119078554947</v>
      </c>
      <c r="AF25" s="55">
        <f>SUM(AD25,Z24,U25,P28,K22,F34)</f>
        <v>1066.6542837151965</v>
      </c>
      <c r="AG25" s="60">
        <f t="shared" ref="AG25:AG26" si="4">AF25/6</f>
        <v>177.77571395253275</v>
      </c>
      <c r="AK25">
        <f t="shared" si="2"/>
        <v>400</v>
      </c>
      <c r="AL25">
        <f t="shared" si="3"/>
        <v>500</v>
      </c>
      <c r="AM25">
        <v>0</v>
      </c>
    </row>
    <row r="26" spans="1:39" x14ac:dyDescent="0.45">
      <c r="A26" s="8"/>
      <c r="B26" s="8"/>
      <c r="C26" s="8"/>
      <c r="D26" s="53"/>
      <c r="E26" s="8"/>
      <c r="F26" s="8"/>
      <c r="G26" s="73"/>
      <c r="H26" s="50"/>
      <c r="I26" s="50"/>
      <c r="J26" s="50"/>
      <c r="K26" s="51"/>
      <c r="L26" s="72"/>
      <c r="M26" s="1"/>
      <c r="N26" s="1"/>
      <c r="O26" s="1"/>
      <c r="P26" s="1"/>
      <c r="Q26" s="73"/>
      <c r="V26" s="72"/>
      <c r="AB26" s="17">
        <f>IF($J$1=0,$U$1,$AA$1)</f>
        <v>0.8</v>
      </c>
      <c r="AC26" s="17">
        <f>AB26*X27</f>
        <v>3.2488223240316548E-2</v>
      </c>
      <c r="AD26" s="49">
        <f>$N$1</f>
        <v>263.95501138952164</v>
      </c>
      <c r="AF26" s="55">
        <f>SUM(AD26,Z27,U25,P28,K22,F34)</f>
        <v>1066.6542837151965</v>
      </c>
      <c r="AG26" s="60">
        <f t="shared" si="4"/>
        <v>177.77571395253275</v>
      </c>
      <c r="AK26">
        <f t="shared" si="2"/>
        <v>500</v>
      </c>
      <c r="AL26">
        <f t="shared" si="3"/>
        <v>600</v>
      </c>
      <c r="AM26">
        <v>0</v>
      </c>
    </row>
    <row r="27" spans="1:39" x14ac:dyDescent="0.45">
      <c r="A27" s="8"/>
      <c r="B27" s="8"/>
      <c r="C27" s="8"/>
      <c r="D27" s="8"/>
      <c r="E27" s="50"/>
      <c r="F27" s="51"/>
      <c r="G27" s="73"/>
      <c r="H27" s="50"/>
      <c r="I27" s="8"/>
      <c r="J27" s="8"/>
      <c r="K27" s="8"/>
      <c r="L27" s="72"/>
      <c r="P27" s="1"/>
      <c r="Q27" s="73"/>
      <c r="V27" s="72"/>
      <c r="W27" s="17">
        <f>1-W24</f>
        <v>0.34285714285714297</v>
      </c>
      <c r="X27" s="17">
        <f>W27*S25</f>
        <v>4.0610279050395687E-2</v>
      </c>
      <c r="Y27" s="17">
        <f>+Z27+U25+P28+K22+F34</f>
        <v>802.69927232567488</v>
      </c>
      <c r="Z27" s="49">
        <f>$N$2</f>
        <v>5.417119078554947</v>
      </c>
      <c r="AA27" s="42"/>
      <c r="AB27" s="15"/>
      <c r="AC27" s="15"/>
      <c r="AF27" s="55"/>
      <c r="AK27">
        <f t="shared" si="2"/>
        <v>600</v>
      </c>
      <c r="AL27">
        <f t="shared" si="3"/>
        <v>700</v>
      </c>
      <c r="AM27">
        <v>15</v>
      </c>
    </row>
    <row r="28" spans="1:39" x14ac:dyDescent="0.45">
      <c r="A28" s="8"/>
      <c r="B28" s="8"/>
      <c r="C28" s="8"/>
      <c r="D28" s="8"/>
      <c r="E28" s="9"/>
      <c r="F28" s="8"/>
      <c r="G28" s="73"/>
      <c r="H28" s="50"/>
      <c r="I28" s="50"/>
      <c r="J28" s="50"/>
      <c r="K28" s="51"/>
      <c r="L28" s="72"/>
      <c r="M28" s="17">
        <f>1-M16</f>
        <v>0.34285714285714297</v>
      </c>
      <c r="N28" s="17">
        <f>M28*I22</f>
        <v>0.14805830903790088</v>
      </c>
      <c r="O28" s="17">
        <f>P28+K22+F34</f>
        <v>533.32714185759824</v>
      </c>
      <c r="P28" s="49">
        <f>$N$2</f>
        <v>5.417119078554947</v>
      </c>
      <c r="Q28" s="73"/>
      <c r="AA28" s="43"/>
      <c r="AB28" s="17">
        <f>1-AB26</f>
        <v>0.19999999999999996</v>
      </c>
      <c r="AC28" s="17">
        <f>AB28*X27</f>
        <v>8.1220558100791353E-3</v>
      </c>
      <c r="AD28" s="49">
        <f>$N$2</f>
        <v>5.417119078554947</v>
      </c>
      <c r="AF28" s="55">
        <f>SUM(AD28,Z27,U25,P28,K22,F34)</f>
        <v>808.11639140422972</v>
      </c>
      <c r="AG28" s="60">
        <f>AF28/6</f>
        <v>134.6860652340383</v>
      </c>
      <c r="AK28">
        <f t="shared" si="2"/>
        <v>700</v>
      </c>
      <c r="AL28">
        <f t="shared" si="3"/>
        <v>800</v>
      </c>
      <c r="AM28">
        <v>0</v>
      </c>
    </row>
    <row r="29" spans="1:39" x14ac:dyDescent="0.45">
      <c r="A29" s="8"/>
      <c r="B29" s="8"/>
      <c r="C29" s="8"/>
      <c r="D29" s="8"/>
      <c r="E29" s="8"/>
      <c r="F29" s="8"/>
      <c r="G29" s="73"/>
      <c r="H29" s="50"/>
      <c r="I29" s="50"/>
      <c r="J29" s="50"/>
      <c r="K29" s="8"/>
      <c r="Q29" s="72"/>
      <c r="R29" s="1"/>
      <c r="S29" s="1"/>
      <c r="T29" s="1"/>
      <c r="U29" s="1"/>
      <c r="AB29" s="17">
        <f>IF($J$1=0,$U$1,$AA$1)</f>
        <v>0.8</v>
      </c>
      <c r="AC29" s="17">
        <f>AB29*X30</f>
        <v>1.8951463556851313E-2</v>
      </c>
      <c r="AD29" s="49">
        <f>$N$1</f>
        <v>263.95501138952164</v>
      </c>
      <c r="AF29" s="55">
        <f>SUM(AD29,Z30,U31,P28,K22,F34)</f>
        <v>1066.6542837151965</v>
      </c>
      <c r="AG29" s="60">
        <f>AF29/6</f>
        <v>177.77571395253275</v>
      </c>
      <c r="AK29">
        <f t="shared" si="2"/>
        <v>800</v>
      </c>
      <c r="AL29">
        <f t="shared" si="3"/>
        <v>900</v>
      </c>
      <c r="AM29">
        <v>0</v>
      </c>
    </row>
    <row r="30" spans="1:39" x14ac:dyDescent="0.45">
      <c r="A30" s="8"/>
      <c r="B30" s="8"/>
      <c r="C30" s="8"/>
      <c r="D30" s="8"/>
      <c r="E30" s="8"/>
      <c r="F30" s="8"/>
      <c r="G30" s="73"/>
      <c r="H30" s="50"/>
      <c r="I30" s="50"/>
      <c r="J30" s="50"/>
      <c r="K30" s="51"/>
      <c r="Q30" s="72"/>
      <c r="U30" s="1"/>
      <c r="W30" s="17">
        <f>IF($J$1=0,$U$1,$AA$1)</f>
        <v>0.8</v>
      </c>
      <c r="X30" s="17">
        <f>W30*S31</f>
        <v>2.3689329446064139E-2</v>
      </c>
      <c r="Y30" s="17">
        <f>+Z30+U31+P28+K22+F34</f>
        <v>802.69927232567488</v>
      </c>
      <c r="Z30" s="49">
        <f>$N$1</f>
        <v>263.95501138952164</v>
      </c>
      <c r="AA30" s="42"/>
      <c r="AB30" s="15"/>
      <c r="AC30" s="15"/>
      <c r="AF30" s="55"/>
      <c r="AG30" s="44"/>
      <c r="AK30">
        <f t="shared" si="2"/>
        <v>900</v>
      </c>
      <c r="AL30">
        <f t="shared" si="3"/>
        <v>1000</v>
      </c>
      <c r="AM30">
        <v>20</v>
      </c>
    </row>
    <row r="31" spans="1:39" x14ac:dyDescent="0.45">
      <c r="G31" s="73"/>
      <c r="H31" s="8"/>
      <c r="I31" s="50"/>
      <c r="J31" s="50"/>
      <c r="K31" s="8"/>
      <c r="Q31" s="72"/>
      <c r="R31" s="17">
        <f>1-R25</f>
        <v>0.19999999999999996</v>
      </c>
      <c r="S31" s="17">
        <f>R31*N28</f>
        <v>2.961166180758017E-2</v>
      </c>
      <c r="T31" s="17">
        <f>U31+P28+K22+F34</f>
        <v>538.74426093615318</v>
      </c>
      <c r="U31" s="49">
        <f>$N$2</f>
        <v>5.417119078554947</v>
      </c>
      <c r="V31" s="42"/>
      <c r="W31" s="15"/>
      <c r="X31" s="15"/>
      <c r="Y31" s="15"/>
      <c r="AA31" s="43"/>
      <c r="AB31" s="17">
        <f>1-AB29</f>
        <v>0.19999999999999996</v>
      </c>
      <c r="AC31" s="17">
        <f>AB31*X30</f>
        <v>4.7378658892128266E-3</v>
      </c>
      <c r="AD31" s="49">
        <f>$N$2</f>
        <v>5.417119078554947</v>
      </c>
      <c r="AF31" s="55">
        <f>SUM(AD31,Z30,U31,P28,K22,F34)</f>
        <v>808.11639140422972</v>
      </c>
      <c r="AG31" s="60">
        <f t="shared" ref="AG31:AG32" si="5">AF31/6</f>
        <v>134.6860652340383</v>
      </c>
      <c r="AK31">
        <f t="shared" si="2"/>
        <v>1000</v>
      </c>
      <c r="AL31">
        <f t="shared" si="3"/>
        <v>1100</v>
      </c>
      <c r="AM31">
        <v>0</v>
      </c>
    </row>
    <row r="32" spans="1:39" x14ac:dyDescent="0.45">
      <c r="E32" s="1"/>
      <c r="F32" s="1"/>
      <c r="G32" s="73"/>
      <c r="H32" s="8"/>
      <c r="I32" s="50"/>
      <c r="J32" s="50"/>
      <c r="K32" s="8"/>
      <c r="V32" s="72"/>
      <c r="AB32" s="17">
        <f>IF($J$1=0,$U$1,$AA$1)</f>
        <v>0.8</v>
      </c>
      <c r="AC32" s="17">
        <f>AB32*X33</f>
        <v>4.7378658892128266E-3</v>
      </c>
      <c r="AD32" s="49">
        <f>Z30</f>
        <v>263.95501138952164</v>
      </c>
      <c r="AF32" s="55">
        <f>SUM(AD32,Z33,U31,P28,K22,F34)</f>
        <v>808.11639140422972</v>
      </c>
      <c r="AG32" s="60">
        <f t="shared" si="5"/>
        <v>134.6860652340383</v>
      </c>
      <c r="AK32">
        <f t="shared" si="2"/>
        <v>1100</v>
      </c>
      <c r="AL32">
        <f t="shared" si="3"/>
        <v>1200</v>
      </c>
      <c r="AM32">
        <v>15</v>
      </c>
    </row>
    <row r="33" spans="4:42" x14ac:dyDescent="0.45">
      <c r="F33" s="1"/>
      <c r="G33" s="73"/>
      <c r="H33" s="8"/>
      <c r="I33" s="50"/>
      <c r="J33" s="50"/>
      <c r="K33" s="8"/>
      <c r="V33" s="72"/>
      <c r="W33" s="17">
        <f>1-W30</f>
        <v>0.19999999999999996</v>
      </c>
      <c r="X33" s="17">
        <f>W33*S31</f>
        <v>5.922332361516033E-3</v>
      </c>
      <c r="Y33" s="17">
        <f>+Z33+U31+P28+K22+F34</f>
        <v>544.16138001470813</v>
      </c>
      <c r="Z33" s="49">
        <f>$N$2</f>
        <v>5.417119078554947</v>
      </c>
      <c r="AA33" s="42"/>
      <c r="AB33" s="15"/>
      <c r="AC33" s="15"/>
      <c r="AF33" s="55"/>
      <c r="AK33">
        <f t="shared" si="2"/>
        <v>1200</v>
      </c>
      <c r="AL33">
        <f t="shared" si="3"/>
        <v>1300</v>
      </c>
      <c r="AM33">
        <v>0</v>
      </c>
    </row>
    <row r="34" spans="4:42" x14ac:dyDescent="0.45">
      <c r="E34" s="17">
        <f>IF($J$5=0, $U$1, IF($J$1=0,$U$1,IF($J$3=0,$X$1,$AA$1)))</f>
        <v>0.65714285714285703</v>
      </c>
      <c r="F34" s="49">
        <f>$N$1</f>
        <v>263.95501138952164</v>
      </c>
      <c r="G34" s="73"/>
      <c r="W34" s="1"/>
      <c r="X34" s="1"/>
      <c r="Y34" s="1"/>
      <c r="Z34" s="1"/>
      <c r="AA34" s="43"/>
      <c r="AB34" s="17">
        <f>1-AB32</f>
        <v>0.19999999999999996</v>
      </c>
      <c r="AC34" s="17">
        <f>AB34*X33</f>
        <v>1.1844664723032064E-3</v>
      </c>
      <c r="AD34" s="49">
        <f>$N$2</f>
        <v>5.417119078554947</v>
      </c>
      <c r="AF34" s="55">
        <f>SUM(AD34,Z33,U31,P28,K22,F34)</f>
        <v>549.57849909326308</v>
      </c>
      <c r="AG34" s="60">
        <f>AF34/6</f>
        <v>91.596416515543851</v>
      </c>
      <c r="AK34">
        <f t="shared" si="2"/>
        <v>1300</v>
      </c>
      <c r="AL34">
        <f t="shared" si="3"/>
        <v>1400</v>
      </c>
      <c r="AM34">
        <v>0</v>
      </c>
    </row>
    <row r="35" spans="4:42" x14ac:dyDescent="0.45">
      <c r="D35" s="73"/>
      <c r="E35" s="1" t="s">
        <v>71</v>
      </c>
      <c r="G35" s="72"/>
      <c r="R35" s="1"/>
      <c r="S35" s="1"/>
      <c r="T35" s="1"/>
      <c r="U35" s="1"/>
      <c r="Z35" s="1"/>
      <c r="AB35" s="17">
        <f>IF($J$1=0,$U$1,$X$1)</f>
        <v>0.65714285714285703</v>
      </c>
      <c r="AC35" s="17">
        <f>AB35*X36</f>
        <v>5.1149613375379294E-2</v>
      </c>
      <c r="AD35" s="49">
        <f>$N$1</f>
        <v>263.95501138952164</v>
      </c>
      <c r="AF35" s="55">
        <f>SUM(AD35,Z36,U37,P40,K46,F34)</f>
        <v>1325.192176026163</v>
      </c>
      <c r="AG35" s="60">
        <f>AF35/6</f>
        <v>220.86536267102716</v>
      </c>
      <c r="AK35">
        <f t="shared" si="2"/>
        <v>1400</v>
      </c>
      <c r="AL35">
        <f t="shared" si="3"/>
        <v>1500</v>
      </c>
      <c r="AM35">
        <v>6</v>
      </c>
    </row>
    <row r="36" spans="4:42" x14ac:dyDescent="0.45">
      <c r="D36" s="73"/>
      <c r="G36" s="72"/>
      <c r="U36" s="1"/>
      <c r="W36" s="17">
        <f>IF($J$1=0,$U$1,$X$1)</f>
        <v>0.65714285714285703</v>
      </c>
      <c r="X36" s="17">
        <f>W36*S37</f>
        <v>7.7836368179925022E-2</v>
      </c>
      <c r="Y36" s="17">
        <f>+Z36+U37+P40+K46+F34</f>
        <v>1061.2371646366416</v>
      </c>
      <c r="Z36" s="49">
        <f>$N$1</f>
        <v>263.95501138952164</v>
      </c>
      <c r="AA36" s="42"/>
      <c r="AB36" s="15"/>
      <c r="AC36" s="15"/>
      <c r="AF36" s="55"/>
      <c r="AG36" s="44"/>
      <c r="AK36">
        <f t="shared" si="2"/>
        <v>1500</v>
      </c>
      <c r="AL36">
        <f t="shared" si="3"/>
        <v>1600</v>
      </c>
      <c r="AM36">
        <v>0</v>
      </c>
    </row>
    <row r="37" spans="4:42" x14ac:dyDescent="0.45">
      <c r="D37" s="73"/>
      <c r="G37" s="72"/>
      <c r="R37" s="17">
        <f>IF($J$1=0,$U$1,$X$1)</f>
        <v>0.65714285714285703</v>
      </c>
      <c r="S37" s="17">
        <f>R37*N40</f>
        <v>0.11844664723032071</v>
      </c>
      <c r="T37" s="17">
        <f>U37+P40+K46+F34</f>
        <v>797.28215324711982</v>
      </c>
      <c r="U37" s="49">
        <f>$N$1</f>
        <v>263.95501138952164</v>
      </c>
      <c r="V37" s="42"/>
      <c r="W37" s="15"/>
      <c r="X37" s="15"/>
      <c r="Y37" s="15"/>
      <c r="AA37" s="43"/>
      <c r="AB37" s="17">
        <f>1-AB35</f>
        <v>0.34285714285714297</v>
      </c>
      <c r="AC37" s="17">
        <f>AB37*X36</f>
        <v>2.6686754804545732E-2</v>
      </c>
      <c r="AD37" s="49">
        <f>$N$2</f>
        <v>5.417119078554947</v>
      </c>
      <c r="AF37" s="55">
        <f>SUM(AD37,Z36,U37,P40,K46,F34)</f>
        <v>1066.6542837151965</v>
      </c>
      <c r="AG37" s="60">
        <f t="shared" ref="AG37:AG38" si="6">AF37/6</f>
        <v>177.77571395253275</v>
      </c>
      <c r="AK37">
        <f t="shared" si="2"/>
        <v>1600</v>
      </c>
      <c r="AL37">
        <f t="shared" si="3"/>
        <v>1700</v>
      </c>
      <c r="AM37">
        <v>1</v>
      </c>
    </row>
    <row r="38" spans="4:42" x14ac:dyDescent="0.45">
      <c r="D38" s="73"/>
      <c r="G38" s="72"/>
      <c r="M38" s="1"/>
      <c r="N38" s="1"/>
      <c r="O38" s="1"/>
      <c r="P38" s="1"/>
      <c r="Q38" s="73"/>
      <c r="V38" s="72"/>
      <c r="AB38" s="17">
        <f>IF($J$1=0,$U$1,$AA$1)</f>
        <v>0.8</v>
      </c>
      <c r="AC38" s="17">
        <f>AB38*X39</f>
        <v>3.2488223240316548E-2</v>
      </c>
      <c r="AD38" s="49">
        <f>$N$1</f>
        <v>263.95501138952164</v>
      </c>
      <c r="AF38" s="55">
        <f>SUM(AD38,Z39,U37,P40,K46,F34)</f>
        <v>1066.6542837151965</v>
      </c>
      <c r="AG38" s="60">
        <f t="shared" si="6"/>
        <v>177.77571395253275</v>
      </c>
    </row>
    <row r="39" spans="4:42" x14ac:dyDescent="0.45">
      <c r="D39" s="73"/>
      <c r="G39" s="72"/>
      <c r="P39" s="1"/>
      <c r="Q39" s="73"/>
      <c r="V39" s="72"/>
      <c r="W39" s="17">
        <f>1-W36</f>
        <v>0.34285714285714297</v>
      </c>
      <c r="X39" s="17">
        <f>W39*S37</f>
        <v>4.0610279050395687E-2</v>
      </c>
      <c r="Y39" s="17">
        <f>+Z39+U37+P40+K46+F34</f>
        <v>802.69927232567488</v>
      </c>
      <c r="Z39" s="49">
        <f>$N$2</f>
        <v>5.417119078554947</v>
      </c>
      <c r="AA39" s="42"/>
      <c r="AB39" s="15"/>
      <c r="AC39" s="15"/>
      <c r="AF39" s="55"/>
      <c r="AM39" t="s">
        <v>78</v>
      </c>
      <c r="AO39" s="1" t="s">
        <v>79</v>
      </c>
      <c r="AP39" s="1" t="s">
        <v>79</v>
      </c>
    </row>
    <row r="40" spans="4:42" x14ac:dyDescent="0.45">
      <c r="D40" s="73"/>
      <c r="G40" s="72"/>
      <c r="M40" s="17">
        <f>IF($J$1=0,$U$1,$AA$1)</f>
        <v>0.8</v>
      </c>
      <c r="N40" s="17">
        <f>M40*I46</f>
        <v>0.18024489795918372</v>
      </c>
      <c r="O40" s="17">
        <f>P40+K46+F34</f>
        <v>533.32714185759824</v>
      </c>
      <c r="P40" s="49">
        <f>$N$1</f>
        <v>263.95501138952164</v>
      </c>
      <c r="Q40" s="73"/>
      <c r="AA40" s="43"/>
      <c r="AB40" s="17">
        <f>1-AB38</f>
        <v>0.19999999999999996</v>
      </c>
      <c r="AC40" s="17">
        <f>AB40*X39</f>
        <v>8.1220558100791353E-3</v>
      </c>
      <c r="AD40" s="49">
        <f>$N$2</f>
        <v>5.417119078554947</v>
      </c>
      <c r="AF40" s="55">
        <f>SUM(AD40,Z39,U37,P40,K46,F34)</f>
        <v>808.11639140422972</v>
      </c>
      <c r="AG40" s="60">
        <f>AF40/6</f>
        <v>134.6860652340383</v>
      </c>
      <c r="AK40" s="55">
        <f>AF11</f>
        <v>1583.7300683371298</v>
      </c>
      <c r="AL40" s="55">
        <f>AG11</f>
        <v>263.95501138952164</v>
      </c>
      <c r="AM40" s="1">
        <f t="shared" ref="AM40:AM46" si="7">COUNTIF($AF$11:$AF$106,AK40)</f>
        <v>1</v>
      </c>
      <c r="AN40" s="1">
        <f>COUNTIF($AG$11:$AG$106,AL40)</f>
        <v>1</v>
      </c>
      <c r="AO40" s="15">
        <f>AN40/$AM$48</f>
        <v>1.5625E-2</v>
      </c>
      <c r="AP40" s="15">
        <f>SUMIF($AG$11:$AG$106,AL40,$AC$11:$AC$106)</f>
        <v>8.0530194867784607E-2</v>
      </c>
    </row>
    <row r="41" spans="4:42" x14ac:dyDescent="0.45">
      <c r="D41" s="73"/>
      <c r="G41" s="72"/>
      <c r="L41" s="73"/>
      <c r="Q41" s="72"/>
      <c r="R41" s="1"/>
      <c r="S41" s="1"/>
      <c r="T41" s="1"/>
      <c r="U41" s="1"/>
      <c r="AB41" s="17">
        <f>IF($J$1=0,$U$1,$X$1)</f>
        <v>0.65714285714285703</v>
      </c>
      <c r="AC41" s="17">
        <f>AB41*X42</f>
        <v>3.2488223240316548E-2</v>
      </c>
      <c r="AD41" s="49">
        <f>$N$1</f>
        <v>263.95501138952164</v>
      </c>
      <c r="AF41" s="55">
        <f>SUM(AD41,Z42,U43,P40,K46,F34)</f>
        <v>1066.6542837151965</v>
      </c>
      <c r="AG41" s="60">
        <f>AF41/6</f>
        <v>177.77571395253275</v>
      </c>
      <c r="AK41" s="55">
        <f>AF13</f>
        <v>1325.192176026163</v>
      </c>
      <c r="AL41" s="55">
        <f>AG13</f>
        <v>220.86536267102716</v>
      </c>
      <c r="AM41" s="1">
        <f t="shared" si="7"/>
        <v>6</v>
      </c>
      <c r="AN41" s="1">
        <f t="shared" ref="AN41:AN46" si="8">COUNTIF($AG$11:$AG$106,AL41)</f>
        <v>6</v>
      </c>
      <c r="AO41" s="15">
        <f t="shared" ref="AO41:AO46" si="9">AN41/$AM$48</f>
        <v>9.375E-2</v>
      </c>
      <c r="AP41" s="15">
        <f t="shared" ref="AP41:AP45" si="10">SUMIF($AG$11:$AG$106,AL41,$AC$11:$AC$106)</f>
        <v>0.29776382072095803</v>
      </c>
    </row>
    <row r="42" spans="4:42" x14ac:dyDescent="0.45">
      <c r="D42" s="73"/>
      <c r="G42" s="72"/>
      <c r="L42" s="73"/>
      <c r="Q42" s="72"/>
      <c r="U42" s="1"/>
      <c r="W42" s="17">
        <f>IF($J$1=0,$U$1,$AA$1)</f>
        <v>0.8</v>
      </c>
      <c r="X42" s="17">
        <f>W42*S43</f>
        <v>4.9438600583090409E-2</v>
      </c>
      <c r="Y42" s="17">
        <f>+Z42+U43+P40+K46+F34</f>
        <v>802.69927232567488</v>
      </c>
      <c r="Z42" s="49">
        <f>$N$1</f>
        <v>263.95501138952164</v>
      </c>
      <c r="AA42" s="42"/>
      <c r="AB42" s="15"/>
      <c r="AC42" s="15"/>
      <c r="AF42" s="55"/>
      <c r="AG42" s="44"/>
      <c r="AK42" s="55">
        <f>AF16</f>
        <v>1066.6542837151965</v>
      </c>
      <c r="AL42" s="55">
        <f>AG16</f>
        <v>177.77571395253275</v>
      </c>
      <c r="AM42" s="1">
        <f t="shared" si="7"/>
        <v>15</v>
      </c>
      <c r="AN42" s="1">
        <f t="shared" si="8"/>
        <v>15</v>
      </c>
      <c r="AO42" s="15">
        <f t="shared" si="9"/>
        <v>0.234375</v>
      </c>
      <c r="AP42" s="15">
        <f t="shared" si="10"/>
        <v>0.38011704646873334</v>
      </c>
    </row>
    <row r="43" spans="4:42" x14ac:dyDescent="0.45">
      <c r="D43" s="73"/>
      <c r="G43" s="72"/>
      <c r="L43" s="73"/>
      <c r="Q43" s="72"/>
      <c r="R43" s="17">
        <f>1-R37</f>
        <v>0.34285714285714297</v>
      </c>
      <c r="S43" s="17">
        <f>R43*N40</f>
        <v>6.1798250728863011E-2</v>
      </c>
      <c r="T43" s="17">
        <f>U43+P40+K46+F34</f>
        <v>538.74426093615318</v>
      </c>
      <c r="U43" s="49">
        <f>$N$2</f>
        <v>5.417119078554947</v>
      </c>
      <c r="V43" s="42"/>
      <c r="W43" s="15"/>
      <c r="X43" s="15"/>
      <c r="Y43" s="15"/>
      <c r="AA43" s="43"/>
      <c r="AB43" s="17">
        <f>1-AB41</f>
        <v>0.34285714285714297</v>
      </c>
      <c r="AC43" s="17">
        <f>AB43*X42</f>
        <v>1.695037734277386E-2</v>
      </c>
      <c r="AD43" s="49">
        <f>$N$2</f>
        <v>5.417119078554947</v>
      </c>
      <c r="AF43" s="55">
        <f>SUM(AD43,Z42,U43,P40,K46,F34)</f>
        <v>808.11639140422972</v>
      </c>
      <c r="AG43" s="60">
        <f t="shared" ref="AG43:AG44" si="11">AF43/6</f>
        <v>134.6860652340383</v>
      </c>
      <c r="AK43" s="55">
        <f>AF22</f>
        <v>808.11639140422972</v>
      </c>
      <c r="AL43" s="55">
        <f>AG22</f>
        <v>134.6860652340383</v>
      </c>
      <c r="AM43" s="1">
        <f t="shared" si="7"/>
        <v>20</v>
      </c>
      <c r="AN43" s="1">
        <f t="shared" si="8"/>
        <v>20</v>
      </c>
      <c r="AO43" s="15">
        <f t="shared" si="9"/>
        <v>0.3125</v>
      </c>
      <c r="AP43" s="15">
        <f t="shared" si="10"/>
        <v>0.19426625572678063</v>
      </c>
    </row>
    <row r="44" spans="4:42" x14ac:dyDescent="0.45">
      <c r="D44" s="73"/>
      <c r="G44" s="72"/>
      <c r="H44" s="1"/>
      <c r="I44" s="1"/>
      <c r="J44" s="1"/>
      <c r="K44" s="1"/>
      <c r="L44" s="73"/>
      <c r="V44" s="72"/>
      <c r="AB44" s="17">
        <f>IF($J$1=0,$U$1,$AA$1)</f>
        <v>0.8</v>
      </c>
      <c r="AC44" s="17">
        <f>AB44*X45</f>
        <v>9.8877201166180789E-3</v>
      </c>
      <c r="AD44" s="49">
        <f>Z42</f>
        <v>263.95501138952164</v>
      </c>
      <c r="AF44" s="55">
        <f>SUM(AD44,Z45,U43,P40,K46,F34)</f>
        <v>808.11639140422972</v>
      </c>
      <c r="AG44" s="60">
        <f t="shared" si="11"/>
        <v>134.6860652340383</v>
      </c>
      <c r="AK44" s="55">
        <f>AF34</f>
        <v>549.57849909326308</v>
      </c>
      <c r="AL44" s="55">
        <f>AG34</f>
        <v>91.596416515543851</v>
      </c>
      <c r="AM44" s="1">
        <f t="shared" si="7"/>
        <v>15</v>
      </c>
      <c r="AN44" s="1">
        <f t="shared" si="8"/>
        <v>15</v>
      </c>
      <c r="AO44" s="15">
        <f t="shared" si="9"/>
        <v>0.234375</v>
      </c>
      <c r="AP44" s="15">
        <f t="shared" si="10"/>
        <v>4.340431486880468E-2</v>
      </c>
    </row>
    <row r="45" spans="4:42" x14ac:dyDescent="0.45">
      <c r="D45" s="73"/>
      <c r="G45" s="72"/>
      <c r="K45" s="1"/>
      <c r="L45" s="73"/>
      <c r="V45" s="72"/>
      <c r="W45" s="17">
        <f>1-W42</f>
        <v>0.19999999999999996</v>
      </c>
      <c r="X45" s="17">
        <f>W45*S43</f>
        <v>1.2359650145772599E-2</v>
      </c>
      <c r="Y45" s="17">
        <f>+Z45+U43+P40+K46+F34</f>
        <v>544.16138001470813</v>
      </c>
      <c r="Z45" s="49">
        <f>$N$2</f>
        <v>5.417119078554947</v>
      </c>
      <c r="AA45" s="42"/>
      <c r="AB45" s="15"/>
      <c r="AC45" s="15"/>
      <c r="AF45" s="55"/>
      <c r="AK45" s="55">
        <f>AF82</f>
        <v>291.04060678229638</v>
      </c>
      <c r="AL45" s="55">
        <f>AG82</f>
        <v>48.506767797049399</v>
      </c>
      <c r="AM45" s="1">
        <f t="shared" si="7"/>
        <v>6</v>
      </c>
      <c r="AN45" s="1">
        <f t="shared" si="8"/>
        <v>6</v>
      </c>
      <c r="AO45" s="15">
        <f t="shared" si="9"/>
        <v>9.375E-2</v>
      </c>
      <c r="AP45" s="15">
        <f t="shared" si="10"/>
        <v>3.8086530612244894E-3</v>
      </c>
    </row>
    <row r="46" spans="4:42" x14ac:dyDescent="0.45">
      <c r="D46" s="73"/>
      <c r="G46" s="72"/>
      <c r="H46" s="17">
        <f>1-H22</f>
        <v>0.34285714285714297</v>
      </c>
      <c r="I46" s="17">
        <f>H46*E34</f>
        <v>0.22530612244897963</v>
      </c>
      <c r="J46" s="17">
        <f>F34+K46</f>
        <v>269.37213046807659</v>
      </c>
      <c r="K46" s="49">
        <f>$N$2</f>
        <v>5.417119078554947</v>
      </c>
      <c r="L46" s="73"/>
      <c r="R46" s="9"/>
      <c r="S46" s="9"/>
      <c r="T46" s="9"/>
      <c r="U46" s="9"/>
      <c r="V46" s="8"/>
      <c r="W46" s="8"/>
      <c r="X46" s="8"/>
      <c r="Y46" s="8"/>
      <c r="Z46" s="8"/>
      <c r="AA46" s="43"/>
      <c r="AB46" s="17">
        <f>1-AB44</f>
        <v>0.19999999999999996</v>
      </c>
      <c r="AC46" s="17">
        <f>AB46*X45</f>
        <v>2.4719300291545193E-3</v>
      </c>
      <c r="AD46" s="49">
        <f>$N$2</f>
        <v>5.417119078554947</v>
      </c>
      <c r="AF46" s="55">
        <f>SUM(AD46,Z45,U43,P40,K46,F34)</f>
        <v>549.57849909326308</v>
      </c>
      <c r="AG46" s="60">
        <f>AF46/6</f>
        <v>91.596416515543851</v>
      </c>
      <c r="AK46" s="55">
        <f>AF106</f>
        <v>32.502714471329682</v>
      </c>
      <c r="AL46" s="55">
        <f>AG106</f>
        <v>5.417119078554947</v>
      </c>
      <c r="AM46" s="1">
        <f t="shared" si="7"/>
        <v>1</v>
      </c>
      <c r="AN46" s="1">
        <f t="shared" si="8"/>
        <v>1</v>
      </c>
      <c r="AO46" s="15">
        <f t="shared" si="9"/>
        <v>1.5625E-2</v>
      </c>
      <c r="AP46" s="15">
        <f>SUMIF($AG$11:$AG$106,AL46,$AC$11:$AC$106)</f>
        <v>1.0971428571428562E-4</v>
      </c>
    </row>
    <row r="47" spans="4:42" x14ac:dyDescent="0.45">
      <c r="D47" s="73"/>
      <c r="H47" s="15"/>
      <c r="I47" s="15"/>
      <c r="J47" s="15"/>
      <c r="L47" s="72"/>
      <c r="R47" s="1"/>
      <c r="S47" s="1"/>
      <c r="T47" s="1"/>
      <c r="U47" s="1"/>
      <c r="AB47" s="17">
        <f>IF($J$1=0,$U$1,$X$1)</f>
        <v>0.65714285714285703</v>
      </c>
      <c r="AC47" s="17">
        <f>AB47*X48</f>
        <v>1.5567273635985E-2</v>
      </c>
      <c r="AD47" s="49">
        <f>$N$1</f>
        <v>263.95501138952164</v>
      </c>
      <c r="AF47" s="55">
        <f>SUM(AD47,Z48,U49,P52,K46,F34)</f>
        <v>1066.6542837151965</v>
      </c>
      <c r="AG47" s="60">
        <f>AF47/6</f>
        <v>177.77571395253275</v>
      </c>
      <c r="AM47" s="1"/>
      <c r="AN47" s="1"/>
    </row>
    <row r="48" spans="4:42" x14ac:dyDescent="0.45">
      <c r="D48" s="73"/>
      <c r="H48" s="15"/>
      <c r="I48" s="15"/>
      <c r="J48" s="15"/>
      <c r="L48" s="72"/>
      <c r="U48" s="1"/>
      <c r="W48" s="17">
        <f>IF($J$1=0,$U$1,$X$1)</f>
        <v>0.65714285714285703</v>
      </c>
      <c r="X48" s="17">
        <f>W48*S49</f>
        <v>2.3689329446064136E-2</v>
      </c>
      <c r="Y48" s="17">
        <f>+Z48+U49+P52+K46+F34</f>
        <v>802.69927232567488</v>
      </c>
      <c r="Z48" s="49">
        <f>$N$1</f>
        <v>263.95501138952164</v>
      </c>
      <c r="AA48" s="42"/>
      <c r="AB48" s="15"/>
      <c r="AC48" s="15"/>
      <c r="AF48" s="55"/>
      <c r="AG48" s="44"/>
      <c r="AM48" s="1">
        <f>SUM(AM40:AM46)</f>
        <v>64</v>
      </c>
      <c r="AN48" s="1">
        <f>SUM(AN40:AN46)</f>
        <v>64</v>
      </c>
      <c r="AO48" s="61">
        <f>SUMPRODUCT(AL40:AL46,AO40:AO46)</f>
        <v>134.6860652340383</v>
      </c>
      <c r="AP48" s="61">
        <f>SUMPRODUCT(AL40:AL46,AP40:AP46)</f>
        <v>184.92361915877379</v>
      </c>
    </row>
    <row r="49" spans="2:42" x14ac:dyDescent="0.45">
      <c r="D49" s="73"/>
      <c r="H49" s="8"/>
      <c r="I49" s="8"/>
      <c r="J49" s="8"/>
      <c r="K49" s="8"/>
      <c r="L49" s="72"/>
      <c r="R49" s="17">
        <f>IF($J$1=0,$U$1,$AA$1)</f>
        <v>0.8</v>
      </c>
      <c r="S49" s="17">
        <f>R49*N52</f>
        <v>3.6048979591836734E-2</v>
      </c>
      <c r="T49" s="17">
        <f>U49+P52+K46+F34</f>
        <v>538.74426093615318</v>
      </c>
      <c r="U49" s="49">
        <f>$N$1</f>
        <v>263.95501138952164</v>
      </c>
      <c r="V49" s="42"/>
      <c r="W49" s="15"/>
      <c r="X49" s="15"/>
      <c r="Y49" s="15"/>
      <c r="AA49" s="43"/>
      <c r="AB49" s="17">
        <f>1-AB47</f>
        <v>0.34285714285714297</v>
      </c>
      <c r="AC49" s="17">
        <f>AB49*X48</f>
        <v>8.1220558100791353E-3</v>
      </c>
      <c r="AD49" s="49">
        <f>$N$2</f>
        <v>5.417119078554947</v>
      </c>
      <c r="AF49" s="55">
        <f>SUM(AD49,Z48,U49,P52,K46,F34)</f>
        <v>808.11639140422972</v>
      </c>
      <c r="AG49" s="60">
        <f t="shared" ref="AG49:AG50" si="12">AF49/6</f>
        <v>134.6860652340383</v>
      </c>
      <c r="AM49" s="1">
        <f>COUNT(AF11:AF106)</f>
        <v>64</v>
      </c>
      <c r="AN49" s="1"/>
    </row>
    <row r="50" spans="2:42" x14ac:dyDescent="0.45">
      <c r="D50" s="73"/>
      <c r="H50" s="50"/>
      <c r="I50" s="50"/>
      <c r="J50" s="50"/>
      <c r="K50" s="51"/>
      <c r="L50" s="72"/>
      <c r="M50" s="1"/>
      <c r="N50" s="1"/>
      <c r="O50" s="1"/>
      <c r="P50" s="1"/>
      <c r="Q50" s="73"/>
      <c r="V50" s="72"/>
      <c r="AB50" s="17">
        <f>IF($J$1=0,$U$1,$AA$1)</f>
        <v>0.8</v>
      </c>
      <c r="AC50" s="17">
        <f>AB50*X51</f>
        <v>9.8877201166180789E-3</v>
      </c>
      <c r="AD50" s="49">
        <f>$N$1</f>
        <v>263.95501138952164</v>
      </c>
      <c r="AF50" s="55">
        <f>SUM(AD50,Z51,U49,P52,K46,F34)</f>
        <v>808.11639140422972</v>
      </c>
      <c r="AG50" s="60">
        <f t="shared" si="12"/>
        <v>134.6860652340383</v>
      </c>
    </row>
    <row r="51" spans="2:42" x14ac:dyDescent="0.45">
      <c r="D51" s="73"/>
      <c r="H51" s="50"/>
      <c r="I51" s="8"/>
      <c r="J51" s="8"/>
      <c r="K51" s="8"/>
      <c r="L51" s="72"/>
      <c r="P51" s="1"/>
      <c r="Q51" s="73"/>
      <c r="V51" s="72"/>
      <c r="W51" s="17">
        <f>1-W48</f>
        <v>0.34285714285714297</v>
      </c>
      <c r="X51" s="17">
        <f>W51*S49</f>
        <v>1.2359650145772599E-2</v>
      </c>
      <c r="Y51" s="17">
        <f>+Z51+U49+P52+K46+F34</f>
        <v>544.16138001470813</v>
      </c>
      <c r="Z51" s="49">
        <f>$N$2</f>
        <v>5.417119078554947</v>
      </c>
      <c r="AA51" s="42"/>
      <c r="AB51" s="15"/>
      <c r="AC51" s="15"/>
      <c r="AF51" s="55"/>
      <c r="AK51" s="55">
        <f>AK46</f>
        <v>32.502714471329682</v>
      </c>
      <c r="AL51" s="55">
        <f t="shared" ref="AL51:AP51" si="13">AL46</f>
        <v>5.417119078554947</v>
      </c>
      <c r="AM51" s="1">
        <f t="shared" si="13"/>
        <v>1</v>
      </c>
      <c r="AN51" s="1">
        <f t="shared" si="13"/>
        <v>1</v>
      </c>
      <c r="AO51" s="15">
        <f t="shared" si="13"/>
        <v>1.5625E-2</v>
      </c>
      <c r="AP51" s="15">
        <f t="shared" si="13"/>
        <v>1.0971428571428562E-4</v>
      </c>
    </row>
    <row r="52" spans="2:42" x14ac:dyDescent="0.45">
      <c r="D52" s="73"/>
      <c r="H52" s="50"/>
      <c r="I52" s="50"/>
      <c r="J52" s="50"/>
      <c r="K52" s="51"/>
      <c r="L52" s="72"/>
      <c r="M52" s="17">
        <f>1-M40</f>
        <v>0.19999999999999996</v>
      </c>
      <c r="N52" s="17">
        <f>M52*I46</f>
        <v>4.5061224489795916E-2</v>
      </c>
      <c r="O52" s="17">
        <f>P52+K46+F34</f>
        <v>274.78924954663154</v>
      </c>
      <c r="P52" s="49">
        <f>$N$2</f>
        <v>5.417119078554947</v>
      </c>
      <c r="Q52" s="73"/>
      <c r="AA52" s="43"/>
      <c r="AB52" s="17">
        <f>1-AB50</f>
        <v>0.19999999999999996</v>
      </c>
      <c r="AC52" s="17">
        <f>AB52*X51</f>
        <v>2.4719300291545193E-3</v>
      </c>
      <c r="AD52" s="49">
        <f>$N$2</f>
        <v>5.417119078554947</v>
      </c>
      <c r="AF52" s="55">
        <f>SUM(AD52,Z51,U49,P52,K46,F34)</f>
        <v>549.57849909326308</v>
      </c>
      <c r="AG52" s="60">
        <f>AF52/6</f>
        <v>91.596416515543851</v>
      </c>
      <c r="AK52" s="55">
        <f>AK45</f>
        <v>291.04060678229638</v>
      </c>
      <c r="AL52" s="55">
        <f t="shared" ref="AL52:AP52" si="14">AL45</f>
        <v>48.506767797049399</v>
      </c>
      <c r="AM52" s="1">
        <f t="shared" si="14"/>
        <v>6</v>
      </c>
      <c r="AN52" s="1">
        <f t="shared" si="14"/>
        <v>6</v>
      </c>
      <c r="AO52" s="15">
        <f t="shared" si="14"/>
        <v>9.375E-2</v>
      </c>
      <c r="AP52" s="15">
        <f t="shared" si="14"/>
        <v>3.8086530612244894E-3</v>
      </c>
    </row>
    <row r="53" spans="2:42" x14ac:dyDescent="0.45">
      <c r="D53" s="73"/>
      <c r="H53" s="50"/>
      <c r="I53" s="50"/>
      <c r="J53" s="50"/>
      <c r="K53" s="8"/>
      <c r="Q53" s="72"/>
      <c r="R53" s="1"/>
      <c r="S53" s="1"/>
      <c r="T53" s="1"/>
      <c r="U53" s="1"/>
      <c r="AB53" s="17">
        <f>IF($J$1=0,$U$1,$X$1)</f>
        <v>0.65714285714285703</v>
      </c>
      <c r="AC53" s="17">
        <f>AB53*X54</f>
        <v>4.7378658892128266E-3</v>
      </c>
      <c r="AD53" s="49">
        <f>$N$1</f>
        <v>263.95501138952164</v>
      </c>
      <c r="AF53" s="55">
        <f>SUM(AD53,Z54,U55,P52,K46,F34)</f>
        <v>808.11639140422972</v>
      </c>
      <c r="AG53" s="60">
        <f>AF53/6</f>
        <v>134.6860652340383</v>
      </c>
      <c r="AK53" s="55">
        <f>AK44</f>
        <v>549.57849909326308</v>
      </c>
      <c r="AL53" s="55">
        <f t="shared" ref="AL53:AP53" si="15">AL44</f>
        <v>91.596416515543851</v>
      </c>
      <c r="AM53" s="1">
        <f t="shared" si="15"/>
        <v>15</v>
      </c>
      <c r="AN53" s="1">
        <f t="shared" si="15"/>
        <v>15</v>
      </c>
      <c r="AO53" s="15">
        <f t="shared" si="15"/>
        <v>0.234375</v>
      </c>
      <c r="AP53" s="15">
        <f t="shared" si="15"/>
        <v>4.340431486880468E-2</v>
      </c>
    </row>
    <row r="54" spans="2:42" x14ac:dyDescent="0.45">
      <c r="D54" s="73"/>
      <c r="H54" s="50"/>
      <c r="I54" s="50"/>
      <c r="J54" s="50"/>
      <c r="K54" s="51"/>
      <c r="Q54" s="72"/>
      <c r="U54" s="1"/>
      <c r="W54" s="17">
        <f>IF($J$1=0,$U$1,$AA$1)</f>
        <v>0.8</v>
      </c>
      <c r="X54" s="17">
        <f>W54*S55</f>
        <v>7.2097959183673455E-3</v>
      </c>
      <c r="Y54" s="17">
        <f>+Z54+U55+P52+K46+F34</f>
        <v>544.16138001470813</v>
      </c>
      <c r="Z54" s="49">
        <f>$N$1</f>
        <v>263.95501138952164</v>
      </c>
      <c r="AA54" s="42"/>
      <c r="AB54" s="15"/>
      <c r="AC54" s="15"/>
      <c r="AF54" s="55"/>
      <c r="AG54" s="44"/>
      <c r="AK54" s="55">
        <f>AK43</f>
        <v>808.11639140422972</v>
      </c>
      <c r="AL54" s="55">
        <f t="shared" ref="AL54:AP54" si="16">AL43</f>
        <v>134.6860652340383</v>
      </c>
      <c r="AM54" s="1">
        <f t="shared" si="16"/>
        <v>20</v>
      </c>
      <c r="AN54" s="1">
        <f t="shared" si="16"/>
        <v>20</v>
      </c>
      <c r="AO54" s="15">
        <f t="shared" si="16"/>
        <v>0.3125</v>
      </c>
      <c r="AP54" s="15">
        <f t="shared" si="16"/>
        <v>0.19426625572678063</v>
      </c>
    </row>
    <row r="55" spans="2:42" x14ac:dyDescent="0.45">
      <c r="D55" s="73"/>
      <c r="H55" s="8"/>
      <c r="I55" s="50"/>
      <c r="J55" s="50"/>
      <c r="K55" s="8"/>
      <c r="Q55" s="72"/>
      <c r="R55" s="17">
        <f>1-R49</f>
        <v>0.19999999999999996</v>
      </c>
      <c r="S55" s="17">
        <f>R55*N52</f>
        <v>9.0122448979591818E-3</v>
      </c>
      <c r="T55" s="17">
        <f>U55+P52+K46+F34</f>
        <v>280.20636862518649</v>
      </c>
      <c r="U55" s="49">
        <f>$N$2</f>
        <v>5.417119078554947</v>
      </c>
      <c r="V55" s="42"/>
      <c r="W55" s="15"/>
      <c r="X55" s="15"/>
      <c r="Y55" s="15"/>
      <c r="AA55" s="43"/>
      <c r="AB55" s="17">
        <f>1-AB53</f>
        <v>0.34285714285714297</v>
      </c>
      <c r="AC55" s="17">
        <f>AB55*X54</f>
        <v>2.4719300291545193E-3</v>
      </c>
      <c r="AD55" s="49">
        <f>$N$2</f>
        <v>5.417119078554947</v>
      </c>
      <c r="AF55" s="55">
        <f>SUM(AD55,Z54,U55,P52,K46,F34)</f>
        <v>549.57849909326308</v>
      </c>
      <c r="AG55" s="60">
        <f t="shared" ref="AG55:AG56" si="17">AF55/6</f>
        <v>91.596416515543851</v>
      </c>
      <c r="AK55" s="55">
        <f>AK42</f>
        <v>1066.6542837151965</v>
      </c>
      <c r="AL55" s="55">
        <f t="shared" ref="AL55:AP55" si="18">AL42</f>
        <v>177.77571395253275</v>
      </c>
      <c r="AM55" s="1">
        <f t="shared" si="18"/>
        <v>15</v>
      </c>
      <c r="AN55" s="1">
        <f t="shared" si="18"/>
        <v>15</v>
      </c>
      <c r="AO55" s="15">
        <f t="shared" si="18"/>
        <v>0.234375</v>
      </c>
      <c r="AP55" s="15">
        <f t="shared" si="18"/>
        <v>0.38011704646873334</v>
      </c>
    </row>
    <row r="56" spans="2:42" x14ac:dyDescent="0.45">
      <c r="D56" s="73"/>
      <c r="H56" s="8"/>
      <c r="I56" s="50"/>
      <c r="J56" s="50"/>
      <c r="K56" s="8"/>
      <c r="V56" s="72"/>
      <c r="AB56" s="17">
        <f>IF($J$1=0,$U$1,$AA$1)</f>
        <v>0.8</v>
      </c>
      <c r="AC56" s="17">
        <f>AB56*X57</f>
        <v>1.4419591836734688E-3</v>
      </c>
      <c r="AD56" s="49">
        <f>$N$1</f>
        <v>263.95501138952164</v>
      </c>
      <c r="AF56" s="55">
        <f>SUM(AD56,Z57,U55,P52,K46,F34)</f>
        <v>549.57849909326308</v>
      </c>
      <c r="AG56" s="60">
        <f t="shared" si="17"/>
        <v>91.596416515543851</v>
      </c>
      <c r="AK56" s="55">
        <f>AK41</f>
        <v>1325.192176026163</v>
      </c>
      <c r="AL56" s="55">
        <f t="shared" ref="AL56:AP56" si="19">AL41</f>
        <v>220.86536267102716</v>
      </c>
      <c r="AM56" s="1">
        <f t="shared" si="19"/>
        <v>6</v>
      </c>
      <c r="AN56" s="1">
        <f t="shared" si="19"/>
        <v>6</v>
      </c>
      <c r="AO56" s="15">
        <f t="shared" si="19"/>
        <v>9.375E-2</v>
      </c>
      <c r="AP56" s="15">
        <f t="shared" si="19"/>
        <v>0.29776382072095803</v>
      </c>
    </row>
    <row r="57" spans="2:42" x14ac:dyDescent="0.45">
      <c r="B57" s="74"/>
      <c r="C57" s="71" t="s">
        <v>0</v>
      </c>
      <c r="D57" s="73"/>
      <c r="H57" s="8"/>
      <c r="I57" s="50"/>
      <c r="J57" s="50"/>
      <c r="K57" s="8"/>
      <c r="V57" s="72"/>
      <c r="W57" s="17">
        <f>1-W54</f>
        <v>0.19999999999999996</v>
      </c>
      <c r="X57" s="17">
        <f>W57*S55</f>
        <v>1.8024489795918359E-3</v>
      </c>
      <c r="Y57" s="17">
        <f>+Z57+U55+P52+K46+F34</f>
        <v>285.62348770374143</v>
      </c>
      <c r="Z57" s="49">
        <f>$N$2</f>
        <v>5.417119078554947</v>
      </c>
      <c r="AA57" s="42"/>
      <c r="AB57" s="15"/>
      <c r="AC57" s="15"/>
      <c r="AF57" s="55"/>
      <c r="AK57" s="55">
        <f>AK40</f>
        <v>1583.7300683371298</v>
      </c>
      <c r="AL57" s="55">
        <f t="shared" ref="AL57:AP57" si="20">AL40</f>
        <v>263.95501138952164</v>
      </c>
      <c r="AM57" s="1">
        <f t="shared" si="20"/>
        <v>1</v>
      </c>
      <c r="AN57" s="1">
        <f t="shared" si="20"/>
        <v>1</v>
      </c>
      <c r="AO57" s="15">
        <f t="shared" si="20"/>
        <v>1.5625E-2</v>
      </c>
      <c r="AP57" s="15">
        <f t="shared" si="20"/>
        <v>8.0530194867784607E-2</v>
      </c>
    </row>
    <row r="58" spans="2:42" x14ac:dyDescent="0.45">
      <c r="B58" s="74"/>
      <c r="C58" s="71"/>
      <c r="D58" s="72"/>
      <c r="H58" s="8"/>
      <c r="I58" s="50"/>
      <c r="J58" s="50"/>
      <c r="K58" s="8"/>
      <c r="V58" s="8"/>
      <c r="W58" s="50"/>
      <c r="X58" s="50"/>
      <c r="Y58" s="50"/>
      <c r="Z58" s="51"/>
      <c r="AA58" s="43"/>
      <c r="AB58" s="17">
        <f>1-AB56</f>
        <v>0.19999999999999996</v>
      </c>
      <c r="AC58" s="17">
        <f>AB58*X57</f>
        <v>3.604897959183671E-4</v>
      </c>
      <c r="AD58" s="49">
        <f>$N$2</f>
        <v>5.417119078554947</v>
      </c>
      <c r="AF58" s="55">
        <f>SUM(AD58,Z57,U55,P52,K46,F34)</f>
        <v>291.04060678229638</v>
      </c>
      <c r="AG58" s="60">
        <f>AF58/6</f>
        <v>48.506767797049399</v>
      </c>
      <c r="AM58" s="1"/>
      <c r="AN58" s="1"/>
    </row>
    <row r="59" spans="2:42" x14ac:dyDescent="0.45">
      <c r="C59" s="51">
        <f>AC7</f>
        <v>1436.6513624964082</v>
      </c>
      <c r="D59" s="72"/>
      <c r="AB59" s="17">
        <f>IF($J$1=0,$U$1,$X$1)</f>
        <v>0.65714285714285703</v>
      </c>
      <c r="AC59" s="17">
        <f>AB59*X60</f>
        <v>5.1149613375379294E-2</v>
      </c>
      <c r="AD59" s="49">
        <f>$N$1</f>
        <v>263.95501138952164</v>
      </c>
      <c r="AF59" s="55">
        <f>SUM(AD59,Z60,U61,P64,K70,F82)</f>
        <v>1325.192176026163</v>
      </c>
      <c r="AG59" s="60">
        <f>AF59/6</f>
        <v>220.86536267102716</v>
      </c>
      <c r="AM59" s="1">
        <f>SUM(AM51:AM57)</f>
        <v>64</v>
      </c>
      <c r="AN59" s="1">
        <f>SUM(AN51:AN57)</f>
        <v>64</v>
      </c>
      <c r="AO59" s="61">
        <f>SUMPRODUCT(AL51:AL57,AO51:AO57)</f>
        <v>134.6860652340383</v>
      </c>
      <c r="AP59" s="61">
        <f>SUMPRODUCT(AL51:AL57,AP51:AP57)</f>
        <v>184.92361915877379</v>
      </c>
    </row>
    <row r="60" spans="2:42" x14ac:dyDescent="0.45">
      <c r="D60" s="72"/>
      <c r="W60" s="17">
        <f>IF($J$1=0,$U$1,$X$1)</f>
        <v>0.65714285714285703</v>
      </c>
      <c r="X60" s="17">
        <f>W60*S61</f>
        <v>7.7836368179925022E-2</v>
      </c>
      <c r="Y60" s="17">
        <f>+Z60+U61+P64+K70+F82</f>
        <v>1061.2371646366414</v>
      </c>
      <c r="Z60" s="49">
        <f>$N$1</f>
        <v>263.95501138952164</v>
      </c>
      <c r="AA60" s="42"/>
      <c r="AB60" s="15"/>
      <c r="AC60" s="15"/>
      <c r="AF60" s="55"/>
      <c r="AG60" s="44"/>
      <c r="AM60" s="1">
        <f>COUNT(AE22:AE117)</f>
        <v>0</v>
      </c>
      <c r="AN60" s="1"/>
    </row>
    <row r="61" spans="2:42" x14ac:dyDescent="0.45">
      <c r="D61" s="72"/>
      <c r="R61" s="17">
        <f>IF($J$1=0,$U$1,$X$1)</f>
        <v>0.65714285714285703</v>
      </c>
      <c r="S61" s="17">
        <f>R61*N64</f>
        <v>0.11844664723032071</v>
      </c>
      <c r="T61" s="17">
        <f>U61+P64+K70+F82</f>
        <v>797.28215324711994</v>
      </c>
      <c r="U61" s="49">
        <f>$N$1</f>
        <v>263.95501138952164</v>
      </c>
      <c r="V61" s="42"/>
      <c r="W61" s="15"/>
      <c r="X61" s="15"/>
      <c r="Y61" s="15"/>
      <c r="AA61" s="43"/>
      <c r="AB61" s="17">
        <f>1-AB59</f>
        <v>0.34285714285714297</v>
      </c>
      <c r="AC61" s="17">
        <f>AB61*X60</f>
        <v>2.6686754804545732E-2</v>
      </c>
      <c r="AD61" s="49">
        <f>$N$2</f>
        <v>5.417119078554947</v>
      </c>
      <c r="AF61" s="55">
        <f>SUM(AD61,Z60,U61,P64,K70,F82)</f>
        <v>1066.6542837151965</v>
      </c>
      <c r="AG61" s="60">
        <f t="shared" ref="AG61:AG62" si="21">AF61/6</f>
        <v>177.77571395253275</v>
      </c>
    </row>
    <row r="62" spans="2:42" x14ac:dyDescent="0.45">
      <c r="D62" s="72"/>
      <c r="Q62" s="73"/>
      <c r="V62" s="72"/>
      <c r="AB62" s="17">
        <f>IF($J$1=0,$U$1,$AA$1)</f>
        <v>0.8</v>
      </c>
      <c r="AC62" s="17">
        <f>AB62*X63</f>
        <v>3.2488223240316548E-2</v>
      </c>
      <c r="AD62" s="49">
        <f>$N$1</f>
        <v>263.95501138952164</v>
      </c>
      <c r="AF62" s="55">
        <f>SUM(AD62,Z63,U61,P64,K70,F82)</f>
        <v>1066.6542837151965</v>
      </c>
      <c r="AG62" s="60">
        <f t="shared" si="21"/>
        <v>177.77571395253275</v>
      </c>
    </row>
    <row r="63" spans="2:42" x14ac:dyDescent="0.45">
      <c r="D63" s="72"/>
      <c r="Q63" s="73"/>
      <c r="V63" s="72"/>
      <c r="W63" s="17">
        <f>1-W60</f>
        <v>0.34285714285714297</v>
      </c>
      <c r="X63" s="17">
        <f>W63*S61</f>
        <v>4.0610279050395687E-2</v>
      </c>
      <c r="Y63" s="17">
        <f>+Z63+U61+P64+K70+F82</f>
        <v>802.69927232567477</v>
      </c>
      <c r="Z63" s="49">
        <f>$N$2</f>
        <v>5.417119078554947</v>
      </c>
      <c r="AA63" s="42"/>
      <c r="AB63" s="15"/>
      <c r="AC63" s="15"/>
      <c r="AF63" s="55"/>
    </row>
    <row r="64" spans="2:42" x14ac:dyDescent="0.45">
      <c r="D64" s="72"/>
      <c r="M64" s="17">
        <f>IF($J$1=0,$U$1,$X$1)</f>
        <v>0.65714285714285703</v>
      </c>
      <c r="N64" s="17">
        <f>M64*I70</f>
        <v>0.18024489795918372</v>
      </c>
      <c r="O64" s="17">
        <f>P64+K70+F82</f>
        <v>533.32714185759824</v>
      </c>
      <c r="P64" s="49">
        <f>$N$1</f>
        <v>263.95501138952164</v>
      </c>
      <c r="Q64" s="73"/>
      <c r="AA64" s="43"/>
      <c r="AB64" s="17">
        <f>1-AB62</f>
        <v>0.19999999999999996</v>
      </c>
      <c r="AC64" s="17">
        <f>AB64*X63</f>
        <v>8.1220558100791353E-3</v>
      </c>
      <c r="AD64" s="49">
        <f>$N$2</f>
        <v>5.417119078554947</v>
      </c>
      <c r="AF64" s="55">
        <f>SUM(AD64,Z63,U61,P64,K70,F82)</f>
        <v>808.11639140422983</v>
      </c>
      <c r="AG64" s="60">
        <f>AF64/6</f>
        <v>134.6860652340383</v>
      </c>
    </row>
    <row r="65" spans="4:45" x14ac:dyDescent="0.45">
      <c r="D65" s="72"/>
      <c r="L65" s="73"/>
      <c r="Q65" s="72"/>
      <c r="R65" s="1"/>
      <c r="S65" s="1"/>
      <c r="T65" s="1"/>
      <c r="U65" s="1"/>
      <c r="AB65" s="17">
        <f>IF($J$1=0,$U$1,$X$1)</f>
        <v>0.65714285714285703</v>
      </c>
      <c r="AC65" s="17">
        <f>AB65*X66</f>
        <v>3.2488223240316548E-2</v>
      </c>
      <c r="AD65" s="49">
        <f>$N$1</f>
        <v>263.95501138952164</v>
      </c>
      <c r="AF65" s="55">
        <f>SUM(AD65,Z66,U67,P64,K70,F82)</f>
        <v>1066.6542837151965</v>
      </c>
      <c r="AG65" s="60">
        <f>AF65/6</f>
        <v>177.77571395253275</v>
      </c>
    </row>
    <row r="66" spans="4:45" x14ac:dyDescent="0.45">
      <c r="D66" s="72"/>
      <c r="L66" s="73"/>
      <c r="Q66" s="72"/>
      <c r="U66" s="1"/>
      <c r="W66" s="17">
        <f>IF($J$1=0,$U$1,$AA$1)</f>
        <v>0.8</v>
      </c>
      <c r="X66" s="17">
        <f>W66*S67</f>
        <v>4.9438600583090409E-2</v>
      </c>
      <c r="Y66" s="17">
        <f>+Z66+U67+P64+K70+F82</f>
        <v>802.69927232567477</v>
      </c>
      <c r="Z66" s="49">
        <f>$N$1</f>
        <v>263.95501138952164</v>
      </c>
      <c r="AA66" s="42"/>
      <c r="AB66" s="15"/>
      <c r="AC66" s="15"/>
      <c r="AF66" s="55"/>
      <c r="AG66" s="44"/>
    </row>
    <row r="67" spans="4:45" x14ac:dyDescent="0.45">
      <c r="D67" s="72"/>
      <c r="L67" s="73"/>
      <c r="Q67" s="72"/>
      <c r="R67" s="17">
        <f>1-R61</f>
        <v>0.34285714285714297</v>
      </c>
      <c r="S67" s="17">
        <f>R67*N64</f>
        <v>6.1798250728863011E-2</v>
      </c>
      <c r="T67" s="17">
        <f>U67+P64+K70+F82</f>
        <v>538.74426093615318</v>
      </c>
      <c r="U67" s="49">
        <f>$N$2</f>
        <v>5.417119078554947</v>
      </c>
      <c r="V67" s="42"/>
      <c r="W67" s="15"/>
      <c r="X67" s="15"/>
      <c r="Y67" s="15"/>
      <c r="AA67" s="43"/>
      <c r="AB67" s="17">
        <f>1-AB65</f>
        <v>0.34285714285714297</v>
      </c>
      <c r="AC67" s="17">
        <f>AB67*X66</f>
        <v>1.695037734277386E-2</v>
      </c>
      <c r="AD67" s="49">
        <f>$N$2</f>
        <v>5.417119078554947</v>
      </c>
      <c r="AF67" s="55">
        <f>SUM(AD67,Z66,U67,P64,K70,F82)</f>
        <v>808.11639140422983</v>
      </c>
      <c r="AG67" s="60">
        <f t="shared" ref="AG67:AG68" si="22">AF67/6</f>
        <v>134.6860652340383</v>
      </c>
    </row>
    <row r="68" spans="4:45" x14ac:dyDescent="0.45">
      <c r="D68" s="72"/>
      <c r="G68" s="44"/>
      <c r="L68" s="73"/>
      <c r="V68" s="72"/>
      <c r="AB68" s="17">
        <f>IF($J$1=0,$U$1,$AA$1)</f>
        <v>0.8</v>
      </c>
      <c r="AC68" s="17">
        <f>AB68*X69</f>
        <v>9.8877201166180789E-3</v>
      </c>
      <c r="AD68" s="49">
        <f>$N$1</f>
        <v>263.95501138952164</v>
      </c>
      <c r="AF68" s="55">
        <f>SUM(AD68,Z69,U67,P64,K70,F82)</f>
        <v>808.11639140422983</v>
      </c>
      <c r="AG68" s="60">
        <f t="shared" si="22"/>
        <v>134.6860652340383</v>
      </c>
    </row>
    <row r="69" spans="4:45" x14ac:dyDescent="0.45">
      <c r="D69" s="72"/>
      <c r="G69" s="40"/>
      <c r="L69" s="73"/>
      <c r="V69" s="72"/>
      <c r="W69" s="17">
        <f>1-W66</f>
        <v>0.19999999999999996</v>
      </c>
      <c r="X69" s="17">
        <f>W69*S67</f>
        <v>1.2359650145772599E-2</v>
      </c>
      <c r="Y69" s="17">
        <f>+Z69+U67+P64+K70+F82</f>
        <v>544.16138001470813</v>
      </c>
      <c r="Z69" s="49">
        <f>$N$2</f>
        <v>5.417119078554947</v>
      </c>
      <c r="AA69" s="42"/>
      <c r="AB69" s="15"/>
      <c r="AC69" s="15"/>
      <c r="AF69" s="55"/>
    </row>
    <row r="70" spans="4:45" x14ac:dyDescent="0.45">
      <c r="D70" s="72"/>
      <c r="G70" s="8"/>
      <c r="H70" s="17">
        <f>IF($J$1=0,$U$1,$AA$1)</f>
        <v>0.8</v>
      </c>
      <c r="I70" s="17">
        <f>H70*E82</f>
        <v>0.27428571428571441</v>
      </c>
      <c r="J70" s="17">
        <f>F82+K70</f>
        <v>269.37213046807659</v>
      </c>
      <c r="K70" s="49">
        <f>$N$1</f>
        <v>263.95501138952164</v>
      </c>
      <c r="L70" s="73"/>
      <c r="R70" s="9"/>
      <c r="S70" s="9"/>
      <c r="T70" s="9"/>
      <c r="U70" s="9"/>
      <c r="V70" s="8"/>
      <c r="W70" s="8"/>
      <c r="X70" s="8"/>
      <c r="Y70" s="8"/>
      <c r="Z70" s="8"/>
      <c r="AA70" s="43"/>
      <c r="AB70" s="17">
        <f>1-AB68</f>
        <v>0.19999999999999996</v>
      </c>
      <c r="AC70" s="17">
        <f>AB70*X69</f>
        <v>2.4719300291545193E-3</v>
      </c>
      <c r="AD70" s="49">
        <f>$N$2</f>
        <v>5.417119078554947</v>
      </c>
      <c r="AF70" s="55">
        <f>SUM(AD70,Z69,U67,P64,K70,F82)</f>
        <v>549.57849909326308</v>
      </c>
      <c r="AG70" s="60">
        <f>AF70/6</f>
        <v>91.596416515543851</v>
      </c>
    </row>
    <row r="71" spans="4:45" x14ac:dyDescent="0.45">
      <c r="D71" s="72"/>
      <c r="G71" s="73"/>
      <c r="H71" s="15"/>
      <c r="I71" s="15"/>
      <c r="J71" s="15"/>
      <c r="L71" s="72"/>
      <c r="R71" s="1"/>
      <c r="S71" s="1"/>
      <c r="T71" s="1"/>
      <c r="U71" s="1"/>
      <c r="AB71" s="17">
        <f>IF($J$1=0,$U$1,$X$1)</f>
        <v>0.65714285714285703</v>
      </c>
      <c r="AC71" s="17">
        <f>AB71*X72</f>
        <v>3.2488223240316555E-2</v>
      </c>
      <c r="AD71" s="49">
        <f>$N$1</f>
        <v>263.95501138952164</v>
      </c>
      <c r="AF71" s="55">
        <f>SUM(AD71,Z72,U73,P76,K70,F82)</f>
        <v>1066.6542837151965</v>
      </c>
      <c r="AG71" s="60">
        <f>AF71/6</f>
        <v>177.77571395253275</v>
      </c>
    </row>
    <row r="72" spans="4:45" x14ac:dyDescent="0.45">
      <c r="D72" s="72"/>
      <c r="G72" s="73"/>
      <c r="H72" s="15"/>
      <c r="I72" s="15"/>
      <c r="J72" s="15"/>
      <c r="L72" s="72"/>
      <c r="U72" s="1"/>
      <c r="W72" s="17">
        <f>IF($J$1=0,$U$1,$X$1)</f>
        <v>0.65714285714285703</v>
      </c>
      <c r="X72" s="17">
        <f>W72*S73</f>
        <v>4.9438600583090422E-2</v>
      </c>
      <c r="Y72" s="17">
        <f>+Z72+U73+P76+K70+F82</f>
        <v>802.69927232567477</v>
      </c>
      <c r="Z72" s="49">
        <f>$N$1</f>
        <v>263.95501138952164</v>
      </c>
      <c r="AA72" s="42"/>
      <c r="AB72" s="15"/>
      <c r="AC72" s="15"/>
      <c r="AF72" s="55"/>
      <c r="AG72" s="44"/>
    </row>
    <row r="73" spans="4:45" x14ac:dyDescent="0.45">
      <c r="D73" s="72"/>
      <c r="G73" s="73"/>
      <c r="H73" s="8"/>
      <c r="I73" s="8"/>
      <c r="J73" s="8"/>
      <c r="K73" s="8"/>
      <c r="L73" s="72"/>
      <c r="R73" s="17">
        <f>IF($J$1=0,$U$1,$AA$1)</f>
        <v>0.8</v>
      </c>
      <c r="S73" s="17">
        <f>R73*N76</f>
        <v>7.5232653061224564E-2</v>
      </c>
      <c r="T73" s="17">
        <f>U73+P76+K70+F82</f>
        <v>538.74426093615318</v>
      </c>
      <c r="U73" s="49">
        <f>$N$1</f>
        <v>263.95501138952164</v>
      </c>
      <c r="V73" s="42"/>
      <c r="W73" s="15"/>
      <c r="X73" s="15"/>
      <c r="Y73" s="15"/>
      <c r="AA73" s="43"/>
      <c r="AB73" s="17">
        <f>1-AB71</f>
        <v>0.34285714285714297</v>
      </c>
      <c r="AC73" s="17">
        <f>AB73*X72</f>
        <v>1.6950377342773864E-2</v>
      </c>
      <c r="AD73" s="49">
        <f>$N$2</f>
        <v>5.417119078554947</v>
      </c>
      <c r="AF73" s="55">
        <f>SUM(AD73,Z72,U73,P76,K70,F82)</f>
        <v>808.11639140422983</v>
      </c>
      <c r="AG73" s="60">
        <f t="shared" ref="AG73:AG74" si="23">AF73/6</f>
        <v>134.6860652340383</v>
      </c>
    </row>
    <row r="74" spans="4:45" x14ac:dyDescent="0.45">
      <c r="D74" s="72"/>
      <c r="G74" s="73"/>
      <c r="H74" s="50"/>
      <c r="I74" s="50"/>
      <c r="J74" s="50"/>
      <c r="K74" s="51"/>
      <c r="L74" s="72"/>
      <c r="M74" s="1"/>
      <c r="N74" s="1"/>
      <c r="O74" s="1"/>
      <c r="P74" s="1"/>
      <c r="Q74" s="73"/>
      <c r="V74" s="72"/>
      <c r="AB74" s="17">
        <f>IF($J$1=0,$U$1,$AA$1)</f>
        <v>0.8</v>
      </c>
      <c r="AC74" s="17">
        <f>AB74*X75</f>
        <v>2.0635241982507317E-2</v>
      </c>
      <c r="AD74" s="49">
        <f>$N$1</f>
        <v>263.95501138952164</v>
      </c>
      <c r="AF74" s="55">
        <f>SUM(AD74,Z75,U73,P76,K70,F82)</f>
        <v>808.11639140422983</v>
      </c>
      <c r="AG74" s="60">
        <f t="shared" si="23"/>
        <v>134.6860652340383</v>
      </c>
    </row>
    <row r="75" spans="4:45" x14ac:dyDescent="0.45">
      <c r="D75" s="72"/>
      <c r="G75" s="73"/>
      <c r="H75" s="50"/>
      <c r="I75" s="8"/>
      <c r="J75" s="8"/>
      <c r="K75" s="8"/>
      <c r="L75" s="72"/>
      <c r="P75" s="1"/>
      <c r="Q75" s="73"/>
      <c r="V75" s="72"/>
      <c r="W75" s="17">
        <f>1-W72</f>
        <v>0.34285714285714297</v>
      </c>
      <c r="X75" s="17">
        <f>W75*S73</f>
        <v>2.5794052478134145E-2</v>
      </c>
      <c r="Y75" s="17">
        <f>+Z75+U73+P76+K70+F82</f>
        <v>544.16138001470813</v>
      </c>
      <c r="Z75" s="49">
        <f>$N$2</f>
        <v>5.417119078554947</v>
      </c>
      <c r="AA75" s="42"/>
      <c r="AB75" s="15"/>
      <c r="AC75" s="15"/>
      <c r="AF75" s="55"/>
    </row>
    <row r="76" spans="4:45" x14ac:dyDescent="0.45">
      <c r="D76" s="72"/>
      <c r="G76" s="73"/>
      <c r="H76" s="50"/>
      <c r="I76" s="50"/>
      <c r="J76" s="50"/>
      <c r="K76" s="51"/>
      <c r="L76" s="72"/>
      <c r="M76" s="17">
        <f>1-M64</f>
        <v>0.34285714285714297</v>
      </c>
      <c r="N76" s="17">
        <f>M76*I70</f>
        <v>9.4040816326530691E-2</v>
      </c>
      <c r="O76" s="17">
        <f>P76+K70+F82</f>
        <v>274.78924954663154</v>
      </c>
      <c r="P76" s="49">
        <f>$N$2</f>
        <v>5.417119078554947</v>
      </c>
      <c r="Q76" s="73"/>
      <c r="AA76" s="43"/>
      <c r="AB76" s="17">
        <f>1-AB74</f>
        <v>0.19999999999999996</v>
      </c>
      <c r="AC76" s="17">
        <f>AB76*X75</f>
        <v>5.1588104956268276E-3</v>
      </c>
      <c r="AD76" s="49">
        <f>$N$2</f>
        <v>5.417119078554947</v>
      </c>
      <c r="AF76" s="55">
        <f>SUM(AD76,Z75,U73,P76,K70,F82)</f>
        <v>549.57849909326308</v>
      </c>
      <c r="AG76" s="60">
        <f>AF76/6</f>
        <v>91.596416515543851</v>
      </c>
    </row>
    <row r="77" spans="4:45" x14ac:dyDescent="0.45">
      <c r="D77" s="72"/>
      <c r="G77" s="73"/>
      <c r="H77" s="50"/>
      <c r="I77" s="50"/>
      <c r="J77" s="50"/>
      <c r="K77" s="8"/>
      <c r="Q77" s="72"/>
      <c r="R77" s="1"/>
      <c r="S77" s="1"/>
      <c r="T77" s="1"/>
      <c r="U77" s="1"/>
      <c r="AB77" s="17">
        <f>IF($J$1=0,$U$1,$X$1)</f>
        <v>0.65714285714285703</v>
      </c>
      <c r="AC77" s="17">
        <f>AB77*X78</f>
        <v>9.8877201166180807E-3</v>
      </c>
      <c r="AD77" s="49">
        <f>$N$1</f>
        <v>263.95501138952164</v>
      </c>
      <c r="AF77" s="55">
        <f>SUM(AD77,Z78,U79,P76,K70,F82)</f>
        <v>808.11639140422983</v>
      </c>
      <c r="AG77" s="60">
        <f>AF77/6</f>
        <v>134.6860652340383</v>
      </c>
    </row>
    <row r="78" spans="4:45" x14ac:dyDescent="0.45">
      <c r="D78" s="72"/>
      <c r="G78" s="73"/>
      <c r="H78" s="50"/>
      <c r="I78" s="50"/>
      <c r="J78" s="50"/>
      <c r="K78" s="51"/>
      <c r="Q78" s="72"/>
      <c r="U78" s="1"/>
      <c r="W78" s="17">
        <f>IF($J$1=0,$U$1,$AA$1)</f>
        <v>0.8</v>
      </c>
      <c r="X78" s="17">
        <f>W78*S79</f>
        <v>1.5046530612244908E-2</v>
      </c>
      <c r="Y78" s="17">
        <f>+Z78+U79+P76+K70+F82</f>
        <v>544.16138001470813</v>
      </c>
      <c r="Z78" s="49">
        <f>$N$1</f>
        <v>263.95501138952164</v>
      </c>
      <c r="AA78" s="42"/>
      <c r="AB78" s="15"/>
      <c r="AC78" s="15"/>
      <c r="AF78" s="55"/>
      <c r="AG78" s="44"/>
    </row>
    <row r="79" spans="4:45" x14ac:dyDescent="0.45">
      <c r="D79" s="72"/>
      <c r="G79" s="73"/>
      <c r="H79" s="8"/>
      <c r="I79" s="50"/>
      <c r="J79" s="50"/>
      <c r="K79" s="8"/>
      <c r="Q79" s="72"/>
      <c r="R79" s="17">
        <f>1-R73</f>
        <v>0.19999999999999996</v>
      </c>
      <c r="S79" s="17">
        <f>R79*N76</f>
        <v>1.8808163265306134E-2</v>
      </c>
      <c r="T79" s="17">
        <f>+U79+P76+K70+F82</f>
        <v>280.20636862518649</v>
      </c>
      <c r="U79" s="49">
        <f>$N$2</f>
        <v>5.417119078554947</v>
      </c>
      <c r="V79" s="42"/>
      <c r="W79" s="15"/>
      <c r="X79" s="15"/>
      <c r="Y79" s="15"/>
      <c r="AA79" s="43"/>
      <c r="AB79" s="17">
        <f>1-AB77</f>
        <v>0.34285714285714297</v>
      </c>
      <c r="AC79" s="17">
        <f>AB79*X78</f>
        <v>5.1588104956268276E-3</v>
      </c>
      <c r="AD79" s="49">
        <f>$N$2</f>
        <v>5.417119078554947</v>
      </c>
      <c r="AF79" s="55">
        <f>SUM(AD79,Z78,U79,P76,K70,F82)</f>
        <v>549.57849909326308</v>
      </c>
      <c r="AG79" s="60">
        <f t="shared" ref="AG79:AG80" si="24">AF79/6</f>
        <v>91.596416515543851</v>
      </c>
      <c r="AS79" t="s">
        <v>93</v>
      </c>
    </row>
    <row r="80" spans="4:45" x14ac:dyDescent="0.45">
      <c r="D80" s="72"/>
      <c r="G80" s="73"/>
      <c r="H80" s="8"/>
      <c r="I80" s="50"/>
      <c r="J80" s="50"/>
      <c r="K80" s="8"/>
      <c r="V80" s="72"/>
      <c r="AB80" s="17">
        <f>IF($J$1=0,$U$1,$AA$1)</f>
        <v>0.8</v>
      </c>
      <c r="AC80" s="17">
        <f>AB80*X81</f>
        <v>3.0093061224489809E-3</v>
      </c>
      <c r="AD80" s="49">
        <f>$N$1</f>
        <v>263.95501138952164</v>
      </c>
      <c r="AF80" s="55">
        <f>SUM(AD80,Z81,U79,P76,K70,F82)</f>
        <v>549.57849909326308</v>
      </c>
      <c r="AG80" s="60">
        <f t="shared" si="24"/>
        <v>91.596416515543851</v>
      </c>
      <c r="AS80" t="s">
        <v>94</v>
      </c>
    </row>
    <row r="81" spans="4:46" x14ac:dyDescent="0.45">
      <c r="D81" s="72"/>
      <c r="G81" s="73"/>
      <c r="H81" s="8"/>
      <c r="I81" s="50"/>
      <c r="J81" s="50"/>
      <c r="K81" s="8"/>
      <c r="V81" s="72"/>
      <c r="W81" s="17">
        <f>1-W78</f>
        <v>0.19999999999999996</v>
      </c>
      <c r="X81" s="17">
        <f>W81*S79</f>
        <v>3.7616326530612258E-3</v>
      </c>
      <c r="Y81" s="17">
        <f>+Z81+U79+P76+K70+F82</f>
        <v>285.62348770374143</v>
      </c>
      <c r="Z81" s="49">
        <f>$N$2</f>
        <v>5.417119078554947</v>
      </c>
      <c r="AA81" s="42"/>
      <c r="AB81" s="15"/>
      <c r="AC81" s="15"/>
      <c r="AF81" s="55"/>
      <c r="AS81" s="1" t="s">
        <v>96</v>
      </c>
      <c r="AT81" t="s">
        <v>99</v>
      </c>
    </row>
    <row r="82" spans="4:46" x14ac:dyDescent="0.45">
      <c r="D82" s="72"/>
      <c r="E82" s="17">
        <f>1-E34</f>
        <v>0.34285714285714297</v>
      </c>
      <c r="F82" s="49">
        <f>$N$2</f>
        <v>5.417119078554947</v>
      </c>
      <c r="G82" s="73"/>
      <c r="W82" s="1"/>
      <c r="X82" s="1"/>
      <c r="Y82" s="1"/>
      <c r="Z82" s="1"/>
      <c r="AA82" s="43"/>
      <c r="AB82" s="17">
        <f>1-AB80</f>
        <v>0.19999999999999996</v>
      </c>
      <c r="AC82" s="17">
        <f>AB82*X81</f>
        <v>7.52326530612245E-4</v>
      </c>
      <c r="AD82" s="49">
        <f>$N$2</f>
        <v>5.417119078554947</v>
      </c>
      <c r="AF82" s="55">
        <f>SUM(AD82,Z81,U79,P76,K70,F82)</f>
        <v>291.04060678229638</v>
      </c>
      <c r="AG82" s="60">
        <f>AF82/6</f>
        <v>48.506767797049399</v>
      </c>
      <c r="AS82" s="1" t="s">
        <v>97</v>
      </c>
      <c r="AT82" s="1" t="s">
        <v>97</v>
      </c>
    </row>
    <row r="83" spans="4:46" x14ac:dyDescent="0.45">
      <c r="E83" s="1" t="s">
        <v>2</v>
      </c>
      <c r="G83" s="72"/>
      <c r="R83" s="1"/>
      <c r="S83" s="1"/>
      <c r="T83" s="1"/>
      <c r="U83" s="1"/>
      <c r="Z83" s="1"/>
      <c r="AB83" s="17">
        <f>IF($J$1=0,$U$1,$X$1)</f>
        <v>0.65714285714285703</v>
      </c>
      <c r="AC83" s="17">
        <f>AB83*X84</f>
        <v>1.5567273635985E-2</v>
      </c>
      <c r="AD83" s="49">
        <f>$N$1</f>
        <v>263.95501138952164</v>
      </c>
      <c r="AF83" s="55">
        <f>SUM(AD83,Z84,U85,P88,K94,F82)</f>
        <v>1066.6542837151965</v>
      </c>
      <c r="AG83" s="60">
        <f>AF83/6</f>
        <v>177.77571395253275</v>
      </c>
      <c r="AR83" s="1" t="s">
        <v>95</v>
      </c>
      <c r="AS83" s="1" t="s">
        <v>98</v>
      </c>
      <c r="AT83" s="1" t="s">
        <v>98</v>
      </c>
    </row>
    <row r="84" spans="4:46" x14ac:dyDescent="0.45">
      <c r="G84" s="72"/>
      <c r="U84" s="1"/>
      <c r="W84" s="17">
        <f>IF($J$1=0,$U$1,$X$1)</f>
        <v>0.65714285714285703</v>
      </c>
      <c r="X84" s="17">
        <f>W84*S85</f>
        <v>2.3689329446064136E-2</v>
      </c>
      <c r="Y84" s="17">
        <f>+Z84+U85+P88+K94+F82</f>
        <v>802.69927232567488</v>
      </c>
      <c r="Z84" s="49">
        <f>$N$1</f>
        <v>263.95501138952164</v>
      </c>
      <c r="AA84" s="42"/>
      <c r="AB84" s="15"/>
      <c r="AC84" s="15"/>
      <c r="AF84" s="55"/>
      <c r="AG84" s="44"/>
      <c r="AR84" s="1">
        <v>1</v>
      </c>
      <c r="AS84" s="67">
        <f>U1*N1+U2*N2</f>
        <v>186.39364369623161</v>
      </c>
      <c r="AT84" s="69">
        <f>E113</f>
        <v>175.3134483114759</v>
      </c>
    </row>
    <row r="85" spans="4:46" x14ac:dyDescent="0.45">
      <c r="G85" s="72"/>
      <c r="R85" s="17">
        <f>IF($J$1=0,$U$1,$X$1)</f>
        <v>0.65714285714285703</v>
      </c>
      <c r="S85" s="17">
        <f>R85*N88</f>
        <v>3.6048979591836734E-2</v>
      </c>
      <c r="T85" s="17">
        <f>+U85+P88+K94+F82</f>
        <v>538.74426093615318</v>
      </c>
      <c r="U85" s="49">
        <f>$N$1</f>
        <v>263.95501138952164</v>
      </c>
      <c r="V85" s="42"/>
      <c r="W85" s="15"/>
      <c r="X85" s="15"/>
      <c r="Y85" s="15"/>
      <c r="AA85" s="43"/>
      <c r="AB85" s="17">
        <f>1-AB83</f>
        <v>0.34285714285714297</v>
      </c>
      <c r="AC85" s="17">
        <f>AB85*X84</f>
        <v>8.1220558100791353E-3</v>
      </c>
      <c r="AD85" s="49">
        <f>$N$2</f>
        <v>5.417119078554947</v>
      </c>
      <c r="AF85" s="55">
        <f>SUM(AD85,Z84,U85,P88,K94,F82)</f>
        <v>808.11639140422972</v>
      </c>
      <c r="AG85" s="60">
        <f t="shared" ref="AG85:AG86" si="25">AF85/6</f>
        <v>134.6860652340383</v>
      </c>
      <c r="AR85" s="1">
        <v>2</v>
      </c>
      <c r="AS85" s="58">
        <f>AS84</f>
        <v>186.39364369623161</v>
      </c>
      <c r="AT85" s="69">
        <f>I111</f>
        <v>181.64498853133631</v>
      </c>
    </row>
    <row r="86" spans="4:46" x14ac:dyDescent="0.45">
      <c r="G86" s="72"/>
      <c r="M86" s="1"/>
      <c r="N86" s="1"/>
      <c r="O86" s="1"/>
      <c r="P86" s="1"/>
      <c r="Q86" s="73"/>
      <c r="V86" s="72"/>
      <c r="AB86" s="17">
        <f>IF($J$1=0,$U$1,$AA$1)</f>
        <v>0.8</v>
      </c>
      <c r="AC86" s="17">
        <f>AB86*X87</f>
        <v>9.8877201166180789E-3</v>
      </c>
      <c r="AD86" s="49">
        <f>$N$1</f>
        <v>263.95501138952164</v>
      </c>
      <c r="AF86" s="55">
        <f>SUM(AD86,Z87,U85,P88,K94,F82)</f>
        <v>808.11639140422972</v>
      </c>
      <c r="AG86" s="60">
        <f t="shared" si="25"/>
        <v>134.6860652340383</v>
      </c>
      <c r="AR86" s="1">
        <v>3</v>
      </c>
      <c r="AS86" s="58">
        <f t="shared" ref="AS86:AS89" si="26">AS85</f>
        <v>186.39364369623161</v>
      </c>
      <c r="AT86" s="69">
        <f>N111</f>
        <v>183.15249810749353</v>
      </c>
    </row>
    <row r="87" spans="4:46" x14ac:dyDescent="0.45">
      <c r="G87" s="72"/>
      <c r="P87" s="1"/>
      <c r="Q87" s="73"/>
      <c r="V87" s="72"/>
      <c r="W87" s="17">
        <f>1-W84</f>
        <v>0.34285714285714297</v>
      </c>
      <c r="X87" s="17">
        <f>W87*S85</f>
        <v>1.2359650145772599E-2</v>
      </c>
      <c r="Y87" s="17">
        <f>+Z87+U85+P88+K94+F82</f>
        <v>544.16138001470813</v>
      </c>
      <c r="Z87" s="49">
        <f>$N$2</f>
        <v>5.417119078554947</v>
      </c>
      <c r="AA87" s="42"/>
      <c r="AB87" s="15"/>
      <c r="AC87" s="15"/>
      <c r="AF87" s="55"/>
      <c r="AR87" s="1">
        <v>4</v>
      </c>
      <c r="AS87" s="58">
        <f t="shared" si="26"/>
        <v>186.39364369623161</v>
      </c>
      <c r="AT87" s="69">
        <f>S111</f>
        <v>183.97086044883608</v>
      </c>
    </row>
    <row r="88" spans="4:46" x14ac:dyDescent="0.45">
      <c r="G88" s="72"/>
      <c r="M88" s="17">
        <f>IF($J$1=0,$U$1,$AA$1)</f>
        <v>0.8</v>
      </c>
      <c r="N88" s="17">
        <f>M88*I94</f>
        <v>5.4857142857142861E-2</v>
      </c>
      <c r="O88" s="17">
        <f>P88+K94+F82</f>
        <v>274.78924954663154</v>
      </c>
      <c r="P88" s="49">
        <f>$N$1</f>
        <v>263.95501138952164</v>
      </c>
      <c r="Q88" s="73"/>
      <c r="AA88" s="43"/>
      <c r="AB88" s="17">
        <f>1-AB86</f>
        <v>0.19999999999999996</v>
      </c>
      <c r="AC88" s="17">
        <f>AB88*X87</f>
        <v>2.4719300291545193E-3</v>
      </c>
      <c r="AD88" s="49">
        <f>$N$2</f>
        <v>5.417119078554947</v>
      </c>
      <c r="AF88" s="55">
        <f>SUM(AD88,Z87,U85,P88,K94,F82)</f>
        <v>549.57849909326308</v>
      </c>
      <c r="AG88" s="60">
        <f>AF88/6</f>
        <v>91.596416515543851</v>
      </c>
      <c r="AR88" s="1">
        <v>5</v>
      </c>
      <c r="AS88" s="58">
        <f t="shared" si="26"/>
        <v>186.39364369623161</v>
      </c>
      <c r="AT88" s="69">
        <f>X111</f>
        <v>184.45449413326853</v>
      </c>
    </row>
    <row r="89" spans="4:46" x14ac:dyDescent="0.45">
      <c r="G89" s="72"/>
      <c r="L89" s="73"/>
      <c r="Q89" s="72"/>
      <c r="R89" s="1"/>
      <c r="S89" s="1"/>
      <c r="T89" s="1"/>
      <c r="U89" s="1"/>
      <c r="AB89" s="17">
        <f>IF($J$1=0,$U$1,$X$1)</f>
        <v>0.65714285714285703</v>
      </c>
      <c r="AC89" s="17">
        <f>AB89*X90</f>
        <v>9.8877201166180789E-3</v>
      </c>
      <c r="AD89" s="49">
        <f>$N$1</f>
        <v>263.95501138952164</v>
      </c>
      <c r="AF89" s="55">
        <f>SUM(AD89,Z90,U91,P88,K94,F82)</f>
        <v>808.11639140422972</v>
      </c>
      <c r="AG89" s="60">
        <f>AF89/6</f>
        <v>134.6860652340383</v>
      </c>
      <c r="AR89" s="1">
        <v>6</v>
      </c>
      <c r="AS89" s="58">
        <f t="shared" si="26"/>
        <v>186.39364369623161</v>
      </c>
      <c r="AT89" s="69">
        <f>AC111</f>
        <v>184.9236191587739</v>
      </c>
    </row>
    <row r="90" spans="4:46" x14ac:dyDescent="0.45">
      <c r="G90" s="72"/>
      <c r="L90" s="73"/>
      <c r="Q90" s="72"/>
      <c r="U90" s="1"/>
      <c r="W90" s="17">
        <f>IF($J$1=0,$U$1,$AA$1)</f>
        <v>0.8</v>
      </c>
      <c r="X90" s="17">
        <f>W90*S91</f>
        <v>1.5046530612244905E-2</v>
      </c>
      <c r="Y90" s="17">
        <f>+Z90+U91+P88+K94+F82</f>
        <v>544.16138001470813</v>
      </c>
      <c r="Z90" s="49">
        <f>$N$1</f>
        <v>263.95501138952164</v>
      </c>
      <c r="AA90" s="42"/>
      <c r="AB90" s="15"/>
      <c r="AC90" s="15"/>
      <c r="AF90" s="55"/>
      <c r="AG90" s="44"/>
    </row>
    <row r="91" spans="4:46" x14ac:dyDescent="0.45">
      <c r="G91" s="72"/>
      <c r="L91" s="73"/>
      <c r="Q91" s="72"/>
      <c r="R91" s="17">
        <f>1-R85</f>
        <v>0.34285714285714297</v>
      </c>
      <c r="S91" s="17">
        <f>R91*N88</f>
        <v>1.8808163265306131E-2</v>
      </c>
      <c r="T91" s="17">
        <f>+U91+P88+K94+F82</f>
        <v>280.20636862518649</v>
      </c>
      <c r="U91" s="49">
        <f>$N$2</f>
        <v>5.417119078554947</v>
      </c>
      <c r="V91" s="42"/>
      <c r="W91" s="15"/>
      <c r="X91" s="15"/>
      <c r="Y91" s="15"/>
      <c r="AA91" s="43"/>
      <c r="AB91" s="17">
        <f>1-AB89</f>
        <v>0.34285714285714297</v>
      </c>
      <c r="AC91" s="17">
        <f>AB91*X90</f>
        <v>5.1588104956268258E-3</v>
      </c>
      <c r="AD91" s="49">
        <f>$N$2</f>
        <v>5.417119078554947</v>
      </c>
      <c r="AF91" s="55">
        <f>SUM(AD91,Z90,U91,P88,K94,F82)</f>
        <v>549.57849909326308</v>
      </c>
      <c r="AG91" s="60">
        <f t="shared" ref="AG91:AG92" si="27">AF91/6</f>
        <v>91.596416515543851</v>
      </c>
    </row>
    <row r="92" spans="4:46" x14ac:dyDescent="0.45">
      <c r="G92" s="72"/>
      <c r="H92" s="1"/>
      <c r="I92" s="1"/>
      <c r="J92" s="1"/>
      <c r="K92" s="1"/>
      <c r="L92" s="73"/>
      <c r="V92" s="72"/>
      <c r="AB92" s="17">
        <f>IF($J$1=0,$U$1,$AA$1)</f>
        <v>0.8</v>
      </c>
      <c r="AC92" s="17">
        <f>AB92*X93</f>
        <v>3.0093061224489804E-3</v>
      </c>
      <c r="AD92" s="49">
        <f>$N$1</f>
        <v>263.95501138952164</v>
      </c>
      <c r="AF92" s="55">
        <f>SUM(AD92,Z93,U91,P88,K94,F82)</f>
        <v>549.57849909326308</v>
      </c>
      <c r="AG92" s="60">
        <f t="shared" si="27"/>
        <v>91.596416515543851</v>
      </c>
    </row>
    <row r="93" spans="4:46" x14ac:dyDescent="0.45">
      <c r="G93" s="72"/>
      <c r="K93" s="1"/>
      <c r="L93" s="73"/>
      <c r="V93" s="72"/>
      <c r="W93" s="17">
        <f>1-W90</f>
        <v>0.19999999999999996</v>
      </c>
      <c r="X93" s="17">
        <f>W93*S91</f>
        <v>3.7616326530612253E-3</v>
      </c>
      <c r="Y93" s="17">
        <f>+Z93+U91+P88+K94+F82</f>
        <v>285.62348770374143</v>
      </c>
      <c r="Z93" s="49">
        <f>$N$2</f>
        <v>5.417119078554947</v>
      </c>
      <c r="AA93" s="42"/>
      <c r="AB93" s="15"/>
      <c r="AC93" s="15"/>
      <c r="AF93" s="55"/>
    </row>
    <row r="94" spans="4:46" x14ac:dyDescent="0.45">
      <c r="G94" s="72"/>
      <c r="H94" s="17">
        <f>1-H70</f>
        <v>0.19999999999999996</v>
      </c>
      <c r="I94" s="17">
        <f>H94*E82</f>
        <v>6.8571428571428575E-2</v>
      </c>
      <c r="J94" s="17">
        <f>F82+K94</f>
        <v>10.834238157109894</v>
      </c>
      <c r="K94" s="49">
        <f>$N$2</f>
        <v>5.417119078554947</v>
      </c>
      <c r="L94" s="73"/>
      <c r="R94" s="9"/>
      <c r="S94" s="9"/>
      <c r="T94" s="9"/>
      <c r="U94" s="9"/>
      <c r="V94" s="8"/>
      <c r="W94" s="8"/>
      <c r="X94" s="8"/>
      <c r="Y94" s="8"/>
      <c r="Z94" s="8"/>
      <c r="AA94" s="43"/>
      <c r="AB94" s="17">
        <f>1-AB92</f>
        <v>0.19999999999999996</v>
      </c>
      <c r="AC94" s="17">
        <f>AB94*X93</f>
        <v>7.5232653061224489E-4</v>
      </c>
      <c r="AD94" s="49">
        <f>$N$2</f>
        <v>5.417119078554947</v>
      </c>
      <c r="AF94" s="55">
        <f>SUM(AD94,Z93,U91,P88,K94,F82)</f>
        <v>291.04060678229638</v>
      </c>
      <c r="AG94" s="60">
        <f>AF94/6</f>
        <v>48.506767797049399</v>
      </c>
    </row>
    <row r="95" spans="4:46" x14ac:dyDescent="0.45">
      <c r="H95" s="15"/>
      <c r="I95" s="15"/>
      <c r="J95" s="15"/>
      <c r="L95" s="72"/>
      <c r="R95" s="1"/>
      <c r="S95" s="1"/>
      <c r="T95" s="1"/>
      <c r="U95" s="1"/>
      <c r="AB95" s="17">
        <f>IF($J$1=0,$U$1,$X$1)</f>
        <v>0.65714285714285703</v>
      </c>
      <c r="AC95" s="17">
        <f>AB95*X96</f>
        <v>4.7378658892128257E-3</v>
      </c>
      <c r="AD95" s="49">
        <f>$N$1</f>
        <v>263.95501138952164</v>
      </c>
      <c r="AF95" s="55">
        <f>SUM(AD95,Z96,U97,P100,K94,F82)</f>
        <v>808.11639140422983</v>
      </c>
      <c r="AG95" s="60">
        <f>AF95/6</f>
        <v>134.6860652340383</v>
      </c>
    </row>
    <row r="96" spans="4:46" x14ac:dyDescent="0.45">
      <c r="H96" s="15"/>
      <c r="I96" s="15"/>
      <c r="J96" s="15"/>
      <c r="L96" s="72"/>
      <c r="U96" s="1"/>
      <c r="W96" s="17">
        <f>IF($J$1=0,$U$1,$X$1)</f>
        <v>0.65714285714285703</v>
      </c>
      <c r="X96" s="17">
        <f>W96*S97</f>
        <v>7.2097959183673446E-3</v>
      </c>
      <c r="Y96" s="17">
        <f>+Z96+U97+P100+K94+F82</f>
        <v>544.16138001470813</v>
      </c>
      <c r="Z96" s="49">
        <f>$N$1</f>
        <v>263.95501138952164</v>
      </c>
      <c r="AA96" s="42"/>
      <c r="AB96" s="15"/>
      <c r="AC96" s="15"/>
      <c r="AF96" s="55"/>
      <c r="AG96" s="44"/>
    </row>
    <row r="97" spans="4:33" x14ac:dyDescent="0.45">
      <c r="H97" s="8"/>
      <c r="I97" s="8"/>
      <c r="J97" s="8"/>
      <c r="K97" s="8"/>
      <c r="L97" s="72"/>
      <c r="R97" s="17">
        <f>IF($J$1=0,$U$1,$AA$1)</f>
        <v>0.8</v>
      </c>
      <c r="S97" s="17">
        <f>R97*N100</f>
        <v>1.0971428571428569E-2</v>
      </c>
      <c r="T97" s="17">
        <f>+U97+P100+K94+F82</f>
        <v>280.20636862518649</v>
      </c>
      <c r="U97" s="49">
        <f>$N$1</f>
        <v>263.95501138952164</v>
      </c>
      <c r="V97" s="42"/>
      <c r="W97" s="15"/>
      <c r="X97" s="15"/>
      <c r="Y97" s="15"/>
      <c r="AA97" s="43"/>
      <c r="AB97" s="17">
        <f>1-AB95</f>
        <v>0.34285714285714297</v>
      </c>
      <c r="AC97" s="17">
        <f>AB97*X96</f>
        <v>2.4719300291545189E-3</v>
      </c>
      <c r="AD97" s="49">
        <f>$N$2</f>
        <v>5.417119078554947</v>
      </c>
      <c r="AF97" s="55">
        <f>SUM(AD97,Z96,U97,P100,K94,F82)</f>
        <v>549.57849909326308</v>
      </c>
      <c r="AG97" s="60">
        <f t="shared" ref="AG97:AG98" si="28">AF97/6</f>
        <v>91.596416515543851</v>
      </c>
    </row>
    <row r="98" spans="4:33" x14ac:dyDescent="0.45">
      <c r="H98" s="50"/>
      <c r="I98" s="50"/>
      <c r="J98" s="50"/>
      <c r="K98" s="51"/>
      <c r="L98" s="72"/>
      <c r="M98" s="1"/>
      <c r="N98" s="1"/>
      <c r="O98" s="1"/>
      <c r="P98" s="1"/>
      <c r="Q98" s="73"/>
      <c r="V98" s="72"/>
      <c r="AB98" s="17">
        <f>IF($J$1=0,$U$1,$AA$1)</f>
        <v>0.8</v>
      </c>
      <c r="AC98" s="17">
        <f>AB98*X99</f>
        <v>3.00930612244898E-3</v>
      </c>
      <c r="AD98" s="49">
        <f>$N$1</f>
        <v>263.95501138952164</v>
      </c>
      <c r="AF98" s="55">
        <f>SUM(AD98,Z99,U97,P100,K94,F82)</f>
        <v>549.57849909326308</v>
      </c>
      <c r="AG98" s="60">
        <f t="shared" si="28"/>
        <v>91.596416515543851</v>
      </c>
    </row>
    <row r="99" spans="4:33" x14ac:dyDescent="0.45">
      <c r="H99" s="50"/>
      <c r="I99" s="8"/>
      <c r="J99" s="8"/>
      <c r="K99" s="8"/>
      <c r="L99" s="72"/>
      <c r="P99" s="1"/>
      <c r="Q99" s="73"/>
      <c r="V99" s="72"/>
      <c r="W99" s="17">
        <f>1-W96</f>
        <v>0.34285714285714297</v>
      </c>
      <c r="X99" s="17">
        <f>W99*S97</f>
        <v>3.7616326530612249E-3</v>
      </c>
      <c r="Y99" s="17">
        <f>+Z99+U97+P100+K94+F82</f>
        <v>285.62348770374143</v>
      </c>
      <c r="Z99" s="49">
        <f>$N$2</f>
        <v>5.417119078554947</v>
      </c>
      <c r="AA99" s="42"/>
      <c r="AB99" s="15"/>
      <c r="AC99" s="15"/>
      <c r="AF99" s="55"/>
    </row>
    <row r="100" spans="4:33" x14ac:dyDescent="0.45">
      <c r="H100" s="50"/>
      <c r="I100" s="50"/>
      <c r="J100" s="50"/>
      <c r="K100" s="51"/>
      <c r="L100" s="72"/>
      <c r="M100" s="17">
        <f>1-M88</f>
        <v>0.19999999999999996</v>
      </c>
      <c r="N100" s="17">
        <f>M100*I94</f>
        <v>1.3714285714285712E-2</v>
      </c>
      <c r="O100" s="17">
        <f>P100+K94+F82</f>
        <v>16.251357235664841</v>
      </c>
      <c r="P100" s="49">
        <f>$N$2</f>
        <v>5.417119078554947</v>
      </c>
      <c r="Q100" s="73"/>
      <c r="AA100" s="43"/>
      <c r="AB100" s="17">
        <f>1-AB98</f>
        <v>0.19999999999999996</v>
      </c>
      <c r="AC100" s="17">
        <f>AB100*X99</f>
        <v>7.5232653061224478E-4</v>
      </c>
      <c r="AD100" s="49">
        <f>$N$2</f>
        <v>5.417119078554947</v>
      </c>
      <c r="AF100" s="55">
        <f>SUM(AD100,Z99,U97,P100,K94,F82)</f>
        <v>291.04060678229638</v>
      </c>
      <c r="AG100" s="60">
        <f>AF100/6</f>
        <v>48.506767797049399</v>
      </c>
    </row>
    <row r="101" spans="4:33" x14ac:dyDescent="0.45">
      <c r="H101" s="50"/>
      <c r="I101" s="50"/>
      <c r="J101" s="50"/>
      <c r="K101" s="8"/>
      <c r="Q101" s="72"/>
      <c r="R101" s="1"/>
      <c r="S101" s="1"/>
      <c r="T101" s="1"/>
      <c r="U101" s="1"/>
      <c r="AB101" s="17">
        <f>IF($J$1=0,$U$1,$X$1)</f>
        <v>0.65714285714285703</v>
      </c>
      <c r="AC101" s="17">
        <f>AB101*X102</f>
        <v>1.4419591836734688E-3</v>
      </c>
      <c r="AD101" s="49">
        <f>$N$1</f>
        <v>263.95501138952164</v>
      </c>
      <c r="AF101" s="55">
        <f>SUM(AD101,Z102,U103,P100,K94,F82)</f>
        <v>549.57849909326308</v>
      </c>
      <c r="AG101" s="60">
        <f>AF101/6</f>
        <v>91.596416515543851</v>
      </c>
    </row>
    <row r="102" spans="4:33" x14ac:dyDescent="0.45">
      <c r="H102" s="50"/>
      <c r="I102" s="50"/>
      <c r="J102" s="50"/>
      <c r="K102" s="51"/>
      <c r="Q102" s="72"/>
      <c r="U102" s="1"/>
      <c r="W102" s="17">
        <f>IF($J$1=0,$U$1,$AA$1)</f>
        <v>0.8</v>
      </c>
      <c r="X102" s="17">
        <f>W102*S103</f>
        <v>2.1942857142857137E-3</v>
      </c>
      <c r="Y102" s="17">
        <f>+Z102+U103+P100+K94+F82</f>
        <v>285.62348770374143</v>
      </c>
      <c r="Z102" s="49">
        <f>$N$1</f>
        <v>263.95501138952164</v>
      </c>
      <c r="AA102" s="42"/>
      <c r="AB102" s="15"/>
      <c r="AC102" s="15"/>
      <c r="AF102" s="55"/>
      <c r="AG102" s="44"/>
    </row>
    <row r="103" spans="4:33" x14ac:dyDescent="0.45">
      <c r="H103" s="8"/>
      <c r="I103" s="50"/>
      <c r="J103" s="50"/>
      <c r="K103" s="8"/>
      <c r="Q103" s="72"/>
      <c r="R103" s="17">
        <f>M100</f>
        <v>0.19999999999999996</v>
      </c>
      <c r="S103" s="17">
        <f>R103*N100</f>
        <v>2.7428571428571419E-3</v>
      </c>
      <c r="T103" s="17">
        <f>+U103+P100+K94+F82</f>
        <v>21.668476314219788</v>
      </c>
      <c r="U103" s="49">
        <f>$N$2</f>
        <v>5.417119078554947</v>
      </c>
      <c r="V103" s="42"/>
      <c r="W103" s="15"/>
      <c r="X103" s="15"/>
      <c r="Y103" s="15"/>
      <c r="AA103" s="43"/>
      <c r="AB103" s="17">
        <f>1-AB101</f>
        <v>0.34285714285714297</v>
      </c>
      <c r="AC103" s="17">
        <f>AB103*X102</f>
        <v>7.52326530612245E-4</v>
      </c>
      <c r="AD103" s="49">
        <f>$N$2</f>
        <v>5.417119078554947</v>
      </c>
      <c r="AF103" s="55">
        <f>SUM(AD103,Z102,U103,P100,K94,F82)</f>
        <v>291.04060678229638</v>
      </c>
      <c r="AG103" s="60">
        <f>AF103/6</f>
        <v>48.506767797049399</v>
      </c>
    </row>
    <row r="104" spans="4:33" x14ac:dyDescent="0.45">
      <c r="H104" s="8"/>
      <c r="I104" s="50"/>
      <c r="J104" s="50"/>
      <c r="K104" s="8"/>
      <c r="V104" s="72"/>
      <c r="AB104" s="17">
        <f>IF($J$1=0,$U$1,$AA$1)</f>
        <v>0.8</v>
      </c>
      <c r="AC104" s="17">
        <f>AB104*X105</f>
        <v>4.3885714285714258E-4</v>
      </c>
      <c r="AD104" s="49">
        <f>$N$1</f>
        <v>263.95501138952164</v>
      </c>
      <c r="AF104" s="55">
        <f>SUM(AD104,Z105,U103,P100,K94,F82)</f>
        <v>291.04060678229638</v>
      </c>
      <c r="AG104" s="60">
        <f>AF104/6</f>
        <v>48.506767797049399</v>
      </c>
    </row>
    <row r="105" spans="4:33" x14ac:dyDescent="0.45">
      <c r="V105" s="72"/>
      <c r="W105" s="17">
        <f>1-W102</f>
        <v>0.19999999999999996</v>
      </c>
      <c r="X105" s="17">
        <f>W105*S103</f>
        <v>5.4857142857142821E-4</v>
      </c>
      <c r="Y105" s="17">
        <f>+Z105+U103+P100+K94+F82</f>
        <v>27.085595392774735</v>
      </c>
      <c r="Z105" s="49">
        <f>$N$2</f>
        <v>5.417119078554947</v>
      </c>
      <c r="AA105" s="42"/>
      <c r="AB105" s="15"/>
      <c r="AC105" s="15"/>
      <c r="AF105" s="55"/>
    </row>
    <row r="106" spans="4:33" x14ac:dyDescent="0.45">
      <c r="AA106" s="43"/>
      <c r="AB106" s="17">
        <f>1-AB104</f>
        <v>0.19999999999999996</v>
      </c>
      <c r="AC106" s="17">
        <f>AB106*X105</f>
        <v>1.0971428571428562E-4</v>
      </c>
      <c r="AD106" s="49">
        <f>$N$2</f>
        <v>5.417119078554947</v>
      </c>
      <c r="AF106" s="55">
        <f>SUM(AD106,Z105,U103,P100,K94,F82)</f>
        <v>32.502714471329682</v>
      </c>
      <c r="AG106" s="60">
        <f>AF106/6</f>
        <v>5.417119078554947</v>
      </c>
    </row>
    <row r="107" spans="4:33" x14ac:dyDescent="0.45">
      <c r="AG107" s="44"/>
    </row>
    <row r="108" spans="4:33" x14ac:dyDescent="0.45">
      <c r="D108" t="s">
        <v>74</v>
      </c>
      <c r="E108" s="15">
        <f>SUM(E12:E104)</f>
        <v>1</v>
      </c>
      <c r="I108" s="15">
        <f>SUM(I12:I104)</f>
        <v>1</v>
      </c>
      <c r="J108" s="15"/>
      <c r="N108" s="15">
        <f>SUM(N12:N104)</f>
        <v>1</v>
      </c>
      <c r="O108" s="15"/>
      <c r="S108" s="15">
        <f>SUM(S12:S104)</f>
        <v>1</v>
      </c>
      <c r="T108" s="15"/>
      <c r="X108" s="15">
        <f>SUM(X12:X105)</f>
        <v>1</v>
      </c>
      <c r="Y108" s="15"/>
      <c r="AC108" s="15">
        <f>SUM(AC11:AC106)</f>
        <v>0.99999999999999978</v>
      </c>
    </row>
    <row r="109" spans="4:33" x14ac:dyDescent="0.45">
      <c r="D109" t="s">
        <v>75</v>
      </c>
    </row>
    <row r="110" spans="4:33" x14ac:dyDescent="0.45">
      <c r="D110" t="s">
        <v>90</v>
      </c>
      <c r="E110" s="58">
        <f>E34*F34+E82*F82</f>
        <v>175.3134483114759</v>
      </c>
      <c r="F110" s="58"/>
      <c r="G110" s="58"/>
      <c r="H110" s="58"/>
      <c r="I110" s="58">
        <f>SUM(F34,K22)*I22+SUM(F34,K46)*I46+SUM(F82,K70)*I70+SUM(F82,K94)*I94</f>
        <v>363.28997706267262</v>
      </c>
      <c r="J110" s="58">
        <f>SUMPRODUCT(I22:I94,J22:J94)</f>
        <v>363.28997706267262</v>
      </c>
      <c r="K110" s="58"/>
      <c r="L110" s="58"/>
      <c r="M110" s="58"/>
      <c r="N110" s="58">
        <f>SUM(F34,K22,P16)*N16+SUM(F34,K22,P28)*N28+SUM(F34,K46,P40)*N40+SUM(F34,K46,P52)*N52+SUM(F82,K70,P64)*N64+SUM(F82,K70,P76)*N76+SUM(F82,K94,P88)*N88+SUM(F82,K94,P100)*N100</f>
        <v>549.45749432248056</v>
      </c>
      <c r="O110" s="58">
        <f>SUMPRODUCT(N11:N106,O11:O106)</f>
        <v>549.45749432248056</v>
      </c>
      <c r="P110" s="58"/>
      <c r="Q110" s="58"/>
      <c r="R110" s="58"/>
      <c r="S110" s="58">
        <f>SUM($F$34,$K$22,$P$16,$U$13)*S13+SUM($F$34,$K$22,$P$16,$U$19)*S19+SUM($F$34,$K$22,$P$28,$U$25)*S25+SUM($F$34,$K$22,$P$28,$U$31)*S31+SUM($F$34,$K$46,$P$40,$U$37)*S37+SUM($F$34,$K$46,$P$40,$U$43)*S43+SUM($F$34,$K$46,$P$52,$U$49)*S49+SUM($F$34,$K$46,$P$52,$U$55)*S55+SUM($F$82,$K$70,$P$64,$U$61)*S61+SUM($F$82,$K$70,$P$64,$U$67)*S67+SUM($F$82,$K$70,$P$76,$U$73)*S73+SUM($F$82,$K$70,$P$76,$U$79)*S79+SUM($F$82,$K$94,$P$88,$U$85)*S85+SUM($F$82,$K$94,$P$88,$U$91)*S91+SUM($F$82,$K$94,$P$100,$U$97)*S97+SUM($F$82,$K$94,$P$100,$U$103)*S103</f>
        <v>735.88344179534431</v>
      </c>
      <c r="T110" s="58">
        <f>SUMPRODUCT(S11:S106,T11:T106)</f>
        <v>735.88344179534431</v>
      </c>
      <c r="U110" s="58"/>
      <c r="V110" s="58"/>
      <c r="W110" s="58"/>
      <c r="X110" s="58">
        <f>SUM($F$34,$K$22,$P$16,$U$13,Z12)*X12+SUM($F$34,$K$22,$P$16,$U$19,Z18)*X18+SUM($F$34,$K$22,$P$28,$U$25,Z24)*X24+SUM($F$34,$K$22,$P$28,$U$31,Z30)*X30+SUM($F$34,$K$46,$P$40,$U$37,Z36)*X36+SUM($F$34,$K$46,$P$40,$U$43,Z42)*X42+SUM($F$34,$K$46,$P$52,$U$49,Z48)*X48+SUM($F$34,$K$46,$P$52,$U$55,Z54)*X54+SUM($F$82,$K$70,$P$64,$U$61,Z60)*X60+SUM($F$82,$K$70,$P$64,$U$67,Z66)*X66+SUM($F$82,$K$70,$P$76,$U$73,Z72)*X72+SUM($F$82,$K$70,$P$76,$U$79,Z78)*X78+SUM($F$82,$K$94,$P$88,$U$85,Z84)*X84+SUM($F$82,$K$94,$P$88,$U$91,Z90)*X90+SUM($F$82,$K$94,$P$100,$U$97,Z96)*X96+SUM($F$82,$K$94,$P$100,$U$103,Z102)*X102+SUM($F$34,$K$22,$P$16,$U$13,Z15)*X15+SUM($F$34,$K$22,$P$16,$U$19,Z21)*X21+SUM($F$34,$K$22,$P$28,$U$25,Z27)*X27+SUM($F$34,$K$22,$P$28,$U$31,Z33)*X33+SUM($F$34,$K$46,$P$40,$U$37,Z39)*X39+SUM($F$34,$K$46,$P$40,$U$43,Z45)*X45+SUM($F$34,$K$46,$P$52,$U$49,Z51)*X51+SUM($F$34,$K$46,$P$52,$U$55,Z57)*X57+SUM($F$82,$K$70,$P$64,$U$61,Z63)*X63+SUM($F$82,$K$70,$P$64,$U$67,Z69)*X69+SUM($F$82,$K$70,$P$76,$U$73,Z75)*X75+SUM($F$82,$K$70,$P$76,$U$79,Z81)*X81+SUM($F$82,$K$94,$P$88,$U$85,Z87)*X87+SUM($F$82,$K$94,$P$88,$U$91,Z93)*X93+SUM($F$82,$K$94,$P$100,$U$97,Z99)*X99+SUM($F$82,$K$94,$P$100,$U$103,Z105)*X105</f>
        <v>922.27247066634266</v>
      </c>
      <c r="Y110" s="58">
        <f>SUMPRODUCT(X11:X106,Y11:Y106)</f>
        <v>922.27247066634277</v>
      </c>
      <c r="Z110" s="58"/>
      <c r="AA110" s="58"/>
      <c r="AB110" s="58"/>
      <c r="AC110" s="58">
        <f>SUMPRODUCT(AC11:AC106,AF11:AF106)</f>
        <v>1109.5417149526434</v>
      </c>
    </row>
    <row r="111" spans="4:33" x14ac:dyDescent="0.45">
      <c r="D111" t="s">
        <v>91</v>
      </c>
      <c r="E111" s="58">
        <f>E110/1</f>
        <v>175.3134483114759</v>
      </c>
      <c r="F111" s="58"/>
      <c r="G111" s="58"/>
      <c r="H111" s="58"/>
      <c r="I111" s="58">
        <f>I110/2</f>
        <v>181.64498853133631</v>
      </c>
      <c r="J111" s="58">
        <f>J110/2</f>
        <v>181.64498853133631</v>
      </c>
      <c r="K111" s="58"/>
      <c r="L111" s="58"/>
      <c r="M111" s="58"/>
      <c r="N111" s="58">
        <f>N110/3</f>
        <v>183.15249810749353</v>
      </c>
      <c r="O111" s="58">
        <f>O110/3</f>
        <v>183.15249810749353</v>
      </c>
      <c r="P111" s="58"/>
      <c r="Q111" s="58"/>
      <c r="R111" s="58"/>
      <c r="S111" s="58">
        <f>S110/4</f>
        <v>183.97086044883608</v>
      </c>
      <c r="T111" s="58">
        <f>T110/4</f>
        <v>183.97086044883608</v>
      </c>
      <c r="U111" s="58"/>
      <c r="V111" s="58"/>
      <c r="W111" s="58"/>
      <c r="X111" s="58">
        <f>X110/5</f>
        <v>184.45449413326853</v>
      </c>
      <c r="Y111" s="58">
        <f>Y110/5</f>
        <v>184.45449413326855</v>
      </c>
      <c r="Z111" s="58"/>
      <c r="AA111" s="58"/>
      <c r="AB111" s="58"/>
      <c r="AC111" s="58">
        <f>AC110/6</f>
        <v>184.9236191587739</v>
      </c>
    </row>
    <row r="113" spans="5:29" x14ac:dyDescent="0.45">
      <c r="E113" s="58">
        <f>E111</f>
        <v>175.3134483114759</v>
      </c>
      <c r="I113" s="58">
        <f>E113</f>
        <v>175.3134483114759</v>
      </c>
      <c r="J113" s="58"/>
      <c r="K113" s="1"/>
      <c r="L113" s="1"/>
      <c r="M113" s="1"/>
      <c r="N113" s="58">
        <f>I113</f>
        <v>175.3134483114759</v>
      </c>
      <c r="O113" s="58"/>
      <c r="P113" s="1"/>
      <c r="Q113" s="1"/>
      <c r="R113" s="1"/>
      <c r="S113" s="58">
        <f>N113</f>
        <v>175.3134483114759</v>
      </c>
      <c r="T113" s="58"/>
      <c r="U113" s="1"/>
      <c r="V113" s="1"/>
      <c r="W113" s="1"/>
      <c r="X113" s="58">
        <f>S113</f>
        <v>175.3134483114759</v>
      </c>
      <c r="Y113" s="58"/>
      <c r="Z113" s="1"/>
      <c r="AA113" s="1"/>
      <c r="AB113" s="1"/>
      <c r="AC113" s="58">
        <f>X113</f>
        <v>175.3134483114759</v>
      </c>
    </row>
    <row r="116" spans="5:29" x14ac:dyDescent="0.45">
      <c r="H116" t="s">
        <v>105</v>
      </c>
      <c r="I116">
        <v>2</v>
      </c>
      <c r="M116" t="s">
        <v>105</v>
      </c>
      <c r="N116">
        <f>I116+1</f>
        <v>3</v>
      </c>
    </row>
    <row r="117" spans="5:29" x14ac:dyDescent="0.45">
      <c r="H117" t="s">
        <v>106</v>
      </c>
      <c r="I117">
        <f>2^I116</f>
        <v>4</v>
      </c>
      <c r="M117" t="s">
        <v>106</v>
      </c>
      <c r="N117">
        <f>2^N116</f>
        <v>8</v>
      </c>
    </row>
    <row r="119" spans="5:29" x14ac:dyDescent="0.45">
      <c r="I119" t="s">
        <v>108</v>
      </c>
      <c r="J119" t="s">
        <v>70</v>
      </c>
      <c r="L119" s="1" t="s">
        <v>110</v>
      </c>
      <c r="M119" s="1" t="s">
        <v>111</v>
      </c>
      <c r="N119" t="s">
        <v>108</v>
      </c>
      <c r="O119" t="s">
        <v>70</v>
      </c>
    </row>
    <row r="120" spans="5:29" x14ac:dyDescent="0.45">
      <c r="E120" s="56" t="s">
        <v>107</v>
      </c>
      <c r="F120" s="1">
        <v>2</v>
      </c>
      <c r="G120" s="56" t="s">
        <v>109</v>
      </c>
      <c r="H120" s="1">
        <f>$I$116-F120</f>
        <v>0</v>
      </c>
      <c r="I120" s="1">
        <f>FACT(I116)/(FACT(F120)*FACT(I$116-F120))</f>
        <v>1</v>
      </c>
      <c r="J120" s="58">
        <f>F120*$N$1+H120*$N$2</f>
        <v>527.91002277904329</v>
      </c>
      <c r="K120" s="15"/>
      <c r="L120" s="1">
        <f>N116</f>
        <v>3</v>
      </c>
      <c r="M120" s="1">
        <f>N$116-L120</f>
        <v>0</v>
      </c>
      <c r="N120" s="1">
        <f>FACT(N$116)/(FACT(L120)*FACT(N$116-L120))</f>
        <v>1</v>
      </c>
      <c r="O120" s="58">
        <f>L120*$N$1+M120*$N$2</f>
        <v>791.86503416856499</v>
      </c>
    </row>
    <row r="121" spans="5:29" x14ac:dyDescent="0.45">
      <c r="E121" s="56" t="s">
        <v>107</v>
      </c>
      <c r="F121" s="1">
        <v>1</v>
      </c>
      <c r="G121" s="56" t="s">
        <v>109</v>
      </c>
      <c r="H121" s="1">
        <f t="shared" ref="H121:H122" si="29">$I$116-F121</f>
        <v>1</v>
      </c>
      <c r="I121" s="1">
        <f>FACT(I$116)/(FACT(F121)*FACT(I$116-F121))</f>
        <v>2</v>
      </c>
      <c r="J121" s="58">
        <f>F121*$N$1+H121*$N$2</f>
        <v>269.37213046807659</v>
      </c>
      <c r="K121" s="15"/>
      <c r="L121" s="1">
        <f>L120-1</f>
        <v>2</v>
      </c>
      <c r="M121" s="1">
        <f t="shared" ref="M121:M123" si="30">N$116-L121</f>
        <v>1</v>
      </c>
      <c r="N121" s="1">
        <f t="shared" ref="N121:N123" si="31">FACT(N$116)/(FACT(L121)*FACT(N$116-L121))</f>
        <v>3</v>
      </c>
      <c r="O121" s="58">
        <f t="shared" ref="O121:O123" si="32">L121*$N$1+M121*$N$2</f>
        <v>533.32714185759824</v>
      </c>
    </row>
    <row r="122" spans="5:29" x14ac:dyDescent="0.45">
      <c r="E122" s="56" t="s">
        <v>107</v>
      </c>
      <c r="F122" s="1">
        <v>0</v>
      </c>
      <c r="G122" s="56" t="s">
        <v>109</v>
      </c>
      <c r="H122" s="1">
        <f t="shared" si="29"/>
        <v>2</v>
      </c>
      <c r="I122" s="1">
        <f>FACT(I$116)/(FACT(F122)*FACT(I$116-F122))</f>
        <v>1</v>
      </c>
      <c r="J122" s="58">
        <f>F122*$N$1+H122*$N$2</f>
        <v>10.834238157109894</v>
      </c>
      <c r="K122" s="15"/>
      <c r="L122" s="1">
        <f t="shared" ref="L122:L123" si="33">L121-1</f>
        <v>1</v>
      </c>
      <c r="M122" s="1">
        <f t="shared" si="30"/>
        <v>2</v>
      </c>
      <c r="N122" s="1">
        <f t="shared" si="31"/>
        <v>3</v>
      </c>
      <c r="O122" s="58">
        <f t="shared" si="32"/>
        <v>274.78924954663154</v>
      </c>
    </row>
    <row r="123" spans="5:29" x14ac:dyDescent="0.45">
      <c r="L123" s="1">
        <f t="shared" si="33"/>
        <v>0</v>
      </c>
      <c r="M123" s="1">
        <f t="shared" si="30"/>
        <v>3</v>
      </c>
      <c r="N123" s="1">
        <f t="shared" si="31"/>
        <v>1</v>
      </c>
      <c r="O123" s="58">
        <f t="shared" si="32"/>
        <v>16.251357235664841</v>
      </c>
    </row>
    <row r="124" spans="5:29" x14ac:dyDescent="0.45">
      <c r="L124" s="1"/>
      <c r="M124" s="1"/>
    </row>
  </sheetData>
  <mergeCells count="48">
    <mergeCell ref="Q14:Q16"/>
    <mergeCell ref="L17:L22"/>
    <mergeCell ref="Q17:Q19"/>
    <mergeCell ref="G23:G34"/>
    <mergeCell ref="L23:L28"/>
    <mergeCell ref="Q26:Q28"/>
    <mergeCell ref="Q29:Q31"/>
    <mergeCell ref="B57:B58"/>
    <mergeCell ref="C57:C58"/>
    <mergeCell ref="Q62:Q64"/>
    <mergeCell ref="L65:L70"/>
    <mergeCell ref="Q65:Q67"/>
    <mergeCell ref="D35:D57"/>
    <mergeCell ref="G35:G46"/>
    <mergeCell ref="Q38:Q40"/>
    <mergeCell ref="L41:L46"/>
    <mergeCell ref="Q41:Q43"/>
    <mergeCell ref="L47:L52"/>
    <mergeCell ref="Q50:Q52"/>
    <mergeCell ref="Q53:Q55"/>
    <mergeCell ref="V44:V45"/>
    <mergeCell ref="V50:V51"/>
    <mergeCell ref="V56:V57"/>
    <mergeCell ref="V62:V63"/>
    <mergeCell ref="G83:G94"/>
    <mergeCell ref="Q86:Q88"/>
    <mergeCell ref="L89:L94"/>
    <mergeCell ref="Q89:Q91"/>
    <mergeCell ref="G71:G82"/>
    <mergeCell ref="L71:L76"/>
    <mergeCell ref="Q74:Q76"/>
    <mergeCell ref="Q77:Q79"/>
    <mergeCell ref="V14:V15"/>
    <mergeCell ref="V20:V21"/>
    <mergeCell ref="V26:V27"/>
    <mergeCell ref="V32:V33"/>
    <mergeCell ref="V38:V39"/>
    <mergeCell ref="V104:V105"/>
    <mergeCell ref="D58:D82"/>
    <mergeCell ref="V68:V69"/>
    <mergeCell ref="V74:V75"/>
    <mergeCell ref="V80:V81"/>
    <mergeCell ref="V86:V87"/>
    <mergeCell ref="V92:V93"/>
    <mergeCell ref="V98:V99"/>
    <mergeCell ref="Q101:Q103"/>
    <mergeCell ref="L95:L100"/>
    <mergeCell ref="Q98:Q10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3"/>
  <sheetViews>
    <sheetView topLeftCell="C1" zoomScale="55" zoomScaleNormal="55" workbookViewId="0">
      <pane xSplit="1" ySplit="9" topLeftCell="D67" activePane="bottomRight" state="frozen"/>
      <selection activeCell="C1" sqref="C1"/>
      <selection pane="topRight" activeCell="D1" sqref="D1"/>
      <selection pane="bottomLeft" activeCell="C7" sqref="C7"/>
      <selection pane="bottomRight" activeCell="K29" sqref="K29"/>
    </sheetView>
  </sheetViews>
  <sheetFormatPr defaultRowHeight="14.25" x14ac:dyDescent="0.45"/>
  <cols>
    <col min="3" max="3" width="11" bestFit="1" customWidth="1"/>
    <col min="4" max="4" width="10.86328125" bestFit="1" customWidth="1"/>
    <col min="6" max="6" width="10.59765625" bestFit="1" customWidth="1"/>
    <col min="9" max="9" width="10.86328125" bestFit="1" customWidth="1"/>
    <col min="10" max="10" width="12.1328125" bestFit="1" customWidth="1"/>
    <col min="13" max="13" width="10.86328125" bestFit="1" customWidth="1"/>
    <col min="14" max="14" width="12.1328125" bestFit="1" customWidth="1"/>
    <col min="17" max="17" width="16" customWidth="1"/>
    <col min="18" max="18" width="19.1328125" bestFit="1" customWidth="1"/>
    <col min="21" max="21" width="18.265625" bestFit="1" customWidth="1"/>
    <col min="22" max="22" width="12.1328125" bestFit="1" customWidth="1"/>
    <col min="23" max="26" width="12.1328125" customWidth="1"/>
    <col min="27" max="27" width="9.265625" bestFit="1" customWidth="1"/>
    <col min="28" max="28" width="11.59765625" bestFit="1" customWidth="1"/>
    <col min="29" max="29" width="11.86328125" bestFit="1" customWidth="1"/>
    <col min="33" max="33" width="11.59765625" bestFit="1" customWidth="1"/>
    <col min="34" max="34" width="10.59765625" bestFit="1" customWidth="1"/>
    <col min="40" max="40" width="9.1328125" customWidth="1"/>
    <col min="41" max="41" width="12.3984375" customWidth="1"/>
  </cols>
  <sheetData>
    <row r="1" spans="4:37" x14ac:dyDescent="0.45">
      <c r="D1" t="s">
        <v>4</v>
      </c>
      <c r="E1" s="15">
        <f>Sheet1!F28</f>
        <v>0.51666666666666661</v>
      </c>
      <c r="G1" s="56" t="s">
        <v>72</v>
      </c>
      <c r="H1" s="1">
        <v>0</v>
      </c>
      <c r="I1" s="1" t="s">
        <v>102</v>
      </c>
      <c r="J1" s="57">
        <v>1</v>
      </c>
      <c r="L1" s="56" t="s">
        <v>70</v>
      </c>
      <c r="M1" s="56" t="s">
        <v>76</v>
      </c>
      <c r="N1" s="59">
        <f>Sheet1!R28</f>
        <v>263.95501138952164</v>
      </c>
      <c r="Q1" s="56" t="s">
        <v>80</v>
      </c>
      <c r="R1" s="62">
        <f>AC111</f>
        <v>188.33846923052701</v>
      </c>
      <c r="T1" s="63" t="s">
        <v>81</v>
      </c>
      <c r="U1" s="65">
        <v>0.7</v>
      </c>
      <c r="W1" s="56" t="s">
        <v>83</v>
      </c>
      <c r="X1" s="15">
        <f>1-X2</f>
        <v>0.74285714285714288</v>
      </c>
      <c r="Z1" s="63" t="s">
        <v>84</v>
      </c>
      <c r="AA1" s="65">
        <v>0.6</v>
      </c>
      <c r="AB1" s="13" t="s">
        <v>87</v>
      </c>
    </row>
    <row r="2" spans="4:37" x14ac:dyDescent="0.45">
      <c r="D2" t="s">
        <v>5</v>
      </c>
      <c r="E2" s="15">
        <f>Sheet1!E5</f>
        <v>0.2413793103448276</v>
      </c>
      <c r="G2" s="56" t="s">
        <v>73</v>
      </c>
      <c r="H2" s="1">
        <v>1</v>
      </c>
      <c r="M2" s="56" t="s">
        <v>77</v>
      </c>
      <c r="N2" s="59">
        <f>Sheet1!R32</f>
        <v>5.417119078554947</v>
      </c>
      <c r="T2" s="63" t="s">
        <v>82</v>
      </c>
      <c r="U2" s="65">
        <f>1-U1</f>
        <v>0.30000000000000004</v>
      </c>
      <c r="W2" s="56" t="s">
        <v>85</v>
      </c>
      <c r="X2" s="15">
        <f>(AA1*U2)/U1</f>
        <v>0.25714285714285717</v>
      </c>
      <c r="Z2" s="56" t="s">
        <v>86</v>
      </c>
      <c r="AA2" s="15">
        <f>1-AA1</f>
        <v>0.4</v>
      </c>
      <c r="AG2" t="s">
        <v>0</v>
      </c>
      <c r="AH2">
        <v>205.74497990272582</v>
      </c>
      <c r="AJ2">
        <v>161.79551886012632</v>
      </c>
    </row>
    <row r="3" spans="4:37" x14ac:dyDescent="0.45">
      <c r="G3" t="s">
        <v>103</v>
      </c>
      <c r="J3" s="57">
        <v>0</v>
      </c>
      <c r="AG3" t="s">
        <v>89</v>
      </c>
      <c r="AH3">
        <v>226.5166047992964</v>
      </c>
      <c r="AJ3">
        <v>197.29162856064309</v>
      </c>
    </row>
    <row r="4" spans="4:37" x14ac:dyDescent="0.45">
      <c r="G4" t="s">
        <v>104</v>
      </c>
      <c r="AI4">
        <f>AH2-AH3</f>
        <v>-20.771624896570586</v>
      </c>
      <c r="AK4">
        <f>AJ2-AJ3</f>
        <v>-35.496109700516769</v>
      </c>
    </row>
    <row r="5" spans="4:37" x14ac:dyDescent="0.45">
      <c r="G5" t="s">
        <v>100</v>
      </c>
      <c r="J5" s="57">
        <v>1</v>
      </c>
      <c r="AB5" s="55"/>
      <c r="AC5" s="44"/>
    </row>
    <row r="6" spans="4:37" x14ac:dyDescent="0.45">
      <c r="G6" t="s">
        <v>101</v>
      </c>
      <c r="Z6" t="s">
        <v>88</v>
      </c>
      <c r="AB6" t="s">
        <v>92</v>
      </c>
    </row>
    <row r="7" spans="4:37" x14ac:dyDescent="0.45">
      <c r="AB7" s="55">
        <f>SUMPRODUCT(AF11:AF106,AC11:AC106)</f>
        <v>1130.030815383162</v>
      </c>
      <c r="AC7" s="44">
        <f>AC8/6</f>
        <v>1436.6513624964082</v>
      </c>
    </row>
    <row r="8" spans="4:37" x14ac:dyDescent="0.45">
      <c r="E8" s="1" t="s">
        <v>63</v>
      </c>
      <c r="F8" s="1" t="s">
        <v>62</v>
      </c>
      <c r="H8" s="1" t="s">
        <v>64</v>
      </c>
      <c r="I8" s="1" t="s">
        <v>65</v>
      </c>
      <c r="J8" s="1" t="s">
        <v>70</v>
      </c>
      <c r="L8" s="1" t="s">
        <v>64</v>
      </c>
      <c r="M8" s="1" t="s">
        <v>65</v>
      </c>
      <c r="N8" s="1" t="s">
        <v>70</v>
      </c>
      <c r="P8" s="1" t="s">
        <v>64</v>
      </c>
      <c r="Q8" s="1" t="s">
        <v>65</v>
      </c>
      <c r="R8" s="1" t="s">
        <v>70</v>
      </c>
      <c r="T8" s="1" t="s">
        <v>64</v>
      </c>
      <c r="U8" s="1" t="s">
        <v>65</v>
      </c>
      <c r="V8" s="1" t="s">
        <v>70</v>
      </c>
      <c r="W8" s="1"/>
      <c r="X8" s="1"/>
      <c r="Y8" s="1"/>
      <c r="Z8" s="67">
        <f>E111</f>
        <v>197.47383908098737</v>
      </c>
      <c r="AB8" s="68">
        <f>AB7/6</f>
        <v>188.33846923052701</v>
      </c>
      <c r="AC8" s="55">
        <f>SUM(AG11:AG106)</f>
        <v>8619.9081749784491</v>
      </c>
      <c r="AE8" s="64">
        <f>(AB8-Z8)/Z8</f>
        <v>-4.6261164987600176E-2</v>
      </c>
    </row>
    <row r="9" spans="4:37" x14ac:dyDescent="0.45">
      <c r="F9" s="1" t="s">
        <v>35</v>
      </c>
      <c r="J9" s="1" t="s">
        <v>35</v>
      </c>
      <c r="N9" s="1" t="s">
        <v>35</v>
      </c>
      <c r="R9" s="1" t="s">
        <v>35</v>
      </c>
      <c r="V9" s="1" t="s">
        <v>35</v>
      </c>
      <c r="W9" s="1"/>
      <c r="X9" s="1"/>
      <c r="Y9" s="1"/>
      <c r="Z9" s="1"/>
    </row>
    <row r="10" spans="4:37" x14ac:dyDescent="0.45">
      <c r="F10" s="1"/>
      <c r="K10" s="1"/>
      <c r="P10" s="1"/>
      <c r="U10" s="1"/>
      <c r="Z10" s="1"/>
      <c r="AA10" s="1"/>
      <c r="AB10" s="1"/>
      <c r="AC10" s="1"/>
      <c r="AD10" s="1"/>
    </row>
    <row r="11" spans="4:37" x14ac:dyDescent="0.45">
      <c r="F11" s="1"/>
      <c r="K11" s="1"/>
      <c r="P11" s="1"/>
      <c r="U11" s="1"/>
      <c r="Z11" s="1"/>
      <c r="AB11" s="17">
        <f>IF($J$1=0,$U$1,$X$1)</f>
        <v>0.74285714285714288</v>
      </c>
      <c r="AC11" s="17">
        <f>AB11*X12</f>
        <v>0.16804740936174559</v>
      </c>
      <c r="AD11" s="49">
        <f>$N$1</f>
        <v>263.95501138952164</v>
      </c>
      <c r="AF11" s="55">
        <f>SUM(AD11,Z12,U13,P16,K22,F34)</f>
        <v>1583.7300683371298</v>
      </c>
      <c r="AG11" s="60">
        <f>AF11/6</f>
        <v>263.95501138952164</v>
      </c>
    </row>
    <row r="12" spans="4:37" x14ac:dyDescent="0.45">
      <c r="W12" s="17">
        <f>IF($J$1=0,$U$1,$X$1)</f>
        <v>0.74285714285714288</v>
      </c>
      <c r="X12" s="17">
        <f>W12*S13</f>
        <v>0.22621766644850366</v>
      </c>
      <c r="Y12" s="17">
        <f>Z12+U13+P16+K22+F34</f>
        <v>1319.7750569476082</v>
      </c>
      <c r="Z12" s="49">
        <f>$N$1</f>
        <v>263.95501138952164</v>
      </c>
      <c r="AA12" s="42"/>
      <c r="AB12" s="15"/>
      <c r="AC12" s="15"/>
      <c r="AF12" s="55"/>
      <c r="AG12" s="44"/>
    </row>
    <row r="13" spans="4:37" x14ac:dyDescent="0.45">
      <c r="R13" s="17">
        <f>IF($J$1=0,$U$1,$X$1)</f>
        <v>0.74285714285714288</v>
      </c>
      <c r="S13" s="17">
        <f>R13*N16</f>
        <v>0.30452378175760109</v>
      </c>
      <c r="T13" s="17">
        <f>U13+P16+K22+F34</f>
        <v>1055.8200455580866</v>
      </c>
      <c r="U13" s="49">
        <f>$N$1</f>
        <v>263.95501138952164</v>
      </c>
      <c r="V13" s="42"/>
      <c r="W13" s="15"/>
      <c r="X13" s="15"/>
      <c r="Y13" s="15"/>
      <c r="AA13" s="43"/>
      <c r="AB13" s="17">
        <f>1-AB11</f>
        <v>0.25714285714285712</v>
      </c>
      <c r="AC13" s="17">
        <f>AB13*X12</f>
        <v>5.8170257086758076E-2</v>
      </c>
      <c r="AD13" s="49">
        <f>$N$2</f>
        <v>5.417119078554947</v>
      </c>
      <c r="AF13" s="55">
        <f>SUM(AD13,Z12,U13,P16,K22,F34)</f>
        <v>1325.192176026163</v>
      </c>
      <c r="AG13" s="60">
        <f t="shared" ref="AG13:AG14" si="0">AF13/6</f>
        <v>220.86536267102716</v>
      </c>
    </row>
    <row r="14" spans="4:37" x14ac:dyDescent="0.45">
      <c r="Q14" s="73"/>
      <c r="V14" s="72"/>
      <c r="AB14" s="17">
        <f>IF($J$1=0,$U$1,$AA$1)</f>
        <v>0.6</v>
      </c>
      <c r="AC14" s="17">
        <f>AB14*X15</f>
        <v>4.6983669185458446E-2</v>
      </c>
      <c r="AD14" s="49">
        <f>$N$1</f>
        <v>263.95501138952164</v>
      </c>
      <c r="AF14" s="55">
        <f>SUM(AD14,Z15,U13,P16,K22,F34)</f>
        <v>1325.192176026163</v>
      </c>
      <c r="AG14" s="60">
        <f t="shared" si="0"/>
        <v>220.86536267102716</v>
      </c>
    </row>
    <row r="15" spans="4:37" x14ac:dyDescent="0.45">
      <c r="Q15" s="73"/>
      <c r="V15" s="72"/>
      <c r="W15" s="17">
        <f>1-W12</f>
        <v>0.25714285714285712</v>
      </c>
      <c r="X15" s="17">
        <f>W15*S13</f>
        <v>7.830611530909741E-2</v>
      </c>
      <c r="Y15" s="17">
        <f>+Z15+U13+P16+K22+F34</f>
        <v>1061.2371646366414</v>
      </c>
      <c r="Z15" s="49">
        <f>$N$2</f>
        <v>5.417119078554947</v>
      </c>
      <c r="AA15" s="42"/>
      <c r="AB15" s="15"/>
      <c r="AC15" s="15"/>
      <c r="AF15" s="55"/>
    </row>
    <row r="16" spans="4:37" x14ac:dyDescent="0.45">
      <c r="M16" s="17">
        <f>IF($J$1=0,$U$1,$X$1)</f>
        <v>0.74285714285714288</v>
      </c>
      <c r="N16" s="17">
        <f>M16*I22</f>
        <v>0.40993586005830912</v>
      </c>
      <c r="O16" s="17">
        <f>P16+K22+F34</f>
        <v>791.86503416856499</v>
      </c>
      <c r="P16" s="49">
        <f>$N$1</f>
        <v>263.95501138952164</v>
      </c>
      <c r="Q16" s="73"/>
      <c r="AA16" s="43"/>
      <c r="AB16" s="17">
        <f>1-AB14</f>
        <v>0.4</v>
      </c>
      <c r="AC16" s="17">
        <f>AB16*X15</f>
        <v>3.1322446123638964E-2</v>
      </c>
      <c r="AD16" s="49">
        <f>$N$2</f>
        <v>5.417119078554947</v>
      </c>
      <c r="AF16" s="55">
        <f>SUM(AD16,Z15,U13,P16,K22,F34)</f>
        <v>1066.6542837151965</v>
      </c>
      <c r="AG16" s="60">
        <f>AF16/6</f>
        <v>177.77571395253275</v>
      </c>
    </row>
    <row r="17" spans="1:39" x14ac:dyDescent="0.45">
      <c r="L17" s="73"/>
      <c r="Q17" s="72"/>
      <c r="R17" s="1"/>
      <c r="S17" s="1"/>
      <c r="T17" s="1"/>
      <c r="U17" s="1"/>
      <c r="AB17" s="17">
        <f>IF($J$1=0,$U$1,$X$1)</f>
        <v>0.74285714285714288</v>
      </c>
      <c r="AC17" s="17">
        <f>AB17*X18</f>
        <v>4.6983669185458446E-2</v>
      </c>
      <c r="AD17" s="49">
        <f>$N$1</f>
        <v>263.95501138952164</v>
      </c>
      <c r="AF17" s="55">
        <f>SUM(AD17,Z18,U19,P16,K22,F34)</f>
        <v>1325.192176026163</v>
      </c>
      <c r="AG17" s="60">
        <f>AF17/6</f>
        <v>220.86536267102716</v>
      </c>
    </row>
    <row r="18" spans="1:39" x14ac:dyDescent="0.45">
      <c r="A18" s="8"/>
      <c r="B18" s="8"/>
      <c r="C18" s="8"/>
      <c r="D18" s="8"/>
      <c r="E18" s="8"/>
      <c r="F18" s="8"/>
      <c r="L18" s="73"/>
      <c r="Q18" s="72"/>
      <c r="U18" s="1"/>
      <c r="W18" s="17">
        <f>IF($J$1=0,$U$1,$AA$1)</f>
        <v>0.6</v>
      </c>
      <c r="X18" s="17">
        <f>W18*S19</f>
        <v>6.3247246980424832E-2</v>
      </c>
      <c r="Y18" s="17">
        <f>+Z18+U19+P16+K22+F34</f>
        <v>1061.2371646366414</v>
      </c>
      <c r="Z18" s="49">
        <f>$N$1</f>
        <v>263.95501138952164</v>
      </c>
      <c r="AA18" s="42"/>
      <c r="AB18" s="15"/>
      <c r="AC18" s="15"/>
      <c r="AF18" s="55"/>
      <c r="AG18" s="44"/>
    </row>
    <row r="19" spans="1:39" x14ac:dyDescent="0.45">
      <c r="A19" s="8"/>
      <c r="B19" s="8"/>
      <c r="C19" s="8"/>
      <c r="D19" s="8"/>
      <c r="E19" s="8"/>
      <c r="F19" s="8"/>
      <c r="L19" s="73"/>
      <c r="Q19" s="72"/>
      <c r="R19" s="17">
        <f>1-R13</f>
        <v>0.25714285714285712</v>
      </c>
      <c r="S19" s="17">
        <f>R19*N16</f>
        <v>0.10541207830070805</v>
      </c>
      <c r="T19" s="17">
        <f>U19+P16+K22+F34</f>
        <v>797.28215324711982</v>
      </c>
      <c r="U19" s="49">
        <f>$N$2</f>
        <v>5.417119078554947</v>
      </c>
      <c r="V19" s="42"/>
      <c r="W19" s="15"/>
      <c r="X19" s="15"/>
      <c r="Y19" s="15"/>
      <c r="AA19" s="43"/>
      <c r="AB19" s="17">
        <f>1-AB17</f>
        <v>0.25714285714285712</v>
      </c>
      <c r="AC19" s="17">
        <f>AB19*X18</f>
        <v>1.6263577794966382E-2</v>
      </c>
      <c r="AD19" s="49">
        <f>$N$2</f>
        <v>5.417119078554947</v>
      </c>
      <c r="AF19" s="55">
        <f>SUM(AD19,Z18,U19,P16,K22,F34)</f>
        <v>1066.6542837151965</v>
      </c>
      <c r="AG19" s="60">
        <f t="shared" ref="AG19:AG20" si="1">AF19/6</f>
        <v>177.77571395253275</v>
      </c>
    </row>
    <row r="20" spans="1:39" x14ac:dyDescent="0.45">
      <c r="A20" s="8"/>
      <c r="B20" s="52"/>
      <c r="C20" s="8"/>
      <c r="D20" s="8"/>
      <c r="E20" s="8"/>
      <c r="F20" s="8"/>
      <c r="G20" s="44"/>
      <c r="L20" s="73"/>
      <c r="V20" s="72"/>
      <c r="AB20" s="17">
        <f>IF($J$1=0,$U$1,$AA$1)</f>
        <v>0.6</v>
      </c>
      <c r="AC20" s="17">
        <f>AB20*X21</f>
        <v>2.5298898792169934E-2</v>
      </c>
      <c r="AD20" s="49">
        <f>Z18</f>
        <v>263.95501138952164</v>
      </c>
      <c r="AF20" s="55">
        <f>SUM(AD20,Z21,U19,P16,K22,F34)</f>
        <v>1066.6542837151965</v>
      </c>
      <c r="AG20" s="60">
        <f t="shared" si="1"/>
        <v>177.77571395253275</v>
      </c>
    </row>
    <row r="21" spans="1:39" x14ac:dyDescent="0.45">
      <c r="A21" s="8"/>
      <c r="B21" s="8"/>
      <c r="C21" s="8"/>
      <c r="D21" s="8"/>
      <c r="E21" s="8"/>
      <c r="F21" s="8"/>
      <c r="G21" s="40"/>
      <c r="L21" s="73"/>
      <c r="V21" s="72"/>
      <c r="W21" s="17">
        <f>1-W18</f>
        <v>0.4</v>
      </c>
      <c r="X21" s="17">
        <f>W21*S19</f>
        <v>4.2164831320283223E-2</v>
      </c>
      <c r="Y21" s="17">
        <f>+Z21+U19+P16+K22+F34</f>
        <v>802.69927232567488</v>
      </c>
      <c r="Z21" s="49">
        <f>$N$2</f>
        <v>5.417119078554947</v>
      </c>
      <c r="AA21" s="42"/>
      <c r="AB21" s="15"/>
      <c r="AC21" s="15"/>
      <c r="AF21" s="55"/>
      <c r="AI21" s="57">
        <v>100</v>
      </c>
      <c r="AK21">
        <v>0</v>
      </c>
      <c r="AL21">
        <v>100</v>
      </c>
      <c r="AM21">
        <f t="array" ref="AM21:AM37">FREQUENCY(AF11:AF106,AK21:AK37)</f>
        <v>0</v>
      </c>
    </row>
    <row r="22" spans="1:39" x14ac:dyDescent="0.45">
      <c r="A22" s="8"/>
      <c r="B22" s="8"/>
      <c r="C22" s="8"/>
      <c r="D22" s="8"/>
      <c r="E22" s="8"/>
      <c r="F22" s="8"/>
      <c r="G22" s="8"/>
      <c r="H22" s="17">
        <f>IF($J$1=0,$U$1,$X$1)</f>
        <v>0.74285714285714288</v>
      </c>
      <c r="I22" s="17">
        <f>H22*E34</f>
        <v>0.55183673469387762</v>
      </c>
      <c r="J22" s="17">
        <f>F34+K22</f>
        <v>527.91002277904329</v>
      </c>
      <c r="K22" s="49">
        <f>$N$1</f>
        <v>263.95501138952164</v>
      </c>
      <c r="L22" s="73"/>
      <c r="R22" s="9"/>
      <c r="S22" s="9"/>
      <c r="T22" s="9"/>
      <c r="U22" s="9"/>
      <c r="V22" s="8"/>
      <c r="W22" s="8"/>
      <c r="X22" s="8"/>
      <c r="Y22" s="8"/>
      <c r="Z22" s="8"/>
      <c r="AA22" s="43"/>
      <c r="AB22" s="17">
        <f>1-AB20</f>
        <v>0.4</v>
      </c>
      <c r="AC22" s="17">
        <f>AB22*X21</f>
        <v>1.6865932528113289E-2</v>
      </c>
      <c r="AD22" s="49">
        <f>$N$2</f>
        <v>5.417119078554947</v>
      </c>
      <c r="AF22" s="55">
        <f>SUM(AD22,Z21,U19,P16,K22,F34)</f>
        <v>808.11639140422972</v>
      </c>
      <c r="AG22" s="60">
        <f>AF22/6</f>
        <v>134.6860652340383</v>
      </c>
      <c r="AK22">
        <f>AL21</f>
        <v>100</v>
      </c>
      <c r="AL22">
        <f>AK22+$AI$21</f>
        <v>200</v>
      </c>
      <c r="AM22">
        <v>1</v>
      </c>
    </row>
    <row r="23" spans="1:39" x14ac:dyDescent="0.45">
      <c r="A23" s="8"/>
      <c r="B23" s="8"/>
      <c r="C23" s="8"/>
      <c r="D23" s="53"/>
      <c r="E23" s="8"/>
      <c r="F23" s="8"/>
      <c r="G23" s="73"/>
      <c r="H23" s="15"/>
      <c r="I23" s="15"/>
      <c r="J23" s="15"/>
      <c r="L23" s="72"/>
      <c r="R23" s="1"/>
      <c r="S23" s="1"/>
      <c r="T23" s="1"/>
      <c r="U23" s="1"/>
      <c r="AB23" s="17">
        <f>IF($J$1=0,$U$1,$X$1)</f>
        <v>0.74285714285714288</v>
      </c>
      <c r="AC23" s="17">
        <f>AB23*X24</f>
        <v>4.6983669185458446E-2</v>
      </c>
      <c r="AD23" s="49">
        <f>$N$1</f>
        <v>263.95501138952164</v>
      </c>
      <c r="AF23" s="55">
        <f>SUM(AD23,Z24,U25,P28,K22,F34)</f>
        <v>1325.1921760261632</v>
      </c>
      <c r="AG23" s="60">
        <f>AF23/6</f>
        <v>220.86536267102721</v>
      </c>
      <c r="AK23">
        <f t="shared" ref="AK23:AK37" si="2">AL22</f>
        <v>200</v>
      </c>
      <c r="AL23">
        <f t="shared" ref="AL23:AL37" si="3">AK23+$AI$21</f>
        <v>300</v>
      </c>
      <c r="AM23">
        <v>0</v>
      </c>
    </row>
    <row r="24" spans="1:39" x14ac:dyDescent="0.45">
      <c r="A24" s="8"/>
      <c r="B24" s="40"/>
      <c r="C24" s="54"/>
      <c r="D24" s="53"/>
      <c r="E24" s="9"/>
      <c r="F24" s="8"/>
      <c r="G24" s="73"/>
      <c r="H24" s="15"/>
      <c r="I24" s="15"/>
      <c r="J24" s="15"/>
      <c r="L24" s="72"/>
      <c r="U24" s="1"/>
      <c r="W24" s="17">
        <f>IF($J$1=0,$U$1,$X$1)</f>
        <v>0.74285714285714288</v>
      </c>
      <c r="X24" s="17">
        <f>W24*S25</f>
        <v>6.3247246980424832E-2</v>
      </c>
      <c r="Y24" s="17">
        <f>+Z24+U25+P28+K22+F34</f>
        <v>1061.2371646366414</v>
      </c>
      <c r="Z24" s="49">
        <f>$N$1</f>
        <v>263.95501138952164</v>
      </c>
      <c r="AA24" s="42"/>
      <c r="AB24" s="15"/>
      <c r="AC24" s="15"/>
      <c r="AF24" s="55"/>
      <c r="AG24" s="44"/>
      <c r="AK24">
        <f t="shared" si="2"/>
        <v>300</v>
      </c>
      <c r="AL24">
        <f t="shared" si="3"/>
        <v>400</v>
      </c>
      <c r="AM24">
        <v>6</v>
      </c>
    </row>
    <row r="25" spans="1:39" x14ac:dyDescent="0.45">
      <c r="A25" s="8"/>
      <c r="B25" s="40"/>
      <c r="C25" s="54"/>
      <c r="D25" s="53"/>
      <c r="E25" s="8"/>
      <c r="F25" s="8"/>
      <c r="G25" s="73"/>
      <c r="H25" s="8"/>
      <c r="I25" s="8"/>
      <c r="J25" s="8"/>
      <c r="K25" s="8"/>
      <c r="L25" s="72"/>
      <c r="R25" s="17">
        <f>IF($J$1=0,$U$1,$AA$1)</f>
        <v>0.6</v>
      </c>
      <c r="S25" s="17">
        <f>R25*N28</f>
        <v>8.5140524781341112E-2</v>
      </c>
      <c r="T25" s="17">
        <f>U25+P28+K22+F34</f>
        <v>797.28215324711982</v>
      </c>
      <c r="U25" s="49">
        <f>$N$1</f>
        <v>263.95501138952164</v>
      </c>
      <c r="V25" s="42"/>
      <c r="W25" s="15"/>
      <c r="X25" s="15"/>
      <c r="Y25" s="15"/>
      <c r="AA25" s="43"/>
      <c r="AB25" s="17">
        <f>1-AB23</f>
        <v>0.25714285714285712</v>
      </c>
      <c r="AC25" s="17">
        <f>AB25*X24</f>
        <v>1.6263577794966382E-2</v>
      </c>
      <c r="AD25" s="49">
        <f>Z27</f>
        <v>5.417119078554947</v>
      </c>
      <c r="AF25" s="55">
        <f>SUM(AD25,Z24,U25,P28,K22,F34)</f>
        <v>1066.6542837151965</v>
      </c>
      <c r="AG25" s="60">
        <f t="shared" ref="AG25:AG26" si="4">AF25/6</f>
        <v>177.77571395253275</v>
      </c>
      <c r="AK25">
        <f t="shared" si="2"/>
        <v>400</v>
      </c>
      <c r="AL25">
        <f t="shared" si="3"/>
        <v>500</v>
      </c>
      <c r="AM25">
        <v>0</v>
      </c>
    </row>
    <row r="26" spans="1:39" x14ac:dyDescent="0.45">
      <c r="A26" s="8"/>
      <c r="B26" s="8"/>
      <c r="C26" s="8"/>
      <c r="D26" s="53"/>
      <c r="E26" s="8"/>
      <c r="F26" s="8"/>
      <c r="G26" s="73"/>
      <c r="H26" s="50"/>
      <c r="I26" s="50"/>
      <c r="J26" s="50"/>
      <c r="K26" s="66"/>
      <c r="L26" s="72"/>
      <c r="M26" s="1"/>
      <c r="N26" s="1"/>
      <c r="O26" s="1"/>
      <c r="P26" s="1"/>
      <c r="Q26" s="73"/>
      <c r="V26" s="72"/>
      <c r="AB26" s="17">
        <f>IF($J$1=0,$U$1,$AA$1)</f>
        <v>0.6</v>
      </c>
      <c r="AC26" s="17">
        <f>AB26*X27</f>
        <v>1.313596668054977E-2</v>
      </c>
      <c r="AD26" s="49">
        <f>$N$1</f>
        <v>263.95501138952164</v>
      </c>
      <c r="AF26" s="55">
        <f>SUM(AD26,Z27,U25,P28,K22,F34)</f>
        <v>1066.6542837151965</v>
      </c>
      <c r="AG26" s="60">
        <f t="shared" si="4"/>
        <v>177.77571395253275</v>
      </c>
      <c r="AK26">
        <f t="shared" si="2"/>
        <v>500</v>
      </c>
      <c r="AL26">
        <f t="shared" si="3"/>
        <v>600</v>
      </c>
      <c r="AM26">
        <v>0</v>
      </c>
    </row>
    <row r="27" spans="1:39" x14ac:dyDescent="0.45">
      <c r="A27" s="8"/>
      <c r="B27" s="8"/>
      <c r="C27" s="8"/>
      <c r="D27" s="8"/>
      <c r="E27" s="50"/>
      <c r="F27" s="66"/>
      <c r="G27" s="73"/>
      <c r="H27" s="50"/>
      <c r="I27" s="8"/>
      <c r="J27" s="8"/>
      <c r="K27" s="8"/>
      <c r="L27" s="72"/>
      <c r="P27" s="1"/>
      <c r="Q27" s="73"/>
      <c r="V27" s="72"/>
      <c r="W27" s="17">
        <f>1-W24</f>
        <v>0.25714285714285712</v>
      </c>
      <c r="X27" s="17">
        <f>W27*S25</f>
        <v>2.1893277800916284E-2</v>
      </c>
      <c r="Y27" s="17">
        <f>+Z27+U25+P28+K22+F34</f>
        <v>802.69927232567488</v>
      </c>
      <c r="Z27" s="49">
        <f>$N$2</f>
        <v>5.417119078554947</v>
      </c>
      <c r="AA27" s="42"/>
      <c r="AB27" s="15"/>
      <c r="AC27" s="15"/>
      <c r="AF27" s="55"/>
      <c r="AK27">
        <f t="shared" si="2"/>
        <v>600</v>
      </c>
      <c r="AL27">
        <f t="shared" si="3"/>
        <v>700</v>
      </c>
      <c r="AM27">
        <v>15</v>
      </c>
    </row>
    <row r="28" spans="1:39" x14ac:dyDescent="0.45">
      <c r="A28" s="8"/>
      <c r="B28" s="8"/>
      <c r="C28" s="8"/>
      <c r="D28" s="8"/>
      <c r="E28" s="9"/>
      <c r="F28" s="8"/>
      <c r="G28" s="73"/>
      <c r="H28" s="50"/>
      <c r="I28" s="50"/>
      <c r="J28" s="50"/>
      <c r="K28" s="66"/>
      <c r="L28" s="72"/>
      <c r="M28" s="17">
        <f>1-M16</f>
        <v>0.25714285714285712</v>
      </c>
      <c r="N28" s="17">
        <f>M28*I22</f>
        <v>0.14190087463556852</v>
      </c>
      <c r="O28" s="17">
        <f>P28+K22+F34</f>
        <v>533.32714185759824</v>
      </c>
      <c r="P28" s="49">
        <f>$N$2</f>
        <v>5.417119078554947</v>
      </c>
      <c r="Q28" s="73"/>
      <c r="AA28" s="43"/>
      <c r="AB28" s="17">
        <f>1-AB26</f>
        <v>0.4</v>
      </c>
      <c r="AC28" s="17">
        <f>AB28*X27</f>
        <v>8.7573111203665139E-3</v>
      </c>
      <c r="AD28" s="49">
        <f>$N$2</f>
        <v>5.417119078554947</v>
      </c>
      <c r="AF28" s="55">
        <f>SUM(AD28,Z27,U25,P28,K22,F34)</f>
        <v>808.11639140422972</v>
      </c>
      <c r="AG28" s="60">
        <f>AF28/6</f>
        <v>134.6860652340383</v>
      </c>
      <c r="AK28">
        <f t="shared" si="2"/>
        <v>700</v>
      </c>
      <c r="AL28">
        <f t="shared" si="3"/>
        <v>800</v>
      </c>
      <c r="AM28">
        <v>0</v>
      </c>
    </row>
    <row r="29" spans="1:39" x14ac:dyDescent="0.45">
      <c r="A29" s="8"/>
      <c r="B29" s="8"/>
      <c r="C29" s="8"/>
      <c r="D29" s="8"/>
      <c r="E29" s="8"/>
      <c r="F29" s="8"/>
      <c r="G29" s="73"/>
      <c r="H29" s="50"/>
      <c r="I29" s="50"/>
      <c r="J29" s="50"/>
      <c r="K29" s="8"/>
      <c r="Q29" s="72"/>
      <c r="R29" s="1"/>
      <c r="S29" s="1"/>
      <c r="T29" s="1"/>
      <c r="U29" s="1"/>
      <c r="AB29" s="17">
        <f>IF($J$1=0,$U$1,$AA$1)</f>
        <v>0.6</v>
      </c>
      <c r="AC29" s="17">
        <f>AB29*X30</f>
        <v>2.0433725947521866E-2</v>
      </c>
      <c r="AD29" s="49">
        <f>$N$1</f>
        <v>263.95501138952164</v>
      </c>
      <c r="AF29" s="55">
        <f>SUM(AD29,Z30,U31,P28,K22,F34)</f>
        <v>1066.6542837151965</v>
      </c>
      <c r="AG29" s="60">
        <f>AF29/6</f>
        <v>177.77571395253275</v>
      </c>
      <c r="AK29">
        <f t="shared" si="2"/>
        <v>800</v>
      </c>
      <c r="AL29">
        <f t="shared" si="3"/>
        <v>900</v>
      </c>
      <c r="AM29">
        <v>0</v>
      </c>
    </row>
    <row r="30" spans="1:39" x14ac:dyDescent="0.45">
      <c r="A30" s="8"/>
      <c r="B30" s="8"/>
      <c r="C30" s="8"/>
      <c r="D30" s="8"/>
      <c r="E30" s="8"/>
      <c r="F30" s="8"/>
      <c r="G30" s="73"/>
      <c r="H30" s="50"/>
      <c r="I30" s="50"/>
      <c r="J30" s="50"/>
      <c r="K30" s="66"/>
      <c r="Q30" s="72"/>
      <c r="U30" s="1"/>
      <c r="W30" s="17">
        <f>IF($J$1=0,$U$1,$AA$1)</f>
        <v>0.6</v>
      </c>
      <c r="X30" s="17">
        <f>W30*S31</f>
        <v>3.4056209912536446E-2</v>
      </c>
      <c r="Y30" s="17">
        <f>+Z30+U31+P28+K22+F34</f>
        <v>802.69927232567488</v>
      </c>
      <c r="Z30" s="49">
        <f>$N$1</f>
        <v>263.95501138952164</v>
      </c>
      <c r="AA30" s="42"/>
      <c r="AB30" s="15"/>
      <c r="AC30" s="15"/>
      <c r="AF30" s="55"/>
      <c r="AG30" s="44"/>
      <c r="AK30">
        <f t="shared" si="2"/>
        <v>900</v>
      </c>
      <c r="AL30">
        <f t="shared" si="3"/>
        <v>1000</v>
      </c>
      <c r="AM30">
        <v>20</v>
      </c>
    </row>
    <row r="31" spans="1:39" x14ac:dyDescent="0.45">
      <c r="G31" s="73"/>
      <c r="H31" s="8"/>
      <c r="I31" s="50"/>
      <c r="J31" s="50"/>
      <c r="K31" s="8"/>
      <c r="Q31" s="72"/>
      <c r="R31" s="17">
        <f>1-R25</f>
        <v>0.4</v>
      </c>
      <c r="S31" s="17">
        <f>R31*N28</f>
        <v>5.6760349854227413E-2</v>
      </c>
      <c r="T31" s="17">
        <f>U31+P28+K22+F34</f>
        <v>538.74426093615318</v>
      </c>
      <c r="U31" s="49">
        <f>$N$2</f>
        <v>5.417119078554947</v>
      </c>
      <c r="V31" s="42"/>
      <c r="W31" s="15"/>
      <c r="X31" s="15"/>
      <c r="Y31" s="15"/>
      <c r="AA31" s="43"/>
      <c r="AB31" s="17">
        <f>1-AB29</f>
        <v>0.4</v>
      </c>
      <c r="AC31" s="17">
        <f>AB31*X30</f>
        <v>1.362248396501458E-2</v>
      </c>
      <c r="AD31" s="49">
        <f>$N$2</f>
        <v>5.417119078554947</v>
      </c>
      <c r="AF31" s="55">
        <f>SUM(AD31,Z30,U31,P28,K22,F34)</f>
        <v>808.11639140422972</v>
      </c>
      <c r="AG31" s="60">
        <f t="shared" ref="AG31:AG32" si="5">AF31/6</f>
        <v>134.6860652340383</v>
      </c>
      <c r="AK31">
        <f t="shared" si="2"/>
        <v>1000</v>
      </c>
      <c r="AL31">
        <f t="shared" si="3"/>
        <v>1100</v>
      </c>
      <c r="AM31">
        <v>0</v>
      </c>
    </row>
    <row r="32" spans="1:39" x14ac:dyDescent="0.45">
      <c r="E32" s="1"/>
      <c r="F32" s="1"/>
      <c r="G32" s="73"/>
      <c r="H32" s="8"/>
      <c r="I32" s="50"/>
      <c r="J32" s="50"/>
      <c r="K32" s="8"/>
      <c r="V32" s="72"/>
      <c r="AB32" s="17">
        <f>IF($J$1=0,$U$1,$AA$1)</f>
        <v>0.6</v>
      </c>
      <c r="AC32" s="17">
        <f>AB32*X33</f>
        <v>1.362248396501458E-2</v>
      </c>
      <c r="AD32" s="49">
        <f>Z30</f>
        <v>263.95501138952164</v>
      </c>
      <c r="AF32" s="55">
        <f>SUM(AD32,Z33,U31,P28,K22,F34)</f>
        <v>808.11639140422972</v>
      </c>
      <c r="AG32" s="60">
        <f t="shared" si="5"/>
        <v>134.6860652340383</v>
      </c>
      <c r="AK32">
        <f t="shared" si="2"/>
        <v>1100</v>
      </c>
      <c r="AL32">
        <f t="shared" si="3"/>
        <v>1200</v>
      </c>
      <c r="AM32">
        <v>15</v>
      </c>
    </row>
    <row r="33" spans="4:42" x14ac:dyDescent="0.45">
      <c r="F33" s="1"/>
      <c r="G33" s="73"/>
      <c r="H33" s="8"/>
      <c r="I33" s="50"/>
      <c r="J33" s="50"/>
      <c r="K33" s="8"/>
      <c r="V33" s="72"/>
      <c r="W33" s="17">
        <f>1-W30</f>
        <v>0.4</v>
      </c>
      <c r="X33" s="17">
        <f>W33*S31</f>
        <v>2.2704139941690966E-2</v>
      </c>
      <c r="Y33" s="17">
        <f>+Z33+U31+P28+K22+F34</f>
        <v>544.16138001470813</v>
      </c>
      <c r="Z33" s="49">
        <f>$N$2</f>
        <v>5.417119078554947</v>
      </c>
      <c r="AA33" s="42"/>
      <c r="AB33" s="15"/>
      <c r="AC33" s="15"/>
      <c r="AF33" s="55"/>
      <c r="AK33">
        <f t="shared" si="2"/>
        <v>1200</v>
      </c>
      <c r="AL33">
        <f t="shared" si="3"/>
        <v>1300</v>
      </c>
      <c r="AM33">
        <v>0</v>
      </c>
    </row>
    <row r="34" spans="4:42" x14ac:dyDescent="0.45">
      <c r="E34" s="17">
        <f>IF($J$5=0, $U$1, IF($J$1=0,$U$1,IF($J$3=0,$X$1,$AA$1)))</f>
        <v>0.74285714285714288</v>
      </c>
      <c r="F34" s="49">
        <f>$N$1</f>
        <v>263.95501138952164</v>
      </c>
      <c r="G34" s="73"/>
      <c r="W34" s="1"/>
      <c r="X34" s="1"/>
      <c r="Y34" s="1"/>
      <c r="Z34" s="1"/>
      <c r="AA34" s="43"/>
      <c r="AB34" s="17">
        <f>1-AB32</f>
        <v>0.4</v>
      </c>
      <c r="AC34" s="17">
        <f>AB34*X33</f>
        <v>9.0816559766763866E-3</v>
      </c>
      <c r="AD34" s="49">
        <f>$N$2</f>
        <v>5.417119078554947</v>
      </c>
      <c r="AF34" s="55">
        <f>SUM(AD34,Z33,U31,P28,K22,F34)</f>
        <v>549.57849909326308</v>
      </c>
      <c r="AG34" s="60">
        <f>AF34/6</f>
        <v>91.596416515543851</v>
      </c>
      <c r="AK34">
        <f t="shared" si="2"/>
        <v>1300</v>
      </c>
      <c r="AL34">
        <f t="shared" si="3"/>
        <v>1400</v>
      </c>
      <c r="AM34">
        <v>0</v>
      </c>
    </row>
    <row r="35" spans="4:42" x14ac:dyDescent="0.45">
      <c r="D35" s="73"/>
      <c r="E35" s="1" t="s">
        <v>71</v>
      </c>
      <c r="G35" s="72"/>
      <c r="R35" s="1"/>
      <c r="S35" s="1"/>
      <c r="T35" s="1"/>
      <c r="U35" s="1"/>
      <c r="Z35" s="1"/>
      <c r="AB35" s="17">
        <f>IF($J$1=0,$U$1,$X$1)</f>
        <v>0.74285714285714288</v>
      </c>
      <c r="AC35" s="17">
        <f>AB35*X36</f>
        <v>4.6983669185458439E-2</v>
      </c>
      <c r="AD35" s="49">
        <f>$N$1</f>
        <v>263.95501138952164</v>
      </c>
      <c r="AF35" s="55">
        <f>SUM(AD35,Z36,U37,P40,K46,F34)</f>
        <v>1325.192176026163</v>
      </c>
      <c r="AG35" s="60">
        <f>AF35/6</f>
        <v>220.86536267102716</v>
      </c>
      <c r="AK35">
        <f t="shared" si="2"/>
        <v>1400</v>
      </c>
      <c r="AL35">
        <f t="shared" si="3"/>
        <v>1500</v>
      </c>
      <c r="AM35">
        <v>6</v>
      </c>
    </row>
    <row r="36" spans="4:42" x14ac:dyDescent="0.45">
      <c r="D36" s="73"/>
      <c r="G36" s="72"/>
      <c r="U36" s="1"/>
      <c r="W36" s="17">
        <f>IF($J$1=0,$U$1,$X$1)</f>
        <v>0.74285714285714288</v>
      </c>
      <c r="X36" s="17">
        <f>W36*S37</f>
        <v>6.3247246980424818E-2</v>
      </c>
      <c r="Y36" s="17">
        <f>+Z36+U37+P40+K46+F34</f>
        <v>1061.2371646366416</v>
      </c>
      <c r="Z36" s="49">
        <f>$N$1</f>
        <v>263.95501138952164</v>
      </c>
      <c r="AA36" s="42"/>
      <c r="AB36" s="15"/>
      <c r="AC36" s="15"/>
      <c r="AF36" s="55"/>
      <c r="AG36" s="44"/>
      <c r="AK36">
        <f t="shared" si="2"/>
        <v>1500</v>
      </c>
      <c r="AL36">
        <f t="shared" si="3"/>
        <v>1600</v>
      </c>
      <c r="AM36">
        <v>0</v>
      </c>
    </row>
    <row r="37" spans="4:42" x14ac:dyDescent="0.45">
      <c r="D37" s="73"/>
      <c r="G37" s="72"/>
      <c r="R37" s="17">
        <f>IF($J$1=0,$U$1,$X$1)</f>
        <v>0.74285714285714288</v>
      </c>
      <c r="S37" s="17">
        <f>R37*N40</f>
        <v>8.5140524781341098E-2</v>
      </c>
      <c r="T37" s="17">
        <f>U37+P40+K46+F34</f>
        <v>797.28215324711982</v>
      </c>
      <c r="U37" s="49">
        <f>$N$1</f>
        <v>263.95501138952164</v>
      </c>
      <c r="V37" s="42"/>
      <c r="W37" s="15"/>
      <c r="X37" s="15"/>
      <c r="Y37" s="15"/>
      <c r="AA37" s="43"/>
      <c r="AB37" s="17">
        <f>1-AB35</f>
        <v>0.25714285714285712</v>
      </c>
      <c r="AC37" s="17">
        <f>AB37*X36</f>
        <v>1.6263577794966379E-2</v>
      </c>
      <c r="AD37" s="49">
        <f>$N$2</f>
        <v>5.417119078554947</v>
      </c>
      <c r="AF37" s="55">
        <f>SUM(AD37,Z36,U37,P40,K46,F34)</f>
        <v>1066.6542837151965</v>
      </c>
      <c r="AG37" s="60">
        <f t="shared" ref="AG37:AG38" si="6">AF37/6</f>
        <v>177.77571395253275</v>
      </c>
      <c r="AK37">
        <f t="shared" si="2"/>
        <v>1600</v>
      </c>
      <c r="AL37">
        <f t="shared" si="3"/>
        <v>1700</v>
      </c>
      <c r="AM37">
        <v>1</v>
      </c>
    </row>
    <row r="38" spans="4:42" x14ac:dyDescent="0.45">
      <c r="D38" s="73"/>
      <c r="G38" s="72"/>
      <c r="M38" s="1"/>
      <c r="N38" s="1"/>
      <c r="O38" s="1"/>
      <c r="P38" s="1"/>
      <c r="Q38" s="73"/>
      <c r="V38" s="72"/>
      <c r="AB38" s="17">
        <f>IF($J$1=0,$U$1,$AA$1)</f>
        <v>0.6</v>
      </c>
      <c r="AC38" s="17">
        <f>AB38*X39</f>
        <v>1.3135966680549768E-2</v>
      </c>
      <c r="AD38" s="49">
        <f>$N$1</f>
        <v>263.95501138952164</v>
      </c>
      <c r="AF38" s="55">
        <f>SUM(AD38,Z39,U37,P40,K46,F34)</f>
        <v>1066.6542837151965</v>
      </c>
      <c r="AG38" s="60">
        <f t="shared" si="6"/>
        <v>177.77571395253275</v>
      </c>
    </row>
    <row r="39" spans="4:42" x14ac:dyDescent="0.45">
      <c r="D39" s="73"/>
      <c r="G39" s="72"/>
      <c r="P39" s="1"/>
      <c r="Q39" s="73"/>
      <c r="V39" s="72"/>
      <c r="W39" s="17">
        <f>1-W36</f>
        <v>0.25714285714285712</v>
      </c>
      <c r="X39" s="17">
        <f>W39*S37</f>
        <v>2.189327780091628E-2</v>
      </c>
      <c r="Y39" s="17">
        <f>+Z39+U37+P40+K46+F34</f>
        <v>802.69927232567488</v>
      </c>
      <c r="Z39" s="49">
        <f>$N$2</f>
        <v>5.417119078554947</v>
      </c>
      <c r="AA39" s="42"/>
      <c r="AB39" s="15"/>
      <c r="AC39" s="15"/>
      <c r="AF39" s="55"/>
      <c r="AM39" t="s">
        <v>78</v>
      </c>
      <c r="AO39" s="1" t="s">
        <v>79</v>
      </c>
      <c r="AP39" s="1" t="s">
        <v>79</v>
      </c>
    </row>
    <row r="40" spans="4:42" x14ac:dyDescent="0.45">
      <c r="D40" s="73"/>
      <c r="G40" s="72"/>
      <c r="M40" s="17">
        <f>IF($J$1=0,$U$1,$AA$1)</f>
        <v>0.6</v>
      </c>
      <c r="N40" s="17">
        <f>M40*I46</f>
        <v>0.11461224489795917</v>
      </c>
      <c r="O40" s="17">
        <f>P40+K46+F34</f>
        <v>533.32714185759824</v>
      </c>
      <c r="P40" s="49">
        <f>$N$1</f>
        <v>263.95501138952164</v>
      </c>
      <c r="Q40" s="73"/>
      <c r="AA40" s="43"/>
      <c r="AB40" s="17">
        <f>1-AB38</f>
        <v>0.4</v>
      </c>
      <c r="AC40" s="17">
        <f>AB40*X39</f>
        <v>8.7573111203665122E-3</v>
      </c>
      <c r="AD40" s="49">
        <f>$N$2</f>
        <v>5.417119078554947</v>
      </c>
      <c r="AF40" s="55">
        <f>SUM(AD40,Z39,U37,P40,K46,F34)</f>
        <v>808.11639140422972</v>
      </c>
      <c r="AG40" s="60">
        <f>AF40/6</f>
        <v>134.6860652340383</v>
      </c>
      <c r="AK40" s="55">
        <f>AF11</f>
        <v>1583.7300683371298</v>
      </c>
      <c r="AL40" s="55">
        <f>AG11</f>
        <v>263.95501138952164</v>
      </c>
      <c r="AM40" s="1">
        <f t="shared" ref="AM40:AM46" si="7">COUNTIF($AF$11:$AF$106,AK40)</f>
        <v>1</v>
      </c>
      <c r="AN40" s="1">
        <f>COUNTIF($AG$11:$AG$106,AL40)</f>
        <v>1</v>
      </c>
      <c r="AO40" s="15">
        <f>AN40/$AM$48</f>
        <v>1.5625E-2</v>
      </c>
      <c r="AP40" s="15">
        <f>SUMIF($AG$11:$AG$106,AL40,$AC$11:$AC$106)</f>
        <v>0.16804740936174559</v>
      </c>
    </row>
    <row r="41" spans="4:42" x14ac:dyDescent="0.45">
      <c r="D41" s="73"/>
      <c r="G41" s="72"/>
      <c r="L41" s="73"/>
      <c r="Q41" s="72"/>
      <c r="R41" s="1"/>
      <c r="S41" s="1"/>
      <c r="T41" s="1"/>
      <c r="U41" s="1"/>
      <c r="AB41" s="17">
        <f>IF($J$1=0,$U$1,$X$1)</f>
        <v>0.74285714285714288</v>
      </c>
      <c r="AC41" s="17">
        <f>AB41*X42</f>
        <v>1.3135966680549767E-2</v>
      </c>
      <c r="AD41" s="49">
        <f>$N$1</f>
        <v>263.95501138952164</v>
      </c>
      <c r="AF41" s="55">
        <f>SUM(AD41,Z42,U43,P40,K46,F34)</f>
        <v>1066.6542837151965</v>
      </c>
      <c r="AG41" s="60">
        <f>AF41/6</f>
        <v>177.77571395253275</v>
      </c>
      <c r="AK41" s="55">
        <f>AF13</f>
        <v>1325.192176026163</v>
      </c>
      <c r="AL41" s="55">
        <f>AG13</f>
        <v>220.86536267102716</v>
      </c>
      <c r="AM41" s="1">
        <f t="shared" si="7"/>
        <v>6</v>
      </c>
      <c r="AN41" s="1">
        <f t="shared" ref="AN41:AN46" si="8">COUNTIF($AG$11:$AG$106,AL41)</f>
        <v>6</v>
      </c>
      <c r="AO41" s="15">
        <f t="shared" ref="AO41:AO46" si="9">AN41/$AM$48</f>
        <v>9.375E-2</v>
      </c>
      <c r="AP41" s="15">
        <f t="shared" ref="AP41:AP45" si="10">SUMIF($AG$11:$AG$106,AL41,$AC$11:$AC$106)</f>
        <v>0.29308860301405026</v>
      </c>
    </row>
    <row r="42" spans="4:42" x14ac:dyDescent="0.45">
      <c r="D42" s="73"/>
      <c r="G42" s="72"/>
      <c r="L42" s="73"/>
      <c r="Q42" s="72"/>
      <c r="U42" s="1"/>
      <c r="W42" s="17">
        <f>IF($J$1=0,$U$1,$AA$1)</f>
        <v>0.6</v>
      </c>
      <c r="X42" s="17">
        <f>W42*S43</f>
        <v>1.7683032069970839E-2</v>
      </c>
      <c r="Y42" s="17">
        <f>+Z42+U43+P40+K46+F34</f>
        <v>802.69927232567488</v>
      </c>
      <c r="Z42" s="49">
        <f>$N$1</f>
        <v>263.95501138952164</v>
      </c>
      <c r="AA42" s="42"/>
      <c r="AB42" s="15"/>
      <c r="AC42" s="15"/>
      <c r="AF42" s="55"/>
      <c r="AG42" s="44"/>
      <c r="AK42" s="55">
        <f>AF16</f>
        <v>1066.6542837151965</v>
      </c>
      <c r="AL42" s="55">
        <f>AG16</f>
        <v>177.77571395253275</v>
      </c>
      <c r="AM42" s="1">
        <f t="shared" si="7"/>
        <v>15</v>
      </c>
      <c r="AN42" s="1">
        <f t="shared" si="8"/>
        <v>15</v>
      </c>
      <c r="AO42" s="15">
        <f t="shared" si="9"/>
        <v>0.234375</v>
      </c>
      <c r="AP42" s="15">
        <f t="shared" si="10"/>
        <v>0.27152297971083478</v>
      </c>
    </row>
    <row r="43" spans="4:42" x14ac:dyDescent="0.45">
      <c r="D43" s="73"/>
      <c r="G43" s="72"/>
      <c r="L43" s="73"/>
      <c r="Q43" s="72"/>
      <c r="R43" s="17">
        <f>1-R37</f>
        <v>0.25714285714285712</v>
      </c>
      <c r="S43" s="17">
        <f>R43*N40</f>
        <v>2.9471720116618069E-2</v>
      </c>
      <c r="T43" s="17">
        <f>U43+P40+K46+F34</f>
        <v>538.74426093615318</v>
      </c>
      <c r="U43" s="49">
        <f>$N$2</f>
        <v>5.417119078554947</v>
      </c>
      <c r="V43" s="42"/>
      <c r="W43" s="15"/>
      <c r="X43" s="15"/>
      <c r="Y43" s="15"/>
      <c r="AA43" s="43"/>
      <c r="AB43" s="17">
        <f>1-AB41</f>
        <v>0.25714285714285712</v>
      </c>
      <c r="AC43" s="17">
        <f>AB43*X42</f>
        <v>4.547065389421073E-3</v>
      </c>
      <c r="AD43" s="49">
        <f>$N$2</f>
        <v>5.417119078554947</v>
      </c>
      <c r="AF43" s="55">
        <f>SUM(AD43,Z42,U43,P40,K46,F34)</f>
        <v>808.11639140422972</v>
      </c>
      <c r="AG43" s="60">
        <f t="shared" ref="AG43:AG44" si="11">AF43/6</f>
        <v>134.6860652340383</v>
      </c>
      <c r="AK43" s="55">
        <f>AF22</f>
        <v>808.11639140422972</v>
      </c>
      <c r="AL43" s="55">
        <f>AG22</f>
        <v>134.6860652340383</v>
      </c>
      <c r="AM43" s="1">
        <f t="shared" si="7"/>
        <v>20</v>
      </c>
      <c r="AN43" s="1">
        <f t="shared" si="8"/>
        <v>20</v>
      </c>
      <c r="AO43" s="15">
        <f t="shared" si="9"/>
        <v>0.3125</v>
      </c>
      <c r="AP43" s="15">
        <f t="shared" si="10"/>
        <v>0.17489552686380674</v>
      </c>
    </row>
    <row r="44" spans="4:42" x14ac:dyDescent="0.45">
      <c r="D44" s="73"/>
      <c r="G44" s="72"/>
      <c r="H44" s="1"/>
      <c r="I44" s="1"/>
      <c r="J44" s="1"/>
      <c r="K44" s="1"/>
      <c r="L44" s="73"/>
      <c r="V44" s="72"/>
      <c r="AB44" s="17">
        <f>IF($J$1=0,$U$1,$AA$1)</f>
        <v>0.6</v>
      </c>
      <c r="AC44" s="17">
        <f>AB44*X45</f>
        <v>7.0732128279883365E-3</v>
      </c>
      <c r="AD44" s="49">
        <f>Z42</f>
        <v>263.95501138952164</v>
      </c>
      <c r="AF44" s="55">
        <f>SUM(AD44,Z45,U43,P40,K46,F34)</f>
        <v>808.11639140422972</v>
      </c>
      <c r="AG44" s="60">
        <f t="shared" si="11"/>
        <v>134.6860652340383</v>
      </c>
      <c r="AK44" s="55">
        <f>AF34</f>
        <v>549.57849909326308</v>
      </c>
      <c r="AL44" s="55">
        <f>AG34</f>
        <v>91.596416515543851</v>
      </c>
      <c r="AM44" s="1">
        <f t="shared" si="7"/>
        <v>15</v>
      </c>
      <c r="AN44" s="1">
        <f t="shared" si="8"/>
        <v>15</v>
      </c>
      <c r="AO44" s="15">
        <f t="shared" si="9"/>
        <v>0.234375</v>
      </c>
      <c r="AP44" s="15">
        <f t="shared" si="10"/>
        <v>7.0816093294460633E-2</v>
      </c>
    </row>
    <row r="45" spans="4:42" x14ac:dyDescent="0.45">
      <c r="D45" s="73"/>
      <c r="G45" s="72"/>
      <c r="K45" s="1"/>
      <c r="L45" s="73"/>
      <c r="V45" s="72"/>
      <c r="W45" s="17">
        <f>1-W42</f>
        <v>0.4</v>
      </c>
      <c r="X45" s="17">
        <f>W45*S43</f>
        <v>1.1788688046647228E-2</v>
      </c>
      <c r="Y45" s="17">
        <f>+Z45+U43+P40+K46+F34</f>
        <v>544.16138001470813</v>
      </c>
      <c r="Z45" s="49">
        <f>$N$2</f>
        <v>5.417119078554947</v>
      </c>
      <c r="AA45" s="42"/>
      <c r="AB45" s="15"/>
      <c r="AC45" s="15"/>
      <c r="AF45" s="55"/>
      <c r="AK45" s="55">
        <f>AF82</f>
        <v>291.04060678229638</v>
      </c>
      <c r="AL45" s="55">
        <f>AG82</f>
        <v>48.506767797049399</v>
      </c>
      <c r="AM45" s="1">
        <f t="shared" si="7"/>
        <v>6</v>
      </c>
      <c r="AN45" s="1">
        <f t="shared" si="8"/>
        <v>6</v>
      </c>
      <c r="AO45" s="15">
        <f t="shared" si="9"/>
        <v>9.375E-2</v>
      </c>
      <c r="AP45" s="15">
        <f t="shared" si="10"/>
        <v>1.8996244897959185E-2</v>
      </c>
    </row>
    <row r="46" spans="4:42" x14ac:dyDescent="0.45">
      <c r="D46" s="73"/>
      <c r="G46" s="72"/>
      <c r="H46" s="17">
        <f>1-H22</f>
        <v>0.25714285714285712</v>
      </c>
      <c r="I46" s="17">
        <f>H46*E34</f>
        <v>0.19102040816326529</v>
      </c>
      <c r="J46" s="17">
        <f>F34+K46</f>
        <v>269.37213046807659</v>
      </c>
      <c r="K46" s="49">
        <f>$N$2</f>
        <v>5.417119078554947</v>
      </c>
      <c r="L46" s="73"/>
      <c r="R46" s="9"/>
      <c r="S46" s="9"/>
      <c r="T46" s="9"/>
      <c r="U46" s="9"/>
      <c r="V46" s="8"/>
      <c r="W46" s="8"/>
      <c r="X46" s="8"/>
      <c r="Y46" s="8"/>
      <c r="Z46" s="8"/>
      <c r="AA46" s="43"/>
      <c r="AB46" s="17">
        <f>1-AB44</f>
        <v>0.4</v>
      </c>
      <c r="AC46" s="17">
        <f>AB46*X45</f>
        <v>4.7154752186588916E-3</v>
      </c>
      <c r="AD46" s="49">
        <f>$N$2</f>
        <v>5.417119078554947</v>
      </c>
      <c r="AF46" s="55">
        <f>SUM(AD46,Z45,U43,P40,K46,F34)</f>
        <v>549.57849909326308</v>
      </c>
      <c r="AG46" s="60">
        <f>AF46/6</f>
        <v>91.596416515543851</v>
      </c>
      <c r="AK46" s="55">
        <f>AF106</f>
        <v>32.502714471329682</v>
      </c>
      <c r="AL46" s="55">
        <f>AG106</f>
        <v>5.417119078554947</v>
      </c>
      <c r="AM46" s="1">
        <f t="shared" si="7"/>
        <v>1</v>
      </c>
      <c r="AN46" s="1">
        <f t="shared" si="8"/>
        <v>1</v>
      </c>
      <c r="AO46" s="15">
        <f t="shared" si="9"/>
        <v>1.5625E-2</v>
      </c>
      <c r="AP46" s="15">
        <f>SUMIF($AG$11:$AG$106,AL46,$AC$11:$AC$106)</f>
        <v>2.6331428571428582E-3</v>
      </c>
    </row>
    <row r="47" spans="4:42" x14ac:dyDescent="0.45">
      <c r="D47" s="73"/>
      <c r="H47" s="15"/>
      <c r="I47" s="15"/>
      <c r="J47" s="15"/>
      <c r="L47" s="72"/>
      <c r="R47" s="1"/>
      <c r="S47" s="1"/>
      <c r="T47" s="1"/>
      <c r="U47" s="1"/>
      <c r="AB47" s="17">
        <f>IF($J$1=0,$U$1,$X$1)</f>
        <v>0.74285714285714288</v>
      </c>
      <c r="AC47" s="17">
        <f>AB47*X48</f>
        <v>2.5298898792169934E-2</v>
      </c>
      <c r="AD47" s="49">
        <f>$N$1</f>
        <v>263.95501138952164</v>
      </c>
      <c r="AF47" s="55">
        <f>SUM(AD47,Z48,U49,P52,K46,F34)</f>
        <v>1066.6542837151965</v>
      </c>
      <c r="AG47" s="60">
        <f>AF47/6</f>
        <v>177.77571395253275</v>
      </c>
      <c r="AM47" s="1"/>
      <c r="AN47" s="1"/>
    </row>
    <row r="48" spans="4:42" x14ac:dyDescent="0.45">
      <c r="D48" s="73"/>
      <c r="H48" s="15"/>
      <c r="I48" s="15"/>
      <c r="J48" s="15"/>
      <c r="L48" s="72"/>
      <c r="U48" s="1"/>
      <c r="W48" s="17">
        <f>IF($J$1=0,$U$1,$X$1)</f>
        <v>0.74285714285714288</v>
      </c>
      <c r="X48" s="17">
        <f>W48*S49</f>
        <v>3.4056209912536446E-2</v>
      </c>
      <c r="Y48" s="17">
        <f>+Z48+U49+P52+K46+F34</f>
        <v>802.69927232567488</v>
      </c>
      <c r="Z48" s="49">
        <f>$N$1</f>
        <v>263.95501138952164</v>
      </c>
      <c r="AA48" s="42"/>
      <c r="AB48" s="15"/>
      <c r="AC48" s="15"/>
      <c r="AF48" s="55"/>
      <c r="AG48" s="44"/>
      <c r="AM48" s="1">
        <f>SUM(AM40:AM46)</f>
        <v>64</v>
      </c>
      <c r="AN48" s="1">
        <f>SUM(AN40:AN46)</f>
        <v>64</v>
      </c>
      <c r="AO48" s="61">
        <f>SUMPRODUCT(AL40:AL46,AO40:AO46)</f>
        <v>134.6860652340383</v>
      </c>
      <c r="AP48" s="61">
        <f>SUMPRODUCT(AL40:AL46,AP40:AP46)</f>
        <v>188.33846923052718</v>
      </c>
    </row>
    <row r="49" spans="2:42" x14ac:dyDescent="0.45">
      <c r="D49" s="73"/>
      <c r="H49" s="8"/>
      <c r="I49" s="8"/>
      <c r="J49" s="8"/>
      <c r="K49" s="8"/>
      <c r="L49" s="72"/>
      <c r="R49" s="17">
        <f>IF($J$1=0,$U$1,$AA$1)</f>
        <v>0.6</v>
      </c>
      <c r="S49" s="17">
        <f>R49*N52</f>
        <v>4.5844897959183672E-2</v>
      </c>
      <c r="T49" s="17">
        <f>U49+P52+K46+F34</f>
        <v>538.74426093615318</v>
      </c>
      <c r="U49" s="49">
        <f>$N$1</f>
        <v>263.95501138952164</v>
      </c>
      <c r="V49" s="42"/>
      <c r="W49" s="15"/>
      <c r="X49" s="15"/>
      <c r="Y49" s="15"/>
      <c r="AA49" s="43"/>
      <c r="AB49" s="17">
        <f>1-AB47</f>
        <v>0.25714285714285712</v>
      </c>
      <c r="AC49" s="17">
        <f>AB49*X48</f>
        <v>8.7573111203665139E-3</v>
      </c>
      <c r="AD49" s="49">
        <f>$N$2</f>
        <v>5.417119078554947</v>
      </c>
      <c r="AF49" s="55">
        <f>SUM(AD49,Z48,U49,P52,K46,F34)</f>
        <v>808.11639140422972</v>
      </c>
      <c r="AG49" s="60">
        <f t="shared" ref="AG49:AG50" si="12">AF49/6</f>
        <v>134.6860652340383</v>
      </c>
      <c r="AM49" s="1">
        <f>COUNT(AF11:AF106)</f>
        <v>64</v>
      </c>
      <c r="AN49" s="1"/>
    </row>
    <row r="50" spans="2:42" x14ac:dyDescent="0.45">
      <c r="D50" s="73"/>
      <c r="H50" s="50"/>
      <c r="I50" s="50"/>
      <c r="J50" s="50"/>
      <c r="K50" s="66"/>
      <c r="L50" s="72"/>
      <c r="M50" s="1"/>
      <c r="N50" s="1"/>
      <c r="O50" s="1"/>
      <c r="P50" s="1"/>
      <c r="Q50" s="73"/>
      <c r="V50" s="72"/>
      <c r="AB50" s="17">
        <f>IF($J$1=0,$U$1,$AA$1)</f>
        <v>0.6</v>
      </c>
      <c r="AC50" s="17">
        <f>AB50*X51</f>
        <v>7.0732128279883373E-3</v>
      </c>
      <c r="AD50" s="49">
        <f>$N$1</f>
        <v>263.95501138952164</v>
      </c>
      <c r="AF50" s="55">
        <f>SUM(AD50,Z51,U49,P52,K46,F34)</f>
        <v>808.11639140422972</v>
      </c>
      <c r="AG50" s="60">
        <f t="shared" si="12"/>
        <v>134.6860652340383</v>
      </c>
    </row>
    <row r="51" spans="2:42" x14ac:dyDescent="0.45">
      <c r="D51" s="73"/>
      <c r="H51" s="50"/>
      <c r="I51" s="8"/>
      <c r="J51" s="8"/>
      <c r="K51" s="8"/>
      <c r="L51" s="72"/>
      <c r="P51" s="1"/>
      <c r="Q51" s="73"/>
      <c r="V51" s="72"/>
      <c r="W51" s="17">
        <f>1-W48</f>
        <v>0.25714285714285712</v>
      </c>
      <c r="X51" s="17">
        <f>W51*S49</f>
        <v>1.178868804664723E-2</v>
      </c>
      <c r="Y51" s="17">
        <f>+Z51+U49+P52+K46+F34</f>
        <v>544.16138001470813</v>
      </c>
      <c r="Z51" s="49">
        <f>$N$2</f>
        <v>5.417119078554947</v>
      </c>
      <c r="AA51" s="42"/>
      <c r="AB51" s="15"/>
      <c r="AC51" s="15"/>
      <c r="AF51" s="55"/>
      <c r="AK51" s="55">
        <f>AK46</f>
        <v>32.502714471329682</v>
      </c>
      <c r="AL51" s="55">
        <f t="shared" ref="AL51:AP51" si="13">AL46</f>
        <v>5.417119078554947</v>
      </c>
      <c r="AM51" s="1">
        <f t="shared" si="13"/>
        <v>1</v>
      </c>
      <c r="AN51" s="1">
        <f t="shared" si="13"/>
        <v>1</v>
      </c>
      <c r="AO51" s="15">
        <f t="shared" si="13"/>
        <v>1.5625E-2</v>
      </c>
      <c r="AP51" s="15">
        <f t="shared" si="13"/>
        <v>2.6331428571428582E-3</v>
      </c>
    </row>
    <row r="52" spans="2:42" x14ac:dyDescent="0.45">
      <c r="D52" s="73"/>
      <c r="H52" s="50"/>
      <c r="I52" s="50"/>
      <c r="J52" s="50"/>
      <c r="K52" s="66"/>
      <c r="L52" s="72"/>
      <c r="M52" s="17">
        <f>1-M40</f>
        <v>0.4</v>
      </c>
      <c r="N52" s="17">
        <f>M52*I46</f>
        <v>7.6408163265306125E-2</v>
      </c>
      <c r="O52" s="17">
        <f>P52+K46+F34</f>
        <v>274.78924954663154</v>
      </c>
      <c r="P52" s="49">
        <f>$N$2</f>
        <v>5.417119078554947</v>
      </c>
      <c r="Q52" s="73"/>
      <c r="AA52" s="43"/>
      <c r="AB52" s="17">
        <f>1-AB50</f>
        <v>0.4</v>
      </c>
      <c r="AC52" s="17">
        <f>AB52*X51</f>
        <v>4.7154752186588924E-3</v>
      </c>
      <c r="AD52" s="49">
        <f>$N$2</f>
        <v>5.417119078554947</v>
      </c>
      <c r="AF52" s="55">
        <f>SUM(AD52,Z51,U49,P52,K46,F34)</f>
        <v>549.57849909326308</v>
      </c>
      <c r="AG52" s="60">
        <f>AF52/6</f>
        <v>91.596416515543851</v>
      </c>
      <c r="AK52" s="55">
        <f>AK45</f>
        <v>291.04060678229638</v>
      </c>
      <c r="AL52" s="55">
        <f t="shared" ref="AL52:AP52" si="14">AL45</f>
        <v>48.506767797049399</v>
      </c>
      <c r="AM52" s="1">
        <f t="shared" si="14"/>
        <v>6</v>
      </c>
      <c r="AN52" s="1">
        <f t="shared" si="14"/>
        <v>6</v>
      </c>
      <c r="AO52" s="15">
        <f t="shared" si="14"/>
        <v>9.375E-2</v>
      </c>
      <c r="AP52" s="15">
        <f t="shared" si="14"/>
        <v>1.8996244897959185E-2</v>
      </c>
    </row>
    <row r="53" spans="2:42" x14ac:dyDescent="0.45">
      <c r="D53" s="73"/>
      <c r="H53" s="50"/>
      <c r="I53" s="50"/>
      <c r="J53" s="50"/>
      <c r="K53" s="8"/>
      <c r="Q53" s="72"/>
      <c r="R53" s="1"/>
      <c r="S53" s="1"/>
      <c r="T53" s="1"/>
      <c r="U53" s="1"/>
      <c r="AB53" s="17">
        <f>IF($J$1=0,$U$1,$X$1)</f>
        <v>0.74285714285714288</v>
      </c>
      <c r="AC53" s="17">
        <f>AB53*X54</f>
        <v>1.3622483965014578E-2</v>
      </c>
      <c r="AD53" s="49">
        <f>$N$1</f>
        <v>263.95501138952164</v>
      </c>
      <c r="AF53" s="55">
        <f>SUM(AD53,Z54,U55,P52,K46,F34)</f>
        <v>808.11639140422972</v>
      </c>
      <c r="AG53" s="60">
        <f>AF53/6</f>
        <v>134.6860652340383</v>
      </c>
      <c r="AK53" s="55">
        <f>AK44</f>
        <v>549.57849909326308</v>
      </c>
      <c r="AL53" s="55">
        <f t="shared" ref="AL53:AP53" si="15">AL44</f>
        <v>91.596416515543851</v>
      </c>
      <c r="AM53" s="1">
        <f t="shared" si="15"/>
        <v>15</v>
      </c>
      <c r="AN53" s="1">
        <f t="shared" si="15"/>
        <v>15</v>
      </c>
      <c r="AO53" s="15">
        <f t="shared" si="15"/>
        <v>0.234375</v>
      </c>
      <c r="AP53" s="15">
        <f t="shared" si="15"/>
        <v>7.0816093294460633E-2</v>
      </c>
    </row>
    <row r="54" spans="2:42" x14ac:dyDescent="0.45">
      <c r="D54" s="73"/>
      <c r="H54" s="50"/>
      <c r="I54" s="50"/>
      <c r="J54" s="50"/>
      <c r="K54" s="66"/>
      <c r="Q54" s="72"/>
      <c r="U54" s="1"/>
      <c r="W54" s="17">
        <f>IF($J$1=0,$U$1,$AA$1)</f>
        <v>0.6</v>
      </c>
      <c r="X54" s="17">
        <f>W54*S55</f>
        <v>1.833795918367347E-2</v>
      </c>
      <c r="Y54" s="17">
        <f>+Z54+U55+P52+K46+F34</f>
        <v>544.16138001470813</v>
      </c>
      <c r="Z54" s="49">
        <f>$N$1</f>
        <v>263.95501138952164</v>
      </c>
      <c r="AA54" s="42"/>
      <c r="AB54" s="15"/>
      <c r="AC54" s="15"/>
      <c r="AF54" s="55"/>
      <c r="AG54" s="44"/>
      <c r="AK54" s="55">
        <f>AK43</f>
        <v>808.11639140422972</v>
      </c>
      <c r="AL54" s="55">
        <f t="shared" ref="AL54:AP54" si="16">AL43</f>
        <v>134.6860652340383</v>
      </c>
      <c r="AM54" s="1">
        <f t="shared" si="16"/>
        <v>20</v>
      </c>
      <c r="AN54" s="1">
        <f t="shared" si="16"/>
        <v>20</v>
      </c>
      <c r="AO54" s="15">
        <f t="shared" si="16"/>
        <v>0.3125</v>
      </c>
      <c r="AP54" s="15">
        <f t="shared" si="16"/>
        <v>0.17489552686380674</v>
      </c>
    </row>
    <row r="55" spans="2:42" x14ac:dyDescent="0.45">
      <c r="D55" s="73"/>
      <c r="H55" s="8"/>
      <c r="I55" s="50"/>
      <c r="J55" s="50"/>
      <c r="K55" s="8"/>
      <c r="Q55" s="72"/>
      <c r="R55" s="17">
        <f>1-R49</f>
        <v>0.4</v>
      </c>
      <c r="S55" s="17">
        <f>R55*N52</f>
        <v>3.0563265306122453E-2</v>
      </c>
      <c r="T55" s="17">
        <f>U55+P52+K46+F34</f>
        <v>280.20636862518649</v>
      </c>
      <c r="U55" s="49">
        <f>$N$2</f>
        <v>5.417119078554947</v>
      </c>
      <c r="V55" s="42"/>
      <c r="W55" s="15"/>
      <c r="X55" s="15"/>
      <c r="Y55" s="15"/>
      <c r="AA55" s="43"/>
      <c r="AB55" s="17">
        <f>1-AB53</f>
        <v>0.25714285714285712</v>
      </c>
      <c r="AC55" s="17">
        <f>AB55*X54</f>
        <v>4.7154752186588916E-3</v>
      </c>
      <c r="AD55" s="49">
        <f>$N$2</f>
        <v>5.417119078554947</v>
      </c>
      <c r="AF55" s="55">
        <f>SUM(AD55,Z54,U55,P52,K46,F34)</f>
        <v>549.57849909326308</v>
      </c>
      <c r="AG55" s="60">
        <f t="shared" ref="AG55:AG56" si="17">AF55/6</f>
        <v>91.596416515543851</v>
      </c>
      <c r="AK55" s="55">
        <f>AK42</f>
        <v>1066.6542837151965</v>
      </c>
      <c r="AL55" s="55">
        <f t="shared" ref="AL55:AP55" si="18">AL42</f>
        <v>177.77571395253275</v>
      </c>
      <c r="AM55" s="1">
        <f t="shared" si="18"/>
        <v>15</v>
      </c>
      <c r="AN55" s="1">
        <f t="shared" si="18"/>
        <v>15</v>
      </c>
      <c r="AO55" s="15">
        <f t="shared" si="18"/>
        <v>0.234375</v>
      </c>
      <c r="AP55" s="15">
        <f t="shared" si="18"/>
        <v>0.27152297971083478</v>
      </c>
    </row>
    <row r="56" spans="2:42" x14ac:dyDescent="0.45">
      <c r="D56" s="73"/>
      <c r="H56" s="8"/>
      <c r="I56" s="50"/>
      <c r="J56" s="50"/>
      <c r="K56" s="8"/>
      <c r="V56" s="72"/>
      <c r="AB56" s="17">
        <f>IF($J$1=0,$U$1,$AA$1)</f>
        <v>0.6</v>
      </c>
      <c r="AC56" s="17">
        <f>AB56*X57</f>
        <v>7.3351836734693882E-3</v>
      </c>
      <c r="AD56" s="49">
        <f>$N$1</f>
        <v>263.95501138952164</v>
      </c>
      <c r="AF56" s="55">
        <f>SUM(AD56,Z57,U55,P52,K46,F34)</f>
        <v>549.57849909326308</v>
      </c>
      <c r="AG56" s="60">
        <f t="shared" si="17"/>
        <v>91.596416515543851</v>
      </c>
      <c r="AK56" s="55">
        <f>AK41</f>
        <v>1325.192176026163</v>
      </c>
      <c r="AL56" s="55">
        <f t="shared" ref="AL56:AP56" si="19">AL41</f>
        <v>220.86536267102716</v>
      </c>
      <c r="AM56" s="1">
        <f t="shared" si="19"/>
        <v>6</v>
      </c>
      <c r="AN56" s="1">
        <f t="shared" si="19"/>
        <v>6</v>
      </c>
      <c r="AO56" s="15">
        <f t="shared" si="19"/>
        <v>9.375E-2</v>
      </c>
      <c r="AP56" s="15">
        <f t="shared" si="19"/>
        <v>0.29308860301405026</v>
      </c>
    </row>
    <row r="57" spans="2:42" x14ac:dyDescent="0.45">
      <c r="B57" s="74"/>
      <c r="C57" s="71" t="s">
        <v>0</v>
      </c>
      <c r="D57" s="73"/>
      <c r="H57" s="8"/>
      <c r="I57" s="50"/>
      <c r="J57" s="50"/>
      <c r="K57" s="8"/>
      <c r="V57" s="72"/>
      <c r="W57" s="17">
        <f>1-W54</f>
        <v>0.4</v>
      </c>
      <c r="X57" s="17">
        <f>W57*S55</f>
        <v>1.2225306122448982E-2</v>
      </c>
      <c r="Y57" s="17">
        <f>+Z57+U55+P52+K46+F34</f>
        <v>285.62348770374143</v>
      </c>
      <c r="Z57" s="49">
        <f>$N$2</f>
        <v>5.417119078554947</v>
      </c>
      <c r="AA57" s="42"/>
      <c r="AB57" s="15"/>
      <c r="AC57" s="15"/>
      <c r="AF57" s="55"/>
      <c r="AK57" s="55">
        <f>AK40</f>
        <v>1583.7300683371298</v>
      </c>
      <c r="AL57" s="55">
        <f t="shared" ref="AL57:AP57" si="20">AL40</f>
        <v>263.95501138952164</v>
      </c>
      <c r="AM57" s="1">
        <f t="shared" si="20"/>
        <v>1</v>
      </c>
      <c r="AN57" s="1">
        <f t="shared" si="20"/>
        <v>1</v>
      </c>
      <c r="AO57" s="15">
        <f t="shared" si="20"/>
        <v>1.5625E-2</v>
      </c>
      <c r="AP57" s="15">
        <f t="shared" si="20"/>
        <v>0.16804740936174559</v>
      </c>
    </row>
    <row r="58" spans="2:42" x14ac:dyDescent="0.45">
      <c r="B58" s="74"/>
      <c r="C58" s="71"/>
      <c r="D58" s="72"/>
      <c r="H58" s="8"/>
      <c r="I58" s="50"/>
      <c r="J58" s="50"/>
      <c r="K58" s="8"/>
      <c r="V58" s="8"/>
      <c r="W58" s="50"/>
      <c r="X58" s="50"/>
      <c r="Y58" s="50"/>
      <c r="Z58" s="66"/>
      <c r="AA58" s="43"/>
      <c r="AB58" s="17">
        <f>1-AB56</f>
        <v>0.4</v>
      </c>
      <c r="AC58" s="17">
        <f>AB58*X57</f>
        <v>4.8901224489795933E-3</v>
      </c>
      <c r="AD58" s="49">
        <f>$N$2</f>
        <v>5.417119078554947</v>
      </c>
      <c r="AF58" s="55">
        <f>SUM(AD58,Z57,U55,P52,K46,F34)</f>
        <v>291.04060678229638</v>
      </c>
      <c r="AG58" s="60">
        <f>AF58/6</f>
        <v>48.506767797049399</v>
      </c>
      <c r="AM58" s="1"/>
      <c r="AN58" s="1"/>
    </row>
    <row r="59" spans="2:42" x14ac:dyDescent="0.45">
      <c r="C59" s="66">
        <f>AC7</f>
        <v>1436.6513624964082</v>
      </c>
      <c r="D59" s="72"/>
      <c r="AB59" s="17">
        <f>IF($J$1=0,$U$1,$X$1)</f>
        <v>0.74285714285714288</v>
      </c>
      <c r="AC59" s="17">
        <f>AB59*X60</f>
        <v>4.6983669185458446E-2</v>
      </c>
      <c r="AD59" s="49">
        <f>$N$1</f>
        <v>263.95501138952164</v>
      </c>
      <c r="AF59" s="55">
        <f>SUM(AD59,Z60,U61,P64,K70,F82)</f>
        <v>1325.192176026163</v>
      </c>
      <c r="AG59" s="60">
        <f>AF59/6</f>
        <v>220.86536267102716</v>
      </c>
      <c r="AM59" s="1">
        <f>SUM(AM51:AM57)</f>
        <v>64</v>
      </c>
      <c r="AN59" s="1">
        <f>SUM(AN51:AN57)</f>
        <v>64</v>
      </c>
      <c r="AO59" s="61">
        <f>SUMPRODUCT(AL51:AL57,AO51:AO57)</f>
        <v>134.6860652340383</v>
      </c>
      <c r="AP59" s="61">
        <f>SUMPRODUCT(AL51:AL57,AP51:AP57)</f>
        <v>188.33846923052718</v>
      </c>
    </row>
    <row r="60" spans="2:42" x14ac:dyDescent="0.45">
      <c r="D60" s="72"/>
      <c r="W60" s="17">
        <f>IF($J$1=0,$U$1,$X$1)</f>
        <v>0.74285714285714288</v>
      </c>
      <c r="X60" s="17">
        <f>W60*S61</f>
        <v>6.3247246980424832E-2</v>
      </c>
      <c r="Y60" s="17">
        <f>+Z60+U61+P64+K70+F82</f>
        <v>1061.2371646366414</v>
      </c>
      <c r="Z60" s="49">
        <f>$N$1</f>
        <v>263.95501138952164</v>
      </c>
      <c r="AA60" s="42"/>
      <c r="AB60" s="15"/>
      <c r="AC60" s="15"/>
      <c r="AF60" s="55"/>
      <c r="AG60" s="44"/>
      <c r="AM60" s="1">
        <f>COUNT(AE22:AE117)</f>
        <v>0</v>
      </c>
      <c r="AN60" s="1"/>
    </row>
    <row r="61" spans="2:42" x14ac:dyDescent="0.45">
      <c r="D61" s="72"/>
      <c r="R61" s="17">
        <f>IF($J$1=0,$U$1,$X$1)</f>
        <v>0.74285714285714288</v>
      </c>
      <c r="S61" s="17">
        <f>R61*N64</f>
        <v>8.5140524781341112E-2</v>
      </c>
      <c r="T61" s="17">
        <f>U61+P64+K70+F82</f>
        <v>797.28215324711994</v>
      </c>
      <c r="U61" s="49">
        <f>$N$1</f>
        <v>263.95501138952164</v>
      </c>
      <c r="V61" s="42"/>
      <c r="W61" s="15"/>
      <c r="X61" s="15"/>
      <c r="Y61" s="15"/>
      <c r="AA61" s="43"/>
      <c r="AB61" s="17">
        <f>1-AB59</f>
        <v>0.25714285714285712</v>
      </c>
      <c r="AC61" s="17">
        <f>AB61*X60</f>
        <v>1.6263577794966382E-2</v>
      </c>
      <c r="AD61" s="49">
        <f>$N$2</f>
        <v>5.417119078554947</v>
      </c>
      <c r="AF61" s="55">
        <f>SUM(AD61,Z60,U61,P64,K70,F82)</f>
        <v>1066.6542837151965</v>
      </c>
      <c r="AG61" s="60">
        <f t="shared" ref="AG61:AG62" si="21">AF61/6</f>
        <v>177.77571395253275</v>
      </c>
    </row>
    <row r="62" spans="2:42" x14ac:dyDescent="0.45">
      <c r="D62" s="72"/>
      <c r="Q62" s="73"/>
      <c r="V62" s="72"/>
      <c r="AB62" s="17">
        <f>IF($J$1=0,$U$1,$AA$1)</f>
        <v>0.6</v>
      </c>
      <c r="AC62" s="17">
        <f>AB62*X63</f>
        <v>1.313596668054977E-2</v>
      </c>
      <c r="AD62" s="49">
        <f>$N$1</f>
        <v>263.95501138952164</v>
      </c>
      <c r="AF62" s="55">
        <f>SUM(AD62,Z63,U61,P64,K70,F82)</f>
        <v>1066.6542837151965</v>
      </c>
      <c r="AG62" s="60">
        <f t="shared" si="21"/>
        <v>177.77571395253275</v>
      </c>
    </row>
    <row r="63" spans="2:42" x14ac:dyDescent="0.45">
      <c r="D63" s="72"/>
      <c r="Q63" s="73"/>
      <c r="V63" s="72"/>
      <c r="W63" s="17">
        <f>1-W60</f>
        <v>0.25714285714285712</v>
      </c>
      <c r="X63" s="17">
        <f>W63*S61</f>
        <v>2.1893277800916284E-2</v>
      </c>
      <c r="Y63" s="17">
        <f>+Z63+U61+P64+K70+F82</f>
        <v>802.69927232567477</v>
      </c>
      <c r="Z63" s="49">
        <f>$N$2</f>
        <v>5.417119078554947</v>
      </c>
      <c r="AA63" s="42"/>
      <c r="AB63" s="15"/>
      <c r="AC63" s="15"/>
      <c r="AF63" s="55"/>
    </row>
    <row r="64" spans="2:42" x14ac:dyDescent="0.45">
      <c r="D64" s="72"/>
      <c r="M64" s="17">
        <f>IF($J$1=0,$U$1,$X$1)</f>
        <v>0.74285714285714288</v>
      </c>
      <c r="N64" s="17">
        <f>M64*I70</f>
        <v>0.11461224489795918</v>
      </c>
      <c r="O64" s="17">
        <f>P64+K70+F82</f>
        <v>533.32714185759824</v>
      </c>
      <c r="P64" s="49">
        <f>$N$1</f>
        <v>263.95501138952164</v>
      </c>
      <c r="Q64" s="73"/>
      <c r="AA64" s="43"/>
      <c r="AB64" s="17">
        <f>1-AB62</f>
        <v>0.4</v>
      </c>
      <c r="AC64" s="17">
        <f>AB64*X63</f>
        <v>8.7573111203665139E-3</v>
      </c>
      <c r="AD64" s="49">
        <f>$N$2</f>
        <v>5.417119078554947</v>
      </c>
      <c r="AF64" s="55">
        <f>SUM(AD64,Z63,U61,P64,K70,F82)</f>
        <v>808.11639140422983</v>
      </c>
      <c r="AG64" s="60">
        <f>AF64/6</f>
        <v>134.6860652340383</v>
      </c>
    </row>
    <row r="65" spans="4:45" x14ac:dyDescent="0.45">
      <c r="D65" s="72"/>
      <c r="L65" s="73"/>
      <c r="Q65" s="72"/>
      <c r="R65" s="1"/>
      <c r="S65" s="1"/>
      <c r="T65" s="1"/>
      <c r="U65" s="1"/>
      <c r="AB65" s="17">
        <f>IF($J$1=0,$U$1,$X$1)</f>
        <v>0.74285714285714288</v>
      </c>
      <c r="AC65" s="17">
        <f>AB65*X66</f>
        <v>1.313596668054977E-2</v>
      </c>
      <c r="AD65" s="49">
        <f>$N$1</f>
        <v>263.95501138952164</v>
      </c>
      <c r="AF65" s="55">
        <f>SUM(AD65,Z66,U67,P64,K70,F82)</f>
        <v>1066.6542837151965</v>
      </c>
      <c r="AG65" s="60">
        <f>AF65/6</f>
        <v>177.77571395253275</v>
      </c>
    </row>
    <row r="66" spans="4:45" x14ac:dyDescent="0.45">
      <c r="D66" s="72"/>
      <c r="L66" s="73"/>
      <c r="Q66" s="72"/>
      <c r="U66" s="1"/>
      <c r="W66" s="17">
        <f>IF($J$1=0,$U$1,$AA$1)</f>
        <v>0.6</v>
      </c>
      <c r="X66" s="17">
        <f>W66*S67</f>
        <v>1.7683032069970843E-2</v>
      </c>
      <c r="Y66" s="17">
        <f>+Z66+U67+P64+K70+F82</f>
        <v>802.69927232567477</v>
      </c>
      <c r="Z66" s="49">
        <f>$N$1</f>
        <v>263.95501138952164</v>
      </c>
      <c r="AA66" s="42"/>
      <c r="AB66" s="15"/>
      <c r="AC66" s="15"/>
      <c r="AF66" s="55"/>
      <c r="AG66" s="44"/>
    </row>
    <row r="67" spans="4:45" x14ac:dyDescent="0.45">
      <c r="D67" s="72"/>
      <c r="L67" s="73"/>
      <c r="Q67" s="72"/>
      <c r="R67" s="17">
        <f>1-R61</f>
        <v>0.25714285714285712</v>
      </c>
      <c r="S67" s="17">
        <f>R67*N64</f>
        <v>2.9471720116618073E-2</v>
      </c>
      <c r="T67" s="17">
        <f>U67+P64+K70+F82</f>
        <v>538.74426093615318</v>
      </c>
      <c r="U67" s="49">
        <f>$N$2</f>
        <v>5.417119078554947</v>
      </c>
      <c r="V67" s="42"/>
      <c r="W67" s="15"/>
      <c r="X67" s="15"/>
      <c r="Y67" s="15"/>
      <c r="AA67" s="43"/>
      <c r="AB67" s="17">
        <f>1-AB65</f>
        <v>0.25714285714285712</v>
      </c>
      <c r="AC67" s="17">
        <f>AB67*X66</f>
        <v>4.5470653894210738E-3</v>
      </c>
      <c r="AD67" s="49">
        <f>$N$2</f>
        <v>5.417119078554947</v>
      </c>
      <c r="AF67" s="55">
        <f>SUM(AD67,Z66,U67,P64,K70,F82)</f>
        <v>808.11639140422983</v>
      </c>
      <c r="AG67" s="60">
        <f t="shared" ref="AG67:AG68" si="22">AF67/6</f>
        <v>134.6860652340383</v>
      </c>
    </row>
    <row r="68" spans="4:45" x14ac:dyDescent="0.45">
      <c r="D68" s="72"/>
      <c r="G68" s="44"/>
      <c r="L68" s="73"/>
      <c r="V68" s="72"/>
      <c r="AB68" s="17">
        <f>IF($J$1=0,$U$1,$AA$1)</f>
        <v>0.6</v>
      </c>
      <c r="AC68" s="17">
        <f>AB68*X69</f>
        <v>7.0732128279883373E-3</v>
      </c>
      <c r="AD68" s="49">
        <f>$N$1</f>
        <v>263.95501138952164</v>
      </c>
      <c r="AF68" s="55">
        <f>SUM(AD68,Z69,U67,P64,K70,F82)</f>
        <v>808.11639140422983</v>
      </c>
      <c r="AG68" s="60">
        <f t="shared" si="22"/>
        <v>134.6860652340383</v>
      </c>
    </row>
    <row r="69" spans="4:45" x14ac:dyDescent="0.45">
      <c r="D69" s="72"/>
      <c r="G69" s="40"/>
      <c r="L69" s="73"/>
      <c r="V69" s="72"/>
      <c r="W69" s="17">
        <f>1-W66</f>
        <v>0.4</v>
      </c>
      <c r="X69" s="17">
        <f>W69*S67</f>
        <v>1.178868804664723E-2</v>
      </c>
      <c r="Y69" s="17">
        <f>+Z69+U67+P64+K70+F82</f>
        <v>544.16138001470813</v>
      </c>
      <c r="Z69" s="49">
        <f>$N$2</f>
        <v>5.417119078554947</v>
      </c>
      <c r="AA69" s="42"/>
      <c r="AB69" s="15"/>
      <c r="AC69" s="15"/>
      <c r="AF69" s="55"/>
    </row>
    <row r="70" spans="4:45" x14ac:dyDescent="0.45">
      <c r="D70" s="72"/>
      <c r="G70" s="8"/>
      <c r="H70" s="17">
        <f>IF($J$1=0,$U$1,$AA$1)</f>
        <v>0.6</v>
      </c>
      <c r="I70" s="17">
        <f>H70*E82</f>
        <v>0.15428571428571428</v>
      </c>
      <c r="J70" s="17">
        <f>F82+K70</f>
        <v>269.37213046807659</v>
      </c>
      <c r="K70" s="49">
        <f>$N$1</f>
        <v>263.95501138952164</v>
      </c>
      <c r="L70" s="73"/>
      <c r="R70" s="9"/>
      <c r="S70" s="9"/>
      <c r="T70" s="9"/>
      <c r="U70" s="9"/>
      <c r="V70" s="8"/>
      <c r="W70" s="8"/>
      <c r="X70" s="8"/>
      <c r="Y70" s="8"/>
      <c r="Z70" s="8"/>
      <c r="AA70" s="43"/>
      <c r="AB70" s="17">
        <f>1-AB68</f>
        <v>0.4</v>
      </c>
      <c r="AC70" s="17">
        <f>AB70*X69</f>
        <v>4.7154752186588924E-3</v>
      </c>
      <c r="AD70" s="49">
        <f>$N$2</f>
        <v>5.417119078554947</v>
      </c>
      <c r="AF70" s="55">
        <f>SUM(AD70,Z69,U67,P64,K70,F82)</f>
        <v>549.57849909326308</v>
      </c>
      <c r="AG70" s="60">
        <f>AF70/6</f>
        <v>91.596416515543851</v>
      </c>
    </row>
    <row r="71" spans="4:45" x14ac:dyDescent="0.45">
      <c r="D71" s="72"/>
      <c r="G71" s="73"/>
      <c r="H71" s="15"/>
      <c r="I71" s="15"/>
      <c r="J71" s="15"/>
      <c r="L71" s="72"/>
      <c r="R71" s="1"/>
      <c r="S71" s="1"/>
      <c r="T71" s="1"/>
      <c r="U71" s="1"/>
      <c r="AB71" s="17">
        <f>IF($J$1=0,$U$1,$X$1)</f>
        <v>0.74285714285714288</v>
      </c>
      <c r="AC71" s="17">
        <f>AB71*X72</f>
        <v>1.313596668054977E-2</v>
      </c>
      <c r="AD71" s="49">
        <f>$N$1</f>
        <v>263.95501138952164</v>
      </c>
      <c r="AF71" s="55">
        <f>SUM(AD71,Z72,U73,P76,K70,F82)</f>
        <v>1066.6542837151965</v>
      </c>
      <c r="AG71" s="60">
        <f>AF71/6</f>
        <v>177.77571395253275</v>
      </c>
    </row>
    <row r="72" spans="4:45" x14ac:dyDescent="0.45">
      <c r="D72" s="72"/>
      <c r="G72" s="73"/>
      <c r="H72" s="15"/>
      <c r="I72" s="15"/>
      <c r="J72" s="15"/>
      <c r="L72" s="72"/>
      <c r="U72" s="1"/>
      <c r="W72" s="17">
        <f>IF($J$1=0,$U$1,$X$1)</f>
        <v>0.74285714285714288</v>
      </c>
      <c r="X72" s="17">
        <f>W72*S73</f>
        <v>1.7683032069970843E-2</v>
      </c>
      <c r="Y72" s="17">
        <f>+Z72+U73+P76+K70+F82</f>
        <v>802.69927232567477</v>
      </c>
      <c r="Z72" s="49">
        <f>$N$1</f>
        <v>263.95501138952164</v>
      </c>
      <c r="AA72" s="42"/>
      <c r="AB72" s="15"/>
      <c r="AC72" s="15"/>
      <c r="AF72" s="55"/>
      <c r="AG72" s="44"/>
    </row>
    <row r="73" spans="4:45" x14ac:dyDescent="0.45">
      <c r="D73" s="72"/>
      <c r="G73" s="73"/>
      <c r="H73" s="8"/>
      <c r="I73" s="8"/>
      <c r="J73" s="8"/>
      <c r="K73" s="8"/>
      <c r="L73" s="72"/>
      <c r="R73" s="17">
        <f>IF($J$1=0,$U$1,$AA$1)</f>
        <v>0.6</v>
      </c>
      <c r="S73" s="17">
        <f>R73*N76</f>
        <v>2.3804081632653056E-2</v>
      </c>
      <c r="T73" s="17">
        <f>U73+P76+K70+F82</f>
        <v>538.74426093615318</v>
      </c>
      <c r="U73" s="49">
        <f>$N$1</f>
        <v>263.95501138952164</v>
      </c>
      <c r="V73" s="42"/>
      <c r="W73" s="15"/>
      <c r="X73" s="15"/>
      <c r="Y73" s="15"/>
      <c r="AA73" s="43"/>
      <c r="AB73" s="17">
        <f>1-AB71</f>
        <v>0.25714285714285712</v>
      </c>
      <c r="AC73" s="17">
        <f>AB73*X72</f>
        <v>4.5470653894210738E-3</v>
      </c>
      <c r="AD73" s="49">
        <f>$N$2</f>
        <v>5.417119078554947</v>
      </c>
      <c r="AF73" s="55">
        <f>SUM(AD73,Z72,U73,P76,K70,F82)</f>
        <v>808.11639140422983</v>
      </c>
      <c r="AG73" s="60">
        <f t="shared" ref="AG73:AG74" si="23">AF73/6</f>
        <v>134.6860652340383</v>
      </c>
    </row>
    <row r="74" spans="4:45" x14ac:dyDescent="0.45">
      <c r="D74" s="72"/>
      <c r="G74" s="73"/>
      <c r="H74" s="50"/>
      <c r="I74" s="50"/>
      <c r="J74" s="50"/>
      <c r="K74" s="66"/>
      <c r="L74" s="72"/>
      <c r="M74" s="1"/>
      <c r="N74" s="1"/>
      <c r="O74" s="1"/>
      <c r="P74" s="1"/>
      <c r="Q74" s="73"/>
      <c r="V74" s="72"/>
      <c r="AB74" s="17">
        <f>IF($J$1=0,$U$1,$AA$1)</f>
        <v>0.6</v>
      </c>
      <c r="AC74" s="17">
        <f>AB74*X75</f>
        <v>3.6726297376093284E-3</v>
      </c>
      <c r="AD74" s="49">
        <f>$N$1</f>
        <v>263.95501138952164</v>
      </c>
      <c r="AF74" s="55">
        <f>SUM(AD74,Z75,U73,P76,K70,F82)</f>
        <v>808.11639140422983</v>
      </c>
      <c r="AG74" s="60">
        <f t="shared" si="23"/>
        <v>134.6860652340383</v>
      </c>
    </row>
    <row r="75" spans="4:45" x14ac:dyDescent="0.45">
      <c r="D75" s="72"/>
      <c r="G75" s="73"/>
      <c r="H75" s="50"/>
      <c r="I75" s="8"/>
      <c r="J75" s="8"/>
      <c r="K75" s="8"/>
      <c r="L75" s="72"/>
      <c r="P75" s="1"/>
      <c r="Q75" s="73"/>
      <c r="V75" s="72"/>
      <c r="W75" s="17">
        <f>1-W72</f>
        <v>0.25714285714285712</v>
      </c>
      <c r="X75" s="17">
        <f>W75*S73</f>
        <v>6.1210495626822141E-3</v>
      </c>
      <c r="Y75" s="17">
        <f>+Z75+U73+P76+K70+F82</f>
        <v>544.16138001470813</v>
      </c>
      <c r="Z75" s="49">
        <f>$N$2</f>
        <v>5.417119078554947</v>
      </c>
      <c r="AA75" s="42"/>
      <c r="AB75" s="15"/>
      <c r="AC75" s="15"/>
      <c r="AF75" s="55"/>
    </row>
    <row r="76" spans="4:45" x14ac:dyDescent="0.45">
      <c r="D76" s="72"/>
      <c r="G76" s="73"/>
      <c r="H76" s="50"/>
      <c r="I76" s="50"/>
      <c r="J76" s="50"/>
      <c r="K76" s="66"/>
      <c r="L76" s="72"/>
      <c r="M76" s="17">
        <f>1-M64</f>
        <v>0.25714285714285712</v>
      </c>
      <c r="N76" s="17">
        <f>M76*I70</f>
        <v>3.9673469387755095E-2</v>
      </c>
      <c r="O76" s="17">
        <f>P76+K70+F82</f>
        <v>274.78924954663154</v>
      </c>
      <c r="P76" s="49">
        <f>$N$2</f>
        <v>5.417119078554947</v>
      </c>
      <c r="Q76" s="73"/>
      <c r="AA76" s="43"/>
      <c r="AB76" s="17">
        <f>1-AB74</f>
        <v>0.4</v>
      </c>
      <c r="AC76" s="17">
        <f>AB76*X75</f>
        <v>2.4484198250728857E-3</v>
      </c>
      <c r="AD76" s="49">
        <f>$N$2</f>
        <v>5.417119078554947</v>
      </c>
      <c r="AF76" s="55">
        <f>SUM(AD76,Z75,U73,P76,K70,F82)</f>
        <v>549.57849909326308</v>
      </c>
      <c r="AG76" s="60">
        <f>AF76/6</f>
        <v>91.596416515543851</v>
      </c>
    </row>
    <row r="77" spans="4:45" x14ac:dyDescent="0.45">
      <c r="D77" s="72"/>
      <c r="G77" s="73"/>
      <c r="H77" s="50"/>
      <c r="I77" s="50"/>
      <c r="J77" s="50"/>
      <c r="K77" s="8"/>
      <c r="Q77" s="72"/>
      <c r="R77" s="1"/>
      <c r="S77" s="1"/>
      <c r="T77" s="1"/>
      <c r="U77" s="1"/>
      <c r="AB77" s="17">
        <f>IF($J$1=0,$U$1,$X$1)</f>
        <v>0.74285714285714288</v>
      </c>
      <c r="AC77" s="17">
        <f>AB77*X78</f>
        <v>7.0732128279883373E-3</v>
      </c>
      <c r="AD77" s="49">
        <f>$N$1</f>
        <v>263.95501138952164</v>
      </c>
      <c r="AF77" s="55">
        <f>SUM(AD77,Z78,U79,P76,K70,F82)</f>
        <v>808.11639140422983</v>
      </c>
      <c r="AG77" s="60">
        <f>AF77/6</f>
        <v>134.6860652340383</v>
      </c>
    </row>
    <row r="78" spans="4:45" x14ac:dyDescent="0.45">
      <c r="D78" s="72"/>
      <c r="G78" s="73"/>
      <c r="H78" s="50"/>
      <c r="I78" s="50"/>
      <c r="J78" s="50"/>
      <c r="K78" s="66"/>
      <c r="Q78" s="72"/>
      <c r="U78" s="1"/>
      <c r="W78" s="17">
        <f>IF($J$1=0,$U$1,$AA$1)</f>
        <v>0.6</v>
      </c>
      <c r="X78" s="17">
        <f>W78*S79</f>
        <v>9.5216326530612235E-3</v>
      </c>
      <c r="Y78" s="17">
        <f>+Z78+U79+P76+K70+F82</f>
        <v>544.16138001470813</v>
      </c>
      <c r="Z78" s="49">
        <f>$N$1</f>
        <v>263.95501138952164</v>
      </c>
      <c r="AA78" s="42"/>
      <c r="AB78" s="15"/>
      <c r="AC78" s="15"/>
      <c r="AF78" s="55"/>
      <c r="AG78" s="44"/>
    </row>
    <row r="79" spans="4:45" x14ac:dyDescent="0.45">
      <c r="D79" s="72"/>
      <c r="G79" s="73"/>
      <c r="H79" s="8"/>
      <c r="I79" s="50"/>
      <c r="J79" s="50"/>
      <c r="K79" s="8"/>
      <c r="Q79" s="72"/>
      <c r="R79" s="17">
        <f>1-R73</f>
        <v>0.4</v>
      </c>
      <c r="S79" s="17">
        <f>R79*N76</f>
        <v>1.5869387755102039E-2</v>
      </c>
      <c r="T79" s="17">
        <f>+U79+P76+K70+F82</f>
        <v>280.20636862518649</v>
      </c>
      <c r="U79" s="49">
        <f>$N$2</f>
        <v>5.417119078554947</v>
      </c>
      <c r="V79" s="42"/>
      <c r="W79" s="15"/>
      <c r="X79" s="15"/>
      <c r="Y79" s="15"/>
      <c r="AA79" s="43"/>
      <c r="AB79" s="17">
        <f>1-AB77</f>
        <v>0.25714285714285712</v>
      </c>
      <c r="AC79" s="17">
        <f>AB79*X78</f>
        <v>2.4484198250728857E-3</v>
      </c>
      <c r="AD79" s="49">
        <f>$N$2</f>
        <v>5.417119078554947</v>
      </c>
      <c r="AF79" s="55">
        <f>SUM(AD79,Z78,U79,P76,K70,F82)</f>
        <v>549.57849909326308</v>
      </c>
      <c r="AG79" s="60">
        <f t="shared" ref="AG79:AG80" si="24">AF79/6</f>
        <v>91.596416515543851</v>
      </c>
      <c r="AS79" t="s">
        <v>93</v>
      </c>
    </row>
    <row r="80" spans="4:45" x14ac:dyDescent="0.45">
      <c r="D80" s="72"/>
      <c r="G80" s="73"/>
      <c r="H80" s="8"/>
      <c r="I80" s="50"/>
      <c r="J80" s="50"/>
      <c r="K80" s="8"/>
      <c r="V80" s="72"/>
      <c r="AB80" s="17">
        <f>IF($J$1=0,$U$1,$AA$1)</f>
        <v>0.6</v>
      </c>
      <c r="AC80" s="17">
        <f>AB80*X81</f>
        <v>3.8086530612244894E-3</v>
      </c>
      <c r="AD80" s="49">
        <f>$N$1</f>
        <v>263.95501138952164</v>
      </c>
      <c r="AF80" s="55">
        <f>SUM(AD80,Z81,U79,P76,K70,F82)</f>
        <v>549.57849909326308</v>
      </c>
      <c r="AG80" s="60">
        <f t="shared" si="24"/>
        <v>91.596416515543851</v>
      </c>
      <c r="AS80" t="s">
        <v>94</v>
      </c>
    </row>
    <row r="81" spans="4:46" x14ac:dyDescent="0.45">
      <c r="D81" s="72"/>
      <c r="G81" s="73"/>
      <c r="H81" s="8"/>
      <c r="I81" s="50"/>
      <c r="J81" s="50"/>
      <c r="K81" s="8"/>
      <c r="V81" s="72"/>
      <c r="W81" s="17">
        <f>1-W78</f>
        <v>0.4</v>
      </c>
      <c r="X81" s="17">
        <f>W81*S79</f>
        <v>6.347755102040816E-3</v>
      </c>
      <c r="Y81" s="17">
        <f>+Z81+U79+P76+K70+F82</f>
        <v>285.62348770374143</v>
      </c>
      <c r="Z81" s="49">
        <f>$N$2</f>
        <v>5.417119078554947</v>
      </c>
      <c r="AA81" s="42"/>
      <c r="AB81" s="15"/>
      <c r="AC81" s="15"/>
      <c r="AF81" s="55"/>
      <c r="AS81" s="1" t="s">
        <v>96</v>
      </c>
      <c r="AT81" t="s">
        <v>99</v>
      </c>
    </row>
    <row r="82" spans="4:46" x14ac:dyDescent="0.45">
      <c r="D82" s="72"/>
      <c r="E82" s="17">
        <f>1-E34</f>
        <v>0.25714285714285712</v>
      </c>
      <c r="F82" s="49">
        <f>$N$2</f>
        <v>5.417119078554947</v>
      </c>
      <c r="G82" s="73"/>
      <c r="W82" s="1"/>
      <c r="X82" s="1"/>
      <c r="Y82" s="1"/>
      <c r="Z82" s="1"/>
      <c r="AA82" s="43"/>
      <c r="AB82" s="17">
        <f>1-AB80</f>
        <v>0.4</v>
      </c>
      <c r="AC82" s="17">
        <f>AB82*X81</f>
        <v>2.5391020408163266E-3</v>
      </c>
      <c r="AD82" s="49">
        <f>$N$2</f>
        <v>5.417119078554947</v>
      </c>
      <c r="AF82" s="55">
        <f>SUM(AD82,Z81,U79,P76,K70,F82)</f>
        <v>291.04060678229638</v>
      </c>
      <c r="AG82" s="60">
        <f>AF82/6</f>
        <v>48.506767797049399</v>
      </c>
      <c r="AS82" s="1" t="s">
        <v>97</v>
      </c>
      <c r="AT82" s="1" t="s">
        <v>97</v>
      </c>
    </row>
    <row r="83" spans="4:46" x14ac:dyDescent="0.45">
      <c r="E83" s="1" t="s">
        <v>2</v>
      </c>
      <c r="G83" s="72"/>
      <c r="R83" s="1"/>
      <c r="S83" s="1"/>
      <c r="T83" s="1"/>
      <c r="U83" s="1"/>
      <c r="Z83" s="1"/>
      <c r="AB83" s="17">
        <f>IF($J$1=0,$U$1,$X$1)</f>
        <v>0.74285714285714288</v>
      </c>
      <c r="AC83" s="17">
        <f>AB83*X84</f>
        <v>2.5298898792169934E-2</v>
      </c>
      <c r="AD83" s="49">
        <f>$N$1</f>
        <v>263.95501138952164</v>
      </c>
      <c r="AF83" s="55">
        <f>SUM(AD83,Z84,U85,P88,K94,F82)</f>
        <v>1066.6542837151965</v>
      </c>
      <c r="AG83" s="60">
        <f>AF83/6</f>
        <v>177.77571395253275</v>
      </c>
      <c r="AR83" s="1" t="s">
        <v>95</v>
      </c>
      <c r="AS83" s="1" t="s">
        <v>98</v>
      </c>
      <c r="AT83" s="1" t="s">
        <v>98</v>
      </c>
    </row>
    <row r="84" spans="4:46" x14ac:dyDescent="0.45">
      <c r="G84" s="72"/>
      <c r="U84" s="1"/>
      <c r="W84" s="17">
        <f>IF($J$1=0,$U$1,$X$1)</f>
        <v>0.74285714285714288</v>
      </c>
      <c r="X84" s="17">
        <f>W84*S85</f>
        <v>3.4056209912536446E-2</v>
      </c>
      <c r="Y84" s="17">
        <f>+Z84+U85+P88+K94+F82</f>
        <v>802.69927232567488</v>
      </c>
      <c r="Z84" s="49">
        <f>$N$1</f>
        <v>263.95501138952164</v>
      </c>
      <c r="AA84" s="42"/>
      <c r="AB84" s="15"/>
      <c r="AC84" s="15"/>
      <c r="AF84" s="55"/>
      <c r="AG84" s="44"/>
      <c r="AR84" s="1">
        <v>1</v>
      </c>
      <c r="AS84" s="67">
        <f>U1*N1+U2*N2</f>
        <v>186.39364369623161</v>
      </c>
      <c r="AT84" s="69">
        <f>E113</f>
        <v>197.47383908098737</v>
      </c>
    </row>
    <row r="85" spans="4:46" x14ac:dyDescent="0.45">
      <c r="G85" s="72"/>
      <c r="R85" s="17">
        <f>IF($J$1=0,$U$1,$X$1)</f>
        <v>0.74285714285714288</v>
      </c>
      <c r="S85" s="17">
        <f>R85*N88</f>
        <v>4.5844897959183672E-2</v>
      </c>
      <c r="T85" s="17">
        <f>+U85+P88+K94+F82</f>
        <v>538.74426093615318</v>
      </c>
      <c r="U85" s="49">
        <f>$N$1</f>
        <v>263.95501138952164</v>
      </c>
      <c r="V85" s="42"/>
      <c r="W85" s="15"/>
      <c r="X85" s="15"/>
      <c r="Y85" s="15"/>
      <c r="AA85" s="43"/>
      <c r="AB85" s="17">
        <f>1-AB83</f>
        <v>0.25714285714285712</v>
      </c>
      <c r="AC85" s="17">
        <f>AB85*X84</f>
        <v>8.7573111203665139E-3</v>
      </c>
      <c r="AD85" s="49">
        <f>$N$2</f>
        <v>5.417119078554947</v>
      </c>
      <c r="AF85" s="55">
        <f>SUM(AD85,Z84,U85,P88,K94,F82)</f>
        <v>808.11639140422972</v>
      </c>
      <c r="AG85" s="60">
        <f t="shared" ref="AG85:AG86" si="25">AF85/6</f>
        <v>134.6860652340383</v>
      </c>
      <c r="AR85" s="1">
        <v>2</v>
      </c>
      <c r="AS85" s="58">
        <f>AS84</f>
        <v>186.39364369623161</v>
      </c>
      <c r="AT85" s="69">
        <f>I111</f>
        <v>192.72518391609205</v>
      </c>
    </row>
    <row r="86" spans="4:46" x14ac:dyDescent="0.45">
      <c r="G86" s="72"/>
      <c r="M86" s="1"/>
      <c r="N86" s="1"/>
      <c r="O86" s="1"/>
      <c r="P86" s="1"/>
      <c r="Q86" s="73"/>
      <c r="V86" s="72"/>
      <c r="AB86" s="17">
        <f>IF($J$1=0,$U$1,$AA$1)</f>
        <v>0.6</v>
      </c>
      <c r="AC86" s="17">
        <f>AB86*X87</f>
        <v>7.0732128279883373E-3</v>
      </c>
      <c r="AD86" s="49">
        <f>$N$1</f>
        <v>263.95501138952164</v>
      </c>
      <c r="AF86" s="55">
        <f>SUM(AD86,Z87,U85,P88,K94,F82)</f>
        <v>808.11639140422972</v>
      </c>
      <c r="AG86" s="60">
        <f t="shared" si="25"/>
        <v>134.6860652340383</v>
      </c>
      <c r="AR86" s="1">
        <v>3</v>
      </c>
      <c r="AS86" s="58">
        <f t="shared" ref="AS86:AS89" si="26">AS85</f>
        <v>186.39364369623161</v>
      </c>
      <c r="AT86" s="69">
        <f>N111</f>
        <v>190.69004598827976</v>
      </c>
    </row>
    <row r="87" spans="4:46" x14ac:dyDescent="0.45">
      <c r="G87" s="72"/>
      <c r="P87" s="1"/>
      <c r="Q87" s="73"/>
      <c r="V87" s="72"/>
      <c r="W87" s="17">
        <f>1-W84</f>
        <v>0.25714285714285712</v>
      </c>
      <c r="X87" s="17">
        <f>W87*S85</f>
        <v>1.178868804664723E-2</v>
      </c>
      <c r="Y87" s="17">
        <f>+Z87+U85+P88+K94+F82</f>
        <v>544.16138001470813</v>
      </c>
      <c r="Z87" s="49">
        <f>$N$2</f>
        <v>5.417119078554947</v>
      </c>
      <c r="AA87" s="42"/>
      <c r="AB87" s="15"/>
      <c r="AC87" s="15"/>
      <c r="AF87" s="55"/>
      <c r="AR87" s="1">
        <v>4</v>
      </c>
      <c r="AS87" s="58">
        <f t="shared" si="26"/>
        <v>186.39364369623161</v>
      </c>
      <c r="AT87" s="69">
        <f>S111</f>
        <v>189.62402135942577</v>
      </c>
    </row>
    <row r="88" spans="4:46" x14ac:dyDescent="0.45">
      <c r="G88" s="72"/>
      <c r="M88" s="17">
        <f>IF($J$1=0,$U$1,$AA$1)</f>
        <v>0.6</v>
      </c>
      <c r="N88" s="17">
        <f>M88*I94</f>
        <v>6.1714285714285708E-2</v>
      </c>
      <c r="O88" s="17">
        <f>P88+K94+F82</f>
        <v>274.78924954663154</v>
      </c>
      <c r="P88" s="49">
        <f>$N$1</f>
        <v>263.95501138952164</v>
      </c>
      <c r="Q88" s="73"/>
      <c r="AA88" s="43"/>
      <c r="AB88" s="17">
        <f>1-AB86</f>
        <v>0.4</v>
      </c>
      <c r="AC88" s="17">
        <f>AB88*X87</f>
        <v>4.7154752186588924E-3</v>
      </c>
      <c r="AD88" s="49">
        <f>$N$2</f>
        <v>5.417119078554947</v>
      </c>
      <c r="AF88" s="55">
        <f>SUM(AD88,Z87,U85,P88,K94,F82)</f>
        <v>549.57849909326308</v>
      </c>
      <c r="AG88" s="60">
        <f>AF88/6</f>
        <v>91.596416515543851</v>
      </c>
      <c r="AR88" s="1">
        <v>5</v>
      </c>
      <c r="AS88" s="58">
        <f t="shared" si="26"/>
        <v>186.39364369623161</v>
      </c>
      <c r="AT88" s="69">
        <f>X111</f>
        <v>188.97886879183349</v>
      </c>
    </row>
    <row r="89" spans="4:46" x14ac:dyDescent="0.45">
      <c r="G89" s="72"/>
      <c r="L89" s="73"/>
      <c r="Q89" s="72"/>
      <c r="R89" s="1"/>
      <c r="S89" s="1"/>
      <c r="T89" s="1"/>
      <c r="U89" s="1"/>
      <c r="AB89" s="17">
        <f>IF($J$1=0,$U$1,$X$1)</f>
        <v>0.74285714285714288</v>
      </c>
      <c r="AC89" s="17">
        <f>AB89*X90</f>
        <v>7.0732128279883373E-3</v>
      </c>
      <c r="AD89" s="49">
        <f>$N$1</f>
        <v>263.95501138952164</v>
      </c>
      <c r="AF89" s="55">
        <f>SUM(AD89,Z90,U91,P88,K94,F82)</f>
        <v>808.11639140422972</v>
      </c>
      <c r="AG89" s="60">
        <f>AF89/6</f>
        <v>134.6860652340383</v>
      </c>
      <c r="AR89" s="1">
        <v>6</v>
      </c>
      <c r="AS89" s="58">
        <f t="shared" si="26"/>
        <v>186.39364369623161</v>
      </c>
      <c r="AT89" s="69">
        <f>AC111</f>
        <v>188.33846923052701</v>
      </c>
    </row>
    <row r="90" spans="4:46" x14ac:dyDescent="0.45">
      <c r="G90" s="72"/>
      <c r="L90" s="73"/>
      <c r="Q90" s="72"/>
      <c r="U90" s="1"/>
      <c r="W90" s="17">
        <f>IF($J$1=0,$U$1,$AA$1)</f>
        <v>0.6</v>
      </c>
      <c r="X90" s="17">
        <f>W90*S91</f>
        <v>9.5216326530612235E-3</v>
      </c>
      <c r="Y90" s="17">
        <f>+Z90+U91+P88+K94+F82</f>
        <v>544.16138001470813</v>
      </c>
      <c r="Z90" s="49">
        <f>$N$1</f>
        <v>263.95501138952164</v>
      </c>
      <c r="AA90" s="42"/>
      <c r="AB90" s="15"/>
      <c r="AC90" s="15"/>
      <c r="AF90" s="55"/>
      <c r="AG90" s="44"/>
    </row>
    <row r="91" spans="4:46" x14ac:dyDescent="0.45">
      <c r="G91" s="72"/>
      <c r="L91" s="73"/>
      <c r="Q91" s="72"/>
      <c r="R91" s="17">
        <f>1-R85</f>
        <v>0.25714285714285712</v>
      </c>
      <c r="S91" s="17">
        <f>R91*N88</f>
        <v>1.5869387755102039E-2</v>
      </c>
      <c r="T91" s="17">
        <f>+U91+P88+K94+F82</f>
        <v>280.20636862518649</v>
      </c>
      <c r="U91" s="49">
        <f>$N$2</f>
        <v>5.417119078554947</v>
      </c>
      <c r="V91" s="42"/>
      <c r="W91" s="15"/>
      <c r="X91" s="15"/>
      <c r="Y91" s="15"/>
      <c r="AA91" s="43"/>
      <c r="AB91" s="17">
        <f>1-AB89</f>
        <v>0.25714285714285712</v>
      </c>
      <c r="AC91" s="17">
        <f>AB91*X90</f>
        <v>2.4484198250728857E-3</v>
      </c>
      <c r="AD91" s="49">
        <f>$N$2</f>
        <v>5.417119078554947</v>
      </c>
      <c r="AF91" s="55">
        <f>SUM(AD91,Z90,U91,P88,K94,F82)</f>
        <v>549.57849909326308</v>
      </c>
      <c r="AG91" s="60">
        <f t="shared" ref="AG91:AG92" si="27">AF91/6</f>
        <v>91.596416515543851</v>
      </c>
    </row>
    <row r="92" spans="4:46" x14ac:dyDescent="0.45">
      <c r="G92" s="72"/>
      <c r="H92" s="1"/>
      <c r="I92" s="1"/>
      <c r="J92" s="1"/>
      <c r="K92" s="1"/>
      <c r="L92" s="73"/>
      <c r="V92" s="72"/>
      <c r="AB92" s="17">
        <f>IF($J$1=0,$U$1,$AA$1)</f>
        <v>0.6</v>
      </c>
      <c r="AC92" s="17">
        <f>AB92*X93</f>
        <v>3.8086530612244894E-3</v>
      </c>
      <c r="AD92" s="49">
        <f>$N$1</f>
        <v>263.95501138952164</v>
      </c>
      <c r="AF92" s="55">
        <f>SUM(AD92,Z93,U91,P88,K94,F82)</f>
        <v>549.57849909326308</v>
      </c>
      <c r="AG92" s="60">
        <f t="shared" si="27"/>
        <v>91.596416515543851</v>
      </c>
    </row>
    <row r="93" spans="4:46" x14ac:dyDescent="0.45">
      <c r="G93" s="72"/>
      <c r="K93" s="1"/>
      <c r="L93" s="73"/>
      <c r="V93" s="72"/>
      <c r="W93" s="17">
        <f>1-W90</f>
        <v>0.4</v>
      </c>
      <c r="X93" s="17">
        <f>W93*S91</f>
        <v>6.347755102040816E-3</v>
      </c>
      <c r="Y93" s="17">
        <f>+Z93+U91+P88+K94+F82</f>
        <v>285.62348770374143</v>
      </c>
      <c r="Z93" s="49">
        <f>$N$2</f>
        <v>5.417119078554947</v>
      </c>
      <c r="AA93" s="42"/>
      <c r="AB93" s="15"/>
      <c r="AC93" s="15"/>
      <c r="AF93" s="55"/>
    </row>
    <row r="94" spans="4:46" x14ac:dyDescent="0.45">
      <c r="G94" s="72"/>
      <c r="H94" s="17">
        <f>1-H70</f>
        <v>0.4</v>
      </c>
      <c r="I94" s="17">
        <f>H94*E82</f>
        <v>0.10285714285714286</v>
      </c>
      <c r="J94" s="17">
        <f>F82+K94</f>
        <v>10.834238157109894</v>
      </c>
      <c r="K94" s="49">
        <f>$N$2</f>
        <v>5.417119078554947</v>
      </c>
      <c r="L94" s="73"/>
      <c r="R94" s="9"/>
      <c r="S94" s="9"/>
      <c r="T94" s="9"/>
      <c r="U94" s="9"/>
      <c r="V94" s="8"/>
      <c r="W94" s="8"/>
      <c r="X94" s="8"/>
      <c r="Y94" s="8"/>
      <c r="Z94" s="8"/>
      <c r="AA94" s="43"/>
      <c r="AB94" s="17">
        <f>1-AB92</f>
        <v>0.4</v>
      </c>
      <c r="AC94" s="17">
        <f>AB94*X93</f>
        <v>2.5391020408163266E-3</v>
      </c>
      <c r="AD94" s="49">
        <f>$N$2</f>
        <v>5.417119078554947</v>
      </c>
      <c r="AF94" s="55">
        <f>SUM(AD94,Z93,U91,P88,K94,F82)</f>
        <v>291.04060678229638</v>
      </c>
      <c r="AG94" s="60">
        <f>AF94/6</f>
        <v>48.506767797049399</v>
      </c>
    </row>
    <row r="95" spans="4:46" x14ac:dyDescent="0.45">
      <c r="H95" s="15"/>
      <c r="I95" s="15"/>
      <c r="J95" s="15"/>
      <c r="L95" s="72"/>
      <c r="R95" s="1"/>
      <c r="S95" s="1"/>
      <c r="T95" s="1"/>
      <c r="U95" s="1"/>
      <c r="AB95" s="17">
        <f>IF($J$1=0,$U$1,$X$1)</f>
        <v>0.74285714285714288</v>
      </c>
      <c r="AC95" s="17">
        <f>AB95*X96</f>
        <v>1.3622483965014578E-2</v>
      </c>
      <c r="AD95" s="49">
        <f>$N$1</f>
        <v>263.95501138952164</v>
      </c>
      <c r="AF95" s="55">
        <f>SUM(AD95,Z96,U97,P100,K94,F82)</f>
        <v>808.11639140422983</v>
      </c>
      <c r="AG95" s="60">
        <f>AF95/6</f>
        <v>134.6860652340383</v>
      </c>
    </row>
    <row r="96" spans="4:46" x14ac:dyDescent="0.45">
      <c r="H96" s="15"/>
      <c r="I96" s="15"/>
      <c r="J96" s="15"/>
      <c r="L96" s="72"/>
      <c r="U96" s="1"/>
      <c r="W96" s="17">
        <f>IF($J$1=0,$U$1,$X$1)</f>
        <v>0.74285714285714288</v>
      </c>
      <c r="X96" s="17">
        <f>W96*S97</f>
        <v>1.833795918367347E-2</v>
      </c>
      <c r="Y96" s="17">
        <f>+Z96+U97+P100+K94+F82</f>
        <v>544.16138001470813</v>
      </c>
      <c r="Z96" s="49">
        <f>$N$1</f>
        <v>263.95501138952164</v>
      </c>
      <c r="AA96" s="42"/>
      <c r="AB96" s="15"/>
      <c r="AC96" s="15"/>
      <c r="AF96" s="55"/>
      <c r="AG96" s="44"/>
    </row>
    <row r="97" spans="4:33" x14ac:dyDescent="0.45">
      <c r="H97" s="8"/>
      <c r="I97" s="8"/>
      <c r="J97" s="8"/>
      <c r="K97" s="8"/>
      <c r="L97" s="72"/>
      <c r="R97" s="17">
        <f>IF($J$1=0,$U$1,$AA$1)</f>
        <v>0.6</v>
      </c>
      <c r="S97" s="17">
        <f>R97*N100</f>
        <v>2.4685714285714287E-2</v>
      </c>
      <c r="T97" s="17">
        <f>+U97+P100+K94+F82</f>
        <v>280.20636862518649</v>
      </c>
      <c r="U97" s="49">
        <f>$N$1</f>
        <v>263.95501138952164</v>
      </c>
      <c r="V97" s="42"/>
      <c r="W97" s="15"/>
      <c r="X97" s="15"/>
      <c r="Y97" s="15"/>
      <c r="AA97" s="43"/>
      <c r="AB97" s="17">
        <f>1-AB95</f>
        <v>0.25714285714285712</v>
      </c>
      <c r="AC97" s="17">
        <f>AB97*X96</f>
        <v>4.7154752186588916E-3</v>
      </c>
      <c r="AD97" s="49">
        <f>$N$2</f>
        <v>5.417119078554947</v>
      </c>
      <c r="AF97" s="55">
        <f>SUM(AD97,Z96,U97,P100,K94,F82)</f>
        <v>549.57849909326308</v>
      </c>
      <c r="AG97" s="60">
        <f t="shared" ref="AG97:AG98" si="28">AF97/6</f>
        <v>91.596416515543851</v>
      </c>
    </row>
    <row r="98" spans="4:33" x14ac:dyDescent="0.45">
      <c r="H98" s="50"/>
      <c r="I98" s="50"/>
      <c r="J98" s="50"/>
      <c r="K98" s="66"/>
      <c r="L98" s="72"/>
      <c r="M98" s="1"/>
      <c r="N98" s="1"/>
      <c r="O98" s="1"/>
      <c r="P98" s="1"/>
      <c r="Q98" s="73"/>
      <c r="V98" s="72"/>
      <c r="AB98" s="17">
        <f>IF($J$1=0,$U$1,$AA$1)</f>
        <v>0.6</v>
      </c>
      <c r="AC98" s="17">
        <f>AB98*X99</f>
        <v>3.8086530612244894E-3</v>
      </c>
      <c r="AD98" s="49">
        <f>$N$1</f>
        <v>263.95501138952164</v>
      </c>
      <c r="AF98" s="55">
        <f>SUM(AD98,Z99,U97,P100,K94,F82)</f>
        <v>549.57849909326308</v>
      </c>
      <c r="AG98" s="60">
        <f t="shared" si="28"/>
        <v>91.596416515543851</v>
      </c>
    </row>
    <row r="99" spans="4:33" x14ac:dyDescent="0.45">
      <c r="H99" s="50"/>
      <c r="I99" s="8"/>
      <c r="J99" s="8"/>
      <c r="K99" s="8"/>
      <c r="L99" s="72"/>
      <c r="P99" s="1"/>
      <c r="Q99" s="73"/>
      <c r="V99" s="72"/>
      <c r="W99" s="17">
        <f>1-W96</f>
        <v>0.25714285714285712</v>
      </c>
      <c r="X99" s="17">
        <f>W99*S97</f>
        <v>6.347755102040816E-3</v>
      </c>
      <c r="Y99" s="17">
        <f>+Z99+U97+P100+K94+F82</f>
        <v>285.62348770374143</v>
      </c>
      <c r="Z99" s="49">
        <f>$N$2</f>
        <v>5.417119078554947</v>
      </c>
      <c r="AA99" s="42"/>
      <c r="AB99" s="15"/>
      <c r="AC99" s="15"/>
      <c r="AF99" s="55"/>
    </row>
    <row r="100" spans="4:33" x14ac:dyDescent="0.45">
      <c r="H100" s="50"/>
      <c r="I100" s="50"/>
      <c r="J100" s="50"/>
      <c r="K100" s="66"/>
      <c r="L100" s="72"/>
      <c r="M100" s="17">
        <f>1-M88</f>
        <v>0.4</v>
      </c>
      <c r="N100" s="17">
        <f>M100*I94</f>
        <v>4.1142857142857148E-2</v>
      </c>
      <c r="O100" s="17">
        <f>P100+K94+F82</f>
        <v>16.251357235664841</v>
      </c>
      <c r="P100" s="49">
        <f>$N$2</f>
        <v>5.417119078554947</v>
      </c>
      <c r="Q100" s="73"/>
      <c r="AA100" s="43"/>
      <c r="AB100" s="17">
        <f>1-AB98</f>
        <v>0.4</v>
      </c>
      <c r="AC100" s="17">
        <f>AB100*X99</f>
        <v>2.5391020408163266E-3</v>
      </c>
      <c r="AD100" s="49">
        <f>$N$2</f>
        <v>5.417119078554947</v>
      </c>
      <c r="AF100" s="55">
        <f>SUM(AD100,Z99,U97,P100,K94,F82)</f>
        <v>291.04060678229638</v>
      </c>
      <c r="AG100" s="60">
        <f>AF100/6</f>
        <v>48.506767797049399</v>
      </c>
    </row>
    <row r="101" spans="4:33" x14ac:dyDescent="0.45">
      <c r="H101" s="50"/>
      <c r="I101" s="50"/>
      <c r="J101" s="50"/>
      <c r="K101" s="8"/>
      <c r="Q101" s="72"/>
      <c r="R101" s="1"/>
      <c r="S101" s="1"/>
      <c r="T101" s="1"/>
      <c r="U101" s="1"/>
      <c r="AB101" s="17">
        <f>IF($J$1=0,$U$1,$X$1)</f>
        <v>0.74285714285714288</v>
      </c>
      <c r="AC101" s="17">
        <f>AB101*X102</f>
        <v>7.3351836734693891E-3</v>
      </c>
      <c r="AD101" s="49">
        <f>$N$1</f>
        <v>263.95501138952164</v>
      </c>
      <c r="AF101" s="55">
        <f>SUM(AD101,Z102,U103,P100,K94,F82)</f>
        <v>549.57849909326308</v>
      </c>
      <c r="AG101" s="60">
        <f>AF101/6</f>
        <v>91.596416515543851</v>
      </c>
    </row>
    <row r="102" spans="4:33" x14ac:dyDescent="0.45">
      <c r="H102" s="50"/>
      <c r="I102" s="50"/>
      <c r="J102" s="50"/>
      <c r="K102" s="66"/>
      <c r="Q102" s="72"/>
      <c r="U102" s="1"/>
      <c r="W102" s="17">
        <f>IF($J$1=0,$U$1,$AA$1)</f>
        <v>0.6</v>
      </c>
      <c r="X102" s="17">
        <f>W102*S103</f>
        <v>9.8742857142857157E-3</v>
      </c>
      <c r="Y102" s="17">
        <f>+Z102+U103+P100+K94+F82</f>
        <v>285.62348770374143</v>
      </c>
      <c r="Z102" s="49">
        <f>$N$1</f>
        <v>263.95501138952164</v>
      </c>
      <c r="AA102" s="42"/>
      <c r="AB102" s="15"/>
      <c r="AC102" s="15"/>
      <c r="AF102" s="55"/>
      <c r="AG102" s="44"/>
    </row>
    <row r="103" spans="4:33" x14ac:dyDescent="0.45">
      <c r="H103" s="8"/>
      <c r="I103" s="50"/>
      <c r="J103" s="50"/>
      <c r="K103" s="8"/>
      <c r="Q103" s="72"/>
      <c r="R103" s="17">
        <f>M100</f>
        <v>0.4</v>
      </c>
      <c r="S103" s="17">
        <f>R103*N100</f>
        <v>1.6457142857142861E-2</v>
      </c>
      <c r="T103" s="17">
        <f>+U103+P100+K94+F82</f>
        <v>21.668476314219788</v>
      </c>
      <c r="U103" s="49">
        <f>$N$2</f>
        <v>5.417119078554947</v>
      </c>
      <c r="V103" s="42"/>
      <c r="W103" s="15"/>
      <c r="X103" s="15"/>
      <c r="Y103" s="15"/>
      <c r="AA103" s="43"/>
      <c r="AB103" s="17">
        <f>1-AB101</f>
        <v>0.25714285714285712</v>
      </c>
      <c r="AC103" s="17">
        <f>AB103*X102</f>
        <v>2.5391020408163266E-3</v>
      </c>
      <c r="AD103" s="49">
        <f>$N$2</f>
        <v>5.417119078554947</v>
      </c>
      <c r="AF103" s="55">
        <f>SUM(AD103,Z102,U103,P100,K94,F82)</f>
        <v>291.04060678229638</v>
      </c>
      <c r="AG103" s="60">
        <f>AF103/6</f>
        <v>48.506767797049399</v>
      </c>
    </row>
    <row r="104" spans="4:33" x14ac:dyDescent="0.45">
      <c r="H104" s="8"/>
      <c r="I104" s="50"/>
      <c r="J104" s="50"/>
      <c r="K104" s="8"/>
      <c r="V104" s="72"/>
      <c r="AB104" s="17">
        <f>IF($J$1=0,$U$1,$AA$1)</f>
        <v>0.6</v>
      </c>
      <c r="AC104" s="17">
        <f>AB104*X105</f>
        <v>3.9497142857142864E-3</v>
      </c>
      <c r="AD104" s="49">
        <f>$N$1</f>
        <v>263.95501138952164</v>
      </c>
      <c r="AF104" s="55">
        <f>SUM(AD104,Z105,U103,P100,K94,F82)</f>
        <v>291.04060678229638</v>
      </c>
      <c r="AG104" s="60">
        <f>AF104/6</f>
        <v>48.506767797049399</v>
      </c>
    </row>
    <row r="105" spans="4:33" x14ac:dyDescent="0.45">
      <c r="V105" s="72"/>
      <c r="W105" s="17">
        <f>1-W102</f>
        <v>0.4</v>
      </c>
      <c r="X105" s="17">
        <f>W105*S103</f>
        <v>6.5828571428571446E-3</v>
      </c>
      <c r="Y105" s="17">
        <f>+Z105+U103+P100+K94+F82</f>
        <v>27.085595392774735</v>
      </c>
      <c r="Z105" s="49">
        <f>$N$2</f>
        <v>5.417119078554947</v>
      </c>
      <c r="AA105" s="42"/>
      <c r="AB105" s="15"/>
      <c r="AC105" s="15"/>
      <c r="AF105" s="55"/>
    </row>
    <row r="106" spans="4:33" x14ac:dyDescent="0.45">
      <c r="AA106" s="43"/>
      <c r="AB106" s="17">
        <f>1-AB104</f>
        <v>0.4</v>
      </c>
      <c r="AC106" s="17">
        <f>AB106*X105</f>
        <v>2.6331428571428582E-3</v>
      </c>
      <c r="AD106" s="49">
        <f>$N$2</f>
        <v>5.417119078554947</v>
      </c>
      <c r="AF106" s="55">
        <f>SUM(AD106,Z105,U103,P100,K94,F82)</f>
        <v>32.502714471329682</v>
      </c>
      <c r="AG106" s="60">
        <f>AF106/6</f>
        <v>5.417119078554947</v>
      </c>
    </row>
    <row r="107" spans="4:33" x14ac:dyDescent="0.45">
      <c r="AG107" s="44"/>
    </row>
    <row r="108" spans="4:33" x14ac:dyDescent="0.45">
      <c r="D108" t="s">
        <v>74</v>
      </c>
      <c r="E108" s="15">
        <f>SUM(E12:E104)</f>
        <v>1</v>
      </c>
      <c r="I108" s="15">
        <f>SUM(I12:I104)</f>
        <v>1</v>
      </c>
      <c r="J108" s="15"/>
      <c r="N108" s="15">
        <f>SUM(N12:N104)</f>
        <v>1</v>
      </c>
      <c r="O108" s="15"/>
      <c r="S108" s="15">
        <f>SUM(S12:S104)</f>
        <v>1</v>
      </c>
      <c r="T108" s="15"/>
      <c r="X108" s="15">
        <f>SUM(X12:X105)</f>
        <v>0.99999999999999989</v>
      </c>
      <c r="Y108" s="15"/>
      <c r="AC108" s="15">
        <f>SUM(AC11:AC106)</f>
        <v>0.99999999999999989</v>
      </c>
    </row>
    <row r="109" spans="4:33" x14ac:dyDescent="0.45">
      <c r="D109" t="s">
        <v>75</v>
      </c>
    </row>
    <row r="110" spans="4:33" x14ac:dyDescent="0.45">
      <c r="D110" t="s">
        <v>90</v>
      </c>
      <c r="E110" s="58">
        <f>E34*F34+E82*F82</f>
        <v>197.47383908098737</v>
      </c>
      <c r="F110" s="58"/>
      <c r="G110" s="58"/>
      <c r="H110" s="58"/>
      <c r="I110" s="58">
        <f>SUM(F34,K22)*I22+SUM(F34,K46)*I46+SUM(F82,K70)*I70+SUM(F82,K94)*I94</f>
        <v>385.4503678321841</v>
      </c>
      <c r="J110" s="58">
        <f>SUMPRODUCT(I22:I94,J22:J94)</f>
        <v>385.4503678321841</v>
      </c>
      <c r="K110" s="58"/>
      <c r="L110" s="58"/>
      <c r="M110" s="58"/>
      <c r="N110" s="58">
        <f>SUM(F34,K22,P16)*N16+SUM(F34,K22,P28)*N28+SUM(F34,K46,P40)*N40+SUM(F34,K46,P52)*N52+SUM(F82,K70,P64)*N64+SUM(F82,K70,P76)*N76+SUM(F82,K94,P88)*N88+SUM(F82,K94,P100)*N100</f>
        <v>572.07013796483932</v>
      </c>
      <c r="O110" s="58">
        <f>SUMPRODUCT(N11:N106,O11:O106)</f>
        <v>572.07013796483932</v>
      </c>
      <c r="P110" s="58"/>
      <c r="Q110" s="58"/>
      <c r="R110" s="58"/>
      <c r="S110" s="58">
        <f>SUM($F$34,$K$22,$P$16,$U$13)*S13+SUM($F$34,$K$22,$P$16,$U$19)*S19+SUM($F$34,$K$22,$P$28,$U$25)*S25+SUM($F$34,$K$22,$P$28,$U$31)*S31+SUM($F$34,$K$46,$P$40,$U$37)*S37+SUM($F$34,$K$46,$P$40,$U$43)*S43+SUM($F$34,$K$46,$P$52,$U$49)*S49+SUM($F$34,$K$46,$P$52,$U$55)*S55+SUM($F$82,$K$70,$P$64,$U$61)*S61+SUM($F$82,$K$70,$P$64,$U$67)*S67+SUM($F$82,$K$70,$P$76,$U$73)*S73+SUM($F$82,$K$70,$P$76,$U$79)*S79+SUM($F$82,$K$94,$P$88,$U$85)*S85+SUM($F$82,$K$94,$P$88,$U$91)*S91+SUM($F$82,$K$94,$P$100,$U$97)*S97+SUM($F$82,$K$94,$P$100,$U$103)*S103</f>
        <v>758.49608543770307</v>
      </c>
      <c r="T110" s="58">
        <f>SUMPRODUCT(S11:S106,T11:T106)</f>
        <v>758.49608543770307</v>
      </c>
      <c r="U110" s="58"/>
      <c r="V110" s="58"/>
      <c r="W110" s="58"/>
      <c r="X110" s="58">
        <f>SUM($F$34,$K$22,$P$16,$U$13,Z12)*X12+SUM($F$34,$K$22,$P$16,$U$19,Z18)*X18+SUM($F$34,$K$22,$P$28,$U$25,Z24)*X24+SUM($F$34,$K$22,$P$28,$U$31,Z30)*X30+SUM($F$34,$K$46,$P$40,$U$37,Z36)*X36+SUM($F$34,$K$46,$P$40,$U$43,Z42)*X42+SUM($F$34,$K$46,$P$52,$U$49,Z48)*X48+SUM($F$34,$K$46,$P$52,$U$55,Z54)*X54+SUM($F$82,$K$70,$P$64,$U$61,Z60)*X60+SUM($F$82,$K$70,$P$64,$U$67,Z66)*X66+SUM($F$82,$K$70,$P$76,$U$73,Z72)*X72+SUM($F$82,$K$70,$P$76,$U$79,Z78)*X78+SUM($F$82,$K$94,$P$88,$U$85,Z84)*X84+SUM($F$82,$K$94,$P$88,$U$91,Z90)*X90+SUM($F$82,$K$94,$P$100,$U$97,Z96)*X96+SUM($F$82,$K$94,$P$100,$U$103,Z102)*X102+SUM($F$34,$K$22,$P$16,$U$13,Z15)*X15+SUM($F$34,$K$22,$P$16,$U$19,Z21)*X21+SUM($F$34,$K$22,$P$28,$U$25,Z27)*X27+SUM($F$34,$K$22,$P$28,$U$31,Z33)*X33+SUM($F$34,$K$46,$P$40,$U$37,Z39)*X39+SUM($F$34,$K$46,$P$40,$U$43,Z45)*X45+SUM($F$34,$K$46,$P$52,$U$49,Z51)*X51+SUM($F$34,$K$46,$P$52,$U$55,Z57)*X57+SUM($F$82,$K$70,$P$64,$U$61,Z63)*X63+SUM($F$82,$K$70,$P$64,$U$67,Z69)*X69+SUM($F$82,$K$70,$P$76,$U$73,Z75)*X75+SUM($F$82,$K$70,$P$76,$U$79,Z81)*X81+SUM($F$82,$K$94,$P$88,$U$85,Z87)*X87+SUM($F$82,$K$94,$P$88,$U$91,Z93)*X93+SUM($F$82,$K$94,$P$100,$U$97,Z99)*X99+SUM($F$82,$K$94,$P$100,$U$103,Z105)*X105</f>
        <v>944.89434395916749</v>
      </c>
      <c r="Y110" s="58">
        <f>SUMPRODUCT(X11:X106,Y11:Y106)</f>
        <v>944.89434395916749</v>
      </c>
      <c r="Z110" s="58"/>
      <c r="AA110" s="58"/>
      <c r="AB110" s="58"/>
      <c r="AC110" s="58">
        <f>SUMPRODUCT(AC11:AC106,AF11:AF106)</f>
        <v>1130.030815383162</v>
      </c>
    </row>
    <row r="111" spans="4:33" x14ac:dyDescent="0.45">
      <c r="D111" t="s">
        <v>91</v>
      </c>
      <c r="E111" s="58">
        <f>E110/1</f>
        <v>197.47383908098737</v>
      </c>
      <c r="F111" s="58"/>
      <c r="G111" s="58"/>
      <c r="H111" s="58"/>
      <c r="I111" s="58">
        <f>I110/2</f>
        <v>192.72518391609205</v>
      </c>
      <c r="J111" s="58">
        <f>J110/2</f>
        <v>192.72518391609205</v>
      </c>
      <c r="K111" s="58"/>
      <c r="L111" s="58"/>
      <c r="M111" s="58"/>
      <c r="N111" s="58">
        <f>N110/3</f>
        <v>190.69004598827976</v>
      </c>
      <c r="O111" s="58">
        <f>O110/3</f>
        <v>190.69004598827976</v>
      </c>
      <c r="P111" s="58"/>
      <c r="Q111" s="58"/>
      <c r="R111" s="58"/>
      <c r="S111" s="58">
        <f>S110/4</f>
        <v>189.62402135942577</v>
      </c>
      <c r="T111" s="58">
        <f>T110/4</f>
        <v>189.62402135942577</v>
      </c>
      <c r="U111" s="58"/>
      <c r="V111" s="58"/>
      <c r="W111" s="58"/>
      <c r="X111" s="58">
        <f>X110/5</f>
        <v>188.97886879183349</v>
      </c>
      <c r="Y111" s="58">
        <f>Y110/5</f>
        <v>188.97886879183349</v>
      </c>
      <c r="Z111" s="58"/>
      <c r="AA111" s="58"/>
      <c r="AB111" s="58"/>
      <c r="AC111" s="58">
        <f>AC110/6</f>
        <v>188.33846923052701</v>
      </c>
    </row>
    <row r="113" spans="5:29" x14ac:dyDescent="0.45">
      <c r="E113" s="58">
        <f>E111</f>
        <v>197.47383908098737</v>
      </c>
      <c r="I113" s="58">
        <f>E113</f>
        <v>197.47383908098737</v>
      </c>
      <c r="J113" s="58"/>
      <c r="K113" s="1"/>
      <c r="L113" s="1"/>
      <c r="M113" s="1"/>
      <c r="N113" s="58">
        <f>I113</f>
        <v>197.47383908098737</v>
      </c>
      <c r="O113" s="58"/>
      <c r="P113" s="1"/>
      <c r="Q113" s="1"/>
      <c r="R113" s="1"/>
      <c r="S113" s="58">
        <f>N113</f>
        <v>197.47383908098737</v>
      </c>
      <c r="T113" s="58"/>
      <c r="U113" s="1"/>
      <c r="V113" s="1"/>
      <c r="W113" s="1"/>
      <c r="X113" s="58">
        <f>S113</f>
        <v>197.47383908098737</v>
      </c>
      <c r="Y113" s="58"/>
      <c r="Z113" s="1"/>
      <c r="AA113" s="1"/>
      <c r="AB113" s="1"/>
      <c r="AC113" s="58">
        <f>X113</f>
        <v>197.47383908098737</v>
      </c>
    </row>
  </sheetData>
  <mergeCells count="48">
    <mergeCell ref="L95:L100"/>
    <mergeCell ref="Q98:Q100"/>
    <mergeCell ref="V98:V99"/>
    <mergeCell ref="Q101:Q103"/>
    <mergeCell ref="V104:V105"/>
    <mergeCell ref="G83:G94"/>
    <mergeCell ref="Q86:Q88"/>
    <mergeCell ref="V86:V87"/>
    <mergeCell ref="L89:L94"/>
    <mergeCell ref="Q89:Q91"/>
    <mergeCell ref="V92:V93"/>
    <mergeCell ref="Q53:Q55"/>
    <mergeCell ref="V56:V57"/>
    <mergeCell ref="B57:B58"/>
    <mergeCell ref="C57:C58"/>
    <mergeCell ref="D58:D82"/>
    <mergeCell ref="Q62:Q64"/>
    <mergeCell ref="V62:V63"/>
    <mergeCell ref="L65:L70"/>
    <mergeCell ref="Q65:Q67"/>
    <mergeCell ref="V68:V69"/>
    <mergeCell ref="G71:G82"/>
    <mergeCell ref="L71:L76"/>
    <mergeCell ref="Q74:Q76"/>
    <mergeCell ref="V74:V75"/>
    <mergeCell ref="Q77:Q79"/>
    <mergeCell ref="V80:V81"/>
    <mergeCell ref="V32:V33"/>
    <mergeCell ref="D35:D57"/>
    <mergeCell ref="G35:G46"/>
    <mergeCell ref="Q38:Q40"/>
    <mergeCell ref="V38:V39"/>
    <mergeCell ref="L41:L46"/>
    <mergeCell ref="Q41:Q43"/>
    <mergeCell ref="V44:V45"/>
    <mergeCell ref="L47:L52"/>
    <mergeCell ref="Q50:Q52"/>
    <mergeCell ref="G23:G34"/>
    <mergeCell ref="L23:L28"/>
    <mergeCell ref="Q26:Q28"/>
    <mergeCell ref="V26:V27"/>
    <mergeCell ref="Q29:Q31"/>
    <mergeCell ref="V50:V51"/>
    <mergeCell ref="Q14:Q16"/>
    <mergeCell ref="V14:V15"/>
    <mergeCell ref="L17:L22"/>
    <mergeCell ref="Q17:Q19"/>
    <mergeCell ref="V20:V2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8"/>
  <sheetViews>
    <sheetView topLeftCell="C1" zoomScale="70" zoomScaleNormal="70" workbookViewId="0">
      <pane xSplit="1" ySplit="6" topLeftCell="D94" activePane="bottomRight" state="frozen"/>
      <selection activeCell="C1" sqref="C1"/>
      <selection pane="topRight" activeCell="D1" sqref="D1"/>
      <selection pane="bottomLeft" activeCell="C7" sqref="C7"/>
      <selection pane="bottomRight" activeCell="Z93" sqref="Z93"/>
    </sheetView>
  </sheetViews>
  <sheetFormatPr defaultRowHeight="14.25" x14ac:dyDescent="0.45"/>
  <cols>
    <col min="4" max="4" width="10.86328125" bestFit="1" customWidth="1"/>
    <col min="6" max="6" width="10.59765625" bestFit="1" customWidth="1"/>
    <col min="9" max="9" width="10.86328125" bestFit="1" customWidth="1"/>
    <col min="10" max="10" width="12.1328125" bestFit="1" customWidth="1"/>
    <col min="13" max="13" width="10.86328125" bestFit="1" customWidth="1"/>
    <col min="14" max="14" width="12.1328125" bestFit="1" customWidth="1"/>
    <col min="17" max="17" width="10.86328125" bestFit="1" customWidth="1"/>
    <col min="18" max="18" width="12.1328125" bestFit="1" customWidth="1"/>
    <col min="21" max="21" width="10.86328125" bestFit="1" customWidth="1"/>
    <col min="22" max="22" width="12.1328125" bestFit="1" customWidth="1"/>
    <col min="23" max="26" width="12.1328125" customWidth="1"/>
    <col min="28" max="28" width="11" bestFit="1" customWidth="1"/>
  </cols>
  <sheetData>
    <row r="1" spans="1:29" x14ac:dyDescent="0.45">
      <c r="D1" t="s">
        <v>4</v>
      </c>
      <c r="E1" s="15">
        <f>Sheet1!F38</f>
        <v>0.68333333333333335</v>
      </c>
      <c r="G1" s="56" t="s">
        <v>72</v>
      </c>
      <c r="H1" s="1">
        <v>0</v>
      </c>
      <c r="J1" s="57">
        <v>0</v>
      </c>
      <c r="L1" s="56" t="s">
        <v>70</v>
      </c>
      <c r="M1" s="56" t="s">
        <v>76</v>
      </c>
      <c r="N1" s="59">
        <f>Sheet1!R38</f>
        <v>235.69094894251003</v>
      </c>
    </row>
    <row r="2" spans="1:29" x14ac:dyDescent="0.45">
      <c r="D2" t="s">
        <v>5</v>
      </c>
      <c r="E2" s="15">
        <f>Sheet1!E6</f>
        <v>0.31578947368421051</v>
      </c>
      <c r="G2" s="56" t="s">
        <v>73</v>
      </c>
      <c r="H2" s="1">
        <v>1</v>
      </c>
      <c r="M2" s="56" t="s">
        <v>77</v>
      </c>
      <c r="N2" s="59">
        <f>Sheet1!R42</f>
        <v>1.0828396339164925</v>
      </c>
    </row>
    <row r="4" spans="1:29" x14ac:dyDescent="0.45">
      <c r="AC4" s="44">
        <f>AC5/5</f>
        <v>0</v>
      </c>
    </row>
    <row r="5" spans="1:29" x14ac:dyDescent="0.45">
      <c r="E5" s="1" t="s">
        <v>63</v>
      </c>
      <c r="F5" s="1" t="s">
        <v>62</v>
      </c>
      <c r="H5" s="1" t="s">
        <v>64</v>
      </c>
      <c r="I5" s="1" t="s">
        <v>65</v>
      </c>
      <c r="J5" s="1" t="s">
        <v>70</v>
      </c>
      <c r="L5" s="1" t="s">
        <v>64</v>
      </c>
      <c r="M5" s="1" t="s">
        <v>65</v>
      </c>
      <c r="N5" s="1" t="s">
        <v>70</v>
      </c>
      <c r="P5" s="1" t="s">
        <v>64</v>
      </c>
      <c r="Q5" s="1" t="s">
        <v>65</v>
      </c>
      <c r="R5" s="1" t="s">
        <v>70</v>
      </c>
      <c r="T5" s="1" t="s">
        <v>64</v>
      </c>
      <c r="U5" s="1" t="s">
        <v>65</v>
      </c>
      <c r="V5" s="1" t="s">
        <v>70</v>
      </c>
      <c r="W5" s="1"/>
      <c r="X5" s="1"/>
      <c r="Y5" s="1"/>
      <c r="Z5" s="1"/>
      <c r="AB5" s="55"/>
      <c r="AC5" s="55">
        <f>SUM(AC9:AC101)</f>
        <v>0</v>
      </c>
    </row>
    <row r="6" spans="1:29" x14ac:dyDescent="0.45">
      <c r="F6" s="1" t="s">
        <v>35</v>
      </c>
      <c r="J6" s="1" t="s">
        <v>35</v>
      </c>
      <c r="N6" s="1" t="s">
        <v>35</v>
      </c>
      <c r="R6" s="1" t="s">
        <v>35</v>
      </c>
      <c r="V6" s="1" t="s">
        <v>35</v>
      </c>
      <c r="W6" s="1"/>
      <c r="X6" s="1"/>
      <c r="Y6" s="1"/>
      <c r="Z6" s="1"/>
    </row>
    <row r="7" spans="1:29" x14ac:dyDescent="0.45">
      <c r="F7" s="1"/>
      <c r="J7" s="1"/>
      <c r="N7" s="1"/>
      <c r="R7" s="1"/>
      <c r="V7" s="1"/>
      <c r="W7" s="1"/>
      <c r="X7" s="1"/>
      <c r="Y7" s="1"/>
      <c r="Z7" s="1"/>
    </row>
    <row r="8" spans="1:29" x14ac:dyDescent="0.45">
      <c r="F8" s="1"/>
      <c r="J8" s="1"/>
      <c r="N8" s="1"/>
      <c r="R8" s="1"/>
      <c r="V8" s="1"/>
      <c r="X8" s="17">
        <f>$E$1</f>
        <v>0.68333333333333335</v>
      </c>
      <c r="Y8" s="17">
        <f>X8*U9</f>
        <v>0.10181121915723595</v>
      </c>
      <c r="Z8" s="49">
        <f>$N$1</f>
        <v>235.69094894251003</v>
      </c>
      <c r="AB8" s="55">
        <f>SUM(Z8,V9,R10,N13,J19,F31)</f>
        <v>1414.1456936550601</v>
      </c>
    </row>
    <row r="9" spans="1:29" x14ac:dyDescent="0.45">
      <c r="T9" s="17">
        <f>$E$1</f>
        <v>0.68333333333333335</v>
      </c>
      <c r="U9" s="17">
        <f>T9*Q10</f>
        <v>0.14899202803497943</v>
      </c>
      <c r="V9" s="49">
        <f>$N$1</f>
        <v>235.69094894251003</v>
      </c>
      <c r="W9" s="42"/>
      <c r="X9" s="15"/>
      <c r="Y9" s="15"/>
      <c r="AB9" s="55"/>
      <c r="AC9" s="44"/>
    </row>
    <row r="10" spans="1:29" x14ac:dyDescent="0.45">
      <c r="P10" s="17">
        <f>$E$1</f>
        <v>0.68333333333333335</v>
      </c>
      <c r="Q10" s="17">
        <f>P10*M13</f>
        <v>0.21803711419753088</v>
      </c>
      <c r="R10" s="49">
        <f>$N$1</f>
        <v>235.69094894251003</v>
      </c>
      <c r="S10" s="42"/>
      <c r="T10" s="15"/>
      <c r="U10" s="15"/>
      <c r="W10" s="43"/>
      <c r="X10" s="17">
        <f>1-X8</f>
        <v>0.31666666666666665</v>
      </c>
      <c r="Y10" s="17">
        <f>X10*U9</f>
        <v>4.7180808877743487E-2</v>
      </c>
      <c r="Z10" s="49">
        <f>$N$2</f>
        <v>1.0828396339164925</v>
      </c>
      <c r="AB10" s="55">
        <f>SUM(Z10,V9,R10,N13,J19,F31)</f>
        <v>1179.5375843464665</v>
      </c>
    </row>
    <row r="11" spans="1:29" x14ac:dyDescent="0.45">
      <c r="O11" s="73"/>
      <c r="S11" s="72"/>
      <c r="X11" s="17">
        <f>IF($J$1=0,$E$1,$E$2)</f>
        <v>0.68333333333333335</v>
      </c>
      <c r="Y11" s="17">
        <f>X11*U12</f>
        <v>4.7180808877743494E-2</v>
      </c>
      <c r="Z11" s="49">
        <f>$N$1</f>
        <v>235.69094894251003</v>
      </c>
      <c r="AB11" s="55">
        <f>SUM(Z11,V12,R10,N13,J19,F31)</f>
        <v>1179.5375843464665</v>
      </c>
      <c r="AC11" s="44"/>
    </row>
    <row r="12" spans="1:29" x14ac:dyDescent="0.45">
      <c r="O12" s="73"/>
      <c r="S12" s="72"/>
      <c r="T12" s="17">
        <f>1-T9</f>
        <v>0.31666666666666665</v>
      </c>
      <c r="U12" s="17">
        <f>T12*Q10</f>
        <v>6.904508616255145E-2</v>
      </c>
      <c r="V12" s="49">
        <f>$N$2</f>
        <v>1.0828396339164925</v>
      </c>
      <c r="W12" s="42"/>
      <c r="X12" s="15"/>
      <c r="Y12" s="15"/>
      <c r="AB12" s="55"/>
    </row>
    <row r="13" spans="1:29" x14ac:dyDescent="0.45">
      <c r="L13" s="17">
        <f>$E$1</f>
        <v>0.68333333333333335</v>
      </c>
      <c r="M13" s="17">
        <f>L13*I19</f>
        <v>0.31907870370370373</v>
      </c>
      <c r="N13" s="49">
        <f>$N$1</f>
        <v>235.69094894251003</v>
      </c>
      <c r="O13" s="73"/>
      <c r="W13" s="43"/>
      <c r="X13" s="17">
        <f>1-X11</f>
        <v>0.31666666666666665</v>
      </c>
      <c r="Y13" s="17">
        <f>X13*U12</f>
        <v>2.186427728480796E-2</v>
      </c>
      <c r="Z13" s="49">
        <f>$N$2</f>
        <v>1.0828396339164925</v>
      </c>
      <c r="AB13" s="55">
        <f>SUM(Z13,V12,R10,N13,J19,F31)</f>
        <v>944.92947503787309</v>
      </c>
    </row>
    <row r="14" spans="1:29" x14ac:dyDescent="0.45">
      <c r="K14" s="73"/>
      <c r="O14" s="72"/>
      <c r="P14" s="1"/>
      <c r="Q14" s="1"/>
      <c r="R14" s="1"/>
      <c r="X14" s="17">
        <f>$E$1</f>
        <v>0.68333333333333335</v>
      </c>
      <c r="Y14" s="17">
        <f>X14*U15</f>
        <v>4.718080887774348E-2</v>
      </c>
      <c r="Z14" s="49">
        <f>$N$1</f>
        <v>235.69094894251003</v>
      </c>
      <c r="AB14" s="55">
        <f>SUM(Z14,V15,R16,N13,J19,F31)</f>
        <v>1179.5375843464665</v>
      </c>
    </row>
    <row r="15" spans="1:29" x14ac:dyDescent="0.45">
      <c r="A15" s="8"/>
      <c r="B15" s="8"/>
      <c r="C15" s="8"/>
      <c r="D15" s="8"/>
      <c r="E15" s="8"/>
      <c r="F15" s="8"/>
      <c r="K15" s="73"/>
      <c r="O15" s="72"/>
      <c r="R15" s="1"/>
      <c r="T15" s="17">
        <f>IF($J$1=0,$E$1,$E$2)</f>
        <v>0.68333333333333335</v>
      </c>
      <c r="U15" s="17">
        <f>T15*Q16</f>
        <v>6.9045086162551436E-2</v>
      </c>
      <c r="V15" s="49">
        <f>$N$1</f>
        <v>235.69094894251003</v>
      </c>
      <c r="W15" s="42"/>
      <c r="X15" s="15"/>
      <c r="Y15" s="15"/>
      <c r="AB15" s="55"/>
      <c r="AC15" s="44"/>
    </row>
    <row r="16" spans="1:29" x14ac:dyDescent="0.45">
      <c r="A16" s="8"/>
      <c r="B16" s="8"/>
      <c r="C16" s="8"/>
      <c r="D16" s="8"/>
      <c r="E16" s="8"/>
      <c r="F16" s="8"/>
      <c r="K16" s="73"/>
      <c r="O16" s="72"/>
      <c r="P16" s="17">
        <f>1-P10</f>
        <v>0.31666666666666665</v>
      </c>
      <c r="Q16" s="17">
        <f>P16*M13</f>
        <v>0.10104158950617284</v>
      </c>
      <c r="R16" s="49">
        <f>$N$2</f>
        <v>1.0828396339164925</v>
      </c>
      <c r="S16" s="42"/>
      <c r="T16" s="15"/>
      <c r="U16" s="15"/>
      <c r="W16" s="43"/>
      <c r="X16" s="17">
        <f>1-X14</f>
        <v>0.31666666666666665</v>
      </c>
      <c r="Y16" s="17">
        <f>X16*U15</f>
        <v>2.1864277284807953E-2</v>
      </c>
      <c r="Z16" s="49">
        <f>$N$2</f>
        <v>1.0828396339164925</v>
      </c>
      <c r="AB16" s="55">
        <f>SUM(Z16,V15,R16,N13,J19,F31)</f>
        <v>944.92947503787309</v>
      </c>
    </row>
    <row r="17" spans="1:29" x14ac:dyDescent="0.45">
      <c r="A17" s="8"/>
      <c r="B17" s="52"/>
      <c r="C17" s="8"/>
      <c r="D17" s="8"/>
      <c r="E17" s="8"/>
      <c r="F17" s="8"/>
      <c r="G17" s="44"/>
      <c r="K17" s="73"/>
      <c r="S17" s="72"/>
      <c r="X17" s="17">
        <f>IF($J$1=0,$E$1,$E$2)</f>
        <v>0.68333333333333335</v>
      </c>
      <c r="Y17" s="17">
        <f>X17*U18</f>
        <v>2.1864277284807956E-2</v>
      </c>
      <c r="Z17" s="49">
        <f>V15</f>
        <v>235.69094894251003</v>
      </c>
      <c r="AB17" s="55">
        <f>SUM(Z17,V18,R16,N13,J19,F31)</f>
        <v>944.92947503787309</v>
      </c>
      <c r="AC17" s="44"/>
    </row>
    <row r="18" spans="1:29" x14ac:dyDescent="0.45">
      <c r="A18" s="8"/>
      <c r="B18" s="8"/>
      <c r="C18" s="8"/>
      <c r="D18" s="8"/>
      <c r="E18" s="8"/>
      <c r="F18" s="8"/>
      <c r="G18" s="40"/>
      <c r="K18" s="73"/>
      <c r="S18" s="72"/>
      <c r="T18" s="17">
        <f>1-T15</f>
        <v>0.31666666666666665</v>
      </c>
      <c r="U18" s="17">
        <f>T18*Q16</f>
        <v>3.1996503343621398E-2</v>
      </c>
      <c r="V18" s="49">
        <f>$N$2</f>
        <v>1.0828396339164925</v>
      </c>
      <c r="W18" s="42"/>
      <c r="X18" s="15"/>
      <c r="Y18" s="15"/>
      <c r="AB18" s="55"/>
    </row>
    <row r="19" spans="1:29" x14ac:dyDescent="0.45">
      <c r="A19" s="8"/>
      <c r="B19" s="8"/>
      <c r="C19" s="8"/>
      <c r="D19" s="8"/>
      <c r="E19" s="8"/>
      <c r="F19" s="8"/>
      <c r="G19" s="8"/>
      <c r="H19" s="17">
        <f>$E$1</f>
        <v>0.68333333333333335</v>
      </c>
      <c r="I19" s="17">
        <f>H19*E31</f>
        <v>0.46694444444444444</v>
      </c>
      <c r="J19" s="49">
        <f>$N$1</f>
        <v>235.69094894251003</v>
      </c>
      <c r="K19" s="73"/>
      <c r="P19" s="9"/>
      <c r="Q19" s="9"/>
      <c r="R19" s="9"/>
      <c r="S19" s="8"/>
      <c r="T19" s="8"/>
      <c r="U19" s="8"/>
      <c r="V19" s="8"/>
      <c r="W19" s="43"/>
      <c r="X19" s="17">
        <f>1-X17</f>
        <v>0.31666666666666665</v>
      </c>
      <c r="Y19" s="17">
        <f>X19*U18</f>
        <v>1.0132226058813441E-2</v>
      </c>
      <c r="Z19" s="49">
        <f>$N$2</f>
        <v>1.0828396339164925</v>
      </c>
      <c r="AB19" s="55">
        <f>SUM(Z19,V18,R16,N13,J19,F31)</f>
        <v>710.32136572927959</v>
      </c>
    </row>
    <row r="20" spans="1:29" x14ac:dyDescent="0.45">
      <c r="A20" s="8"/>
      <c r="B20" s="8"/>
      <c r="C20" s="8"/>
      <c r="D20" s="53"/>
      <c r="E20" s="8"/>
      <c r="F20" s="8"/>
      <c r="G20" s="73"/>
      <c r="H20" s="15"/>
      <c r="I20" s="15"/>
      <c r="K20" s="72"/>
      <c r="P20" s="1"/>
      <c r="Q20" s="1"/>
      <c r="R20" s="1"/>
      <c r="X20" s="17">
        <f>$E$1</f>
        <v>0.68333333333333335</v>
      </c>
      <c r="Y20" s="17">
        <f>X20*U21</f>
        <v>4.718080887774348E-2</v>
      </c>
      <c r="Z20" s="49">
        <f>$N$1</f>
        <v>235.69094894251003</v>
      </c>
      <c r="AB20" s="55">
        <f>SUM(Z20,V21,R22,N25,J19,F31)</f>
        <v>1179.5375843464667</v>
      </c>
    </row>
    <row r="21" spans="1:29" x14ac:dyDescent="0.45">
      <c r="A21" s="8"/>
      <c r="B21" s="40"/>
      <c r="C21" s="54"/>
      <c r="D21" s="53"/>
      <c r="E21" s="9"/>
      <c r="F21" s="8"/>
      <c r="G21" s="73"/>
      <c r="H21" s="15"/>
      <c r="I21" s="15"/>
      <c r="K21" s="72"/>
      <c r="R21" s="1"/>
      <c r="T21" s="17">
        <f>$E$1</f>
        <v>0.68333333333333335</v>
      </c>
      <c r="U21" s="17">
        <f>T21*Q22</f>
        <v>6.9045086162551436E-2</v>
      </c>
      <c r="V21" s="49">
        <f>$N$1</f>
        <v>235.69094894251003</v>
      </c>
      <c r="W21" s="42"/>
      <c r="X21" s="15"/>
      <c r="Y21" s="15"/>
      <c r="AB21" s="55"/>
      <c r="AC21" s="44"/>
    </row>
    <row r="22" spans="1:29" x14ac:dyDescent="0.45">
      <c r="A22" s="8"/>
      <c r="B22" s="40"/>
      <c r="C22" s="54"/>
      <c r="D22" s="53"/>
      <c r="E22" s="8"/>
      <c r="F22" s="8"/>
      <c r="G22" s="73"/>
      <c r="H22" s="8"/>
      <c r="I22" s="8"/>
      <c r="J22" s="8"/>
      <c r="K22" s="72"/>
      <c r="P22" s="17">
        <f>IF($J$1=0,$E$1,$E$2)</f>
        <v>0.68333333333333335</v>
      </c>
      <c r="Q22" s="17">
        <f>P22*M25</f>
        <v>0.10104158950617284</v>
      </c>
      <c r="R22" s="49">
        <f>$N$1</f>
        <v>235.69094894251003</v>
      </c>
      <c r="S22" s="42"/>
      <c r="T22" s="15"/>
      <c r="U22" s="15"/>
      <c r="W22" s="43"/>
      <c r="X22" s="17">
        <f>1-X20</f>
        <v>0.31666666666666665</v>
      </c>
      <c r="Y22" s="17">
        <f>X22*U21</f>
        <v>2.1864277284807953E-2</v>
      </c>
      <c r="Z22" s="49">
        <f>V24</f>
        <v>1.0828396339164925</v>
      </c>
      <c r="AB22" s="55">
        <f>SUM(Z22,V21,R22,N25,J19,F31)</f>
        <v>944.92947503787309</v>
      </c>
    </row>
    <row r="23" spans="1:29" x14ac:dyDescent="0.45">
      <c r="A23" s="8"/>
      <c r="B23" s="8"/>
      <c r="C23" s="8"/>
      <c r="D23" s="53"/>
      <c r="E23" s="8"/>
      <c r="F23" s="8"/>
      <c r="G23" s="73"/>
      <c r="H23" s="50"/>
      <c r="I23" s="50"/>
      <c r="J23" s="51"/>
      <c r="K23" s="72"/>
      <c r="L23" s="1"/>
      <c r="M23" s="1"/>
      <c r="N23" s="1"/>
      <c r="O23" s="73"/>
      <c r="S23" s="72"/>
      <c r="X23" s="17">
        <f>IF($J$1=0,$E$1,$E$2)</f>
        <v>0.68333333333333335</v>
      </c>
      <c r="Y23" s="17">
        <f>X23*U24</f>
        <v>2.1864277284807956E-2</v>
      </c>
      <c r="Z23" s="49">
        <f>$N$1</f>
        <v>235.69094894251003</v>
      </c>
      <c r="AB23" s="55">
        <f>SUM(Z23,V24,R22,N25,J19,F31)</f>
        <v>944.92947503787309</v>
      </c>
      <c r="AC23" s="44"/>
    </row>
    <row r="24" spans="1:29" x14ac:dyDescent="0.45">
      <c r="A24" s="8"/>
      <c r="B24" s="8"/>
      <c r="C24" s="8"/>
      <c r="D24" s="8"/>
      <c r="E24" s="50"/>
      <c r="F24" s="51"/>
      <c r="G24" s="73"/>
      <c r="H24" s="50"/>
      <c r="I24" s="8"/>
      <c r="J24" s="8"/>
      <c r="K24" s="72"/>
      <c r="N24" s="1"/>
      <c r="O24" s="73"/>
      <c r="S24" s="72"/>
      <c r="T24" s="17">
        <f>1-T21</f>
        <v>0.31666666666666665</v>
      </c>
      <c r="U24" s="17">
        <f>T24*Q22</f>
        <v>3.1996503343621398E-2</v>
      </c>
      <c r="V24" s="49">
        <f>$N$2</f>
        <v>1.0828396339164925</v>
      </c>
      <c r="W24" s="42"/>
      <c r="X24" s="15"/>
      <c r="Y24" s="15"/>
      <c r="AB24" s="55"/>
    </row>
    <row r="25" spans="1:29" x14ac:dyDescent="0.45">
      <c r="A25" s="8"/>
      <c r="B25" s="8"/>
      <c r="C25" s="8"/>
      <c r="D25" s="8"/>
      <c r="E25" s="9"/>
      <c r="F25" s="8"/>
      <c r="G25" s="73"/>
      <c r="H25" s="50"/>
      <c r="I25" s="50"/>
      <c r="J25" s="51"/>
      <c r="K25" s="72"/>
      <c r="L25" s="17">
        <f>1-L13</f>
        <v>0.31666666666666665</v>
      </c>
      <c r="M25" s="17">
        <f>L25*I19</f>
        <v>0.14786574074074074</v>
      </c>
      <c r="N25" s="49">
        <f>$N$2</f>
        <v>1.0828396339164925</v>
      </c>
      <c r="O25" s="73"/>
      <c r="W25" s="43"/>
      <c r="X25" s="17">
        <f>1-X23</f>
        <v>0.31666666666666665</v>
      </c>
      <c r="Y25" s="17">
        <f>X25*U24</f>
        <v>1.0132226058813441E-2</v>
      </c>
      <c r="Z25" s="49">
        <f>$N$2</f>
        <v>1.0828396339164925</v>
      </c>
      <c r="AB25" s="55">
        <f>SUM(Z25,V24,R22,N25,J19,F31)</f>
        <v>710.32136572927959</v>
      </c>
    </row>
    <row r="26" spans="1:29" x14ac:dyDescent="0.45">
      <c r="A26" s="8"/>
      <c r="B26" s="8"/>
      <c r="C26" s="8"/>
      <c r="D26" s="8"/>
      <c r="E26" s="8"/>
      <c r="F26" s="8"/>
      <c r="G26" s="73"/>
      <c r="H26" s="50"/>
      <c r="I26" s="50"/>
      <c r="J26" s="8"/>
      <c r="O26" s="72"/>
      <c r="P26" s="1"/>
      <c r="Q26" s="1"/>
      <c r="R26" s="1"/>
      <c r="X26" s="17">
        <f>$E$1</f>
        <v>0.68333333333333335</v>
      </c>
      <c r="Y26" s="17">
        <f>X26*U27</f>
        <v>2.1864277284807956E-2</v>
      </c>
      <c r="Z26" s="49">
        <f>$N$1</f>
        <v>235.69094894251003</v>
      </c>
      <c r="AB26" s="55">
        <f>SUM(Z26,V27,R28,N25,J19,F31)</f>
        <v>944.92947503787309</v>
      </c>
    </row>
    <row r="27" spans="1:29" x14ac:dyDescent="0.45">
      <c r="A27" s="8"/>
      <c r="B27" s="8"/>
      <c r="C27" s="8"/>
      <c r="D27" s="8"/>
      <c r="E27" s="8"/>
      <c r="F27" s="8"/>
      <c r="G27" s="73"/>
      <c r="H27" s="50"/>
      <c r="I27" s="50"/>
      <c r="J27" s="51"/>
      <c r="O27" s="72"/>
      <c r="R27" s="1"/>
      <c r="T27" s="17">
        <f>IF($J$1=0,$E$1,$E$2)</f>
        <v>0.68333333333333335</v>
      </c>
      <c r="U27" s="17">
        <f>T27*Q28</f>
        <v>3.1996503343621398E-2</v>
      </c>
      <c r="V27" s="49">
        <f>$N$1</f>
        <v>235.69094894251003</v>
      </c>
      <c r="W27" s="42"/>
      <c r="X27" s="15"/>
      <c r="Y27" s="15"/>
      <c r="AB27" s="55"/>
      <c r="AC27" s="44"/>
    </row>
    <row r="28" spans="1:29" x14ac:dyDescent="0.45">
      <c r="G28" s="73"/>
      <c r="H28" s="8"/>
      <c r="I28" s="50"/>
      <c r="J28" s="8"/>
      <c r="O28" s="72"/>
      <c r="P28" s="17">
        <f>1-P22</f>
        <v>0.31666666666666665</v>
      </c>
      <c r="Q28" s="17">
        <f>P28*M25</f>
        <v>4.6824151234567901E-2</v>
      </c>
      <c r="R28" s="49">
        <f>$N$2</f>
        <v>1.0828396339164925</v>
      </c>
      <c r="S28" s="42"/>
      <c r="T28" s="15"/>
      <c r="U28" s="15"/>
      <c r="W28" s="43"/>
      <c r="X28" s="17">
        <f>1-X26</f>
        <v>0.31666666666666665</v>
      </c>
      <c r="Y28" s="17">
        <f>X28*U27</f>
        <v>1.0132226058813441E-2</v>
      </c>
      <c r="Z28" s="49">
        <f>$N$2</f>
        <v>1.0828396339164925</v>
      </c>
      <c r="AB28" s="55">
        <f>SUM(Z28,V27,R28,N25,J19,F31)</f>
        <v>710.32136572927948</v>
      </c>
    </row>
    <row r="29" spans="1:29" x14ac:dyDescent="0.45">
      <c r="E29" s="1"/>
      <c r="F29" s="1"/>
      <c r="G29" s="73"/>
      <c r="H29" s="8"/>
      <c r="I29" s="50"/>
      <c r="J29" s="8"/>
      <c r="S29" s="72"/>
      <c r="X29" s="17">
        <f>IF($J$1=0,$E$1,$E$2)</f>
        <v>0.68333333333333335</v>
      </c>
      <c r="Y29" s="17">
        <f>X29*U30</f>
        <v>1.0132226058813443E-2</v>
      </c>
      <c r="Z29" s="49">
        <f>V27</f>
        <v>235.69094894251003</v>
      </c>
      <c r="AB29" s="55">
        <f>SUM(Z29,V30,R28,N25,J19,F31)</f>
        <v>710.32136572927948</v>
      </c>
      <c r="AC29" s="44"/>
    </row>
    <row r="30" spans="1:29" x14ac:dyDescent="0.45">
      <c r="F30" s="1"/>
      <c r="G30" s="73"/>
      <c r="H30" s="8"/>
      <c r="I30" s="50"/>
      <c r="J30" s="8"/>
      <c r="S30" s="72"/>
      <c r="T30" s="17">
        <f>1-T27</f>
        <v>0.31666666666666665</v>
      </c>
      <c r="U30" s="17">
        <f>T30*Q28</f>
        <v>1.4827647890946502E-2</v>
      </c>
      <c r="V30" s="49">
        <f>$N$2</f>
        <v>1.0828396339164925</v>
      </c>
      <c r="W30" s="42"/>
      <c r="X30" s="15"/>
      <c r="Y30" s="15"/>
      <c r="AB30" s="55"/>
    </row>
    <row r="31" spans="1:29" x14ac:dyDescent="0.45">
      <c r="E31" s="17">
        <f>$E$1</f>
        <v>0.68333333333333335</v>
      </c>
      <c r="F31" s="49">
        <f>$N$1</f>
        <v>235.69094894251003</v>
      </c>
      <c r="G31" s="73"/>
      <c r="T31" s="1"/>
      <c r="U31" s="1"/>
      <c r="V31" s="1"/>
      <c r="W31" s="43"/>
      <c r="X31" s="17">
        <f>1-X29</f>
        <v>0.31666666666666665</v>
      </c>
      <c r="Y31" s="17">
        <f>X31*U30</f>
        <v>4.6954218321330586E-3</v>
      </c>
      <c r="Z31" s="49">
        <f>$N$2</f>
        <v>1.0828396339164925</v>
      </c>
      <c r="AB31" s="55">
        <f>SUM(Z31,V30,R28,N25,J19,F31)</f>
        <v>475.71325642068604</v>
      </c>
    </row>
    <row r="32" spans="1:29" x14ac:dyDescent="0.45">
      <c r="D32" s="73"/>
      <c r="E32" s="1" t="s">
        <v>71</v>
      </c>
      <c r="G32" s="72"/>
      <c r="P32" s="1"/>
      <c r="Q32" s="1"/>
      <c r="R32" s="1"/>
      <c r="V32" s="1"/>
      <c r="X32" s="17">
        <f>$E$1</f>
        <v>0.68333333333333335</v>
      </c>
      <c r="Y32" s="17">
        <f>X32*U33</f>
        <v>4.718080887774348E-2</v>
      </c>
      <c r="Z32" s="49">
        <f>$N$1</f>
        <v>235.69094894251003</v>
      </c>
      <c r="AB32" s="55">
        <f>SUM(Z32,V33,R34,N37,J43,F31)</f>
        <v>1179.5375843464667</v>
      </c>
    </row>
    <row r="33" spans="4:29" x14ac:dyDescent="0.45">
      <c r="D33" s="73"/>
      <c r="G33" s="72"/>
      <c r="R33" s="1"/>
      <c r="T33" s="17">
        <f>$E$1</f>
        <v>0.68333333333333335</v>
      </c>
      <c r="U33" s="17">
        <f>T33*Q34</f>
        <v>6.9045086162551436E-2</v>
      </c>
      <c r="V33" s="49">
        <f>$N$1</f>
        <v>235.69094894251003</v>
      </c>
      <c r="W33" s="42"/>
      <c r="X33" s="15"/>
      <c r="Y33" s="15"/>
      <c r="AB33" s="55"/>
      <c r="AC33" s="44"/>
    </row>
    <row r="34" spans="4:29" x14ac:dyDescent="0.45">
      <c r="D34" s="73"/>
      <c r="G34" s="72"/>
      <c r="P34" s="17">
        <f>$E$1</f>
        <v>0.68333333333333335</v>
      </c>
      <c r="Q34" s="17">
        <f>P34*M37</f>
        <v>0.10104158950617284</v>
      </c>
      <c r="R34" s="49">
        <f>$N$1</f>
        <v>235.69094894251003</v>
      </c>
      <c r="S34" s="42"/>
      <c r="T34" s="15"/>
      <c r="U34" s="15"/>
      <c r="W34" s="43"/>
      <c r="X34" s="17">
        <f>1-X32</f>
        <v>0.31666666666666665</v>
      </c>
      <c r="Y34" s="17">
        <f>X34*U33</f>
        <v>2.1864277284807953E-2</v>
      </c>
      <c r="Z34" s="49">
        <f>$N$2</f>
        <v>1.0828396339164925</v>
      </c>
      <c r="AB34" s="55">
        <f>SUM(Z34,V33,R34,N37,J43,F31)</f>
        <v>944.92947503787309</v>
      </c>
    </row>
    <row r="35" spans="4:29" x14ac:dyDescent="0.45">
      <c r="D35" s="73"/>
      <c r="G35" s="72"/>
      <c r="L35" s="1"/>
      <c r="M35" s="1"/>
      <c r="N35" s="1"/>
      <c r="O35" s="73"/>
      <c r="S35" s="72"/>
      <c r="X35" s="17">
        <f>IF($J$1=0,$E$1,$E$2)</f>
        <v>0.68333333333333335</v>
      </c>
      <c r="Y35" s="17">
        <f>X35*U36</f>
        <v>2.1864277284807956E-2</v>
      </c>
      <c r="Z35" s="49">
        <f>$N$1</f>
        <v>235.69094894251003</v>
      </c>
      <c r="AB35" s="55">
        <f>SUM(Z35,V36,R34,N37,J43,F31)</f>
        <v>944.92947503787309</v>
      </c>
      <c r="AC35" s="44"/>
    </row>
    <row r="36" spans="4:29" x14ac:dyDescent="0.45">
      <c r="D36" s="73"/>
      <c r="G36" s="72"/>
      <c r="N36" s="1"/>
      <c r="O36" s="73"/>
      <c r="S36" s="72"/>
      <c r="T36" s="17">
        <f>1-T33</f>
        <v>0.31666666666666665</v>
      </c>
      <c r="U36" s="17">
        <f>T36*Q34</f>
        <v>3.1996503343621398E-2</v>
      </c>
      <c r="V36" s="49">
        <f>$N$2</f>
        <v>1.0828396339164925</v>
      </c>
      <c r="W36" s="42"/>
      <c r="X36" s="15"/>
      <c r="Y36" s="15"/>
      <c r="AB36" s="55"/>
    </row>
    <row r="37" spans="4:29" x14ac:dyDescent="0.45">
      <c r="D37" s="73"/>
      <c r="G37" s="72"/>
      <c r="L37" s="17">
        <f>IF($J$1=0,$E$1,$E$2)</f>
        <v>0.68333333333333335</v>
      </c>
      <c r="M37" s="17">
        <f>L37*I43</f>
        <v>0.14786574074074074</v>
      </c>
      <c r="N37" s="49">
        <f>$N$1</f>
        <v>235.69094894251003</v>
      </c>
      <c r="O37" s="73"/>
      <c r="W37" s="43"/>
      <c r="X37" s="17">
        <f>1-X35</f>
        <v>0.31666666666666665</v>
      </c>
      <c r="Y37" s="17">
        <f>X37*U36</f>
        <v>1.0132226058813441E-2</v>
      </c>
      <c r="Z37" s="49">
        <f>$N$2</f>
        <v>1.0828396339164925</v>
      </c>
      <c r="AB37" s="55">
        <f>SUM(Z37,V36,R34,N37,J43,F31)</f>
        <v>710.32136572927948</v>
      </c>
    </row>
    <row r="38" spans="4:29" x14ac:dyDescent="0.45">
      <c r="D38" s="73"/>
      <c r="G38" s="72"/>
      <c r="K38" s="73"/>
      <c r="O38" s="72"/>
      <c r="P38" s="1"/>
      <c r="Q38" s="1"/>
      <c r="R38" s="1"/>
      <c r="X38" s="17">
        <f>$E$1</f>
        <v>0.68333333333333335</v>
      </c>
      <c r="Y38" s="17">
        <f>X38*U39</f>
        <v>2.1864277284807956E-2</v>
      </c>
      <c r="Z38" s="49">
        <f>$N$1</f>
        <v>235.69094894251003</v>
      </c>
      <c r="AB38" s="55">
        <f>SUM(Z38,V39,R40,N37,J43,F31)</f>
        <v>944.92947503787309</v>
      </c>
    </row>
    <row r="39" spans="4:29" x14ac:dyDescent="0.45">
      <c r="D39" s="73"/>
      <c r="G39" s="72"/>
      <c r="K39" s="73"/>
      <c r="O39" s="72"/>
      <c r="R39" s="1"/>
      <c r="T39" s="17">
        <f>IF($J$1=0,$E$1,$E$2)</f>
        <v>0.68333333333333335</v>
      </c>
      <c r="U39" s="17">
        <f>T39*Q40</f>
        <v>3.1996503343621398E-2</v>
      </c>
      <c r="V39" s="49">
        <f>$N$1</f>
        <v>235.69094894251003</v>
      </c>
      <c r="W39" s="42"/>
      <c r="X39" s="15"/>
      <c r="Y39" s="15"/>
      <c r="AB39" s="55"/>
      <c r="AC39" s="44"/>
    </row>
    <row r="40" spans="4:29" x14ac:dyDescent="0.45">
      <c r="D40" s="73"/>
      <c r="G40" s="72"/>
      <c r="K40" s="73"/>
      <c r="O40" s="72"/>
      <c r="P40" s="17">
        <f>1-P34</f>
        <v>0.31666666666666665</v>
      </c>
      <c r="Q40" s="17">
        <f>P40*M37</f>
        <v>4.6824151234567901E-2</v>
      </c>
      <c r="R40" s="49">
        <f>$N$2</f>
        <v>1.0828396339164925</v>
      </c>
      <c r="S40" s="42"/>
      <c r="T40" s="15"/>
      <c r="U40" s="15"/>
      <c r="W40" s="43"/>
      <c r="X40" s="17">
        <f>1-X38</f>
        <v>0.31666666666666665</v>
      </c>
      <c r="Y40" s="17">
        <f>X40*U39</f>
        <v>1.0132226058813441E-2</v>
      </c>
      <c r="Z40" s="49">
        <f>$N$2</f>
        <v>1.0828396339164925</v>
      </c>
      <c r="AB40" s="55">
        <f>SUM(Z40,V39,R40,N37,J43,F31)</f>
        <v>710.32136572927948</v>
      </c>
    </row>
    <row r="41" spans="4:29" x14ac:dyDescent="0.45">
      <c r="D41" s="73"/>
      <c r="G41" s="72"/>
      <c r="H41" s="1"/>
      <c r="I41" s="1"/>
      <c r="J41" s="1"/>
      <c r="K41" s="73"/>
      <c r="S41" s="72"/>
      <c r="X41" s="17">
        <f>IF($J$1=0,$E$1,$E$2)</f>
        <v>0.68333333333333335</v>
      </c>
      <c r="Y41" s="17">
        <f>X41*U42</f>
        <v>1.0132226058813443E-2</v>
      </c>
      <c r="Z41" s="49">
        <f>V39</f>
        <v>235.69094894251003</v>
      </c>
      <c r="AB41" s="55">
        <f>SUM(Z41,V42,R40,N37,J43,F31)</f>
        <v>710.32136572927948</v>
      </c>
      <c r="AC41" s="44"/>
    </row>
    <row r="42" spans="4:29" x14ac:dyDescent="0.45">
      <c r="D42" s="73"/>
      <c r="G42" s="72"/>
      <c r="J42" s="1"/>
      <c r="K42" s="73"/>
      <c r="S42" s="72"/>
      <c r="T42" s="17">
        <f>1-T39</f>
        <v>0.31666666666666665</v>
      </c>
      <c r="U42" s="17">
        <f>T42*Q40</f>
        <v>1.4827647890946502E-2</v>
      </c>
      <c r="V42" s="49">
        <f>$N$2</f>
        <v>1.0828396339164925</v>
      </c>
      <c r="W42" s="42"/>
      <c r="X42" s="15"/>
      <c r="Y42" s="15"/>
      <c r="AB42" s="55"/>
    </row>
    <row r="43" spans="4:29" x14ac:dyDescent="0.45">
      <c r="D43" s="73"/>
      <c r="G43" s="72"/>
      <c r="H43" s="17">
        <f>1-H19</f>
        <v>0.31666666666666665</v>
      </c>
      <c r="I43" s="17">
        <f>H43*E31</f>
        <v>0.21638888888888888</v>
      </c>
      <c r="J43" s="49">
        <f>$N$2</f>
        <v>1.0828396339164925</v>
      </c>
      <c r="K43" s="73"/>
      <c r="P43" s="9"/>
      <c r="Q43" s="9"/>
      <c r="R43" s="9"/>
      <c r="S43" s="8"/>
      <c r="T43" s="8"/>
      <c r="U43" s="8"/>
      <c r="V43" s="8"/>
      <c r="W43" s="43"/>
      <c r="X43" s="17">
        <f>1-X41</f>
        <v>0.31666666666666665</v>
      </c>
      <c r="Y43" s="17">
        <f>X43*U42</f>
        <v>4.6954218321330586E-3</v>
      </c>
      <c r="Z43" s="49">
        <f>$N$2</f>
        <v>1.0828396339164925</v>
      </c>
      <c r="AB43" s="55">
        <f>SUM(Z43,V42,R40,N37,J43,F31)</f>
        <v>475.71325642068604</v>
      </c>
    </row>
    <row r="44" spans="4:29" x14ac:dyDescent="0.45">
      <c r="D44" s="73"/>
      <c r="H44" s="15"/>
      <c r="I44" s="15"/>
      <c r="K44" s="72"/>
      <c r="P44" s="1"/>
      <c r="Q44" s="1"/>
      <c r="R44" s="1"/>
      <c r="X44" s="17">
        <f>$E$1</f>
        <v>0.68333333333333335</v>
      </c>
      <c r="Y44" s="17">
        <f>X44*U45</f>
        <v>2.1864277284807956E-2</v>
      </c>
      <c r="Z44" s="49">
        <f>$N$1</f>
        <v>235.69094894251003</v>
      </c>
      <c r="AB44" s="55">
        <f>SUM(Z44,V45,R46,N49,J43,F31)</f>
        <v>944.92947503787309</v>
      </c>
    </row>
    <row r="45" spans="4:29" x14ac:dyDescent="0.45">
      <c r="D45" s="73"/>
      <c r="H45" s="15"/>
      <c r="I45" s="15"/>
      <c r="K45" s="72"/>
      <c r="R45" s="1"/>
      <c r="T45" s="17">
        <f>$E$1</f>
        <v>0.68333333333333335</v>
      </c>
      <c r="U45" s="17">
        <f>T45*Q46</f>
        <v>3.1996503343621398E-2</v>
      </c>
      <c r="V45" s="49">
        <f>$N$1</f>
        <v>235.69094894251003</v>
      </c>
      <c r="W45" s="42"/>
      <c r="X45" s="15"/>
      <c r="Y45" s="15"/>
      <c r="AB45" s="55"/>
      <c r="AC45" s="44"/>
    </row>
    <row r="46" spans="4:29" x14ac:dyDescent="0.45">
      <c r="D46" s="73"/>
      <c r="H46" s="8"/>
      <c r="I46" s="8"/>
      <c r="J46" s="8"/>
      <c r="K46" s="72"/>
      <c r="P46" s="17">
        <f>IF($J$1=0,$E$1,$E$2)</f>
        <v>0.68333333333333335</v>
      </c>
      <c r="Q46" s="17">
        <f>P46*M49</f>
        <v>4.6824151234567894E-2</v>
      </c>
      <c r="R46" s="49">
        <f>$N$1</f>
        <v>235.69094894251003</v>
      </c>
      <c r="S46" s="42"/>
      <c r="T46" s="15"/>
      <c r="U46" s="15"/>
      <c r="W46" s="43"/>
      <c r="X46" s="17">
        <f>1-X44</f>
        <v>0.31666666666666665</v>
      </c>
      <c r="Y46" s="17">
        <f>X46*U45</f>
        <v>1.0132226058813441E-2</v>
      </c>
      <c r="Z46" s="49">
        <f>$N$2</f>
        <v>1.0828396339164925</v>
      </c>
      <c r="AB46" s="55">
        <f>SUM(Z46,V45,R46,N49,J43,F31)</f>
        <v>710.32136572927948</v>
      </c>
    </row>
    <row r="47" spans="4:29" x14ac:dyDescent="0.45">
      <c r="D47" s="73"/>
      <c r="H47" s="50"/>
      <c r="I47" s="50"/>
      <c r="J47" s="51"/>
      <c r="K47" s="72"/>
      <c r="L47" s="1"/>
      <c r="M47" s="1"/>
      <c r="N47" s="1"/>
      <c r="O47" s="73"/>
      <c r="S47" s="72"/>
      <c r="X47" s="17">
        <f>IF($J$1=0,$E$1,$E$2)</f>
        <v>0.68333333333333335</v>
      </c>
      <c r="Y47" s="17">
        <f>X47*U48</f>
        <v>1.0132226058813441E-2</v>
      </c>
      <c r="Z47" s="49">
        <f>$N$1</f>
        <v>235.69094894251003</v>
      </c>
      <c r="AB47" s="55">
        <f>SUM(Z47,V48,R46,N49,J43,F31)</f>
        <v>710.32136572927948</v>
      </c>
      <c r="AC47" s="44"/>
    </row>
    <row r="48" spans="4:29" x14ac:dyDescent="0.45">
      <c r="D48" s="73"/>
      <c r="H48" s="50"/>
      <c r="I48" s="8"/>
      <c r="J48" s="8"/>
      <c r="K48" s="72"/>
      <c r="N48" s="1"/>
      <c r="O48" s="73"/>
      <c r="S48" s="72"/>
      <c r="T48" s="17">
        <f>1-T45</f>
        <v>0.31666666666666665</v>
      </c>
      <c r="U48" s="17">
        <f>T48*Q46</f>
        <v>1.48276478909465E-2</v>
      </c>
      <c r="V48" s="49">
        <f>$N$2</f>
        <v>1.0828396339164925</v>
      </c>
      <c r="W48" s="42"/>
      <c r="X48" s="15"/>
      <c r="Y48" s="15"/>
      <c r="AB48" s="55"/>
    </row>
    <row r="49" spans="2:29" x14ac:dyDescent="0.45">
      <c r="D49" s="73"/>
      <c r="H49" s="50"/>
      <c r="I49" s="50"/>
      <c r="J49" s="51"/>
      <c r="K49" s="72"/>
      <c r="L49" s="17">
        <f>1-L37</f>
        <v>0.31666666666666665</v>
      </c>
      <c r="M49" s="17">
        <f>L49*I43</f>
        <v>6.8523148148148139E-2</v>
      </c>
      <c r="N49" s="49">
        <f>$N$2</f>
        <v>1.0828396339164925</v>
      </c>
      <c r="O49" s="73"/>
      <c r="W49" s="43"/>
      <c r="X49" s="17">
        <f>1-X47</f>
        <v>0.31666666666666665</v>
      </c>
      <c r="Y49" s="17">
        <f>X49*U48</f>
        <v>4.6954218321330577E-3</v>
      </c>
      <c r="Z49" s="49">
        <f>$N$2</f>
        <v>1.0828396339164925</v>
      </c>
      <c r="AB49" s="55">
        <f>SUM(Z49,V48,R46,N49,J43,F31)</f>
        <v>475.71325642068604</v>
      </c>
    </row>
    <row r="50" spans="2:29" x14ac:dyDescent="0.45">
      <c r="D50" s="73"/>
      <c r="H50" s="50"/>
      <c r="I50" s="50"/>
      <c r="J50" s="8"/>
      <c r="O50" s="72"/>
      <c r="P50" s="1"/>
      <c r="Q50" s="1"/>
      <c r="R50" s="1"/>
      <c r="X50" s="17">
        <f>$E$1</f>
        <v>0.68333333333333335</v>
      </c>
      <c r="Y50" s="17">
        <f>X50*U51</f>
        <v>1.0132226058813441E-2</v>
      </c>
      <c r="Z50" s="49">
        <f>$N$1</f>
        <v>235.69094894251003</v>
      </c>
      <c r="AB50" s="55">
        <f>SUM(Z50,V51,R52,N49,J43,F31)</f>
        <v>710.32136572927948</v>
      </c>
    </row>
    <row r="51" spans="2:29" x14ac:dyDescent="0.45">
      <c r="D51" s="73"/>
      <c r="H51" s="50"/>
      <c r="I51" s="50"/>
      <c r="J51" s="51"/>
      <c r="O51" s="72"/>
      <c r="R51" s="1"/>
      <c r="T51" s="17">
        <f>IF($J$1=0,$E$1,$E$2)</f>
        <v>0.68333333333333335</v>
      </c>
      <c r="U51" s="17">
        <f>T51*Q52</f>
        <v>1.48276478909465E-2</v>
      </c>
      <c r="V51" s="49">
        <f>$N$1</f>
        <v>235.69094894251003</v>
      </c>
      <c r="W51" s="42"/>
      <c r="X51" s="15"/>
      <c r="Y51" s="15"/>
      <c r="AB51" s="55"/>
      <c r="AC51" s="44"/>
    </row>
    <row r="52" spans="2:29" x14ac:dyDescent="0.45">
      <c r="D52" s="73"/>
      <c r="H52" s="8"/>
      <c r="I52" s="50"/>
      <c r="J52" s="8"/>
      <c r="O52" s="72"/>
      <c r="P52" s="17">
        <f>1-P46</f>
        <v>0.31666666666666665</v>
      </c>
      <c r="Q52" s="17">
        <f>P52*M49</f>
        <v>2.1698996913580244E-2</v>
      </c>
      <c r="R52" s="49">
        <f>$N$2</f>
        <v>1.0828396339164925</v>
      </c>
      <c r="S52" s="42"/>
      <c r="T52" s="15"/>
      <c r="U52" s="15"/>
      <c r="W52" s="43"/>
      <c r="X52" s="17">
        <f>1-X50</f>
        <v>0.31666666666666665</v>
      </c>
      <c r="Y52" s="17">
        <f>X52*U51</f>
        <v>4.6954218321330577E-3</v>
      </c>
      <c r="Z52" s="49">
        <f>$N$2</f>
        <v>1.0828396339164925</v>
      </c>
      <c r="AB52" s="55">
        <f>SUM(Z52,V51,R52,N49,J43,F31)</f>
        <v>475.71325642068598</v>
      </c>
    </row>
    <row r="53" spans="2:29" x14ac:dyDescent="0.45">
      <c r="D53" s="73"/>
      <c r="H53" s="8"/>
      <c r="I53" s="50"/>
      <c r="J53" s="8"/>
      <c r="S53" s="72"/>
      <c r="X53" s="17">
        <f>IF($J$1=0,$E$1,$E$2)</f>
        <v>0.68333333333333335</v>
      </c>
      <c r="Y53" s="17">
        <f>X53*U54</f>
        <v>4.6954218321330586E-3</v>
      </c>
      <c r="Z53" s="49">
        <f>$N$1</f>
        <v>235.69094894251003</v>
      </c>
      <c r="AB53" s="55">
        <f>SUM(Z53,V54,R52,N49,J43,F31)</f>
        <v>475.71325642068598</v>
      </c>
      <c r="AC53" s="44"/>
    </row>
    <row r="54" spans="2:29" x14ac:dyDescent="0.45">
      <c r="B54" s="74"/>
      <c r="C54" s="71" t="s">
        <v>0</v>
      </c>
      <c r="D54" s="73"/>
      <c r="H54" s="8"/>
      <c r="I54" s="50"/>
      <c r="J54" s="8"/>
      <c r="S54" s="72"/>
      <c r="T54" s="17">
        <f>1-T51</f>
        <v>0.31666666666666665</v>
      </c>
      <c r="U54" s="17">
        <f>T54*Q52</f>
        <v>6.8713490226337435E-3</v>
      </c>
      <c r="V54" s="49">
        <f>$N$2</f>
        <v>1.0828396339164925</v>
      </c>
      <c r="W54" s="42"/>
      <c r="X54" s="15"/>
      <c r="Y54" s="15"/>
      <c r="AB54" s="55"/>
      <c r="AC54" s="44"/>
    </row>
    <row r="55" spans="2:29" x14ac:dyDescent="0.45">
      <c r="B55" s="74"/>
      <c r="C55" s="71"/>
      <c r="D55" s="72"/>
      <c r="H55" s="8"/>
      <c r="I55" s="50"/>
      <c r="J55" s="8"/>
      <c r="S55" s="8"/>
      <c r="T55" s="50"/>
      <c r="U55" s="50"/>
      <c r="V55" s="51"/>
      <c r="W55" s="43"/>
      <c r="X55" s="17">
        <f>1-X53</f>
        <v>0.31666666666666665</v>
      </c>
      <c r="Y55" s="17">
        <f>X55*U54</f>
        <v>2.1759271905006853E-3</v>
      </c>
      <c r="Z55" s="49">
        <f>$N$2</f>
        <v>1.0828396339164925</v>
      </c>
      <c r="AB55" s="55">
        <f>SUM(Z55,V54,R52,N49,J43,F31)</f>
        <v>241.10514711209248</v>
      </c>
      <c r="AC55" s="44"/>
    </row>
    <row r="56" spans="2:29" x14ac:dyDescent="0.45">
      <c r="C56" s="51">
        <f>AC4</f>
        <v>0</v>
      </c>
      <c r="D56" s="72"/>
      <c r="X56" s="17">
        <f>$E$1</f>
        <v>0.68333333333333335</v>
      </c>
      <c r="Y56" s="17">
        <f>X56*U57</f>
        <v>4.718080887774348E-2</v>
      </c>
      <c r="Z56" s="49">
        <f>$N$1</f>
        <v>235.69094894251003</v>
      </c>
      <c r="AB56" s="55">
        <f>SUM(Z56,V57,R58,N61,J67,F79)</f>
        <v>1179.5375843464667</v>
      </c>
    </row>
    <row r="57" spans="2:29" x14ac:dyDescent="0.45">
      <c r="D57" s="72"/>
      <c r="T57" s="17">
        <f>$E$1</f>
        <v>0.68333333333333335</v>
      </c>
      <c r="U57" s="17">
        <f>T57*Q58</f>
        <v>6.9045086162551436E-2</v>
      </c>
      <c r="V57" s="49">
        <f>$N$1</f>
        <v>235.69094894251003</v>
      </c>
      <c r="W57" s="42"/>
      <c r="X57" s="15"/>
      <c r="Y57" s="15"/>
      <c r="AB57" s="55"/>
      <c r="AC57" s="44"/>
    </row>
    <row r="58" spans="2:29" x14ac:dyDescent="0.45">
      <c r="D58" s="72"/>
      <c r="P58" s="17">
        <f>$E$1</f>
        <v>0.68333333333333335</v>
      </c>
      <c r="Q58" s="17">
        <f>P58*M61</f>
        <v>0.10104158950617284</v>
      </c>
      <c r="R58" s="49">
        <f>$N$1</f>
        <v>235.69094894251003</v>
      </c>
      <c r="S58" s="42"/>
      <c r="T58" s="15"/>
      <c r="U58" s="15"/>
      <c r="W58" s="43"/>
      <c r="X58" s="17">
        <f>1-X56</f>
        <v>0.31666666666666665</v>
      </c>
      <c r="Y58" s="17">
        <f>X58*U57</f>
        <v>2.1864277284807953E-2</v>
      </c>
      <c r="Z58" s="49">
        <f>$N$2</f>
        <v>1.0828396339164925</v>
      </c>
      <c r="AB58" s="55">
        <f>SUM(Z58,V57,R58,N61,J67,F79)</f>
        <v>944.92947503787298</v>
      </c>
    </row>
    <row r="59" spans="2:29" x14ac:dyDescent="0.45">
      <c r="D59" s="72"/>
      <c r="O59" s="73"/>
      <c r="S59" s="72"/>
      <c r="X59" s="17">
        <f>IF($J$1=0,$E$1,$E$2)</f>
        <v>0.68333333333333335</v>
      </c>
      <c r="Y59" s="17">
        <f>X59*U60</f>
        <v>2.1864277284807956E-2</v>
      </c>
      <c r="Z59" s="49">
        <f>$N$1</f>
        <v>235.69094894251003</v>
      </c>
      <c r="AB59" s="55">
        <f>SUM(Z59,V60,R58,N61,J67,F79)</f>
        <v>944.92947503787298</v>
      </c>
      <c r="AC59" s="44"/>
    </row>
    <row r="60" spans="2:29" x14ac:dyDescent="0.45">
      <c r="D60" s="72"/>
      <c r="O60" s="73"/>
      <c r="S60" s="72"/>
      <c r="T60" s="17">
        <f>1-T57</f>
        <v>0.31666666666666665</v>
      </c>
      <c r="U60" s="17">
        <f>T60*Q58</f>
        <v>3.1996503343621398E-2</v>
      </c>
      <c r="V60" s="49">
        <f>$N$2</f>
        <v>1.0828396339164925</v>
      </c>
      <c r="W60" s="42"/>
      <c r="X60" s="15"/>
      <c r="Y60" s="15"/>
      <c r="AB60" s="55"/>
    </row>
    <row r="61" spans="2:29" x14ac:dyDescent="0.45">
      <c r="D61" s="72"/>
      <c r="L61" s="17">
        <f>$E$1</f>
        <v>0.68333333333333335</v>
      </c>
      <c r="M61" s="17">
        <f>L61*I67</f>
        <v>0.14786574074074074</v>
      </c>
      <c r="N61" s="49">
        <f>$N$1</f>
        <v>235.69094894251003</v>
      </c>
      <c r="O61" s="73"/>
      <c r="W61" s="43"/>
      <c r="X61" s="17">
        <f>1-X59</f>
        <v>0.31666666666666665</v>
      </c>
      <c r="Y61" s="17">
        <f>X61*U60</f>
        <v>1.0132226058813441E-2</v>
      </c>
      <c r="Z61" s="49">
        <f>$N$2</f>
        <v>1.0828396339164925</v>
      </c>
      <c r="AB61" s="55">
        <f>SUM(Z61,V60,R58,N61,J67,F79)</f>
        <v>710.32136572927959</v>
      </c>
    </row>
    <row r="62" spans="2:29" x14ac:dyDescent="0.45">
      <c r="D62" s="72"/>
      <c r="K62" s="73"/>
      <c r="O62" s="72"/>
      <c r="P62" s="1"/>
      <c r="Q62" s="1"/>
      <c r="R62" s="1"/>
      <c r="X62" s="17">
        <f>$E$1</f>
        <v>0.68333333333333335</v>
      </c>
      <c r="Y62" s="17">
        <f>X62*U63</f>
        <v>2.1864277284807956E-2</v>
      </c>
      <c r="Z62" s="49">
        <f>$N$1</f>
        <v>235.69094894251003</v>
      </c>
      <c r="AB62" s="55">
        <f>SUM(Z62,V63,R64,N61,J67,F79)</f>
        <v>944.92947503787298</v>
      </c>
    </row>
    <row r="63" spans="2:29" x14ac:dyDescent="0.45">
      <c r="D63" s="72"/>
      <c r="K63" s="73"/>
      <c r="O63" s="72"/>
      <c r="R63" s="1"/>
      <c r="T63" s="17">
        <f>IF($J$1=0,$E$1,$E$2)</f>
        <v>0.68333333333333335</v>
      </c>
      <c r="U63" s="17">
        <f>T63*Q64</f>
        <v>3.1996503343621398E-2</v>
      </c>
      <c r="V63" s="49">
        <f>$N$1</f>
        <v>235.69094894251003</v>
      </c>
      <c r="W63" s="42"/>
      <c r="X63" s="15"/>
      <c r="Y63" s="15"/>
      <c r="AB63" s="55"/>
      <c r="AC63" s="44"/>
    </row>
    <row r="64" spans="2:29" x14ac:dyDescent="0.45">
      <c r="D64" s="72"/>
      <c r="K64" s="73"/>
      <c r="O64" s="72"/>
      <c r="P64" s="17">
        <f>1-P58</f>
        <v>0.31666666666666665</v>
      </c>
      <c r="Q64" s="17">
        <f>P64*M61</f>
        <v>4.6824151234567901E-2</v>
      </c>
      <c r="R64" s="49">
        <f>$N$2</f>
        <v>1.0828396339164925</v>
      </c>
      <c r="S64" s="42"/>
      <c r="T64" s="15"/>
      <c r="U64" s="15"/>
      <c r="W64" s="43"/>
      <c r="X64" s="17">
        <f>1-X62</f>
        <v>0.31666666666666665</v>
      </c>
      <c r="Y64" s="17">
        <f>X64*U63</f>
        <v>1.0132226058813441E-2</v>
      </c>
      <c r="Z64" s="49">
        <f>$N$2</f>
        <v>1.0828396339164925</v>
      </c>
      <c r="AB64" s="55">
        <f>SUM(Z64,V63,R64,N61,J67,F79)</f>
        <v>710.32136572927959</v>
      </c>
    </row>
    <row r="65" spans="4:29" x14ac:dyDescent="0.45">
      <c r="D65" s="72"/>
      <c r="G65" s="44"/>
      <c r="K65" s="73"/>
      <c r="S65" s="72"/>
      <c r="X65" s="17">
        <f>IF($J$1=0,$E$1,$E$2)</f>
        <v>0.68333333333333335</v>
      </c>
      <c r="Y65" s="17">
        <f>X65*U66</f>
        <v>1.0132226058813443E-2</v>
      </c>
      <c r="Z65" s="49">
        <f>$N$1</f>
        <v>235.69094894251003</v>
      </c>
      <c r="AB65" s="55">
        <f>SUM(Z65,V66,R64,N61,J67,F79)</f>
        <v>710.32136572927959</v>
      </c>
      <c r="AC65" s="44"/>
    </row>
    <row r="66" spans="4:29" x14ac:dyDescent="0.45">
      <c r="D66" s="72"/>
      <c r="G66" s="40"/>
      <c r="K66" s="73"/>
      <c r="S66" s="72"/>
      <c r="T66" s="17">
        <f>1-T63</f>
        <v>0.31666666666666665</v>
      </c>
      <c r="U66" s="17">
        <f>T66*Q64</f>
        <v>1.4827647890946502E-2</v>
      </c>
      <c r="V66" s="49">
        <f>$N$2</f>
        <v>1.0828396339164925</v>
      </c>
      <c r="W66" s="42"/>
      <c r="X66" s="15"/>
      <c r="Y66" s="15"/>
      <c r="AB66" s="55"/>
    </row>
    <row r="67" spans="4:29" x14ac:dyDescent="0.45">
      <c r="D67" s="72"/>
      <c r="G67" s="8"/>
      <c r="H67" s="17">
        <f>IF($J$1=0,$E$1,$E$2)</f>
        <v>0.68333333333333335</v>
      </c>
      <c r="I67" s="17">
        <f>H67*E79</f>
        <v>0.21638888888888888</v>
      </c>
      <c r="J67" s="49">
        <f>$N$1</f>
        <v>235.69094894251003</v>
      </c>
      <c r="K67" s="73"/>
      <c r="P67" s="9"/>
      <c r="Q67" s="9"/>
      <c r="R67" s="9"/>
      <c r="S67" s="8"/>
      <c r="T67" s="8"/>
      <c r="U67" s="8"/>
      <c r="V67" s="8"/>
      <c r="W67" s="43"/>
      <c r="X67" s="17">
        <f>1-X65</f>
        <v>0.31666666666666665</v>
      </c>
      <c r="Y67" s="17">
        <f>X67*U66</f>
        <v>4.6954218321330586E-3</v>
      </c>
      <c r="Z67" s="49">
        <f>$N$2</f>
        <v>1.0828396339164925</v>
      </c>
      <c r="AB67" s="55">
        <f>SUM(Z67,V66,R64,N61,J67,F79)</f>
        <v>475.71325642068604</v>
      </c>
    </row>
    <row r="68" spans="4:29" x14ac:dyDescent="0.45">
      <c r="D68" s="72"/>
      <c r="G68" s="73"/>
      <c r="H68" s="15"/>
      <c r="I68" s="15"/>
      <c r="K68" s="72"/>
      <c r="P68" s="1"/>
      <c r="Q68" s="1"/>
      <c r="R68" s="1"/>
      <c r="X68" s="17">
        <f>$E$1</f>
        <v>0.68333333333333335</v>
      </c>
      <c r="Y68" s="17">
        <f>X68*U69</f>
        <v>2.1864277284807956E-2</v>
      </c>
      <c r="Z68" s="49">
        <f>$N$1</f>
        <v>235.69094894251003</v>
      </c>
      <c r="AB68" s="55">
        <f>SUM(Z68,V69,R70,N73,J67,F79)</f>
        <v>944.9294750378732</v>
      </c>
    </row>
    <row r="69" spans="4:29" x14ac:dyDescent="0.45">
      <c r="D69" s="72"/>
      <c r="G69" s="73"/>
      <c r="H69" s="15"/>
      <c r="I69" s="15"/>
      <c r="K69" s="72"/>
      <c r="R69" s="1"/>
      <c r="T69" s="17">
        <f>$E$1</f>
        <v>0.68333333333333335</v>
      </c>
      <c r="U69" s="17">
        <f>T69*Q70</f>
        <v>3.1996503343621398E-2</v>
      </c>
      <c r="V69" s="49">
        <f>$N$1</f>
        <v>235.69094894251003</v>
      </c>
      <c r="W69" s="42"/>
      <c r="X69" s="15"/>
      <c r="Y69" s="15"/>
      <c r="AB69" s="55"/>
      <c r="AC69" s="44"/>
    </row>
    <row r="70" spans="4:29" x14ac:dyDescent="0.45">
      <c r="D70" s="72"/>
      <c r="G70" s="73"/>
      <c r="H70" s="8"/>
      <c r="I70" s="8"/>
      <c r="J70" s="8"/>
      <c r="K70" s="72"/>
      <c r="P70" s="17">
        <f>IF($J$1=0,$E$1,$E$2)</f>
        <v>0.68333333333333335</v>
      </c>
      <c r="Q70" s="17">
        <f>P70*M73</f>
        <v>4.6824151234567894E-2</v>
      </c>
      <c r="R70" s="49">
        <f>$N$1</f>
        <v>235.69094894251003</v>
      </c>
      <c r="S70" s="42"/>
      <c r="T70" s="15"/>
      <c r="U70" s="15"/>
      <c r="W70" s="43"/>
      <c r="X70" s="17">
        <f>1-X68</f>
        <v>0.31666666666666665</v>
      </c>
      <c r="Y70" s="17">
        <f>X70*U69</f>
        <v>1.0132226058813441E-2</v>
      </c>
      <c r="Z70" s="49">
        <f>$N$2</f>
        <v>1.0828396339164925</v>
      </c>
      <c r="AB70" s="55">
        <f>SUM(Z70,V69,R70,N73,J67,F79)</f>
        <v>710.32136572927959</v>
      </c>
    </row>
    <row r="71" spans="4:29" x14ac:dyDescent="0.45">
      <c r="D71" s="72"/>
      <c r="G71" s="73"/>
      <c r="H71" s="50"/>
      <c r="I71" s="50"/>
      <c r="J71" s="51"/>
      <c r="K71" s="72"/>
      <c r="L71" s="1"/>
      <c r="M71" s="1"/>
      <c r="N71" s="1"/>
      <c r="O71" s="73"/>
      <c r="S71" s="72"/>
      <c r="X71" s="17">
        <f>IF($J$1=0,$E$1,$E$2)</f>
        <v>0.68333333333333335</v>
      </c>
      <c r="Y71" s="17">
        <f>X71*U72</f>
        <v>1.0132226058813441E-2</v>
      </c>
      <c r="Z71" s="49">
        <f>$N$1</f>
        <v>235.69094894251003</v>
      </c>
      <c r="AB71" s="55">
        <f>SUM(Z71,V72,R70,N73,J67,F79)</f>
        <v>710.32136572927959</v>
      </c>
      <c r="AC71" s="44"/>
    </row>
    <row r="72" spans="4:29" x14ac:dyDescent="0.45">
      <c r="D72" s="72"/>
      <c r="G72" s="73"/>
      <c r="H72" s="50"/>
      <c r="I72" s="8"/>
      <c r="J72" s="8"/>
      <c r="K72" s="72"/>
      <c r="N72" s="1"/>
      <c r="O72" s="73"/>
      <c r="S72" s="72"/>
      <c r="T72" s="17">
        <f>1-T69</f>
        <v>0.31666666666666665</v>
      </c>
      <c r="U72" s="17">
        <f>T72*Q70</f>
        <v>1.48276478909465E-2</v>
      </c>
      <c r="V72" s="49">
        <f>$N$2</f>
        <v>1.0828396339164925</v>
      </c>
      <c r="W72" s="42"/>
      <c r="X72" s="15"/>
      <c r="Y72" s="15"/>
      <c r="AB72" s="55"/>
    </row>
    <row r="73" spans="4:29" x14ac:dyDescent="0.45">
      <c r="D73" s="72"/>
      <c r="G73" s="73"/>
      <c r="H73" s="50"/>
      <c r="I73" s="50"/>
      <c r="J73" s="51"/>
      <c r="K73" s="72"/>
      <c r="L73" s="17">
        <f>1-L61</f>
        <v>0.31666666666666665</v>
      </c>
      <c r="M73" s="17">
        <f>L73*I67</f>
        <v>6.8523148148148139E-2</v>
      </c>
      <c r="N73" s="49">
        <f>$N$2</f>
        <v>1.0828396339164925</v>
      </c>
      <c r="O73" s="73"/>
      <c r="W73" s="43"/>
      <c r="X73" s="17">
        <f>1-X71</f>
        <v>0.31666666666666665</v>
      </c>
      <c r="Y73" s="17">
        <f>X73*U72</f>
        <v>4.6954218321330577E-3</v>
      </c>
      <c r="Z73" s="49">
        <f>$N$2</f>
        <v>1.0828396339164925</v>
      </c>
      <c r="AB73" s="55">
        <f>SUM(Z73,V72,R70,N73,J67,F79)</f>
        <v>475.71325642068604</v>
      </c>
    </row>
    <row r="74" spans="4:29" x14ac:dyDescent="0.45">
      <c r="D74" s="72"/>
      <c r="G74" s="73"/>
      <c r="H74" s="50"/>
      <c r="I74" s="50"/>
      <c r="J74" s="8"/>
      <c r="O74" s="72"/>
      <c r="P74" s="1"/>
      <c r="Q74" s="1"/>
      <c r="R74" s="1"/>
      <c r="X74" s="17">
        <f>$E$1</f>
        <v>0.68333333333333335</v>
      </c>
      <c r="Y74" s="17">
        <f>X74*U75</f>
        <v>1.0132226058813441E-2</v>
      </c>
      <c r="Z74" s="49">
        <f>$N$1</f>
        <v>235.69094894251003</v>
      </c>
      <c r="AB74" s="55">
        <f>SUM(Z74,V75,R76,N73,J67,F79)</f>
        <v>710.32136572927959</v>
      </c>
    </row>
    <row r="75" spans="4:29" x14ac:dyDescent="0.45">
      <c r="D75" s="72"/>
      <c r="G75" s="73"/>
      <c r="H75" s="50"/>
      <c r="I75" s="50"/>
      <c r="J75" s="51"/>
      <c r="O75" s="72"/>
      <c r="R75" s="1"/>
      <c r="T75" s="17">
        <f>IF($J$1=0,$E$1,$E$2)</f>
        <v>0.68333333333333335</v>
      </c>
      <c r="U75" s="17">
        <f>T75*Q76</f>
        <v>1.48276478909465E-2</v>
      </c>
      <c r="V75" s="49">
        <f>$N$1</f>
        <v>235.69094894251003</v>
      </c>
      <c r="W75" s="42"/>
      <c r="X75" s="15"/>
      <c r="Y75" s="15"/>
      <c r="AB75" s="55"/>
      <c r="AC75" s="44"/>
    </row>
    <row r="76" spans="4:29" x14ac:dyDescent="0.45">
      <c r="D76" s="72"/>
      <c r="G76" s="73"/>
      <c r="H76" s="8"/>
      <c r="I76" s="50"/>
      <c r="J76" s="8"/>
      <c r="O76" s="72"/>
      <c r="P76" s="17">
        <f>1-P70</f>
        <v>0.31666666666666665</v>
      </c>
      <c r="Q76" s="17">
        <f>P76*M73</f>
        <v>2.1698996913580244E-2</v>
      </c>
      <c r="R76" s="49">
        <f>$N$2</f>
        <v>1.0828396339164925</v>
      </c>
      <c r="S76" s="42"/>
      <c r="T76" s="15"/>
      <c r="U76" s="15"/>
      <c r="W76" s="43"/>
      <c r="X76" s="17">
        <f>1-X74</f>
        <v>0.31666666666666665</v>
      </c>
      <c r="Y76" s="17">
        <f>X76*U75</f>
        <v>4.6954218321330577E-3</v>
      </c>
      <c r="Z76" s="49">
        <f>$N$2</f>
        <v>1.0828396339164925</v>
      </c>
      <c r="AB76" s="55">
        <f>SUM(Z76,V75,R76,N73,J67,F79)</f>
        <v>475.71325642068598</v>
      </c>
    </row>
    <row r="77" spans="4:29" x14ac:dyDescent="0.45">
      <c r="D77" s="72"/>
      <c r="G77" s="73"/>
      <c r="H77" s="8"/>
      <c r="I77" s="50"/>
      <c r="J77" s="8"/>
      <c r="S77" s="72"/>
      <c r="X77" s="17">
        <f>IF($J$1=0,$E$1,$E$2)</f>
        <v>0.68333333333333335</v>
      </c>
      <c r="Y77" s="17">
        <f>X77*U78</f>
        <v>4.6954218321330586E-3</v>
      </c>
      <c r="Z77" s="49">
        <f>$N$1</f>
        <v>235.69094894251003</v>
      </c>
      <c r="AB77" s="55">
        <f>SUM(Z77,V78,R76,N73,J67,F79)</f>
        <v>475.71325642068598</v>
      </c>
      <c r="AC77" s="44"/>
    </row>
    <row r="78" spans="4:29" x14ac:dyDescent="0.45">
      <c r="D78" s="72"/>
      <c r="G78" s="73"/>
      <c r="H78" s="8"/>
      <c r="I78" s="50"/>
      <c r="J78" s="8"/>
      <c r="S78" s="72"/>
      <c r="T78" s="17">
        <f>1-T75</f>
        <v>0.31666666666666665</v>
      </c>
      <c r="U78" s="17">
        <f>T78*Q76</f>
        <v>6.8713490226337435E-3</v>
      </c>
      <c r="V78" s="49">
        <f>$N$2</f>
        <v>1.0828396339164925</v>
      </c>
      <c r="W78" s="42"/>
      <c r="X78" s="15"/>
      <c r="Y78" s="15"/>
      <c r="AB78" s="55"/>
    </row>
    <row r="79" spans="4:29" x14ac:dyDescent="0.45">
      <c r="D79" s="72"/>
      <c r="E79" s="17">
        <f>1-E31</f>
        <v>0.31666666666666665</v>
      </c>
      <c r="F79" s="49">
        <f>$N$2</f>
        <v>1.0828396339164925</v>
      </c>
      <c r="G79" s="73"/>
      <c r="T79" s="1"/>
      <c r="U79" s="1"/>
      <c r="V79" s="1"/>
      <c r="W79" s="43"/>
      <c r="X79" s="17">
        <f>1-X77</f>
        <v>0.31666666666666665</v>
      </c>
      <c r="Y79" s="17">
        <f>X79*U78</f>
        <v>2.1759271905006853E-3</v>
      </c>
      <c r="Z79" s="49">
        <f>$N$2</f>
        <v>1.0828396339164925</v>
      </c>
      <c r="AB79" s="55">
        <f>SUM(Z79,V78,R76,N73,J67,F79)</f>
        <v>241.10514711209248</v>
      </c>
    </row>
    <row r="80" spans="4:29" x14ac:dyDescent="0.45">
      <c r="E80" s="1" t="s">
        <v>2</v>
      </c>
      <c r="G80" s="72"/>
      <c r="P80" s="1"/>
      <c r="Q80" s="1"/>
      <c r="R80" s="1"/>
      <c r="V80" s="1"/>
      <c r="X80" s="17">
        <f>$E$1</f>
        <v>0.68333333333333335</v>
      </c>
      <c r="Y80" s="17">
        <f>X80*U81</f>
        <v>2.1864277284807956E-2</v>
      </c>
      <c r="Z80" s="49">
        <f>$N$1</f>
        <v>235.69094894251003</v>
      </c>
      <c r="AB80" s="55">
        <f>SUM(Z80,V81,R82,N85,J91,F79)</f>
        <v>944.92947503787309</v>
      </c>
    </row>
    <row r="81" spans="7:29" x14ac:dyDescent="0.45">
      <c r="G81" s="72"/>
      <c r="R81" s="1"/>
      <c r="T81" s="17">
        <f>$E$1</f>
        <v>0.68333333333333335</v>
      </c>
      <c r="U81" s="17">
        <f>T81*Q82</f>
        <v>3.1996503343621398E-2</v>
      </c>
      <c r="V81" s="49">
        <f>$N$1</f>
        <v>235.69094894251003</v>
      </c>
      <c r="W81" s="42"/>
      <c r="X81" s="15"/>
      <c r="Y81" s="15"/>
      <c r="AB81" s="55"/>
      <c r="AC81" s="44"/>
    </row>
    <row r="82" spans="7:29" x14ac:dyDescent="0.45">
      <c r="G82" s="72"/>
      <c r="P82" s="17">
        <f>$E$1</f>
        <v>0.68333333333333335</v>
      </c>
      <c r="Q82" s="17">
        <f>P82*M85</f>
        <v>4.6824151234567894E-2</v>
      </c>
      <c r="R82" s="49">
        <f>$N$1</f>
        <v>235.69094894251003</v>
      </c>
      <c r="S82" s="42"/>
      <c r="T82" s="15"/>
      <c r="U82" s="15"/>
      <c r="W82" s="43"/>
      <c r="X82" s="17">
        <f>1-X80</f>
        <v>0.31666666666666665</v>
      </c>
      <c r="Y82" s="17">
        <f>X82*U81</f>
        <v>1.0132226058813441E-2</v>
      </c>
      <c r="Z82" s="49">
        <f>$N$2</f>
        <v>1.0828396339164925</v>
      </c>
      <c r="AB82" s="55">
        <f>SUM(Z82,V81,R82,N85,J91,F79)</f>
        <v>710.32136572927948</v>
      </c>
    </row>
    <row r="83" spans="7:29" x14ac:dyDescent="0.45">
      <c r="G83" s="72"/>
      <c r="L83" s="1"/>
      <c r="M83" s="1"/>
      <c r="N83" s="1"/>
      <c r="O83" s="73"/>
      <c r="S83" s="72"/>
      <c r="X83" s="17">
        <f>IF($J$1=0,$E$1,$E$2)</f>
        <v>0.68333333333333335</v>
      </c>
      <c r="Y83" s="17">
        <f>X83*U84</f>
        <v>1.0132226058813441E-2</v>
      </c>
      <c r="Z83" s="49">
        <f>$N$1</f>
        <v>235.69094894251003</v>
      </c>
      <c r="AB83" s="55">
        <f>SUM(Z83,V84,R82,N85,J91,F79)</f>
        <v>710.32136572927948</v>
      </c>
      <c r="AC83" s="44"/>
    </row>
    <row r="84" spans="7:29" x14ac:dyDescent="0.45">
      <c r="G84" s="72"/>
      <c r="N84" s="1"/>
      <c r="O84" s="73"/>
      <c r="S84" s="72"/>
      <c r="T84" s="17">
        <f>1-T81</f>
        <v>0.31666666666666665</v>
      </c>
      <c r="U84" s="17">
        <f>T84*Q82</f>
        <v>1.48276478909465E-2</v>
      </c>
      <c r="V84" s="49">
        <f>$N$2</f>
        <v>1.0828396339164925</v>
      </c>
      <c r="W84" s="42"/>
      <c r="X84" s="15"/>
      <c r="Y84" s="15"/>
      <c r="AB84" s="55"/>
    </row>
    <row r="85" spans="7:29" x14ac:dyDescent="0.45">
      <c r="G85" s="72"/>
      <c r="L85" s="17">
        <f>H67</f>
        <v>0.68333333333333335</v>
      </c>
      <c r="M85" s="17">
        <f>L85*I91</f>
        <v>6.8523148148148139E-2</v>
      </c>
      <c r="N85" s="49">
        <f>$N$1</f>
        <v>235.69094894251003</v>
      </c>
      <c r="O85" s="73"/>
      <c r="W85" s="43"/>
      <c r="X85" s="17">
        <f>1-X83</f>
        <v>0.31666666666666665</v>
      </c>
      <c r="Y85" s="17">
        <f>X85*U84</f>
        <v>4.6954218321330577E-3</v>
      </c>
      <c r="Z85" s="49">
        <f>$N$2</f>
        <v>1.0828396339164925</v>
      </c>
      <c r="AB85" s="55">
        <f>SUM(Z85,V84,R82,N85,J91,F79)</f>
        <v>475.71325642068598</v>
      </c>
    </row>
    <row r="86" spans="7:29" x14ac:dyDescent="0.45">
      <c r="G86" s="72"/>
      <c r="K86" s="73"/>
      <c r="O86" s="72"/>
      <c r="P86" s="1"/>
      <c r="Q86" s="1"/>
      <c r="R86" s="1"/>
      <c r="X86" s="17">
        <f>$E$1</f>
        <v>0.68333333333333335</v>
      </c>
      <c r="Y86" s="17">
        <f>X86*U87</f>
        <v>1.0132226058813441E-2</v>
      </c>
      <c r="Z86" s="49">
        <f>$N$1</f>
        <v>235.69094894251003</v>
      </c>
      <c r="AB86" s="55">
        <f>SUM(Z86,V87,R88,N85,J91,F79)</f>
        <v>710.32136572927948</v>
      </c>
    </row>
    <row r="87" spans="7:29" x14ac:dyDescent="0.45">
      <c r="G87" s="72"/>
      <c r="K87" s="73"/>
      <c r="O87" s="72"/>
      <c r="R87" s="1"/>
      <c r="T87" s="17">
        <f>IF($J$1=0,$E$1,$E$2)</f>
        <v>0.68333333333333335</v>
      </c>
      <c r="U87" s="17">
        <f>T87*Q88</f>
        <v>1.48276478909465E-2</v>
      </c>
      <c r="V87" s="49">
        <f>$N$1</f>
        <v>235.69094894251003</v>
      </c>
      <c r="W87" s="42"/>
      <c r="X87" s="15"/>
      <c r="Y87" s="15"/>
      <c r="AB87" s="55"/>
      <c r="AC87" s="44"/>
    </row>
    <row r="88" spans="7:29" x14ac:dyDescent="0.45">
      <c r="G88" s="72"/>
      <c r="K88" s="73"/>
      <c r="O88" s="72"/>
      <c r="P88" s="17">
        <f>1-P82</f>
        <v>0.31666666666666665</v>
      </c>
      <c r="Q88" s="17">
        <f>P88*M85</f>
        <v>2.1698996913580244E-2</v>
      </c>
      <c r="R88" s="49">
        <f>$N$2</f>
        <v>1.0828396339164925</v>
      </c>
      <c r="S88" s="42"/>
      <c r="T88" s="15"/>
      <c r="U88" s="15"/>
      <c r="W88" s="43"/>
      <c r="X88" s="17">
        <f>1-X86</f>
        <v>0.31666666666666665</v>
      </c>
      <c r="Y88" s="17">
        <f>X88*U87</f>
        <v>4.6954218321330577E-3</v>
      </c>
      <c r="Z88" s="49">
        <f>$N$2</f>
        <v>1.0828396339164925</v>
      </c>
      <c r="AB88" s="55">
        <f>SUM(Z88,V87,R88,N85,J91,F79)</f>
        <v>475.71325642068598</v>
      </c>
    </row>
    <row r="89" spans="7:29" x14ac:dyDescent="0.45">
      <c r="G89" s="72"/>
      <c r="H89" s="1"/>
      <c r="I89" s="1"/>
      <c r="J89" s="1"/>
      <c r="K89" s="73"/>
      <c r="S89" s="72"/>
      <c r="X89" s="17">
        <f>IF($J$1=0,$E$1,$E$2)</f>
        <v>0.68333333333333335</v>
      </c>
      <c r="Y89" s="17">
        <f>X89*U90</f>
        <v>4.6954218321330586E-3</v>
      </c>
      <c r="Z89" s="49">
        <f>$N$1</f>
        <v>235.69094894251003</v>
      </c>
      <c r="AB89" s="55">
        <f>SUM(Z89,V90,R88,N85,J91,F79)</f>
        <v>475.71325642068598</v>
      </c>
      <c r="AC89" s="44"/>
    </row>
    <row r="90" spans="7:29" x14ac:dyDescent="0.45">
      <c r="G90" s="72"/>
      <c r="J90" s="1"/>
      <c r="K90" s="73"/>
      <c r="S90" s="72"/>
      <c r="T90" s="17">
        <f>1-T87</f>
        <v>0.31666666666666665</v>
      </c>
      <c r="U90" s="17">
        <f>T90*Q88</f>
        <v>6.8713490226337435E-3</v>
      </c>
      <c r="V90" s="49">
        <f>$N$2</f>
        <v>1.0828396339164925</v>
      </c>
      <c r="W90" s="42"/>
      <c r="X90" s="15"/>
      <c r="Y90" s="15"/>
      <c r="AB90" s="55"/>
    </row>
    <row r="91" spans="7:29" x14ac:dyDescent="0.45">
      <c r="G91" s="72"/>
      <c r="H91" s="17">
        <f>1-H67</f>
        <v>0.31666666666666665</v>
      </c>
      <c r="I91" s="17">
        <f>H91*E79</f>
        <v>0.10027777777777777</v>
      </c>
      <c r="J91" s="49">
        <f>$N$2</f>
        <v>1.0828396339164925</v>
      </c>
      <c r="K91" s="73"/>
      <c r="P91" s="9"/>
      <c r="Q91" s="9"/>
      <c r="R91" s="9"/>
      <c r="S91" s="8"/>
      <c r="T91" s="8"/>
      <c r="U91" s="8"/>
      <c r="V91" s="8"/>
      <c r="W91" s="43"/>
      <c r="X91" s="17">
        <f>1-X89</f>
        <v>0.31666666666666665</v>
      </c>
      <c r="Y91" s="17">
        <f>X91*U90</f>
        <v>2.1759271905006853E-3</v>
      </c>
      <c r="Z91" s="49">
        <f>$N$2</f>
        <v>1.0828396339164925</v>
      </c>
      <c r="AB91" s="55">
        <f>SUM(Z91,V90,R88,N85,J91,F79)</f>
        <v>241.10514711209248</v>
      </c>
    </row>
    <row r="92" spans="7:29" x14ac:dyDescent="0.45">
      <c r="H92" s="15"/>
      <c r="I92" s="15"/>
      <c r="K92" s="72"/>
      <c r="P92" s="1"/>
      <c r="Q92" s="1"/>
      <c r="R92" s="1"/>
      <c r="X92" s="17">
        <f>$E$1</f>
        <v>0.68333333333333335</v>
      </c>
      <c r="Y92" s="17">
        <f>X92*U93</f>
        <v>1.0132226058813441E-2</v>
      </c>
      <c r="Z92" s="49">
        <f>$N$1</f>
        <v>235.69094894251003</v>
      </c>
      <c r="AB92" s="55">
        <f>SUM(Z92,V93,R94,N97,J91,F79)</f>
        <v>710.32136572927959</v>
      </c>
    </row>
    <row r="93" spans="7:29" x14ac:dyDescent="0.45">
      <c r="H93" s="15"/>
      <c r="I93" s="15"/>
      <c r="K93" s="72"/>
      <c r="R93" s="1"/>
      <c r="T93" s="17">
        <f>$E$1</f>
        <v>0.68333333333333335</v>
      </c>
      <c r="U93" s="17">
        <f>T93*Q94</f>
        <v>1.48276478909465E-2</v>
      </c>
      <c r="V93" s="49">
        <f>$N$1</f>
        <v>235.69094894251003</v>
      </c>
      <c r="W93" s="42"/>
      <c r="X93" s="15"/>
      <c r="Y93" s="15"/>
      <c r="AB93" s="55"/>
      <c r="AC93" s="44"/>
    </row>
    <row r="94" spans="7:29" x14ac:dyDescent="0.45">
      <c r="H94" s="8"/>
      <c r="I94" s="8"/>
      <c r="J94" s="8"/>
      <c r="K94" s="72"/>
      <c r="P94" s="17">
        <f>IF($J$1=0,$E$1,$E$2)</f>
        <v>0.68333333333333335</v>
      </c>
      <c r="Q94" s="17">
        <f>P94*M97</f>
        <v>2.1698996913580244E-2</v>
      </c>
      <c r="R94" s="49">
        <f>$N$1</f>
        <v>235.69094894251003</v>
      </c>
      <c r="S94" s="42"/>
      <c r="T94" s="15"/>
      <c r="U94" s="15"/>
      <c r="W94" s="43"/>
      <c r="X94" s="17">
        <f>1-X92</f>
        <v>0.31666666666666665</v>
      </c>
      <c r="Y94" s="17">
        <f>X94*U93</f>
        <v>4.6954218321330577E-3</v>
      </c>
      <c r="Z94" s="49">
        <f>$N$2</f>
        <v>1.0828396339164925</v>
      </c>
      <c r="AB94" s="55">
        <f>SUM(Z94,V93,R94,N97,J91,F79)</f>
        <v>475.71325642068598</v>
      </c>
    </row>
    <row r="95" spans="7:29" x14ac:dyDescent="0.45">
      <c r="H95" s="50"/>
      <c r="I95" s="50"/>
      <c r="J95" s="51"/>
      <c r="K95" s="72"/>
      <c r="L95" s="1"/>
      <c r="M95" s="1"/>
      <c r="N95" s="1"/>
      <c r="O95" s="73"/>
      <c r="S95" s="72"/>
      <c r="X95" s="17">
        <f>IF($J$1=0,$E$1,$E$2)</f>
        <v>0.68333333333333335</v>
      </c>
      <c r="Y95" s="17">
        <f>X95*U96</f>
        <v>4.6954218321330586E-3</v>
      </c>
      <c r="Z95" s="49">
        <f>$N$1</f>
        <v>235.69094894251003</v>
      </c>
      <c r="AB95" s="55">
        <f>SUM(Z95,V96,R94,N97,J91,F79)</f>
        <v>475.71325642068598</v>
      </c>
      <c r="AC95" s="44"/>
    </row>
    <row r="96" spans="7:29" x14ac:dyDescent="0.45">
      <c r="H96" s="50"/>
      <c r="I96" s="8"/>
      <c r="J96" s="8"/>
      <c r="K96" s="72"/>
      <c r="N96" s="1"/>
      <c r="O96" s="73"/>
      <c r="S96" s="72"/>
      <c r="T96" s="17">
        <f>1-T93</f>
        <v>0.31666666666666665</v>
      </c>
      <c r="U96" s="17">
        <f>T96*Q94</f>
        <v>6.8713490226337435E-3</v>
      </c>
      <c r="V96" s="49">
        <f>$N$2</f>
        <v>1.0828396339164925</v>
      </c>
      <c r="W96" s="42"/>
      <c r="X96" s="15"/>
      <c r="Y96" s="15"/>
      <c r="AB96" s="55"/>
    </row>
    <row r="97" spans="4:29" x14ac:dyDescent="0.45">
      <c r="H97" s="50"/>
      <c r="I97" s="50"/>
      <c r="J97" s="51"/>
      <c r="K97" s="72"/>
      <c r="L97" s="17">
        <f>1-L85</f>
        <v>0.31666666666666665</v>
      </c>
      <c r="M97" s="17">
        <f>L97*I91</f>
        <v>3.1754629629629626E-2</v>
      </c>
      <c r="N97" s="49">
        <f>$N$2</f>
        <v>1.0828396339164925</v>
      </c>
      <c r="O97" s="73"/>
      <c r="W97" s="43"/>
      <c r="X97" s="17">
        <f>1-X95</f>
        <v>0.31666666666666665</v>
      </c>
      <c r="Y97" s="17">
        <f>X97*U96</f>
        <v>2.1759271905006853E-3</v>
      </c>
      <c r="Z97" s="49">
        <f>$N$2</f>
        <v>1.0828396339164925</v>
      </c>
      <c r="AB97" s="55">
        <f>SUM(Z97,V96,R94,N97,J91,F79)</f>
        <v>241.10514711209248</v>
      </c>
    </row>
    <row r="98" spans="4:29" x14ac:dyDescent="0.45">
      <c r="H98" s="50"/>
      <c r="I98" s="50"/>
      <c r="J98" s="8"/>
      <c r="O98" s="72"/>
      <c r="P98" s="1"/>
      <c r="Q98" s="1"/>
      <c r="R98" s="1"/>
      <c r="X98" s="17">
        <f>$E$1</f>
        <v>0.68333333333333335</v>
      </c>
      <c r="Y98" s="17">
        <f>X98*U99</f>
        <v>4.6954218321330586E-3</v>
      </c>
      <c r="Z98" s="49">
        <f>$N$1</f>
        <v>235.69094894251003</v>
      </c>
      <c r="AB98" s="55">
        <f>SUM(Z98,V99,R100,N97,J91,F79)</f>
        <v>475.71325642068598</v>
      </c>
    </row>
    <row r="99" spans="4:29" x14ac:dyDescent="0.45">
      <c r="H99" s="50"/>
      <c r="I99" s="50"/>
      <c r="J99" s="51"/>
      <c r="O99" s="72"/>
      <c r="R99" s="1"/>
      <c r="T99" s="17">
        <f>IF($J$1=0,$E$1,$E$2)</f>
        <v>0.68333333333333335</v>
      </c>
      <c r="U99" s="17">
        <f>T99*Q100</f>
        <v>6.8713490226337444E-3</v>
      </c>
      <c r="V99" s="49">
        <f>$N$1</f>
        <v>235.69094894251003</v>
      </c>
      <c r="W99" s="42"/>
      <c r="X99" s="15"/>
      <c r="Y99" s="15"/>
      <c r="AB99" s="55"/>
      <c r="AC99" s="44"/>
    </row>
    <row r="100" spans="4:29" x14ac:dyDescent="0.45">
      <c r="H100" s="8"/>
      <c r="I100" s="50"/>
      <c r="J100" s="8"/>
      <c r="O100" s="72"/>
      <c r="P100" s="17">
        <f>L97</f>
        <v>0.31666666666666665</v>
      </c>
      <c r="Q100" s="17">
        <f>P100*M97</f>
        <v>1.0055632716049381E-2</v>
      </c>
      <c r="R100" s="49">
        <f>$N$2</f>
        <v>1.0828396339164925</v>
      </c>
      <c r="S100" s="42"/>
      <c r="T100" s="15"/>
      <c r="U100" s="15"/>
      <c r="W100" s="43"/>
      <c r="X100" s="17">
        <f>1-X98</f>
        <v>0.31666666666666665</v>
      </c>
      <c r="Y100" s="17">
        <f>X100*U99</f>
        <v>2.1759271905006858E-3</v>
      </c>
      <c r="Z100" s="49">
        <f>$N$2</f>
        <v>1.0828396339164925</v>
      </c>
      <c r="AB100" s="55">
        <f>SUM(Z100,V99,R100,N97,J91,F79)</f>
        <v>241.10514711209242</v>
      </c>
    </row>
    <row r="101" spans="4:29" x14ac:dyDescent="0.45">
      <c r="H101" s="8"/>
      <c r="I101" s="50"/>
      <c r="J101" s="8"/>
      <c r="S101" s="72"/>
      <c r="X101" s="17">
        <f>IF($J$1=0,$E$1,$E$2)</f>
        <v>0.68333333333333335</v>
      </c>
      <c r="Y101" s="17">
        <f>X101*U102</f>
        <v>2.1759271905006858E-3</v>
      </c>
      <c r="Z101" s="49">
        <f>$N$1</f>
        <v>235.69094894251003</v>
      </c>
      <c r="AB101" s="55">
        <f>SUM(Z101,V102,R100,N97,J91,F79)</f>
        <v>241.10514711209242</v>
      </c>
      <c r="AC101" s="44"/>
    </row>
    <row r="102" spans="4:29" x14ac:dyDescent="0.45">
      <c r="S102" s="72"/>
      <c r="T102" s="17">
        <f>1-T99</f>
        <v>0.31666666666666665</v>
      </c>
      <c r="U102" s="17">
        <f>T102*Q100</f>
        <v>3.1842836934156374E-3</v>
      </c>
      <c r="V102" s="49">
        <f>$N$2</f>
        <v>1.0828396339164925</v>
      </c>
      <c r="W102" s="42"/>
      <c r="X102" s="15"/>
      <c r="Y102" s="15"/>
      <c r="AB102" s="55"/>
    </row>
    <row r="103" spans="4:29" x14ac:dyDescent="0.45">
      <c r="W103" s="43"/>
      <c r="X103" s="17">
        <f>1-X101</f>
        <v>0.31666666666666665</v>
      </c>
      <c r="Y103" s="17">
        <f>X103*U102</f>
        <v>1.0083565029149518E-3</v>
      </c>
      <c r="Z103" s="49">
        <f>$N$2</f>
        <v>1.0828396339164925</v>
      </c>
      <c r="AB103" s="55">
        <f>SUM(Z103,V102,R100,N97,J91,F79)</f>
        <v>6.4970378034989551</v>
      </c>
    </row>
    <row r="104" spans="4:29" x14ac:dyDescent="0.45">
      <c r="AC104" s="44"/>
    </row>
    <row r="105" spans="4:29" x14ac:dyDescent="0.45">
      <c r="D105" t="s">
        <v>74</v>
      </c>
      <c r="E105" s="15">
        <f>SUM(E9:E101)</f>
        <v>1</v>
      </c>
      <c r="I105" s="15">
        <f>SUM(I9:I101)</f>
        <v>1</v>
      </c>
      <c r="M105" s="15">
        <f>SUM(M9:M101)</f>
        <v>1</v>
      </c>
      <c r="Q105" s="15">
        <f>SUM(Q9:Q101)</f>
        <v>0.99999999999999978</v>
      </c>
      <c r="U105" s="15">
        <f>SUM(U9:U102)</f>
        <v>0.99999999999999967</v>
      </c>
      <c r="Y105" s="15">
        <f>SUM(Y8:Y103)</f>
        <v>0.99999999999999978</v>
      </c>
    </row>
    <row r="106" spans="4:29" x14ac:dyDescent="0.45">
      <c r="D106" t="s">
        <v>75</v>
      </c>
    </row>
    <row r="107" spans="4:29" x14ac:dyDescent="0.45">
      <c r="E107" s="58">
        <f>E31*F31+E79*F79</f>
        <v>161.39838099478874</v>
      </c>
      <c r="F107" s="58"/>
      <c r="G107" s="58"/>
      <c r="H107" s="58"/>
      <c r="I107" s="58">
        <f>SUM(F31,J19)*I19+SUM(F31,J43)*I43+SUM(F79,J67)*I67+SUM(F79,J91)*I91</f>
        <v>322.79676198957748</v>
      </c>
      <c r="J107" s="58"/>
      <c r="K107" s="58"/>
      <c r="L107" s="58"/>
      <c r="M107" s="58">
        <f>SUM(F31,J19,N13)*M13+SUM(F31,J19,N25)*M25+SUM(F31,J43,N37)*M37+SUM(F31,J43,N49)*M49+SUM(F79,J67,N61)*M61+SUM(F79,J67,N73)*M73+SUM(F79,J91,N85)*M85+SUM(F79,J91,N97)*M97</f>
        <v>484.19514298436627</v>
      </c>
      <c r="N107" s="58"/>
      <c r="O107" s="58"/>
      <c r="P107" s="58"/>
      <c r="Q107" s="58">
        <f>SUM($F$31,$J$19,$N$13,$R$10)*Q10+SUM($F$31,$J$19,$N$13,$R$16)*Q16+SUM($F$31,$J$19,$N$25,$R$22)*Q22+SUM($F$31,$J$19,$N$25,$R$28)*Q28+SUM($F$31,$J$43,$N$37,$R$34)*Q34+SUM($F$31,$J$43,$N$37,$R$40)*Q40+SUM($F$31,$J$43,$N$49,$R$46)*Q46+SUM($F$31,$J$43,$N$49,$R$52)*Q52+SUM($F$79,$J$67,$N$61,$R$58)*Q58+SUM($F$79,$J$67,$N$61,$R$64)*Q64+SUM($F$79,$J$67,$N$73,$R$70)*Q70+SUM($F$79,$J$67,$N$73,$R$76)*Q76+SUM($F$79,$J$91,$N$85,$R$82)*Q82+SUM($F$79,$J$91,$N$85,$R$88)*Q88+SUM($F$79,$J$91,$N$97,$R$94)*Q94+SUM($F$79,$J$91,$N$97,$R$100)*Q100</f>
        <v>645.59352397915495</v>
      </c>
      <c r="R107" s="58"/>
      <c r="S107" s="58"/>
      <c r="T107" s="58"/>
      <c r="U107" s="58">
        <f>SUM($F$31,$J$19,$N$13,$R$10,V9)*U9+SUM($F$31,$J$19,$N$13,$R$16,V15)*U15+SUM($F$31,$J$19,$N$25,$R$22,V21)*U21+SUM($F$31,$J$19,$N$25,$R$28,V27)*U27+SUM($F$31,$J$43,$N$37,$R$34,V33)*U33+SUM($F$31,$J$43,$N$37,$R$40,V39)*U39+SUM($F$31,$J$43,$N$49,$R$46,V45)*U45+SUM($F$31,$J$43,$N$49,$R$52,V51)*U51+SUM($F$79,$J$67,$N$61,$R$58,V57)*U57+SUM($F$79,$J$67,$N$61,$R$64,V63)*U63+SUM($F$79,$J$67,$N$73,$R$70,V69)*U69+SUM($F$79,$J$67,$N$73,$R$76,V75)*U75+SUM($F$79,$J$91,$N$85,$R$82,V81)*U81+SUM($F$79,$J$91,$N$85,$R$88,V87)*U87+SUM($F$79,$J$91,$N$97,$R$94,V93)*U93+SUM($F$79,$J$91,$N$97,$R$100,V99)*U99+SUM($F$31,$J$19,$N$13,$R$10,V12)*U12+SUM($F$31,$J$19,$N$13,$R$16,V18)*U18+SUM($F$31,$J$19,$N$25,$R$22,V24)*U24+SUM($F$31,$J$19,$N$25,$R$28,V30)*U30+SUM($F$31,$J$43,$N$37,$R$34,V36)*U36+SUM($F$31,$J$43,$N$37,$R$40,V42)*U42+SUM($F$31,$J$43,$N$49,$R$46,V48)*U48+SUM($F$31,$J$43,$N$49,$R$52,V54)*U54+SUM($F$79,$J$67,$N$61,$R$58,V60)*U60+SUM($F$79,$J$67,$N$61,$R$64,V66)*U66+SUM($F$79,$J$67,$N$73,$R$70,V72)*U72+SUM($F$79,$J$67,$N$73,$R$76,V78)*U78+SUM($F$79,$J$91,$N$85,$R$82,V84)*U84+SUM($F$79,$J$91,$N$85,$R$88,V90)*U90+SUM($F$79,$J$91,$N$97,$R$94,V96)*U96+SUM($F$79,$J$91,$N$97,$R$100,V102)*U102</f>
        <v>806.99190497394341</v>
      </c>
      <c r="V107" s="58"/>
      <c r="W107" s="58"/>
      <c r="X107" s="58"/>
      <c r="Y107" s="58">
        <f>SUMPRODUCT(Y8:Y103,AB8:AB103)</f>
        <v>968.39028596873129</v>
      </c>
    </row>
    <row r="108" spans="4:29" x14ac:dyDescent="0.45">
      <c r="E108" s="58">
        <f>E107/1</f>
        <v>161.39838099478874</v>
      </c>
      <c r="F108" s="58"/>
      <c r="G108" s="58"/>
      <c r="H108" s="58"/>
      <c r="I108" s="58">
        <f>I107/2</f>
        <v>161.39838099478874</v>
      </c>
      <c r="J108" s="58"/>
      <c r="K108" s="58"/>
      <c r="L108" s="58"/>
      <c r="M108" s="58">
        <f>M107/3</f>
        <v>161.39838099478877</v>
      </c>
      <c r="N108" s="58"/>
      <c r="O108" s="58"/>
      <c r="P108" s="58"/>
      <c r="Q108" s="58">
        <f>Q107/4</f>
        <v>161.39838099478874</v>
      </c>
      <c r="R108" s="58"/>
      <c r="S108" s="58"/>
      <c r="T108" s="58"/>
      <c r="U108" s="58">
        <f>U107/5</f>
        <v>161.39838099478868</v>
      </c>
      <c r="V108" s="58"/>
      <c r="W108" s="58"/>
      <c r="X108" s="58"/>
      <c r="Y108" s="58">
        <f>Y107/6</f>
        <v>161.39838099478854</v>
      </c>
    </row>
  </sheetData>
  <mergeCells count="48">
    <mergeCell ref="O11:O13"/>
    <mergeCell ref="S11:S12"/>
    <mergeCell ref="K14:K19"/>
    <mergeCell ref="O14:O16"/>
    <mergeCell ref="S17:S18"/>
    <mergeCell ref="S29:S30"/>
    <mergeCell ref="D32:D54"/>
    <mergeCell ref="G32:G43"/>
    <mergeCell ref="O35:O37"/>
    <mergeCell ref="S35:S36"/>
    <mergeCell ref="K38:K43"/>
    <mergeCell ref="O38:O40"/>
    <mergeCell ref="S41:S42"/>
    <mergeCell ref="K44:K49"/>
    <mergeCell ref="O47:O49"/>
    <mergeCell ref="G20:G31"/>
    <mergeCell ref="K20:K25"/>
    <mergeCell ref="O23:O25"/>
    <mergeCell ref="S23:S24"/>
    <mergeCell ref="O26:O28"/>
    <mergeCell ref="S47:S48"/>
    <mergeCell ref="O50:O52"/>
    <mergeCell ref="S53:S54"/>
    <mergeCell ref="B54:B55"/>
    <mergeCell ref="C54:C55"/>
    <mergeCell ref="D55:D79"/>
    <mergeCell ref="O59:O61"/>
    <mergeCell ref="S59:S60"/>
    <mergeCell ref="K62:K67"/>
    <mergeCell ref="O62:O64"/>
    <mergeCell ref="S65:S66"/>
    <mergeCell ref="G68:G79"/>
    <mergeCell ref="K68:K73"/>
    <mergeCell ref="O71:O73"/>
    <mergeCell ref="S71:S72"/>
    <mergeCell ref="O74:O76"/>
    <mergeCell ref="S77:S78"/>
    <mergeCell ref="G80:G91"/>
    <mergeCell ref="O83:O85"/>
    <mergeCell ref="S83:S84"/>
    <mergeCell ref="K86:K91"/>
    <mergeCell ref="O86:O88"/>
    <mergeCell ref="S89:S90"/>
    <mergeCell ref="K92:K97"/>
    <mergeCell ref="O95:O97"/>
    <mergeCell ref="S95:S96"/>
    <mergeCell ref="O98:O100"/>
    <mergeCell ref="S101:S10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F25"/>
  <sheetViews>
    <sheetView workbookViewId="0">
      <selection activeCell="B14" sqref="B14"/>
    </sheetView>
  </sheetViews>
  <sheetFormatPr defaultRowHeight="14.25" x14ac:dyDescent="0.45"/>
  <sheetData>
    <row r="9" spans="4:6" x14ac:dyDescent="0.45">
      <c r="E9" s="1" t="s">
        <v>115</v>
      </c>
      <c r="F9" s="1" t="s">
        <v>117</v>
      </c>
    </row>
    <row r="10" spans="4:6" x14ac:dyDescent="0.45">
      <c r="E10" s="1" t="s">
        <v>116</v>
      </c>
      <c r="F10" s="1" t="s">
        <v>116</v>
      </c>
    </row>
    <row r="11" spans="4:6" x14ac:dyDescent="0.45">
      <c r="D11" s="3">
        <v>0</v>
      </c>
      <c r="E11" s="3">
        <v>0</v>
      </c>
      <c r="F11" s="3">
        <v>0</v>
      </c>
    </row>
    <row r="12" spans="4:6" x14ac:dyDescent="0.45">
      <c r="D12" s="9">
        <v>0</v>
      </c>
      <c r="E12" s="9">
        <f>IF(AND(D12=0,D11=1),1,0)</f>
        <v>0</v>
      </c>
      <c r="F12" s="9">
        <f>IF(AND(D12=1,D11=0),1,0)</f>
        <v>0</v>
      </c>
    </row>
    <row r="13" spans="4:6" x14ac:dyDescent="0.45">
      <c r="D13" s="9">
        <v>0</v>
      </c>
      <c r="E13" s="9">
        <f t="shared" ref="E13:E22" si="0">IF(AND(D13=0,D12=1),1,0)</f>
        <v>0</v>
      </c>
      <c r="F13" s="9">
        <f t="shared" ref="F13:F22" si="1">IF(AND(D13=1,D12=0),1,0)</f>
        <v>0</v>
      </c>
    </row>
    <row r="14" spans="4:6" x14ac:dyDescent="0.45">
      <c r="D14" s="9">
        <v>0</v>
      </c>
      <c r="E14" s="9">
        <f t="shared" si="0"/>
        <v>0</v>
      </c>
      <c r="F14" s="9">
        <f t="shared" si="1"/>
        <v>0</v>
      </c>
    </row>
    <row r="15" spans="4:6" x14ac:dyDescent="0.45">
      <c r="D15" s="9">
        <v>1</v>
      </c>
      <c r="E15" s="9">
        <f t="shared" si="0"/>
        <v>0</v>
      </c>
      <c r="F15" s="9">
        <f t="shared" si="1"/>
        <v>1</v>
      </c>
    </row>
    <row r="16" spans="4:6" x14ac:dyDescent="0.45">
      <c r="D16" s="9">
        <v>1</v>
      </c>
      <c r="E16" s="9">
        <f t="shared" si="0"/>
        <v>0</v>
      </c>
      <c r="F16" s="9">
        <f t="shared" si="1"/>
        <v>0</v>
      </c>
    </row>
    <row r="17" spans="3:6" x14ac:dyDescent="0.45">
      <c r="D17" s="9">
        <v>1</v>
      </c>
      <c r="E17" s="9">
        <f t="shared" si="0"/>
        <v>0</v>
      </c>
      <c r="F17" s="9">
        <f t="shared" si="1"/>
        <v>0</v>
      </c>
    </row>
    <row r="18" spans="3:6" x14ac:dyDescent="0.45">
      <c r="D18" s="9">
        <v>0</v>
      </c>
      <c r="E18" s="9">
        <f t="shared" si="0"/>
        <v>1</v>
      </c>
      <c r="F18" s="9">
        <f t="shared" si="1"/>
        <v>0</v>
      </c>
    </row>
    <row r="19" spans="3:6" x14ac:dyDescent="0.45">
      <c r="D19" s="9">
        <v>1</v>
      </c>
      <c r="E19" s="9">
        <f t="shared" si="0"/>
        <v>0</v>
      </c>
      <c r="F19" s="9">
        <f t="shared" si="1"/>
        <v>1</v>
      </c>
    </row>
    <row r="20" spans="3:6" x14ac:dyDescent="0.45">
      <c r="D20" s="9">
        <v>0</v>
      </c>
      <c r="E20" s="9">
        <f t="shared" si="0"/>
        <v>1</v>
      </c>
      <c r="F20" s="9">
        <f t="shared" si="1"/>
        <v>0</v>
      </c>
    </row>
    <row r="21" spans="3:6" x14ac:dyDescent="0.45">
      <c r="D21" s="9">
        <v>1</v>
      </c>
      <c r="E21" s="9">
        <f t="shared" si="0"/>
        <v>0</v>
      </c>
      <c r="F21" s="9">
        <f t="shared" si="1"/>
        <v>1</v>
      </c>
    </row>
    <row r="22" spans="3:6" x14ac:dyDescent="0.45">
      <c r="D22" s="2">
        <v>0</v>
      </c>
      <c r="E22" s="2">
        <f t="shared" si="0"/>
        <v>1</v>
      </c>
      <c r="F22" s="2">
        <f t="shared" si="1"/>
        <v>0</v>
      </c>
    </row>
    <row r="23" spans="3:6" x14ac:dyDescent="0.45">
      <c r="C23" s="1" t="s">
        <v>112</v>
      </c>
      <c r="D23" s="1">
        <f>COUNTIF($D$11:$D$22,"1")</f>
        <v>5</v>
      </c>
      <c r="E23" s="75">
        <f>SUM(E11:E22)</f>
        <v>3</v>
      </c>
      <c r="F23" s="75">
        <f>SUM(F11:F22)</f>
        <v>3</v>
      </c>
    </row>
    <row r="24" spans="3:6" x14ac:dyDescent="0.45">
      <c r="C24" t="s">
        <v>114</v>
      </c>
      <c r="D24" s="1">
        <f>COUNTIF($D$11:$D$22,"0")</f>
        <v>7</v>
      </c>
      <c r="F24" s="9"/>
    </row>
    <row r="25" spans="3:6" x14ac:dyDescent="0.45">
      <c r="C25" s="1" t="s">
        <v>113</v>
      </c>
      <c r="D25" s="1">
        <f>COUNT(D11:D22)</f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139"/>
  <sheetViews>
    <sheetView tabSelected="1" workbookViewId="0">
      <selection activeCell="D3" sqref="D3"/>
    </sheetView>
  </sheetViews>
  <sheetFormatPr defaultRowHeight="14.25" x14ac:dyDescent="0.45"/>
  <cols>
    <col min="2" max="6" width="6.796875" customWidth="1"/>
  </cols>
  <sheetData>
    <row r="6" spans="3:6" x14ac:dyDescent="0.45">
      <c r="C6" s="56" t="s">
        <v>121</v>
      </c>
      <c r="D6" s="1">
        <v>0.1</v>
      </c>
    </row>
    <row r="7" spans="3:6" x14ac:dyDescent="0.45">
      <c r="C7" s="56" t="s">
        <v>122</v>
      </c>
      <c r="D7" s="1">
        <v>1</v>
      </c>
    </row>
    <row r="8" spans="3:6" x14ac:dyDescent="0.45">
      <c r="C8" s="56" t="s">
        <v>123</v>
      </c>
      <c r="D8" s="1">
        <v>0</v>
      </c>
    </row>
    <row r="9" spans="3:6" x14ac:dyDescent="0.45">
      <c r="E9" s="1" t="s">
        <v>115</v>
      </c>
      <c r="F9" s="1" t="s">
        <v>117</v>
      </c>
    </row>
    <row r="10" spans="3:6" x14ac:dyDescent="0.45">
      <c r="E10" s="1" t="s">
        <v>116</v>
      </c>
      <c r="F10" s="1" t="s">
        <v>116</v>
      </c>
    </row>
    <row r="11" spans="3:6" x14ac:dyDescent="0.45">
      <c r="C11">
        <v>1</v>
      </c>
      <c r="D11" s="3">
        <v>0</v>
      </c>
      <c r="E11" s="3">
        <v>0</v>
      </c>
      <c r="F11" s="3">
        <v>0</v>
      </c>
    </row>
    <row r="12" spans="3:6" x14ac:dyDescent="0.45">
      <c r="C12">
        <v>2</v>
      </c>
      <c r="D12" s="9">
        <f t="shared" ref="D12:D30" ca="1" si="0">IF(RAND()&gt;$D$6,1,0)</f>
        <v>1</v>
      </c>
      <c r="E12" s="9">
        <f ca="1">IF(AND(D12=0,D11=1),1,0)</f>
        <v>0</v>
      </c>
      <c r="F12" s="9">
        <f ca="1">IF(AND(D12=1,D11=0),1,0)</f>
        <v>1</v>
      </c>
    </row>
    <row r="13" spans="3:6" x14ac:dyDescent="0.45">
      <c r="C13">
        <v>3</v>
      </c>
      <c r="D13" s="9">
        <f t="shared" ca="1" si="0"/>
        <v>0</v>
      </c>
      <c r="E13" s="9">
        <f t="shared" ref="E13:E30" ca="1" si="1">IF(AND(D13=0,D12=1),1,0)</f>
        <v>1</v>
      </c>
      <c r="F13" s="9">
        <f t="shared" ref="F13:F30" ca="1" si="2">IF(AND(D13=1,D12=0),1,0)</f>
        <v>0</v>
      </c>
    </row>
    <row r="14" spans="3:6" x14ac:dyDescent="0.45">
      <c r="C14">
        <v>4</v>
      </c>
      <c r="D14" s="9">
        <f t="shared" ca="1" si="0"/>
        <v>1</v>
      </c>
      <c r="E14" s="9">
        <f t="shared" ca="1" si="1"/>
        <v>0</v>
      </c>
      <c r="F14" s="9">
        <f t="shared" ca="1" si="2"/>
        <v>1</v>
      </c>
    </row>
    <row r="15" spans="3:6" x14ac:dyDescent="0.45">
      <c r="C15">
        <v>5</v>
      </c>
      <c r="D15" s="9">
        <f t="shared" ca="1" si="0"/>
        <v>1</v>
      </c>
      <c r="E15" s="9">
        <f t="shared" ca="1" si="1"/>
        <v>0</v>
      </c>
      <c r="F15" s="9">
        <f t="shared" ca="1" si="2"/>
        <v>0</v>
      </c>
    </row>
    <row r="16" spans="3:6" x14ac:dyDescent="0.45">
      <c r="C16">
        <v>6</v>
      </c>
      <c r="D16" s="9">
        <f t="shared" ca="1" si="0"/>
        <v>1</v>
      </c>
      <c r="E16" s="9">
        <f t="shared" ca="1" si="1"/>
        <v>0</v>
      </c>
      <c r="F16" s="9">
        <f t="shared" ca="1" si="2"/>
        <v>0</v>
      </c>
    </row>
    <row r="17" spans="3:6" x14ac:dyDescent="0.45">
      <c r="C17">
        <v>7</v>
      </c>
      <c r="D17" s="9">
        <f t="shared" ca="1" si="0"/>
        <v>1</v>
      </c>
      <c r="E17" s="9">
        <f t="shared" ca="1" si="1"/>
        <v>0</v>
      </c>
      <c r="F17" s="9">
        <f t="shared" ref="F17:F24" ca="1" si="3">IF(AND(D17=1,D16=0),1,0)</f>
        <v>0</v>
      </c>
    </row>
    <row r="18" spans="3:6" x14ac:dyDescent="0.45">
      <c r="C18">
        <v>8</v>
      </c>
      <c r="D18" s="9">
        <f t="shared" ca="1" si="0"/>
        <v>1</v>
      </c>
      <c r="E18" s="9">
        <f t="shared" ca="1" si="1"/>
        <v>0</v>
      </c>
      <c r="F18" s="9">
        <f t="shared" ca="1" si="3"/>
        <v>0</v>
      </c>
    </row>
    <row r="19" spans="3:6" x14ac:dyDescent="0.45">
      <c r="C19">
        <v>9</v>
      </c>
      <c r="D19" s="9">
        <f t="shared" ca="1" si="0"/>
        <v>1</v>
      </c>
      <c r="E19" s="9">
        <f t="shared" ca="1" si="1"/>
        <v>0</v>
      </c>
      <c r="F19" s="9">
        <f t="shared" ca="1" si="3"/>
        <v>0</v>
      </c>
    </row>
    <row r="20" spans="3:6" x14ac:dyDescent="0.45">
      <c r="C20">
        <v>10</v>
      </c>
      <c r="D20" s="9">
        <f t="shared" ca="1" si="0"/>
        <v>1</v>
      </c>
      <c r="E20" s="9">
        <f t="shared" ca="1" si="1"/>
        <v>0</v>
      </c>
      <c r="F20" s="9">
        <f t="shared" ca="1" si="3"/>
        <v>0</v>
      </c>
    </row>
    <row r="21" spans="3:6" x14ac:dyDescent="0.45">
      <c r="C21">
        <v>11</v>
      </c>
      <c r="D21" s="9">
        <f t="shared" ca="1" si="0"/>
        <v>1</v>
      </c>
      <c r="E21" s="9">
        <f t="shared" ca="1" si="1"/>
        <v>0</v>
      </c>
      <c r="F21" s="9">
        <f t="shared" ca="1" si="3"/>
        <v>0</v>
      </c>
    </row>
    <row r="22" spans="3:6" x14ac:dyDescent="0.45">
      <c r="C22">
        <v>12</v>
      </c>
      <c r="D22" s="9">
        <f t="shared" ca="1" si="0"/>
        <v>1</v>
      </c>
      <c r="E22" s="9">
        <f t="shared" ca="1" si="1"/>
        <v>0</v>
      </c>
      <c r="F22" s="9">
        <f t="shared" ca="1" si="3"/>
        <v>0</v>
      </c>
    </row>
    <row r="23" spans="3:6" x14ac:dyDescent="0.45">
      <c r="C23">
        <v>13</v>
      </c>
      <c r="D23" s="9">
        <f t="shared" ca="1" si="0"/>
        <v>1</v>
      </c>
      <c r="E23" s="9">
        <f t="shared" ca="1" si="1"/>
        <v>0</v>
      </c>
      <c r="F23" s="9">
        <f t="shared" ca="1" si="3"/>
        <v>0</v>
      </c>
    </row>
    <row r="24" spans="3:6" x14ac:dyDescent="0.45">
      <c r="C24">
        <v>14</v>
      </c>
      <c r="D24" s="9">
        <f t="shared" ca="1" si="0"/>
        <v>1</v>
      </c>
      <c r="E24" s="9">
        <f t="shared" ca="1" si="1"/>
        <v>0</v>
      </c>
      <c r="F24" s="9">
        <f t="shared" ca="1" si="3"/>
        <v>0</v>
      </c>
    </row>
    <row r="25" spans="3:6" x14ac:dyDescent="0.45">
      <c r="C25">
        <v>15</v>
      </c>
      <c r="D25" s="9">
        <f t="shared" ca="1" si="0"/>
        <v>1</v>
      </c>
      <c r="E25" s="9">
        <f ca="1">IF(AND(D25=0,D16=1),1,0)</f>
        <v>0</v>
      </c>
      <c r="F25" s="9">
        <f ca="1">IF(AND(D25=1,D16=0),1,0)</f>
        <v>0</v>
      </c>
    </row>
    <row r="26" spans="3:6" x14ac:dyDescent="0.45">
      <c r="C26">
        <v>16</v>
      </c>
      <c r="D26" s="9">
        <f t="shared" ca="1" si="0"/>
        <v>1</v>
      </c>
      <c r="E26" s="9">
        <f t="shared" ca="1" si="1"/>
        <v>0</v>
      </c>
      <c r="F26" s="9">
        <f t="shared" ca="1" si="2"/>
        <v>0</v>
      </c>
    </row>
    <row r="27" spans="3:6" x14ac:dyDescent="0.45">
      <c r="C27">
        <v>17</v>
      </c>
      <c r="D27" s="9">
        <f t="shared" ca="1" si="0"/>
        <v>1</v>
      </c>
      <c r="E27" s="9">
        <f t="shared" ca="1" si="1"/>
        <v>0</v>
      </c>
      <c r="F27" s="9">
        <f t="shared" ca="1" si="2"/>
        <v>0</v>
      </c>
    </row>
    <row r="28" spans="3:6" x14ac:dyDescent="0.45">
      <c r="C28">
        <v>18</v>
      </c>
      <c r="D28" s="9">
        <f t="shared" ca="1" si="0"/>
        <v>1</v>
      </c>
      <c r="E28" s="9">
        <f t="shared" ca="1" si="1"/>
        <v>0</v>
      </c>
      <c r="F28" s="9">
        <f t="shared" ca="1" si="2"/>
        <v>0</v>
      </c>
    </row>
    <row r="29" spans="3:6" x14ac:dyDescent="0.45">
      <c r="C29">
        <v>19</v>
      </c>
      <c r="D29" s="9">
        <f t="shared" ca="1" si="0"/>
        <v>1</v>
      </c>
      <c r="E29" s="9">
        <f t="shared" ca="1" si="1"/>
        <v>0</v>
      </c>
      <c r="F29" s="9">
        <f t="shared" ca="1" si="2"/>
        <v>0</v>
      </c>
    </row>
    <row r="30" spans="3:6" x14ac:dyDescent="0.45">
      <c r="C30">
        <v>20</v>
      </c>
      <c r="D30" s="2">
        <v>0</v>
      </c>
      <c r="E30" s="2">
        <f t="shared" ca="1" si="1"/>
        <v>1</v>
      </c>
      <c r="F30" s="2">
        <f t="shared" ca="1" si="2"/>
        <v>0</v>
      </c>
    </row>
    <row r="31" spans="3:6" x14ac:dyDescent="0.45">
      <c r="C31" s="56" t="s">
        <v>112</v>
      </c>
      <c r="D31" s="1">
        <f ca="1">COUNTIF($D$11:$D$30,"1")</f>
        <v>17</v>
      </c>
      <c r="E31" s="75">
        <f ca="1">SUM(E11:E30)</f>
        <v>2</v>
      </c>
      <c r="F31" s="75">
        <f ca="1">SUM(F11:F30)</f>
        <v>2</v>
      </c>
    </row>
    <row r="32" spans="3:6" x14ac:dyDescent="0.45">
      <c r="C32" s="56" t="s">
        <v>114</v>
      </c>
      <c r="D32" s="1">
        <f ca="1">COUNTIF($D$11:$D$30,"0")</f>
        <v>3</v>
      </c>
      <c r="F32" s="9"/>
    </row>
    <row r="33" spans="1:4" x14ac:dyDescent="0.45">
      <c r="C33" s="56" t="s">
        <v>113</v>
      </c>
      <c r="D33" s="1">
        <f ca="1">COUNT(D11:D30)</f>
        <v>20</v>
      </c>
    </row>
    <row r="34" spans="1:4" x14ac:dyDescent="0.45">
      <c r="C34" s="56" t="s">
        <v>119</v>
      </c>
      <c r="D34" s="15">
        <f ca="1">D32/12</f>
        <v>0.25</v>
      </c>
    </row>
    <row r="35" spans="1:4" x14ac:dyDescent="0.45">
      <c r="C35" s="56" t="s">
        <v>118</v>
      </c>
      <c r="D35" s="1">
        <f ca="1">E31/D31</f>
        <v>0.11764705882352941</v>
      </c>
    </row>
    <row r="36" spans="1:4" x14ac:dyDescent="0.45">
      <c r="C36" s="56" t="s">
        <v>120</v>
      </c>
      <c r="D36" s="15">
        <f ca="1">F31/D32</f>
        <v>0.66666666666666663</v>
      </c>
    </row>
    <row r="38" spans="1:4" x14ac:dyDescent="0.45">
      <c r="B38" s="1"/>
      <c r="C38" s="1"/>
    </row>
    <row r="39" spans="1:4" s="76" customFormat="1" x14ac:dyDescent="0.45">
      <c r="A39"/>
      <c r="B39" s="1" t="s">
        <v>119</v>
      </c>
      <c r="C39" s="1" t="s">
        <v>118</v>
      </c>
      <c r="D39" s="76" t="s">
        <v>120</v>
      </c>
    </row>
    <row r="40" spans="1:4" s="76" customFormat="1" x14ac:dyDescent="0.45">
      <c r="A40" s="22">
        <v>1</v>
      </c>
    </row>
    <row r="41" spans="1:4" s="76" customFormat="1" x14ac:dyDescent="0.45">
      <c r="A41" s="22">
        <v>2</v>
      </c>
    </row>
    <row r="42" spans="1:4" x14ac:dyDescent="0.45">
      <c r="A42" s="22">
        <v>3</v>
      </c>
      <c r="B42" s="76"/>
      <c r="C42" s="76"/>
    </row>
    <row r="43" spans="1:4" x14ac:dyDescent="0.45">
      <c r="A43" s="1">
        <v>4</v>
      </c>
    </row>
    <row r="44" spans="1:4" x14ac:dyDescent="0.45">
      <c r="A44" s="1">
        <v>5</v>
      </c>
    </row>
    <row r="45" spans="1:4" x14ac:dyDescent="0.45">
      <c r="A45" s="1">
        <v>6</v>
      </c>
    </row>
    <row r="46" spans="1:4" x14ac:dyDescent="0.45">
      <c r="A46" s="22">
        <v>7</v>
      </c>
    </row>
    <row r="47" spans="1:4" x14ac:dyDescent="0.45">
      <c r="A47" s="22">
        <v>8</v>
      </c>
    </row>
    <row r="48" spans="1:4" x14ac:dyDescent="0.45">
      <c r="A48" s="22">
        <v>9</v>
      </c>
    </row>
    <row r="49" spans="1:1" x14ac:dyDescent="0.45">
      <c r="A49" s="1">
        <v>10</v>
      </c>
    </row>
    <row r="50" spans="1:1" x14ac:dyDescent="0.45">
      <c r="A50" s="1">
        <v>11</v>
      </c>
    </row>
    <row r="51" spans="1:1" x14ac:dyDescent="0.45">
      <c r="A51" s="1">
        <v>12</v>
      </c>
    </row>
    <row r="52" spans="1:1" x14ac:dyDescent="0.45">
      <c r="A52" s="22">
        <v>13</v>
      </c>
    </row>
    <row r="53" spans="1:1" x14ac:dyDescent="0.45">
      <c r="A53" s="22">
        <v>14</v>
      </c>
    </row>
    <row r="54" spans="1:1" x14ac:dyDescent="0.45">
      <c r="A54" s="22">
        <v>15</v>
      </c>
    </row>
    <row r="55" spans="1:1" x14ac:dyDescent="0.45">
      <c r="A55" s="1">
        <v>16</v>
      </c>
    </row>
    <row r="56" spans="1:1" x14ac:dyDescent="0.45">
      <c r="A56" s="1">
        <v>17</v>
      </c>
    </row>
    <row r="57" spans="1:1" x14ac:dyDescent="0.45">
      <c r="A57" s="1">
        <v>18</v>
      </c>
    </row>
    <row r="58" spans="1:1" x14ac:dyDescent="0.45">
      <c r="A58" s="22">
        <v>19</v>
      </c>
    </row>
    <row r="59" spans="1:1" x14ac:dyDescent="0.45">
      <c r="A59" s="22">
        <v>20</v>
      </c>
    </row>
    <row r="60" spans="1:1" x14ac:dyDescent="0.45">
      <c r="A60" s="22">
        <v>21</v>
      </c>
    </row>
    <row r="61" spans="1:1" x14ac:dyDescent="0.45">
      <c r="A61" s="1">
        <v>22</v>
      </c>
    </row>
    <row r="62" spans="1:1" x14ac:dyDescent="0.45">
      <c r="A62" s="1">
        <v>23</v>
      </c>
    </row>
    <row r="63" spans="1:1" x14ac:dyDescent="0.45">
      <c r="A63" s="1">
        <v>24</v>
      </c>
    </row>
    <row r="64" spans="1:1" x14ac:dyDescent="0.45">
      <c r="A64" s="22">
        <v>25</v>
      </c>
    </row>
    <row r="65" spans="1:1" x14ac:dyDescent="0.45">
      <c r="A65" s="22">
        <v>26</v>
      </c>
    </row>
    <row r="66" spans="1:1" x14ac:dyDescent="0.45">
      <c r="A66" s="22">
        <v>27</v>
      </c>
    </row>
    <row r="67" spans="1:1" x14ac:dyDescent="0.45">
      <c r="A67" s="1">
        <v>28</v>
      </c>
    </row>
    <row r="68" spans="1:1" x14ac:dyDescent="0.45">
      <c r="A68" s="1">
        <v>29</v>
      </c>
    </row>
    <row r="69" spans="1:1" x14ac:dyDescent="0.45">
      <c r="A69" s="1">
        <v>30</v>
      </c>
    </row>
    <row r="70" spans="1:1" x14ac:dyDescent="0.45">
      <c r="A70" s="22">
        <v>31</v>
      </c>
    </row>
    <row r="71" spans="1:1" x14ac:dyDescent="0.45">
      <c r="A71" s="22">
        <v>32</v>
      </c>
    </row>
    <row r="72" spans="1:1" x14ac:dyDescent="0.45">
      <c r="A72" s="22">
        <v>33</v>
      </c>
    </row>
    <row r="73" spans="1:1" x14ac:dyDescent="0.45">
      <c r="A73" s="1">
        <v>34</v>
      </c>
    </row>
    <row r="74" spans="1:1" x14ac:dyDescent="0.45">
      <c r="A74" s="1">
        <v>35</v>
      </c>
    </row>
    <row r="75" spans="1:1" x14ac:dyDescent="0.45">
      <c r="A75" s="1">
        <v>36</v>
      </c>
    </row>
    <row r="76" spans="1:1" x14ac:dyDescent="0.45">
      <c r="A76" s="22">
        <v>37</v>
      </c>
    </row>
    <row r="77" spans="1:1" x14ac:dyDescent="0.45">
      <c r="A77" s="22">
        <v>38</v>
      </c>
    </row>
    <row r="78" spans="1:1" x14ac:dyDescent="0.45">
      <c r="A78" s="22">
        <v>39</v>
      </c>
    </row>
    <row r="79" spans="1:1" x14ac:dyDescent="0.45">
      <c r="A79" s="1">
        <v>40</v>
      </c>
    </row>
    <row r="80" spans="1:1" x14ac:dyDescent="0.45">
      <c r="A80" s="1">
        <v>41</v>
      </c>
    </row>
    <row r="81" spans="1:1" x14ac:dyDescent="0.45">
      <c r="A81" s="1">
        <v>42</v>
      </c>
    </row>
    <row r="82" spans="1:1" x14ac:dyDescent="0.45">
      <c r="A82" s="22">
        <v>43</v>
      </c>
    </row>
    <row r="83" spans="1:1" x14ac:dyDescent="0.45">
      <c r="A83" s="22">
        <v>44</v>
      </c>
    </row>
    <row r="84" spans="1:1" x14ac:dyDescent="0.45">
      <c r="A84" s="22">
        <v>45</v>
      </c>
    </row>
    <row r="85" spans="1:1" x14ac:dyDescent="0.45">
      <c r="A85" s="1">
        <v>46</v>
      </c>
    </row>
    <row r="86" spans="1:1" x14ac:dyDescent="0.45">
      <c r="A86" s="1">
        <v>47</v>
      </c>
    </row>
    <row r="87" spans="1:1" x14ac:dyDescent="0.45">
      <c r="A87" s="1">
        <v>48</v>
      </c>
    </row>
    <row r="88" spans="1:1" x14ac:dyDescent="0.45">
      <c r="A88" s="22">
        <v>49</v>
      </c>
    </row>
    <row r="89" spans="1:1" x14ac:dyDescent="0.45">
      <c r="A89" s="22">
        <v>50</v>
      </c>
    </row>
    <row r="90" spans="1:1" x14ac:dyDescent="0.45">
      <c r="A90" s="22">
        <v>51</v>
      </c>
    </row>
    <row r="91" spans="1:1" x14ac:dyDescent="0.45">
      <c r="A91" s="1">
        <v>52</v>
      </c>
    </row>
    <row r="92" spans="1:1" x14ac:dyDescent="0.45">
      <c r="A92" s="1">
        <v>53</v>
      </c>
    </row>
    <row r="93" spans="1:1" x14ac:dyDescent="0.45">
      <c r="A93" s="1">
        <v>54</v>
      </c>
    </row>
    <row r="94" spans="1:1" x14ac:dyDescent="0.45">
      <c r="A94" s="22">
        <v>55</v>
      </c>
    </row>
    <row r="95" spans="1:1" x14ac:dyDescent="0.45">
      <c r="A95" s="22">
        <v>56</v>
      </c>
    </row>
    <row r="96" spans="1:1" x14ac:dyDescent="0.45">
      <c r="A96" s="22">
        <v>57</v>
      </c>
    </row>
    <row r="97" spans="1:1" x14ac:dyDescent="0.45">
      <c r="A97" s="1">
        <v>58</v>
      </c>
    </row>
    <row r="98" spans="1:1" x14ac:dyDescent="0.45">
      <c r="A98" s="1">
        <v>59</v>
      </c>
    </row>
    <row r="99" spans="1:1" x14ac:dyDescent="0.45">
      <c r="A99" s="1">
        <v>60</v>
      </c>
    </row>
    <row r="100" spans="1:1" x14ac:dyDescent="0.45">
      <c r="A100" s="22">
        <v>61</v>
      </c>
    </row>
    <row r="101" spans="1:1" x14ac:dyDescent="0.45">
      <c r="A101" s="22">
        <v>62</v>
      </c>
    </row>
    <row r="102" spans="1:1" x14ac:dyDescent="0.45">
      <c r="A102" s="22">
        <v>63</v>
      </c>
    </row>
    <row r="103" spans="1:1" x14ac:dyDescent="0.45">
      <c r="A103" s="1">
        <v>64</v>
      </c>
    </row>
    <row r="104" spans="1:1" x14ac:dyDescent="0.45">
      <c r="A104" s="1">
        <v>65</v>
      </c>
    </row>
    <row r="105" spans="1:1" x14ac:dyDescent="0.45">
      <c r="A105" s="1">
        <v>66</v>
      </c>
    </row>
    <row r="106" spans="1:1" x14ac:dyDescent="0.45">
      <c r="A106" s="22">
        <v>67</v>
      </c>
    </row>
    <row r="107" spans="1:1" x14ac:dyDescent="0.45">
      <c r="A107" s="22">
        <v>68</v>
      </c>
    </row>
    <row r="108" spans="1:1" x14ac:dyDescent="0.45">
      <c r="A108" s="22">
        <v>69</v>
      </c>
    </row>
    <row r="109" spans="1:1" x14ac:dyDescent="0.45">
      <c r="A109" s="1">
        <v>70</v>
      </c>
    </row>
    <row r="110" spans="1:1" x14ac:dyDescent="0.45">
      <c r="A110" s="1">
        <v>71</v>
      </c>
    </row>
    <row r="111" spans="1:1" x14ac:dyDescent="0.45">
      <c r="A111" s="1">
        <v>72</v>
      </c>
    </row>
    <row r="112" spans="1:1" x14ac:dyDescent="0.45">
      <c r="A112" s="22">
        <v>73</v>
      </c>
    </row>
    <row r="113" spans="1:1" x14ac:dyDescent="0.45">
      <c r="A113" s="22">
        <v>74</v>
      </c>
    </row>
    <row r="114" spans="1:1" x14ac:dyDescent="0.45">
      <c r="A114" s="22">
        <v>75</v>
      </c>
    </row>
    <row r="115" spans="1:1" x14ac:dyDescent="0.45">
      <c r="A115" s="1">
        <v>76</v>
      </c>
    </row>
    <row r="116" spans="1:1" x14ac:dyDescent="0.45">
      <c r="A116" s="1">
        <v>77</v>
      </c>
    </row>
    <row r="117" spans="1:1" x14ac:dyDescent="0.45">
      <c r="A117" s="1">
        <v>78</v>
      </c>
    </row>
    <row r="118" spans="1:1" x14ac:dyDescent="0.45">
      <c r="A118" s="22">
        <v>79</v>
      </c>
    </row>
    <row r="119" spans="1:1" x14ac:dyDescent="0.45">
      <c r="A119" s="22">
        <v>80</v>
      </c>
    </row>
    <row r="120" spans="1:1" x14ac:dyDescent="0.45">
      <c r="A120" s="22">
        <v>81</v>
      </c>
    </row>
    <row r="121" spans="1:1" x14ac:dyDescent="0.45">
      <c r="A121" s="1">
        <v>82</v>
      </c>
    </row>
    <row r="122" spans="1:1" x14ac:dyDescent="0.45">
      <c r="A122" s="1">
        <v>83</v>
      </c>
    </row>
    <row r="123" spans="1:1" x14ac:dyDescent="0.45">
      <c r="A123" s="1">
        <v>84</v>
      </c>
    </row>
    <row r="124" spans="1:1" x14ac:dyDescent="0.45">
      <c r="A124" s="22">
        <v>85</v>
      </c>
    </row>
    <row r="125" spans="1:1" x14ac:dyDescent="0.45">
      <c r="A125" s="22">
        <v>86</v>
      </c>
    </row>
    <row r="126" spans="1:1" x14ac:dyDescent="0.45">
      <c r="A126" s="22">
        <v>87</v>
      </c>
    </row>
    <row r="127" spans="1:1" x14ac:dyDescent="0.45">
      <c r="A127" s="1">
        <v>88</v>
      </c>
    </row>
    <row r="128" spans="1:1" x14ac:dyDescent="0.45">
      <c r="A128" s="1">
        <v>89</v>
      </c>
    </row>
    <row r="129" spans="1:1" x14ac:dyDescent="0.45">
      <c r="A129" s="1">
        <v>90</v>
      </c>
    </row>
    <row r="130" spans="1:1" x14ac:dyDescent="0.45">
      <c r="A130" s="22">
        <v>91</v>
      </c>
    </row>
    <row r="131" spans="1:1" x14ac:dyDescent="0.45">
      <c r="A131" s="22">
        <v>92</v>
      </c>
    </row>
    <row r="132" spans="1:1" x14ac:dyDescent="0.45">
      <c r="A132" s="22">
        <v>93</v>
      </c>
    </row>
    <row r="133" spans="1:1" x14ac:dyDescent="0.45">
      <c r="A133" s="1">
        <v>94</v>
      </c>
    </row>
    <row r="134" spans="1:1" x14ac:dyDescent="0.45">
      <c r="A134" s="1">
        <v>95</v>
      </c>
    </row>
    <row r="135" spans="1:1" x14ac:dyDescent="0.45">
      <c r="A135" s="1">
        <v>96</v>
      </c>
    </row>
    <row r="136" spans="1:1" x14ac:dyDescent="0.45">
      <c r="A136" s="22">
        <v>97</v>
      </c>
    </row>
    <row r="137" spans="1:1" x14ac:dyDescent="0.45">
      <c r="A137" s="22">
        <v>98</v>
      </c>
    </row>
    <row r="138" spans="1:1" x14ac:dyDescent="0.45">
      <c r="A138" s="22">
        <v>99</v>
      </c>
    </row>
    <row r="139" spans="1:1" x14ac:dyDescent="0.45">
      <c r="A139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Baseline</vt:lpstr>
      <vt:lpstr>Baseline (2)</vt:lpstr>
      <vt:lpstr>Scenario_I</vt:lpstr>
      <vt:lpstr>12 Years Exercise</vt:lpstr>
      <vt:lpstr>20Y Analysis </vt:lpstr>
    </vt:vector>
  </TitlesOfParts>
  <Company>Univeristy of Texas at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Cockrell School of Engineering</dc:creator>
  <cp:lastModifiedBy>Samuel Sandoval Solis</cp:lastModifiedBy>
  <dcterms:created xsi:type="dcterms:W3CDTF">2011-06-20T19:19:11Z</dcterms:created>
  <dcterms:modified xsi:type="dcterms:W3CDTF">2018-09-08T19:55:54Z</dcterms:modified>
</cp:coreProperties>
</file>