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Z:\Bradford_Forest_Project\Howley_Bradford_Streams\01_Raw_data\DIC DOC\alkalinity\"/>
    </mc:Choice>
  </mc:AlternateContent>
  <xr:revisionPtr revIDLastSave="0" documentId="8_{4FF8F3C3-E94E-45CB-B0A3-F7BCF70C923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lkalinity Calcs" sheetId="57" r:id="rId1"/>
    <sheet name="Titrator Calibration" sheetId="59" r:id="rId2"/>
    <sheet name="pH Calibration " sheetId="60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0" i="57" l="1"/>
  <c r="Q119" i="57"/>
  <c r="Q118" i="57"/>
  <c r="Q117" i="57"/>
  <c r="Q116" i="57"/>
  <c r="Q115" i="57"/>
  <c r="Q114" i="57"/>
  <c r="Q113" i="57"/>
  <c r="T112" i="57"/>
  <c r="Q112" i="57"/>
  <c r="Q111" i="57"/>
  <c r="J111" i="57"/>
  <c r="C122" i="57"/>
  <c r="C121" i="57"/>
  <c r="J121" i="57"/>
  <c r="J120" i="57"/>
  <c r="J119" i="57"/>
  <c r="J118" i="57"/>
  <c r="J117" i="57"/>
  <c r="J116" i="57"/>
  <c r="J115" i="57"/>
  <c r="J114" i="57"/>
  <c r="J113" i="57"/>
  <c r="M112" i="57"/>
  <c r="J112" i="57"/>
  <c r="C120" i="57"/>
  <c r="C119" i="57"/>
  <c r="C118" i="57"/>
  <c r="C117" i="57"/>
  <c r="C116" i="57"/>
  <c r="C115" i="57"/>
  <c r="C114" i="57"/>
  <c r="C113" i="57"/>
  <c r="F112" i="57"/>
  <c r="C112" i="57"/>
  <c r="C111" i="57"/>
  <c r="M99" i="57"/>
  <c r="M98" i="57"/>
  <c r="Q106" i="57"/>
  <c r="Q105" i="57"/>
  <c r="Q104" i="57"/>
  <c r="Q103" i="57"/>
  <c r="Q102" i="57"/>
  <c r="Q101" i="57"/>
  <c r="Q100" i="57"/>
  <c r="Q99" i="57"/>
  <c r="T98" i="57"/>
  <c r="Q98" i="57"/>
  <c r="Q97" i="57"/>
  <c r="J102" i="57"/>
  <c r="J106" i="57"/>
  <c r="J105" i="57"/>
  <c r="J104" i="57"/>
  <c r="J103" i="57"/>
  <c r="J101" i="57"/>
  <c r="J100" i="57"/>
  <c r="J99" i="57"/>
  <c r="J98" i="57"/>
  <c r="M97" i="57"/>
  <c r="J97" i="57"/>
  <c r="J96" i="57"/>
  <c r="F99" i="57"/>
  <c r="C97" i="57"/>
  <c r="C98" i="57"/>
  <c r="C99" i="57"/>
  <c r="C100" i="57"/>
  <c r="C101" i="57"/>
  <c r="C102" i="57"/>
  <c r="C103" i="57"/>
  <c r="C104" i="57"/>
  <c r="C105" i="57"/>
  <c r="C106" i="57"/>
  <c r="F97" i="57"/>
  <c r="C96" i="57"/>
  <c r="T85" i="57"/>
  <c r="Q92" i="57"/>
  <c r="Q91" i="57"/>
  <c r="Q90" i="57"/>
  <c r="Q89" i="57"/>
  <c r="Q88" i="57"/>
  <c r="Q87" i="57"/>
  <c r="Q86" i="57"/>
  <c r="Q85" i="57"/>
  <c r="Q84" i="57"/>
  <c r="T83" i="57"/>
  <c r="Q83" i="57"/>
  <c r="Q82" i="57"/>
  <c r="H91" i="57"/>
  <c r="J91" i="57" s="1"/>
  <c r="J90" i="57"/>
  <c r="J89" i="57"/>
  <c r="J88" i="57"/>
  <c r="J87" i="57"/>
  <c r="J86" i="57"/>
  <c r="J85" i="57"/>
  <c r="J84" i="57"/>
  <c r="M83" i="57"/>
  <c r="J83" i="57"/>
  <c r="J82" i="57"/>
  <c r="C91" i="57"/>
  <c r="C90" i="57"/>
  <c r="C89" i="57"/>
  <c r="C88" i="57"/>
  <c r="C87" i="57"/>
  <c r="C86" i="57"/>
  <c r="C85" i="57"/>
  <c r="C84" i="57"/>
  <c r="F83" i="57"/>
  <c r="C83" i="57"/>
  <c r="C82" i="57"/>
  <c r="T69" i="57"/>
  <c r="T68" i="57"/>
  <c r="Q75" i="57"/>
  <c r="Q74" i="57"/>
  <c r="Q73" i="57"/>
  <c r="Q72" i="57"/>
  <c r="Q71" i="57"/>
  <c r="Q70" i="57"/>
  <c r="Q69" i="57"/>
  <c r="Q68" i="57"/>
  <c r="T67" i="57"/>
  <c r="Q67" i="57"/>
  <c r="Q66" i="57"/>
  <c r="M68" i="57"/>
  <c r="M69" i="57"/>
  <c r="J77" i="57"/>
  <c r="J76" i="57"/>
  <c r="J75" i="57"/>
  <c r="J74" i="57"/>
  <c r="J73" i="57"/>
  <c r="J72" i="57"/>
  <c r="J71" i="57"/>
  <c r="J70" i="57"/>
  <c r="J69" i="57"/>
  <c r="J68" i="57"/>
  <c r="M67" i="57"/>
  <c r="J67" i="57"/>
  <c r="J66" i="57"/>
  <c r="C75" i="57"/>
  <c r="C74" i="57"/>
  <c r="C73" i="57"/>
  <c r="C72" i="57"/>
  <c r="C71" i="57"/>
  <c r="C70" i="57"/>
  <c r="C69" i="57"/>
  <c r="C68" i="57"/>
  <c r="F67" i="57"/>
  <c r="C67" i="57"/>
  <c r="C66" i="57"/>
  <c r="Q58" i="57"/>
  <c r="Q57" i="57"/>
  <c r="Q56" i="57"/>
  <c r="Q55" i="57"/>
  <c r="T54" i="57"/>
  <c r="Q54" i="57"/>
  <c r="Q53" i="57"/>
  <c r="H61" i="57"/>
  <c r="H60" i="57"/>
  <c r="J60" i="57" s="1"/>
  <c r="H59" i="57"/>
  <c r="J59" i="57" s="1"/>
  <c r="J61" i="57"/>
  <c r="J58" i="57"/>
  <c r="J57" i="57"/>
  <c r="J56" i="57"/>
  <c r="J55" i="57"/>
  <c r="M54" i="57"/>
  <c r="J54" i="57"/>
  <c r="J53" i="57"/>
  <c r="F56" i="57"/>
  <c r="C61" i="57"/>
  <c r="C60" i="57"/>
  <c r="C59" i="57"/>
  <c r="C58" i="57"/>
  <c r="C57" i="57"/>
  <c r="C56" i="57"/>
  <c r="C55" i="57"/>
  <c r="F54" i="57"/>
  <c r="C54" i="57"/>
  <c r="C53" i="57"/>
  <c r="C47" i="57"/>
  <c r="C46" i="57"/>
  <c r="C44" i="57"/>
  <c r="C45" i="57"/>
  <c r="C43" i="57"/>
  <c r="C42" i="57"/>
  <c r="C41" i="57"/>
  <c r="C40" i="57"/>
  <c r="F39" i="57"/>
  <c r="C39" i="57"/>
  <c r="C38" i="57"/>
  <c r="C29" i="57"/>
  <c r="C27" i="57"/>
  <c r="C23" i="57"/>
  <c r="C24" i="57"/>
  <c r="C25" i="57"/>
  <c r="C26" i="57"/>
  <c r="C22" i="57"/>
  <c r="Q39" i="57"/>
  <c r="Q44" i="57"/>
  <c r="Q43" i="57"/>
  <c r="Q42" i="57"/>
  <c r="Q41" i="57"/>
  <c r="Q40" i="57"/>
  <c r="T39" i="57"/>
  <c r="Q38" i="57"/>
  <c r="J46" i="57"/>
  <c r="J45" i="57"/>
  <c r="J44" i="57"/>
  <c r="J43" i="57"/>
  <c r="J42" i="57"/>
  <c r="J41" i="57"/>
  <c r="J40" i="57"/>
  <c r="M39" i="57"/>
  <c r="J39" i="57"/>
  <c r="J38" i="57"/>
  <c r="Q22" i="57"/>
  <c r="Q28" i="57"/>
  <c r="Q27" i="57"/>
  <c r="Q23" i="57"/>
  <c r="Q24" i="57"/>
  <c r="Q25" i="57"/>
  <c r="T25" i="57" s="1"/>
  <c r="Q26" i="57"/>
  <c r="J30" i="57"/>
  <c r="J29" i="57"/>
  <c r="J28" i="57"/>
  <c r="J23" i="57"/>
  <c r="J24" i="57"/>
  <c r="J25" i="57"/>
  <c r="J26" i="57"/>
  <c r="J27" i="57"/>
  <c r="J22" i="57"/>
  <c r="Q9" i="57"/>
  <c r="Q10" i="57"/>
  <c r="Q11" i="57"/>
  <c r="Q12" i="57"/>
  <c r="Q13" i="57"/>
  <c r="Q14" i="57"/>
  <c r="Q15" i="57"/>
  <c r="Q8" i="57"/>
  <c r="J13" i="57"/>
  <c r="J14" i="57"/>
  <c r="O14" i="57"/>
  <c r="O13" i="57"/>
  <c r="O12" i="57"/>
  <c r="O11" i="57"/>
  <c r="O10" i="57"/>
  <c r="H14" i="57"/>
  <c r="H13" i="57"/>
  <c r="J9" i="57"/>
  <c r="J10" i="57"/>
  <c r="J11" i="57"/>
  <c r="J12" i="57"/>
  <c r="J8" i="57"/>
  <c r="H11" i="57"/>
  <c r="C17" i="57"/>
  <c r="A17" i="57"/>
  <c r="A16" i="57"/>
  <c r="C16" i="57" s="1"/>
  <c r="A15" i="57"/>
  <c r="A14" i="57"/>
  <c r="D23" i="59"/>
  <c r="D17" i="59"/>
  <c r="D6" i="59"/>
  <c r="I21" i="59"/>
  <c r="I4" i="59"/>
  <c r="I14" i="59"/>
  <c r="I20" i="59"/>
  <c r="I19" i="59"/>
  <c r="I12" i="59"/>
  <c r="I18" i="59"/>
  <c r="E20" i="59"/>
  <c r="E21" i="59"/>
  <c r="E22" i="59"/>
  <c r="E14" i="59"/>
  <c r="E15" i="59"/>
  <c r="E16" i="59"/>
  <c r="E19" i="59"/>
  <c r="D22" i="59"/>
  <c r="D21" i="59"/>
  <c r="D20" i="59"/>
  <c r="D19" i="59"/>
  <c r="D13" i="59"/>
  <c r="D16" i="59"/>
  <c r="D5" i="59"/>
  <c r="D15" i="59"/>
  <c r="D14" i="59"/>
  <c r="D3" i="59"/>
  <c r="D4" i="59"/>
  <c r="D2" i="59"/>
  <c r="I2" i="59" s="1"/>
  <c r="T23" i="57"/>
  <c r="M23" i="57"/>
  <c r="F23" i="57"/>
  <c r="C15" i="57"/>
  <c r="T9" i="57"/>
  <c r="M9" i="57"/>
  <c r="F9" i="57"/>
  <c r="C8" i="57"/>
  <c r="T114" i="57" l="1"/>
  <c r="T116" i="57" s="1"/>
  <c r="T113" i="57"/>
  <c r="F113" i="57"/>
  <c r="F114" i="57"/>
  <c r="F116" i="57" s="1"/>
  <c r="M113" i="57"/>
  <c r="M114" i="57"/>
  <c r="M116" i="57" s="1"/>
  <c r="T100" i="57"/>
  <c r="T102" i="57" s="1"/>
  <c r="T99" i="57"/>
  <c r="M101" i="57"/>
  <c r="F101" i="57"/>
  <c r="F98" i="57"/>
  <c r="T87" i="57"/>
  <c r="T84" i="57"/>
  <c r="M85" i="57"/>
  <c r="M87" i="57" s="1"/>
  <c r="M84" i="57"/>
  <c r="F85" i="57"/>
  <c r="F87" i="57" s="1"/>
  <c r="F84" i="57"/>
  <c r="T71" i="57"/>
  <c r="M71" i="57"/>
  <c r="F69" i="57"/>
  <c r="F71" i="57" s="1"/>
  <c r="F68" i="57"/>
  <c r="Q61" i="57"/>
  <c r="Q60" i="57"/>
  <c r="Q59" i="57"/>
  <c r="M56" i="57"/>
  <c r="M58" i="57" s="1"/>
  <c r="M55" i="57"/>
  <c r="F58" i="57"/>
  <c r="F55" i="57"/>
  <c r="F41" i="57"/>
  <c r="F43" i="57" s="1"/>
  <c r="F40" i="57"/>
  <c r="F24" i="57"/>
  <c r="T41" i="57"/>
  <c r="T43" i="57" s="1"/>
  <c r="T40" i="57"/>
  <c r="M41" i="57"/>
  <c r="M43" i="57" s="1"/>
  <c r="M40" i="57"/>
  <c r="E13" i="59"/>
  <c r="I13" i="59"/>
  <c r="I3" i="59"/>
  <c r="E2" i="59"/>
  <c r="E4" i="59"/>
  <c r="E3" i="59"/>
  <c r="E5" i="59"/>
  <c r="I15" i="59"/>
  <c r="T24" i="57"/>
  <c r="M25" i="57"/>
  <c r="M27" i="57" s="1"/>
  <c r="T10" i="57"/>
  <c r="M24" i="57"/>
  <c r="T27" i="57"/>
  <c r="M11" i="57"/>
  <c r="M13" i="57" s="1"/>
  <c r="T11" i="57"/>
  <c r="T13" i="57" s="1"/>
  <c r="F25" i="57"/>
  <c r="F27" i="57" s="1"/>
  <c r="M10" i="57"/>
  <c r="C11" i="57"/>
  <c r="C10" i="57"/>
  <c r="C9" i="57"/>
  <c r="T55" i="57" l="1"/>
  <c r="T56" i="57"/>
  <c r="T58" i="57" s="1"/>
  <c r="I5" i="59"/>
  <c r="C12" i="57"/>
  <c r="C13" i="57"/>
  <c r="C14" i="57"/>
  <c r="F10" i="57" l="1"/>
  <c r="F11" i="57"/>
  <c r="F13" i="57" s="1"/>
</calcChain>
</file>

<file path=xl/sharedStrings.xml><?xml version="1.0" encoding="utf-8"?>
<sst xmlns="http://schemas.openxmlformats.org/spreadsheetml/2006/main" count="290" uniqueCount="42">
  <si>
    <t>Slope</t>
  </si>
  <si>
    <t>DATE</t>
  </si>
  <si>
    <t>mM HCl</t>
  </si>
  <si>
    <t>Sample name:</t>
  </si>
  <si>
    <t>mM HCL</t>
  </si>
  <si>
    <t>Vol. acid (mL)</t>
  </si>
  <si>
    <t>mV</t>
  </si>
  <si>
    <t>Gran Function</t>
  </si>
  <si>
    <t>Sample vol (ml) =</t>
  </si>
  <si>
    <t>Electrode slope =</t>
  </si>
  <si>
    <t>r2 =</t>
  </si>
  <si>
    <t>Intercept =</t>
  </si>
  <si>
    <t>Alkalinity =</t>
  </si>
  <si>
    <t>Pipette Volume (uL)</t>
  </si>
  <si>
    <t>z factor</t>
  </si>
  <si>
    <t>m (mass of sample in mg)</t>
  </si>
  <si>
    <t>V (single Volume in uL)</t>
  </si>
  <si>
    <t>mean volume</t>
  </si>
  <si>
    <t>Repititions</t>
  </si>
  <si>
    <t>Accuracy</t>
  </si>
  <si>
    <t>sd</t>
  </si>
  <si>
    <t>CV</t>
  </si>
  <si>
    <t>pH</t>
  </si>
  <si>
    <t>standard</t>
  </si>
  <si>
    <t>5_GW1</t>
  </si>
  <si>
    <t>5 GW1</t>
  </si>
  <si>
    <t>vol ml</t>
  </si>
  <si>
    <t>5GW3</t>
  </si>
  <si>
    <t>5GW2</t>
  </si>
  <si>
    <t>5GW4</t>
  </si>
  <si>
    <t>5GW5</t>
  </si>
  <si>
    <t>5GW6</t>
  </si>
  <si>
    <t>5_dep</t>
  </si>
  <si>
    <t>6GW1</t>
  </si>
  <si>
    <t>6GW2</t>
  </si>
  <si>
    <t>6GW4</t>
  </si>
  <si>
    <t>9GW1</t>
  </si>
  <si>
    <t>9GW2</t>
  </si>
  <si>
    <t>9GW3</t>
  </si>
  <si>
    <t>9GW4</t>
  </si>
  <si>
    <t>5a</t>
  </si>
  <si>
    <t>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</si>
</sst>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topLeftCell="J83" zoomScaleNormal="100" workbookViewId="0">
      <selection activeCell="S116" sqref="S116"/>
    </sheetView>
  </sheetViews>
  <sheetFormatPr defaultColWidth="8.86328125" defaultRowHeight="13" x14ac:dyDescent="0.6"/>
  <cols>
    <col min="1" max="2" width="14.40625" bestFit="1" customWidth="1"/>
    <col min="3" max="3" width="12.7265625" bestFit="1" customWidth="1"/>
    <col min="6" max="6" width="12.1328125" bestFit="1" customWidth="1"/>
    <col min="8" max="8" width="14.40625" style="6" bestFit="1" customWidth="1"/>
    <col min="9" max="9" width="11.26953125" bestFit="1" customWidth="1"/>
    <col min="10" max="10" width="12.7265625" bestFit="1" customWidth="1"/>
    <col min="15" max="15" width="12.7265625" bestFit="1" customWidth="1"/>
    <col min="16" max="16" width="11.86328125" bestFit="1" customWidth="1"/>
    <col min="17" max="17" width="12.7265625" bestFit="1" customWidth="1"/>
  </cols>
  <sheetData>
    <row r="1" spans="1:20" x14ac:dyDescent="0.6">
      <c r="A1" t="s">
        <v>0</v>
      </c>
      <c r="B1" s="11">
        <v>0.999</v>
      </c>
      <c r="E1" t="s">
        <v>1</v>
      </c>
      <c r="F1" s="5">
        <v>3262024</v>
      </c>
    </row>
    <row r="2" spans="1:20" x14ac:dyDescent="0.6">
      <c r="A2" t="s">
        <v>2</v>
      </c>
      <c r="B2" s="7">
        <v>0.01</v>
      </c>
    </row>
    <row r="4" spans="1:20" x14ac:dyDescent="0.6">
      <c r="B4" s="7"/>
    </row>
    <row r="5" spans="1:20" x14ac:dyDescent="0.6">
      <c r="A5" s="1" t="s">
        <v>3</v>
      </c>
      <c r="B5" s="7" t="s">
        <v>24</v>
      </c>
      <c r="C5" s="8">
        <v>45376</v>
      </c>
      <c r="E5" t="s">
        <v>4</v>
      </c>
      <c r="F5" s="2"/>
      <c r="H5" s="1" t="s">
        <v>3</v>
      </c>
      <c r="I5" s="7" t="s">
        <v>28</v>
      </c>
      <c r="J5" s="8">
        <v>45376</v>
      </c>
      <c r="L5" t="s">
        <v>4</v>
      </c>
      <c r="M5" s="2"/>
      <c r="O5" s="1" t="s">
        <v>3</v>
      </c>
      <c r="P5" s="7" t="s">
        <v>27</v>
      </c>
      <c r="Q5" s="8">
        <v>45376</v>
      </c>
      <c r="S5" t="s">
        <v>4</v>
      </c>
      <c r="T5" s="2"/>
    </row>
    <row r="6" spans="1:20" x14ac:dyDescent="0.6">
      <c r="A6" s="1"/>
      <c r="E6">
        <v>0.01</v>
      </c>
      <c r="F6" s="2"/>
      <c r="H6" s="1">
        <v>0.25</v>
      </c>
      <c r="L6">
        <v>0.01</v>
      </c>
      <c r="M6" s="2"/>
      <c r="O6" s="1"/>
      <c r="S6">
        <v>0.01</v>
      </c>
      <c r="T6" s="2"/>
    </row>
    <row r="7" spans="1:20" x14ac:dyDescent="0.6">
      <c r="A7" t="s">
        <v>5</v>
      </c>
      <c r="B7" t="s">
        <v>6</v>
      </c>
      <c r="C7" t="s">
        <v>7</v>
      </c>
      <c r="E7" s="2"/>
      <c r="F7" s="2"/>
      <c r="H7" t="s">
        <v>5</v>
      </c>
      <c r="I7" t="s">
        <v>6</v>
      </c>
      <c r="J7" t="s">
        <v>7</v>
      </c>
      <c r="L7" s="2"/>
      <c r="M7" s="2"/>
      <c r="O7" t="s">
        <v>5</v>
      </c>
      <c r="P7" t="s">
        <v>6</v>
      </c>
      <c r="Q7" t="s">
        <v>7</v>
      </c>
      <c r="S7" s="2"/>
      <c r="T7" s="2"/>
    </row>
    <row r="8" spans="1:20" x14ac:dyDescent="0.6">
      <c r="A8" s="6">
        <v>1</v>
      </c>
      <c r="B8">
        <v>37.6</v>
      </c>
      <c r="C8">
        <f>(A8+$F$8)*10^(B8/59.2*$B$1)</f>
        <v>90.514737181049085</v>
      </c>
      <c r="E8" s="2" t="s">
        <v>8</v>
      </c>
      <c r="F8">
        <v>20</v>
      </c>
      <c r="H8" s="6">
        <v>1.03</v>
      </c>
      <c r="I8">
        <v>157.80000000000001</v>
      </c>
      <c r="J8">
        <f>(H8+$M$8)*10^(I8/59.2*$B$1)</f>
        <v>5075.1690452897001</v>
      </c>
      <c r="L8" s="2" t="s">
        <v>8</v>
      </c>
      <c r="M8">
        <v>10</v>
      </c>
      <c r="O8" s="6">
        <v>1.5</v>
      </c>
      <c r="P8">
        <v>117.9</v>
      </c>
      <c r="Q8">
        <f>(O8+$T$8)*10^(P8/59.2*$B$1)</f>
        <v>2098.9445228889526</v>
      </c>
      <c r="S8" s="2" t="s">
        <v>8</v>
      </c>
      <c r="T8">
        <v>20</v>
      </c>
    </row>
    <row r="9" spans="1:20" x14ac:dyDescent="0.6">
      <c r="A9" s="6">
        <v>2.5099999999999998</v>
      </c>
      <c r="B9" s="7">
        <v>96.5</v>
      </c>
      <c r="C9">
        <f>(A9+$F$8)*10^(B9/59.2*$B$1)</f>
        <v>956.78199711124228</v>
      </c>
      <c r="E9" s="2" t="s">
        <v>9</v>
      </c>
      <c r="F9">
        <f>$B$1</f>
        <v>0.999</v>
      </c>
      <c r="H9">
        <v>1.49</v>
      </c>
      <c r="I9">
        <v>195</v>
      </c>
      <c r="J9">
        <f t="shared" ref="J9:J14" si="0">(H9+$M$8)*10^(I9/59.2*$B$1)</f>
        <v>22435.979198830522</v>
      </c>
      <c r="L9" s="2" t="s">
        <v>9</v>
      </c>
      <c r="M9">
        <f>$B$1</f>
        <v>0.999</v>
      </c>
      <c r="O9">
        <v>2.9</v>
      </c>
      <c r="P9">
        <v>199</v>
      </c>
      <c r="Q9">
        <f t="shared" ref="Q9:Q15" si="1">(O9+$T$8)*10^(P9/59.2*$B$1)</f>
        <v>52234.865688276179</v>
      </c>
      <c r="S9" s="2" t="s">
        <v>9</v>
      </c>
      <c r="T9">
        <f>$B$1</f>
        <v>0.999</v>
      </c>
    </row>
    <row r="10" spans="1:20" x14ac:dyDescent="0.6">
      <c r="A10" s="6">
        <v>3.22</v>
      </c>
      <c r="B10" s="7">
        <v>151.69999999999999</v>
      </c>
      <c r="C10">
        <f>(A10+$F$8)*10^(B10/59.2*$B$1)</f>
        <v>8429.4592477678689</v>
      </c>
      <c r="E10" s="2" t="s">
        <v>10</v>
      </c>
      <c r="F10">
        <f>RSQ(A8:A16,C8:C16)</f>
        <v>0.87593988610464535</v>
      </c>
      <c r="H10" s="6">
        <v>2.4300000000000002</v>
      </c>
      <c r="I10" s="7">
        <v>224.1</v>
      </c>
      <c r="J10">
        <f t="shared" si="0"/>
        <v>75189.747889290069</v>
      </c>
      <c r="L10" s="2" t="s">
        <v>10</v>
      </c>
      <c r="M10">
        <f>RSQ(H8:H16,J8:J16)</f>
        <v>0.98757976896940836</v>
      </c>
      <c r="O10" s="6">
        <f>2.9+1.12</f>
        <v>4.0199999999999996</v>
      </c>
      <c r="P10" s="7">
        <v>216</v>
      </c>
      <c r="Q10">
        <f t="shared" si="1"/>
        <v>106065.22145426575</v>
      </c>
      <c r="S10" s="2" t="s">
        <v>10</v>
      </c>
      <c r="T10">
        <f>RSQ(O8:O16,Q8:Q16)</f>
        <v>0.97898476128372336</v>
      </c>
    </row>
    <row r="11" spans="1:20" x14ac:dyDescent="0.6">
      <c r="A11" s="6">
        <v>3.5</v>
      </c>
      <c r="B11" s="7">
        <v>173</v>
      </c>
      <c r="C11">
        <f>(A11+$F$8)*10^(B11/59.2*$B$1)</f>
        <v>19518.339251321744</v>
      </c>
      <c r="E11" s="2" t="s">
        <v>11</v>
      </c>
      <c r="F11">
        <f>INTERCEPT(A8:A16,C8:C16)</f>
        <v>2.5242578596609584</v>
      </c>
      <c r="H11" s="6">
        <f>H10+H6</f>
        <v>2.68</v>
      </c>
      <c r="I11" s="7">
        <v>229.6</v>
      </c>
      <c r="J11">
        <f t="shared" si="0"/>
        <v>94977.176259164</v>
      </c>
      <c r="L11" s="2" t="s">
        <v>11</v>
      </c>
      <c r="M11">
        <f>INTERCEPT(H8:H16,J8:J16)</f>
        <v>1.0824395046397612</v>
      </c>
      <c r="O11" s="6">
        <f>O9+2.36</f>
        <v>5.26</v>
      </c>
      <c r="P11" s="7">
        <v>226.5</v>
      </c>
      <c r="Q11">
        <f t="shared" si="1"/>
        <v>167733.90049944347</v>
      </c>
      <c r="S11" s="2" t="s">
        <v>11</v>
      </c>
      <c r="T11">
        <f>INTERCEPT(O8:O16,Q8:Q16)</f>
        <v>1.8246216562108257</v>
      </c>
    </row>
    <row r="12" spans="1:20" x14ac:dyDescent="0.6">
      <c r="A12" s="6">
        <v>4</v>
      </c>
      <c r="B12" s="7">
        <v>195.6</v>
      </c>
      <c r="C12">
        <f>(A12+$F$8)*10^(B12/59.2*$B$1)</f>
        <v>47969.063709183698</v>
      </c>
      <c r="H12" s="6">
        <v>2.94</v>
      </c>
      <c r="I12" s="7">
        <v>234.3</v>
      </c>
      <c r="J12">
        <f t="shared" si="0"/>
        <v>116344.74614074882</v>
      </c>
      <c r="O12" s="6">
        <f>O11+0.25</f>
        <v>5.51</v>
      </c>
      <c r="P12" s="7">
        <v>231.6</v>
      </c>
      <c r="Q12">
        <f t="shared" si="1"/>
        <v>206519.21168453601</v>
      </c>
    </row>
    <row r="13" spans="1:20" x14ac:dyDescent="0.6">
      <c r="A13" s="6">
        <v>5.36</v>
      </c>
      <c r="B13" s="7">
        <v>219.8</v>
      </c>
      <c r="C13">
        <f>(A13+$F$8)*10^(B13/59.2*$B$1)</f>
        <v>129799.86752209098</v>
      </c>
      <c r="E13" s="3" t="s">
        <v>12</v>
      </c>
      <c r="F13" s="1">
        <f>F11*(1000/F8)*$B$2</f>
        <v>1.2621289298304792</v>
      </c>
      <c r="H13" s="6">
        <f>H12+0.25</f>
        <v>3.19</v>
      </c>
      <c r="I13" s="7">
        <v>238.3</v>
      </c>
      <c r="J13">
        <f t="shared" si="0"/>
        <v>138534.29392135851</v>
      </c>
      <c r="L13" s="3" t="s">
        <v>12</v>
      </c>
      <c r="M13" s="1">
        <f>M11*(1000/M8)*$B$2</f>
        <v>1.0824395046397612</v>
      </c>
      <c r="O13" s="6">
        <f>O12+0.25</f>
        <v>5.76</v>
      </c>
      <c r="P13" s="7">
        <v>233.2</v>
      </c>
      <c r="Q13">
        <f t="shared" si="1"/>
        <v>221919.70105006313</v>
      </c>
      <c r="S13" s="3" t="s">
        <v>12</v>
      </c>
      <c r="T13" s="1">
        <f>T11*(1000/T8)*$B$2</f>
        <v>0.91231082810541286</v>
      </c>
    </row>
    <row r="14" spans="1:20" x14ac:dyDescent="0.6">
      <c r="A14" s="6">
        <f>5.55+0.36</f>
        <v>5.91</v>
      </c>
      <c r="B14" s="7">
        <v>227.68</v>
      </c>
      <c r="C14">
        <f>(A14+$F$8)*10^(B14/59.2*$B$1)</f>
        <v>180122.27059819372</v>
      </c>
      <c r="E14" s="2"/>
      <c r="F14" s="2"/>
      <c r="H14" s="6">
        <f>H13+H6</f>
        <v>3.44</v>
      </c>
      <c r="I14" s="7">
        <v>239.5</v>
      </c>
      <c r="J14">
        <f t="shared" si="0"/>
        <v>147897.81868333509</v>
      </c>
      <c r="L14" s="2"/>
      <c r="M14" s="2"/>
      <c r="O14" s="6">
        <f>O13+0.25</f>
        <v>6.01</v>
      </c>
      <c r="P14" s="7">
        <v>234.6</v>
      </c>
      <c r="Q14">
        <f t="shared" si="1"/>
        <v>236600.33336039327</v>
      </c>
      <c r="S14" s="2"/>
      <c r="T14" s="2"/>
    </row>
    <row r="15" spans="1:20" x14ac:dyDescent="0.6">
      <c r="A15" s="6">
        <f>A14+0.25</f>
        <v>6.16</v>
      </c>
      <c r="B15" s="7">
        <v>229.6</v>
      </c>
      <c r="C15">
        <f>(A15+$F$8)*10^(B15/59.2*$B$1)</f>
        <v>195946.60338641406</v>
      </c>
      <c r="E15" s="9"/>
      <c r="F15" s="2"/>
      <c r="I15" s="7"/>
      <c r="L15" s="9"/>
      <c r="M15" s="2"/>
      <c r="O15" s="6">
        <v>6.26</v>
      </c>
      <c r="P15" s="7">
        <v>236.1</v>
      </c>
      <c r="Q15">
        <f t="shared" si="1"/>
        <v>253210.79789757231</v>
      </c>
      <c r="S15" s="9"/>
      <c r="T15" s="2"/>
    </row>
    <row r="16" spans="1:20" x14ac:dyDescent="0.6">
      <c r="A16" s="6">
        <f>A15+0.25</f>
        <v>6.41</v>
      </c>
      <c r="B16" s="7">
        <v>230.7</v>
      </c>
      <c r="C16">
        <f>(A16+$F$8)*10^(B16/59.2*$B$1)</f>
        <v>206457.6126927888</v>
      </c>
      <c r="E16" s="9"/>
      <c r="F16" s="2"/>
      <c r="I16" s="7"/>
      <c r="L16" s="9"/>
      <c r="M16" s="2"/>
      <c r="O16" s="6"/>
      <c r="P16" s="7"/>
      <c r="S16" s="9"/>
      <c r="T16" s="2"/>
    </row>
    <row r="17" spans="1:20" x14ac:dyDescent="0.6">
      <c r="A17" s="6">
        <f>A16+(1.04-0.5)</f>
        <v>6.95</v>
      </c>
      <c r="B17" s="7">
        <v>235.8</v>
      </c>
      <c r="C17">
        <f>(A17+$F$8)*10^(B17/59.2*$B$1)</f>
        <v>256852.48365378275</v>
      </c>
      <c r="D17" s="10"/>
      <c r="E17" s="2"/>
      <c r="F17" s="2"/>
      <c r="I17" s="7"/>
      <c r="K17" s="10"/>
      <c r="L17" s="2"/>
      <c r="M17" s="2"/>
      <c r="O17" s="6"/>
      <c r="P17" s="7"/>
      <c r="R17" s="10"/>
      <c r="S17" s="2"/>
      <c r="T17" s="2"/>
    </row>
    <row r="18" spans="1:20" x14ac:dyDescent="0.6">
      <c r="A18" s="6"/>
      <c r="B18" s="7"/>
      <c r="D18" s="10"/>
      <c r="E18" s="9"/>
      <c r="F18" s="2"/>
      <c r="I18" s="7"/>
      <c r="K18" s="10"/>
      <c r="L18" s="9"/>
      <c r="M18" s="2"/>
      <c r="O18" s="6"/>
      <c r="P18" s="7"/>
      <c r="R18" s="10"/>
      <c r="S18" s="9"/>
      <c r="T18" s="2"/>
    </row>
    <row r="19" spans="1:20" x14ac:dyDescent="0.6">
      <c r="A19" s="1" t="s">
        <v>3</v>
      </c>
      <c r="B19" s="7" t="s">
        <v>33</v>
      </c>
      <c r="C19" s="8">
        <v>45376</v>
      </c>
      <c r="E19" t="s">
        <v>4</v>
      </c>
      <c r="F19" s="2"/>
      <c r="H19" s="1" t="s">
        <v>3</v>
      </c>
      <c r="I19" s="7" t="s">
        <v>29</v>
      </c>
      <c r="J19" s="8">
        <v>45376</v>
      </c>
      <c r="L19" t="s">
        <v>4</v>
      </c>
      <c r="M19" s="2"/>
      <c r="O19" s="1" t="s">
        <v>3</v>
      </c>
      <c r="P19" s="7" t="s">
        <v>30</v>
      </c>
      <c r="Q19" s="8">
        <v>45376</v>
      </c>
      <c r="S19" t="s">
        <v>4</v>
      </c>
      <c r="T19" s="2"/>
    </row>
    <row r="20" spans="1:20" x14ac:dyDescent="0.6">
      <c r="A20" s="1"/>
      <c r="E20">
        <v>0.01</v>
      </c>
      <c r="F20" s="2"/>
      <c r="H20" s="1"/>
      <c r="L20">
        <v>0.01</v>
      </c>
      <c r="M20" s="2"/>
      <c r="O20" s="1"/>
      <c r="S20">
        <v>0.01</v>
      </c>
      <c r="T20" s="2"/>
    </row>
    <row r="21" spans="1:20" x14ac:dyDescent="0.6">
      <c r="A21" t="s">
        <v>5</v>
      </c>
      <c r="B21" t="s">
        <v>6</v>
      </c>
      <c r="C21" t="s">
        <v>7</v>
      </c>
      <c r="E21" s="2"/>
      <c r="F21" s="2"/>
      <c r="H21" t="s">
        <v>5</v>
      </c>
      <c r="I21" t="s">
        <v>6</v>
      </c>
      <c r="J21" t="s">
        <v>7</v>
      </c>
      <c r="L21" s="2"/>
      <c r="M21" s="2"/>
      <c r="O21" t="s">
        <v>5</v>
      </c>
      <c r="P21" t="s">
        <v>6</v>
      </c>
      <c r="Q21" t="s">
        <v>7</v>
      </c>
      <c r="S21" s="2"/>
      <c r="T21" s="2"/>
    </row>
    <row r="22" spans="1:20" x14ac:dyDescent="0.6">
      <c r="A22" s="6">
        <v>0.5</v>
      </c>
      <c r="B22">
        <v>180.9</v>
      </c>
      <c r="C22">
        <f>(A22+$F$22)*10^(B22/59.2*$B$1)</f>
        <v>11854.324162552499</v>
      </c>
      <c r="E22" s="2" t="s">
        <v>8</v>
      </c>
      <c r="F22">
        <v>10</v>
      </c>
      <c r="H22" s="6">
        <v>0.87</v>
      </c>
      <c r="I22">
        <v>133</v>
      </c>
      <c r="J22">
        <f>(H22+$M$22)*10^(I22/59.2*$B$1)</f>
        <v>3663.5105713287971</v>
      </c>
      <c r="L22" s="2" t="s">
        <v>8</v>
      </c>
      <c r="M22">
        <v>20</v>
      </c>
      <c r="O22" s="6">
        <v>1.02</v>
      </c>
      <c r="P22">
        <v>200.2</v>
      </c>
      <c r="Q22">
        <f>(O22+$T$22)*10^(P22/59.2*$B$1)</f>
        <v>50235.150961231891</v>
      </c>
      <c r="S22" s="2" t="s">
        <v>8</v>
      </c>
      <c r="T22">
        <v>20</v>
      </c>
    </row>
    <row r="23" spans="1:20" x14ac:dyDescent="0.6">
      <c r="A23">
        <v>1.02</v>
      </c>
      <c r="B23">
        <v>218.4</v>
      </c>
      <c r="C23">
        <f t="shared" ref="C23:C29" si="2">(A23+$F$22)*10^(B23/59.2*$B$1)</f>
        <v>53417.258411205185</v>
      </c>
      <c r="E23" s="2" t="s">
        <v>9</v>
      </c>
      <c r="F23">
        <f>$B$1</f>
        <v>0.999</v>
      </c>
      <c r="H23">
        <v>2.19</v>
      </c>
      <c r="I23">
        <v>198.1</v>
      </c>
      <c r="J23">
        <f t="shared" ref="J23:J30" si="3">(H23+$M$22)*10^(I23/59.2*$B$1)</f>
        <v>48875.903901025667</v>
      </c>
      <c r="L23" s="2" t="s">
        <v>9</v>
      </c>
      <c r="M23">
        <f>$B$1</f>
        <v>0.999</v>
      </c>
      <c r="O23">
        <v>1.98</v>
      </c>
      <c r="P23">
        <v>217.3</v>
      </c>
      <c r="Q23">
        <f t="shared" ref="Q23:Q28" si="4">(O23+$T$22)*10^(P23/59.2*$B$1)</f>
        <v>102085.76511422425</v>
      </c>
      <c r="S23" s="2" t="s">
        <v>9</v>
      </c>
      <c r="T23">
        <f>$B$1</f>
        <v>0.999</v>
      </c>
    </row>
    <row r="24" spans="1:20" x14ac:dyDescent="0.6">
      <c r="A24" s="6">
        <v>1.29</v>
      </c>
      <c r="B24" s="7">
        <v>224.3</v>
      </c>
      <c r="C24">
        <f t="shared" si="2"/>
        <v>68826.619932547241</v>
      </c>
      <c r="E24" s="2" t="s">
        <v>10</v>
      </c>
      <c r="F24">
        <f>RSQ(A22:A30,C22:C30)</f>
        <v>0.98949572060244761</v>
      </c>
      <c r="H24" s="6">
        <v>2.8</v>
      </c>
      <c r="I24" s="7">
        <v>216.3</v>
      </c>
      <c r="J24">
        <f t="shared" si="3"/>
        <v>101858.51657456401</v>
      </c>
      <c r="L24" s="2" t="s">
        <v>10</v>
      </c>
      <c r="M24">
        <f>RSQ(H22:H30,J22:J30)</f>
        <v>0.99056036894200039</v>
      </c>
      <c r="O24" s="6">
        <v>2.68</v>
      </c>
      <c r="P24" s="7">
        <v>224.3</v>
      </c>
      <c r="Q24">
        <f t="shared" si="4"/>
        <v>138262.8644880577</v>
      </c>
      <c r="S24" s="2" t="s">
        <v>10</v>
      </c>
      <c r="T24">
        <f>RSQ(O22:O30,Q22:Q30)</f>
        <v>0.99835013511954174</v>
      </c>
    </row>
    <row r="25" spans="1:20" x14ac:dyDescent="0.6">
      <c r="A25" s="6">
        <v>1.58</v>
      </c>
      <c r="B25" s="7">
        <v>229.6</v>
      </c>
      <c r="C25">
        <f t="shared" si="2"/>
        <v>86737.831315545671</v>
      </c>
      <c r="E25" s="2" t="s">
        <v>11</v>
      </c>
      <c r="F25">
        <f>INTERCEPT(A22:A30,C22:C30)</f>
        <v>0.17562105403055628</v>
      </c>
      <c r="H25" s="6">
        <v>3.5</v>
      </c>
      <c r="I25" s="7">
        <v>223.3</v>
      </c>
      <c r="J25">
        <f t="shared" si="3"/>
        <v>137801.94970395279</v>
      </c>
      <c r="L25" s="2" t="s">
        <v>11</v>
      </c>
      <c r="M25">
        <f>INTERCEPT(H22:H30,J22:J30)</f>
        <v>1.1024274395149796</v>
      </c>
      <c r="O25" s="6">
        <v>3.2</v>
      </c>
      <c r="P25" s="7">
        <v>228.2</v>
      </c>
      <c r="Q25">
        <f t="shared" si="4"/>
        <v>164574.66695314049</v>
      </c>
      <c r="S25" s="2" t="s">
        <v>11</v>
      </c>
      <c r="T25">
        <f>INTERCEPT(O22:O30,Q22:Q30)</f>
        <v>-7.1992584838405094E-2</v>
      </c>
    </row>
    <row r="26" spans="1:20" x14ac:dyDescent="0.6">
      <c r="A26" s="6">
        <v>1.84</v>
      </c>
      <c r="B26" s="7">
        <v>232.7</v>
      </c>
      <c r="C26">
        <f t="shared" si="2"/>
        <v>100037.81614533332</v>
      </c>
      <c r="H26" s="6">
        <v>3.75</v>
      </c>
      <c r="I26" s="7">
        <v>226.2</v>
      </c>
      <c r="J26">
        <f t="shared" si="3"/>
        <v>155879.35997719181</v>
      </c>
      <c r="O26" s="6">
        <v>3.74</v>
      </c>
      <c r="P26" s="7">
        <v>231.8</v>
      </c>
      <c r="Q26">
        <f t="shared" si="4"/>
        <v>193689.33791604181</v>
      </c>
    </row>
    <row r="27" spans="1:20" x14ac:dyDescent="0.6">
      <c r="A27" s="6">
        <v>2.12</v>
      </c>
      <c r="B27" s="7">
        <v>235.7</v>
      </c>
      <c r="C27">
        <f t="shared" si="2"/>
        <v>115064.17284615785</v>
      </c>
      <c r="E27" s="3" t="s">
        <v>12</v>
      </c>
      <c r="F27" s="1">
        <f>F25*(1000/F22)*$B$2</f>
        <v>0.17562105403055628</v>
      </c>
      <c r="H27" s="6">
        <v>4.03</v>
      </c>
      <c r="I27" s="7">
        <v>229.6</v>
      </c>
      <c r="J27">
        <f t="shared" si="3"/>
        <v>179992.23545013493</v>
      </c>
      <c r="L27" s="3" t="s">
        <v>12</v>
      </c>
      <c r="M27" s="1">
        <f>M25*(1000/M22)*$B$2</f>
        <v>0.55121371975748978</v>
      </c>
      <c r="O27" s="6">
        <v>5.5</v>
      </c>
      <c r="P27" s="7">
        <v>238.6</v>
      </c>
      <c r="Q27">
        <f t="shared" si="4"/>
        <v>270966.23715821182</v>
      </c>
      <c r="S27" s="3" t="s">
        <v>12</v>
      </c>
      <c r="T27" s="1">
        <f>T25*(1000/T22)*$B$2</f>
        <v>-3.5996292419202547E-2</v>
      </c>
    </row>
    <row r="28" spans="1:20" x14ac:dyDescent="0.6">
      <c r="A28" s="6"/>
      <c r="B28" s="7"/>
      <c r="E28" s="2"/>
      <c r="F28" s="2"/>
      <c r="H28" s="6">
        <v>4.76</v>
      </c>
      <c r="I28" s="7">
        <v>234.2</v>
      </c>
      <c r="J28">
        <f t="shared" si="3"/>
        <v>221756.13331143776</v>
      </c>
      <c r="L28" s="2"/>
      <c r="M28" s="2"/>
      <c r="O28" s="6">
        <v>5.77</v>
      </c>
      <c r="P28" s="7">
        <v>240.1</v>
      </c>
      <c r="Q28">
        <f t="shared" si="4"/>
        <v>290269.8433508873</v>
      </c>
      <c r="S28" s="2"/>
      <c r="T28" s="2"/>
    </row>
    <row r="29" spans="1:20" x14ac:dyDescent="0.6">
      <c r="A29" s="6">
        <v>2.89</v>
      </c>
      <c r="B29" s="7">
        <v>241.6</v>
      </c>
      <c r="C29">
        <f t="shared" si="2"/>
        <v>153905.06666544508</v>
      </c>
      <c r="E29" s="9"/>
      <c r="F29" s="2"/>
      <c r="H29" s="6">
        <v>5.25</v>
      </c>
      <c r="I29" s="7">
        <v>237</v>
      </c>
      <c r="J29">
        <f t="shared" si="3"/>
        <v>252136.88463518952</v>
      </c>
      <c r="L29" s="9"/>
      <c r="M29" s="2"/>
      <c r="O29" s="6"/>
      <c r="P29" s="7"/>
      <c r="S29" s="9"/>
      <c r="T29" s="2"/>
    </row>
    <row r="30" spans="1:20" x14ac:dyDescent="0.6">
      <c r="A30" s="6"/>
      <c r="B30" s="7"/>
      <c r="E30" s="9"/>
      <c r="F30" s="2"/>
      <c r="H30" s="6">
        <v>5.92</v>
      </c>
      <c r="I30" s="7">
        <v>240.2</v>
      </c>
      <c r="J30">
        <f t="shared" si="3"/>
        <v>293096.07134319033</v>
      </c>
      <c r="L30" s="9"/>
      <c r="M30" s="2"/>
      <c r="O30" s="6"/>
      <c r="P30" s="7"/>
      <c r="S30" s="9"/>
      <c r="T30" s="2"/>
    </row>
    <row r="31" spans="1:20" x14ac:dyDescent="0.6">
      <c r="E31" s="2"/>
      <c r="L31" s="2"/>
      <c r="O31" s="4"/>
      <c r="P31" s="4"/>
      <c r="S31" s="2"/>
    </row>
    <row r="35" spans="1:20" x14ac:dyDescent="0.6">
      <c r="A35" s="1" t="s">
        <v>3</v>
      </c>
      <c r="B35" s="7" t="s">
        <v>34</v>
      </c>
      <c r="C35" s="8">
        <v>45376</v>
      </c>
      <c r="E35" t="s">
        <v>4</v>
      </c>
      <c r="F35" s="2"/>
      <c r="H35" s="1" t="s">
        <v>3</v>
      </c>
      <c r="I35" s="7" t="s">
        <v>31</v>
      </c>
      <c r="J35" s="8">
        <v>45376</v>
      </c>
      <c r="L35" t="s">
        <v>4</v>
      </c>
      <c r="M35" s="2"/>
      <c r="O35" s="1" t="s">
        <v>3</v>
      </c>
      <c r="P35" s="7" t="s">
        <v>32</v>
      </c>
      <c r="Q35" s="8">
        <v>45376</v>
      </c>
      <c r="S35" t="s">
        <v>4</v>
      </c>
      <c r="T35" s="2"/>
    </row>
    <row r="36" spans="1:20" x14ac:dyDescent="0.6">
      <c r="A36" s="1"/>
      <c r="E36">
        <v>0.01</v>
      </c>
      <c r="F36" s="2"/>
      <c r="H36" s="1"/>
      <c r="L36">
        <v>0.01</v>
      </c>
      <c r="M36" s="2"/>
      <c r="O36" s="1"/>
      <c r="S36">
        <v>0.01</v>
      </c>
      <c r="T36" s="2"/>
    </row>
    <row r="37" spans="1:20" x14ac:dyDescent="0.6">
      <c r="A37" t="s">
        <v>5</v>
      </c>
      <c r="B37" t="s">
        <v>6</v>
      </c>
      <c r="C37" t="s">
        <v>7</v>
      </c>
      <c r="E37" s="2"/>
      <c r="F37" s="2"/>
      <c r="H37" t="s">
        <v>5</v>
      </c>
      <c r="I37" t="s">
        <v>6</v>
      </c>
      <c r="J37" t="s">
        <v>7</v>
      </c>
      <c r="L37" s="2"/>
      <c r="M37" s="2"/>
      <c r="O37" t="s">
        <v>5</v>
      </c>
      <c r="P37" t="s">
        <v>6</v>
      </c>
      <c r="Q37" t="s">
        <v>7</v>
      </c>
      <c r="S37" s="2"/>
      <c r="T37" s="2"/>
    </row>
    <row r="38" spans="1:20" x14ac:dyDescent="0.6">
      <c r="A38" s="6">
        <v>0.34</v>
      </c>
      <c r="B38">
        <v>191.8</v>
      </c>
      <c r="C38">
        <f>(A38+$F$22)*10^(B38/59.2*$B$1)</f>
        <v>17829.761700699633</v>
      </c>
      <c r="E38" s="2" t="s">
        <v>8</v>
      </c>
      <c r="F38">
        <v>10</v>
      </c>
      <c r="H38" s="6">
        <v>2.14</v>
      </c>
      <c r="I38">
        <v>199.1</v>
      </c>
      <c r="J38">
        <f>(H38+$M$22)*10^(I38/59.2*$B$1)</f>
        <v>50697.917056421771</v>
      </c>
      <c r="L38" s="2" t="s">
        <v>8</v>
      </c>
      <c r="M38">
        <v>10</v>
      </c>
      <c r="O38" s="6">
        <v>1.76</v>
      </c>
      <c r="P38">
        <v>195</v>
      </c>
      <c r="Q38">
        <f>(O38+$T$22)*10^(P38/59.2*$B$1)</f>
        <v>42489.722138081132</v>
      </c>
      <c r="S38" s="2" t="s">
        <v>8</v>
      </c>
      <c r="T38">
        <v>10</v>
      </c>
    </row>
    <row r="39" spans="1:20" x14ac:dyDescent="0.6">
      <c r="A39">
        <v>0.84</v>
      </c>
      <c r="B39">
        <v>212.8</v>
      </c>
      <c r="C39">
        <f t="shared" ref="C39:C44" si="5">(A39+$F$22)*10^(B39/59.2*$B$1)</f>
        <v>42269.711355737389</v>
      </c>
      <c r="E39" s="2" t="s">
        <v>9</v>
      </c>
      <c r="F39">
        <f>$B$1</f>
        <v>0.999</v>
      </c>
      <c r="H39">
        <v>2.34</v>
      </c>
      <c r="I39">
        <v>217.6</v>
      </c>
      <c r="J39">
        <f t="shared" ref="J39:J46" si="6">(H39+$M$22)*10^(I39/59.2*$B$1)</f>
        <v>104974.34386240513</v>
      </c>
      <c r="L39" s="2" t="s">
        <v>9</v>
      </c>
      <c r="M39">
        <f>$B$1</f>
        <v>0.999</v>
      </c>
      <c r="O39">
        <v>2.52</v>
      </c>
      <c r="P39" s="7">
        <v>224.5</v>
      </c>
      <c r="Q39">
        <f>(O39+$T$22)*10^(P39/59.2*$B$1)</f>
        <v>138358.51311671708</v>
      </c>
      <c r="S39" s="2" t="s">
        <v>9</v>
      </c>
      <c r="T39">
        <f>$B$1</f>
        <v>0.999</v>
      </c>
    </row>
    <row r="40" spans="1:20" x14ac:dyDescent="0.6">
      <c r="A40" s="6">
        <v>1.1299999999999999</v>
      </c>
      <c r="B40" s="7">
        <v>219.9</v>
      </c>
      <c r="C40">
        <f t="shared" si="5"/>
        <v>57188.362889570752</v>
      </c>
      <c r="E40" s="2" t="s">
        <v>10</v>
      </c>
      <c r="F40">
        <f>RSQ(A38:A46,C38:C46)</f>
        <v>0.99660852872576322</v>
      </c>
      <c r="H40" s="6">
        <v>2.78</v>
      </c>
      <c r="I40" s="7">
        <v>220.7</v>
      </c>
      <c r="J40">
        <f t="shared" si="6"/>
        <v>120744.18369174916</v>
      </c>
      <c r="L40" s="2" t="s">
        <v>10</v>
      </c>
      <c r="M40">
        <f>RSQ(H38:H46,J38:J46)</f>
        <v>0.98206170872007659</v>
      </c>
      <c r="O40" s="6">
        <v>2.71</v>
      </c>
      <c r="P40">
        <v>228.2</v>
      </c>
      <c r="Q40">
        <f>(O40+$T$22)*10^(P39/59.2*$B$1)</f>
        <v>139525.83627356327</v>
      </c>
      <c r="S40" s="2" t="s">
        <v>10</v>
      </c>
      <c r="T40">
        <f>RSQ(O38:O46,Q38:Q46)</f>
        <v>0.98881781724480045</v>
      </c>
    </row>
    <row r="41" spans="1:20" x14ac:dyDescent="0.6">
      <c r="A41" s="6">
        <v>1.28</v>
      </c>
      <c r="B41" s="7">
        <v>222.7</v>
      </c>
      <c r="C41">
        <f t="shared" si="5"/>
        <v>64620.691291098046</v>
      </c>
      <c r="E41" s="2" t="s">
        <v>11</v>
      </c>
      <c r="F41">
        <f>INTERCEPT(A38:A46,C38:C46)</f>
        <v>4.6214231025242469E-2</v>
      </c>
      <c r="H41" s="6">
        <v>3.04</v>
      </c>
      <c r="I41" s="7">
        <v>228.2</v>
      </c>
      <c r="J41">
        <f t="shared" si="6"/>
        <v>163439.66925001537</v>
      </c>
      <c r="L41" s="2" t="s">
        <v>11</v>
      </c>
      <c r="M41">
        <f>INTERCEPT(H38:H46,J38:J46)</f>
        <v>1.5175737114045715</v>
      </c>
      <c r="O41" s="6">
        <v>2.93</v>
      </c>
      <c r="P41" s="7">
        <v>231.6</v>
      </c>
      <c r="Q41">
        <f t="shared" ref="Q39:Q44" si="7">(O41+$T$22)*10^(P41/59.2*$B$1)</f>
        <v>185632.51759805612</v>
      </c>
      <c r="S41" s="2" t="s">
        <v>11</v>
      </c>
      <c r="T41">
        <f>INTERCEPT(O38:O46,Q38:Q46)</f>
        <v>1.351319133857467</v>
      </c>
    </row>
    <row r="42" spans="1:20" x14ac:dyDescent="0.6">
      <c r="A42" s="6">
        <v>1.57</v>
      </c>
      <c r="B42" s="7">
        <v>227.1</v>
      </c>
      <c r="C42">
        <f t="shared" si="5"/>
        <v>78640.426275509919</v>
      </c>
      <c r="H42" s="6">
        <v>3.29</v>
      </c>
      <c r="I42" s="7">
        <v>229.3</v>
      </c>
      <c r="J42">
        <f t="shared" si="6"/>
        <v>172427.68146563371</v>
      </c>
      <c r="O42" s="6">
        <v>3.21</v>
      </c>
      <c r="P42" s="7">
        <v>234.5</v>
      </c>
      <c r="Q42">
        <f t="shared" si="7"/>
        <v>210311.31576467556</v>
      </c>
    </row>
    <row r="43" spans="1:20" x14ac:dyDescent="0.6">
      <c r="A43" s="6">
        <v>1.77</v>
      </c>
      <c r="B43" s="7">
        <v>229</v>
      </c>
      <c r="C43">
        <f t="shared" si="5"/>
        <v>86129.408136296726</v>
      </c>
      <c r="E43" s="3" t="s">
        <v>12</v>
      </c>
      <c r="F43" s="1">
        <f>F41*(1000/F38)*$B$2</f>
        <v>4.6214231025242469E-2</v>
      </c>
      <c r="H43" s="6">
        <v>3.6</v>
      </c>
      <c r="I43" s="7">
        <v>235</v>
      </c>
      <c r="J43">
        <f t="shared" si="6"/>
        <v>218040.41651302142</v>
      </c>
      <c r="L43" s="3" t="s">
        <v>12</v>
      </c>
      <c r="M43" s="1">
        <f>M41*(1000/M38)*$B$2</f>
        <v>1.5175737114045718</v>
      </c>
      <c r="O43" s="6">
        <v>3.52</v>
      </c>
      <c r="P43" s="7">
        <v>237.1</v>
      </c>
      <c r="Q43">
        <f t="shared" si="7"/>
        <v>235776.12046578046</v>
      </c>
      <c r="S43" s="3" t="s">
        <v>12</v>
      </c>
      <c r="T43" s="1">
        <f>T41*(1000/T38)*$B$2</f>
        <v>1.3513191338574673</v>
      </c>
    </row>
    <row r="44" spans="1:20" x14ac:dyDescent="0.6">
      <c r="A44" s="6">
        <v>2.06</v>
      </c>
      <c r="B44" s="7">
        <v>233.6</v>
      </c>
      <c r="C44">
        <f t="shared" si="5"/>
        <v>105523.04329242891</v>
      </c>
      <c r="E44" s="2"/>
      <c r="F44" s="2"/>
      <c r="H44" s="6">
        <v>3.89</v>
      </c>
      <c r="I44" s="7">
        <v>237.7</v>
      </c>
      <c r="J44">
        <f t="shared" si="6"/>
        <v>245134.05521788489</v>
      </c>
      <c r="L44" s="2"/>
      <c r="M44" s="2"/>
      <c r="O44" s="6">
        <v>3.8</v>
      </c>
      <c r="P44" s="7">
        <v>240</v>
      </c>
      <c r="Q44">
        <f t="shared" si="7"/>
        <v>267040.39212386741</v>
      </c>
      <c r="S44" s="2"/>
      <c r="T44" s="2"/>
    </row>
    <row r="45" spans="1:20" x14ac:dyDescent="0.6">
      <c r="A45" s="6">
        <v>2.33</v>
      </c>
      <c r="B45" s="7">
        <v>236.7</v>
      </c>
      <c r="C45">
        <f t="shared" ref="C45:C47" si="8">(A45+$F$22)*10^(B45/59.2*$B$1)</f>
        <v>121695.79624553684</v>
      </c>
      <c r="E45" s="9"/>
      <c r="F45" s="2"/>
      <c r="H45" s="6">
        <v>4.12</v>
      </c>
      <c r="I45" s="7">
        <v>239.5</v>
      </c>
      <c r="J45">
        <f t="shared" si="6"/>
        <v>265423.76388705673</v>
      </c>
      <c r="L45" s="9"/>
      <c r="M45" s="2"/>
    </row>
    <row r="46" spans="1:20" x14ac:dyDescent="0.6">
      <c r="A46" s="6">
        <v>2.5499999999999998</v>
      </c>
      <c r="B46" s="7">
        <v>238.8</v>
      </c>
      <c r="C46">
        <f t="shared" si="8"/>
        <v>134398.28466366115</v>
      </c>
      <c r="H46" s="6">
        <v>4.4000000000000004</v>
      </c>
      <c r="I46" s="7">
        <v>241.1</v>
      </c>
      <c r="J46">
        <f t="shared" si="6"/>
        <v>285727.68752711598</v>
      </c>
      <c r="L46" s="9"/>
      <c r="M46" s="2"/>
    </row>
    <row r="47" spans="1:20" x14ac:dyDescent="0.6">
      <c r="A47" s="6">
        <v>2.86</v>
      </c>
      <c r="B47" s="7">
        <v>241.1</v>
      </c>
      <c r="C47">
        <f t="shared" si="8"/>
        <v>150592.54350814392</v>
      </c>
      <c r="L47" s="2"/>
    </row>
    <row r="50" spans="1:20" x14ac:dyDescent="0.6">
      <c r="A50" s="1" t="s">
        <v>3</v>
      </c>
      <c r="B50" s="7" t="s">
        <v>35</v>
      </c>
      <c r="C50" s="8">
        <v>45376</v>
      </c>
      <c r="E50" t="s">
        <v>4</v>
      </c>
      <c r="F50" s="2"/>
      <c r="H50" s="1" t="s">
        <v>3</v>
      </c>
      <c r="I50" s="7" t="s">
        <v>36</v>
      </c>
      <c r="J50" s="8">
        <v>45376</v>
      </c>
      <c r="L50" t="s">
        <v>4</v>
      </c>
      <c r="M50" s="2"/>
      <c r="O50" s="1" t="s">
        <v>3</v>
      </c>
      <c r="P50" s="7" t="s">
        <v>37</v>
      </c>
      <c r="Q50" s="8">
        <v>45376</v>
      </c>
      <c r="S50" t="s">
        <v>4</v>
      </c>
      <c r="T50" s="2"/>
    </row>
    <row r="51" spans="1:20" x14ac:dyDescent="0.6">
      <c r="A51" s="1"/>
      <c r="E51">
        <v>0.01</v>
      </c>
      <c r="F51" s="2"/>
      <c r="H51" s="1"/>
      <c r="L51">
        <v>0.01</v>
      </c>
      <c r="M51" s="2"/>
      <c r="O51" s="1"/>
      <c r="S51">
        <v>0.01</v>
      </c>
      <c r="T51" s="2"/>
    </row>
    <row r="52" spans="1:20" x14ac:dyDescent="0.6">
      <c r="A52" t="s">
        <v>5</v>
      </c>
      <c r="B52" t="s">
        <v>6</v>
      </c>
      <c r="C52" t="s">
        <v>7</v>
      </c>
      <c r="E52" s="2"/>
      <c r="F52" s="2"/>
      <c r="H52" t="s">
        <v>5</v>
      </c>
      <c r="I52" t="s">
        <v>6</v>
      </c>
      <c r="J52" t="s">
        <v>7</v>
      </c>
      <c r="L52" s="2"/>
      <c r="M52" s="2"/>
      <c r="O52" t="s">
        <v>5</v>
      </c>
      <c r="P52" t="s">
        <v>6</v>
      </c>
      <c r="Q52" t="s">
        <v>7</v>
      </c>
      <c r="S52" s="2"/>
      <c r="T52" s="2"/>
    </row>
    <row r="53" spans="1:20" x14ac:dyDescent="0.6">
      <c r="A53" s="6">
        <v>0.53</v>
      </c>
      <c r="B53">
        <v>203.6</v>
      </c>
      <c r="C53">
        <f>(A53+$F$22)*10^(B53/59.2*$B$1)</f>
        <v>28719.598963555807</v>
      </c>
      <c r="E53" s="2" t="s">
        <v>8</v>
      </c>
      <c r="F53">
        <v>10</v>
      </c>
      <c r="H53" s="6">
        <v>0.5</v>
      </c>
      <c r="I53">
        <v>192.3</v>
      </c>
      <c r="J53">
        <f>(H53+$F$22)*10^(I53/59.2*$B$1)</f>
        <v>18460.854485929784</v>
      </c>
      <c r="L53" s="2" t="s">
        <v>8</v>
      </c>
      <c r="M53">
        <v>10</v>
      </c>
      <c r="O53" s="6">
        <v>0.5</v>
      </c>
      <c r="P53">
        <v>201.9</v>
      </c>
      <c r="Q53">
        <f>(O53+$F$22)*10^(P53/59.2*$B$1)</f>
        <v>26807.22126961542</v>
      </c>
      <c r="S53" s="2" t="s">
        <v>8</v>
      </c>
      <c r="T53">
        <v>10</v>
      </c>
    </row>
    <row r="54" spans="1:20" x14ac:dyDescent="0.6">
      <c r="A54">
        <v>0.8</v>
      </c>
      <c r="B54">
        <v>214</v>
      </c>
      <c r="C54">
        <f t="shared" ref="C54:C62" si="9">(A54+$F$22)*10^(B54/59.2*$B$1)</f>
        <v>44123.886165329794</v>
      </c>
      <c r="E54" s="2" t="s">
        <v>9</v>
      </c>
      <c r="F54">
        <f>$B$1</f>
        <v>0.999</v>
      </c>
      <c r="H54">
        <v>0.8</v>
      </c>
      <c r="I54">
        <v>205.7</v>
      </c>
      <c r="J54">
        <f t="shared" ref="J54:J61" si="10">(H54+$F$22)*10^(I54/59.2*$B$1)</f>
        <v>31960.33004422607</v>
      </c>
      <c r="L54" s="2" t="s">
        <v>9</v>
      </c>
      <c r="M54">
        <f>$B$1</f>
        <v>0.999</v>
      </c>
      <c r="O54">
        <v>1</v>
      </c>
      <c r="P54">
        <v>217.2</v>
      </c>
      <c r="Q54">
        <f t="shared" ref="Q54:Q61" si="11">(O54+$F$22)*10^(P54/59.2*$B$1)</f>
        <v>50891.199252853832</v>
      </c>
      <c r="S54" s="2" t="s">
        <v>9</v>
      </c>
      <c r="T54">
        <f>$B$1</f>
        <v>0.999</v>
      </c>
    </row>
    <row r="55" spans="1:20" x14ac:dyDescent="0.6">
      <c r="A55" s="6">
        <v>1.04</v>
      </c>
      <c r="B55" s="7">
        <v>220.8</v>
      </c>
      <c r="C55">
        <f t="shared" si="9"/>
        <v>58744.75182305411</v>
      </c>
      <c r="E55" s="2" t="s">
        <v>10</v>
      </c>
      <c r="F55">
        <f>RSQ(A53:A61,C53:C61)</f>
        <v>0.99870783554636056</v>
      </c>
      <c r="H55" s="6">
        <v>1.25</v>
      </c>
      <c r="I55" s="7">
        <v>217.8</v>
      </c>
      <c r="J55">
        <f t="shared" si="10"/>
        <v>53275.49854161041</v>
      </c>
      <c r="L55" s="2" t="s">
        <v>10</v>
      </c>
      <c r="M55">
        <f>RSQ(H53:H61,J53:J61)</f>
        <v>0.99656841279559438</v>
      </c>
      <c r="O55" s="6">
        <v>1.26</v>
      </c>
      <c r="P55" s="7">
        <v>222.8</v>
      </c>
      <c r="Q55">
        <f t="shared" si="11"/>
        <v>64757.248943824001</v>
      </c>
      <c r="S55" s="2" t="s">
        <v>10</v>
      </c>
      <c r="T55">
        <f>RSQ(O53:O61,Q53:Q61)</f>
        <v>0.99971904252486876</v>
      </c>
    </row>
    <row r="56" spans="1:20" x14ac:dyDescent="0.6">
      <c r="A56" s="6">
        <v>1.3</v>
      </c>
      <c r="B56" s="7">
        <v>225.5</v>
      </c>
      <c r="C56">
        <f t="shared" si="9"/>
        <v>72175.689842640728</v>
      </c>
      <c r="E56" s="2" t="s">
        <v>11</v>
      </c>
      <c r="F56">
        <f>INTERCEPT(A53:A61,C53:C61)</f>
        <v>2.7401954522576544E-2</v>
      </c>
      <c r="H56" s="6">
        <v>1.75</v>
      </c>
      <c r="I56" s="7">
        <v>226.7</v>
      </c>
      <c r="J56">
        <f t="shared" si="10"/>
        <v>78632.189122826559</v>
      </c>
      <c r="L56" s="2" t="s">
        <v>11</v>
      </c>
      <c r="M56">
        <f>INTERCEPT(H53:H61,J53:J61)</f>
        <v>0.237707795704722</v>
      </c>
      <c r="O56" s="6">
        <v>1.5</v>
      </c>
      <c r="P56" s="7">
        <v>226.9</v>
      </c>
      <c r="Q56">
        <f t="shared" si="11"/>
        <v>77559.56066405958</v>
      </c>
      <c r="S56" s="2" t="s">
        <v>11</v>
      </c>
      <c r="T56">
        <f>INTERCEPT(O53:O61,Q53:Q61)</f>
        <v>1.2189613270164434E-2</v>
      </c>
    </row>
    <row r="57" spans="1:20" x14ac:dyDescent="0.6">
      <c r="A57" s="6">
        <v>1.56</v>
      </c>
      <c r="B57" s="7">
        <v>229.1</v>
      </c>
      <c r="C57">
        <f t="shared" si="9"/>
        <v>84922.023541206188</v>
      </c>
      <c r="H57" s="6">
        <v>2</v>
      </c>
      <c r="I57" s="7">
        <v>230.8</v>
      </c>
      <c r="J57">
        <f t="shared" si="10"/>
        <v>94174.049606358676</v>
      </c>
      <c r="O57" s="6">
        <v>1.75</v>
      </c>
      <c r="P57" s="7">
        <v>230.4</v>
      </c>
      <c r="Q57">
        <f t="shared" si="11"/>
        <v>90789.968748745072</v>
      </c>
    </row>
    <row r="58" spans="1:20" x14ac:dyDescent="0.6">
      <c r="A58" s="6">
        <v>1.81</v>
      </c>
      <c r="B58" s="7">
        <v>232.5</v>
      </c>
      <c r="C58">
        <f t="shared" si="9"/>
        <v>99011.900701979612</v>
      </c>
      <c r="E58" s="3" t="s">
        <v>12</v>
      </c>
      <c r="F58" s="1">
        <f>F56*(1000/F53)*$B$2</f>
        <v>2.7401954522576544E-2</v>
      </c>
      <c r="H58" s="6">
        <v>2.2200000000000002</v>
      </c>
      <c r="I58" s="7">
        <v>234.5</v>
      </c>
      <c r="J58">
        <f t="shared" si="10"/>
        <v>110728.31876968269</v>
      </c>
      <c r="L58" s="3" t="s">
        <v>12</v>
      </c>
      <c r="M58" s="1">
        <f>M56*(1000/M53)*$B$2</f>
        <v>0.237707795704722</v>
      </c>
      <c r="O58" s="6">
        <v>2</v>
      </c>
      <c r="P58" s="7">
        <v>233.3</v>
      </c>
      <c r="Q58">
        <f t="shared" si="11"/>
        <v>103781.21386110122</v>
      </c>
      <c r="S58" s="3" t="s">
        <v>12</v>
      </c>
      <c r="T58" s="1">
        <f>T56*(1000/T53)*$B$2</f>
        <v>1.2189613270164434E-2</v>
      </c>
    </row>
    <row r="59" spans="1:20" x14ac:dyDescent="0.6">
      <c r="A59" s="6">
        <v>2.0299999999999998</v>
      </c>
      <c r="B59" s="7">
        <v>235.4</v>
      </c>
      <c r="C59">
        <f t="shared" si="9"/>
        <v>112886.14109213308</v>
      </c>
      <c r="E59" s="2"/>
      <c r="F59" s="2"/>
      <c r="H59" s="6">
        <f>H58+0.25</f>
        <v>2.4700000000000002</v>
      </c>
      <c r="I59" s="7">
        <v>236.6</v>
      </c>
      <c r="J59">
        <f t="shared" si="10"/>
        <v>122600.27758180008</v>
      </c>
      <c r="L59" s="2"/>
      <c r="M59" s="2"/>
      <c r="O59" s="6">
        <v>2.2599999999999998</v>
      </c>
      <c r="P59" s="7">
        <v>235.9</v>
      </c>
      <c r="Q59">
        <f t="shared" si="11"/>
        <v>117301.33914794578</v>
      </c>
      <c r="S59" s="2"/>
      <c r="T59" s="2"/>
    </row>
    <row r="60" spans="1:20" x14ac:dyDescent="0.6">
      <c r="A60" s="6">
        <v>2.3199999999999998</v>
      </c>
      <c r="B60" s="7">
        <v>238.2</v>
      </c>
      <c r="C60">
        <f t="shared" si="9"/>
        <v>128894.89225879381</v>
      </c>
      <c r="E60" s="9"/>
      <c r="F60" s="2"/>
      <c r="H60" s="6">
        <f>H59+0.25</f>
        <v>2.72</v>
      </c>
      <c r="I60" s="7">
        <v>239.1</v>
      </c>
      <c r="J60">
        <f t="shared" si="10"/>
        <v>137815.99067148447</v>
      </c>
      <c r="L60" s="9"/>
      <c r="M60" s="2"/>
      <c r="O60" s="6">
        <v>2.5</v>
      </c>
      <c r="P60" s="7">
        <v>238.2</v>
      </c>
      <c r="Q60">
        <f t="shared" si="11"/>
        <v>130778.09685348398</v>
      </c>
      <c r="S60" s="9"/>
      <c r="T60" s="2"/>
    </row>
    <row r="61" spans="1:20" x14ac:dyDescent="0.6">
      <c r="A61" s="6">
        <v>2.54</v>
      </c>
      <c r="B61" s="7">
        <v>240.7</v>
      </c>
      <c r="C61">
        <f t="shared" si="9"/>
        <v>144580.60458962293</v>
      </c>
      <c r="H61" s="6">
        <f>H60+0.25</f>
        <v>2.97</v>
      </c>
      <c r="I61" s="7">
        <v>241.2</v>
      </c>
      <c r="J61">
        <f t="shared" si="10"/>
        <v>152471.95753242003</v>
      </c>
      <c r="O61" s="6">
        <v>2.75</v>
      </c>
      <c r="P61" s="7">
        <v>240.1</v>
      </c>
      <c r="Q61">
        <f t="shared" si="11"/>
        <v>143614.29967884414</v>
      </c>
    </row>
    <row r="62" spans="1:20" x14ac:dyDescent="0.6">
      <c r="A62" s="6"/>
      <c r="B62" s="7"/>
    </row>
    <row r="63" spans="1:20" x14ac:dyDescent="0.6">
      <c r="A63" s="1" t="s">
        <v>3</v>
      </c>
      <c r="B63" s="7" t="s">
        <v>38</v>
      </c>
      <c r="C63" s="8">
        <v>45376</v>
      </c>
      <c r="E63" t="s">
        <v>4</v>
      </c>
      <c r="F63" s="2"/>
      <c r="H63" s="1" t="s">
        <v>3</v>
      </c>
      <c r="I63" s="7" t="s">
        <v>39</v>
      </c>
      <c r="J63" s="8">
        <v>45376</v>
      </c>
      <c r="L63" t="s">
        <v>4</v>
      </c>
      <c r="M63" s="2"/>
      <c r="O63" s="1" t="s">
        <v>3</v>
      </c>
      <c r="P63" s="7">
        <v>3</v>
      </c>
      <c r="Q63" s="8">
        <v>45376</v>
      </c>
      <c r="S63" t="s">
        <v>4</v>
      </c>
      <c r="T63" s="2"/>
    </row>
    <row r="64" spans="1:20" x14ac:dyDescent="0.6">
      <c r="A64" s="1"/>
      <c r="E64">
        <v>0.01</v>
      </c>
      <c r="F64" s="2"/>
      <c r="H64" s="1"/>
      <c r="L64">
        <v>0.01</v>
      </c>
      <c r="M64" s="2"/>
      <c r="O64" s="1"/>
      <c r="S64">
        <v>0.01</v>
      </c>
      <c r="T64" s="2"/>
    </row>
    <row r="65" spans="1:20" x14ac:dyDescent="0.6">
      <c r="A65" t="s">
        <v>5</v>
      </c>
      <c r="B65" t="s">
        <v>6</v>
      </c>
      <c r="C65" t="s">
        <v>7</v>
      </c>
      <c r="E65" s="2"/>
      <c r="F65" s="2"/>
      <c r="H65" t="s">
        <v>5</v>
      </c>
      <c r="I65" t="s">
        <v>6</v>
      </c>
      <c r="J65" t="s">
        <v>7</v>
      </c>
      <c r="L65" s="2"/>
      <c r="M65" s="2"/>
      <c r="O65" t="s">
        <v>5</v>
      </c>
      <c r="P65" t="s">
        <v>6</v>
      </c>
      <c r="Q65" t="s">
        <v>7</v>
      </c>
      <c r="S65" s="2"/>
      <c r="T65" s="2"/>
    </row>
    <row r="66" spans="1:20" x14ac:dyDescent="0.6">
      <c r="A66" s="6">
        <v>0.51</v>
      </c>
      <c r="B66">
        <v>197.6</v>
      </c>
      <c r="C66">
        <f>(A66+$F$22)*10^(B66/59.2*$B$1)</f>
        <v>22704.017665482559</v>
      </c>
      <c r="E66" s="2" t="s">
        <v>8</v>
      </c>
      <c r="F66">
        <v>10</v>
      </c>
      <c r="H66" s="6">
        <v>0.75</v>
      </c>
      <c r="I66">
        <v>179.4</v>
      </c>
      <c r="J66">
        <f>(H66+$F$22)*10^(I66/59.2*$B$1)</f>
        <v>11449.419402328589</v>
      </c>
      <c r="L66" s="2" t="s">
        <v>8</v>
      </c>
      <c r="M66">
        <v>10</v>
      </c>
      <c r="O66" s="6">
        <v>0.5</v>
      </c>
      <c r="P66">
        <v>205.9</v>
      </c>
      <c r="Q66">
        <f>(O66+$F$22)*10^(P66/59.2*$B$1)</f>
        <v>31314.955513319066</v>
      </c>
      <c r="S66" s="2" t="s">
        <v>8</v>
      </c>
      <c r="T66">
        <v>10</v>
      </c>
    </row>
    <row r="67" spans="1:20" x14ac:dyDescent="0.6">
      <c r="A67">
        <v>1.1599999999999999</v>
      </c>
      <c r="B67">
        <v>217.3</v>
      </c>
      <c r="C67">
        <f t="shared" ref="C67:C75" si="12">(A67+$F$22)*10^(B67/59.2*$B$1)</f>
        <v>51832.444889660721</v>
      </c>
      <c r="E67" s="2" t="s">
        <v>9</v>
      </c>
      <c r="F67">
        <f>$B$1</f>
        <v>0.999</v>
      </c>
      <c r="H67">
        <v>1.25</v>
      </c>
      <c r="I67">
        <v>202.9</v>
      </c>
      <c r="J67">
        <f t="shared" ref="J67:J77" si="13">(H67+$F$22)*10^(I67/59.2*$B$1)</f>
        <v>29860.015061404181</v>
      </c>
      <c r="L67" s="2" t="s">
        <v>9</v>
      </c>
      <c r="M67">
        <f>$B$1</f>
        <v>0.999</v>
      </c>
      <c r="O67">
        <v>1</v>
      </c>
      <c r="P67">
        <v>218.5</v>
      </c>
      <c r="Q67">
        <f t="shared" ref="Q67:Q77" si="14">(O67+$F$22)*10^(P67/59.2*$B$1)</f>
        <v>53527.897489144671</v>
      </c>
      <c r="S67" s="2" t="s">
        <v>9</v>
      </c>
      <c r="T67">
        <f>$B$1</f>
        <v>0.999</v>
      </c>
    </row>
    <row r="68" spans="1:20" x14ac:dyDescent="0.6">
      <c r="A68" s="6">
        <v>1.43</v>
      </c>
      <c r="B68" s="7">
        <v>221.8</v>
      </c>
      <c r="C68">
        <f t="shared" si="12"/>
        <v>63229.715888909384</v>
      </c>
      <c r="E68" s="2" t="s">
        <v>10</v>
      </c>
      <c r="F68">
        <f>RSQ(A66:A74,C66:C74)</f>
        <v>0.99851692124327662</v>
      </c>
      <c r="H68" s="6">
        <v>1.75</v>
      </c>
      <c r="I68" s="7">
        <v>217.5</v>
      </c>
      <c r="J68">
        <f t="shared" si="13"/>
        <v>54998.439424930199</v>
      </c>
      <c r="L68" s="2" t="s">
        <v>10</v>
      </c>
      <c r="M68">
        <f>RSQ(H66:H77,J66:J77)</f>
        <v>0.99918719156442848</v>
      </c>
      <c r="O68" s="6">
        <v>1.25</v>
      </c>
      <c r="P68" s="7">
        <v>223.5</v>
      </c>
      <c r="Q68">
        <f t="shared" si="14"/>
        <v>66483.67570877797</v>
      </c>
      <c r="S68" s="2" t="s">
        <v>10</v>
      </c>
      <c r="T68">
        <f>RSQ(O66:O75,Q66:Q75)</f>
        <v>0.99848045990828582</v>
      </c>
    </row>
    <row r="69" spans="1:20" x14ac:dyDescent="0.6">
      <c r="A69" s="6">
        <v>1.77</v>
      </c>
      <c r="B69" s="7">
        <v>226.9</v>
      </c>
      <c r="C69">
        <f t="shared" si="12"/>
        <v>79380.524262259234</v>
      </c>
      <c r="E69" s="2" t="s">
        <v>11</v>
      </c>
      <c r="F69">
        <f>INTERCEPT(A66:A74,C66:C74)</f>
        <v>2.096512932375072E-2</v>
      </c>
      <c r="H69" s="6">
        <v>2</v>
      </c>
      <c r="I69" s="7">
        <v>222.4</v>
      </c>
      <c r="J69">
        <f t="shared" si="13"/>
        <v>67948.714684590406</v>
      </c>
      <c r="L69" s="2" t="s">
        <v>11</v>
      </c>
      <c r="M69">
        <f>INTERCEPT(H66:H77,J66:J77)</f>
        <v>0.55548345179922309</v>
      </c>
      <c r="O69" s="6">
        <v>1.5</v>
      </c>
      <c r="P69" s="7">
        <v>226.9</v>
      </c>
      <c r="Q69">
        <f t="shared" si="14"/>
        <v>77559.56066405958</v>
      </c>
      <c r="S69" s="2" t="s">
        <v>11</v>
      </c>
      <c r="T69">
        <f>INTERCEPT(O66:O75,Q66:Q75)</f>
        <v>-0.14782333839979644</v>
      </c>
    </row>
    <row r="70" spans="1:20" x14ac:dyDescent="0.6">
      <c r="A70" s="6">
        <v>2.0099999999999998</v>
      </c>
      <c r="B70" s="7">
        <v>230.8</v>
      </c>
      <c r="C70">
        <f t="shared" si="12"/>
        <v>94252.527981030638</v>
      </c>
      <c r="H70" s="6">
        <v>2.25</v>
      </c>
      <c r="I70" s="7">
        <v>226</v>
      </c>
      <c r="J70">
        <f t="shared" si="13"/>
        <v>79778.540832148428</v>
      </c>
      <c r="O70" s="6">
        <v>1.76</v>
      </c>
      <c r="P70" s="7">
        <v>230.3</v>
      </c>
      <c r="Q70">
        <f t="shared" si="14"/>
        <v>90514.847018633154</v>
      </c>
    </row>
    <row r="71" spans="1:20" x14ac:dyDescent="0.6">
      <c r="A71" s="6">
        <v>2.25</v>
      </c>
      <c r="B71" s="7">
        <v>232.6</v>
      </c>
      <c r="C71">
        <f t="shared" si="12"/>
        <v>103100.57531238331</v>
      </c>
      <c r="E71" s="3" t="s">
        <v>12</v>
      </c>
      <c r="F71" s="1">
        <f>F69*(1000/F66)*$B$2</f>
        <v>2.096512932375072E-2</v>
      </c>
      <c r="H71" s="6">
        <v>2.5</v>
      </c>
      <c r="I71" s="7">
        <v>228.8</v>
      </c>
      <c r="J71">
        <f t="shared" si="13"/>
        <v>90763.244679394455</v>
      </c>
      <c r="L71" s="3" t="s">
        <v>12</v>
      </c>
      <c r="M71" s="1">
        <f>M69*(1000/M66)*$B$2</f>
        <v>0.55548345179922309</v>
      </c>
      <c r="O71" s="6">
        <v>2</v>
      </c>
      <c r="P71" s="7">
        <v>232.4</v>
      </c>
      <c r="Q71">
        <f t="shared" si="14"/>
        <v>100214.65738651693</v>
      </c>
      <c r="S71" s="3" t="s">
        <v>12</v>
      </c>
      <c r="T71" s="1">
        <f>T69*(1000/T66)*$B$2</f>
        <v>-0.14782333839979644</v>
      </c>
    </row>
    <row r="72" spans="1:20" x14ac:dyDescent="0.6">
      <c r="A72" s="6">
        <v>2.5</v>
      </c>
      <c r="B72" s="7">
        <v>234.4</v>
      </c>
      <c r="C72">
        <f t="shared" si="12"/>
        <v>112826.21343387189</v>
      </c>
      <c r="E72" s="2"/>
      <c r="F72" s="2"/>
      <c r="H72" s="6">
        <v>2.75</v>
      </c>
      <c r="I72" s="7">
        <v>231.6</v>
      </c>
      <c r="J72">
        <f t="shared" si="13"/>
        <v>103219.12775295314</v>
      </c>
      <c r="L72" s="2"/>
      <c r="M72" s="2"/>
      <c r="O72" s="6">
        <v>2.25</v>
      </c>
      <c r="P72" s="7">
        <v>234.7</v>
      </c>
      <c r="Q72">
        <f t="shared" si="14"/>
        <v>111866.12349433874</v>
      </c>
      <c r="S72" s="2"/>
      <c r="T72" s="2"/>
    </row>
    <row r="73" spans="1:20" x14ac:dyDescent="0.6">
      <c r="A73" s="6">
        <v>2.76</v>
      </c>
      <c r="B73" s="7">
        <v>236.3</v>
      </c>
      <c r="C73">
        <f t="shared" si="12"/>
        <v>123997.57002204091</v>
      </c>
      <c r="E73" s="9"/>
      <c r="F73" s="2"/>
      <c r="H73" s="6">
        <v>3.01</v>
      </c>
      <c r="I73" s="7">
        <v>233.9</v>
      </c>
      <c r="J73">
        <f t="shared" si="13"/>
        <v>115170.1139581538</v>
      </c>
      <c r="L73" s="9"/>
      <c r="M73" s="2"/>
      <c r="O73" s="6">
        <v>2.5</v>
      </c>
      <c r="P73" s="7">
        <v>237.8</v>
      </c>
      <c r="Q73">
        <f t="shared" si="14"/>
        <v>128761.19926901357</v>
      </c>
      <c r="S73" s="9"/>
      <c r="T73" s="2"/>
    </row>
    <row r="74" spans="1:20" x14ac:dyDescent="0.6">
      <c r="A74" s="6">
        <v>3</v>
      </c>
      <c r="B74" s="7">
        <v>238.3</v>
      </c>
      <c r="C74">
        <f t="shared" si="12"/>
        <v>136538.72789823051</v>
      </c>
      <c r="H74" s="6">
        <v>3.25</v>
      </c>
      <c r="I74" s="7">
        <v>235.9</v>
      </c>
      <c r="J74">
        <f t="shared" si="13"/>
        <v>126773.47012318774</v>
      </c>
      <c r="O74" s="6">
        <v>2.75</v>
      </c>
      <c r="P74" s="7">
        <v>238.7</v>
      </c>
      <c r="Q74">
        <f t="shared" si="14"/>
        <v>136010.57754402049</v>
      </c>
    </row>
    <row r="75" spans="1:20" x14ac:dyDescent="0.6">
      <c r="A75" s="6">
        <v>3.26</v>
      </c>
      <c r="B75" s="7">
        <v>240.8</v>
      </c>
      <c r="C75">
        <f t="shared" si="12"/>
        <v>153477.07865543076</v>
      </c>
      <c r="H75" s="6">
        <v>3.5</v>
      </c>
      <c r="I75" s="7">
        <v>237.7</v>
      </c>
      <c r="J75">
        <f t="shared" si="13"/>
        <v>138522.80223697974</v>
      </c>
      <c r="O75" s="6">
        <v>3</v>
      </c>
      <c r="P75" s="7">
        <v>240.4</v>
      </c>
      <c r="Q75">
        <f t="shared" si="14"/>
        <v>148147.16746773425</v>
      </c>
    </row>
    <row r="76" spans="1:20" x14ac:dyDescent="0.6">
      <c r="H76" s="6">
        <v>3.76</v>
      </c>
      <c r="I76" s="7">
        <v>238.9</v>
      </c>
      <c r="J76">
        <f t="shared" si="13"/>
        <v>147929.88985966175</v>
      </c>
      <c r="O76" s="6"/>
      <c r="P76" s="7"/>
    </row>
    <row r="77" spans="1:20" x14ac:dyDescent="0.6">
      <c r="H77" s="6">
        <v>4</v>
      </c>
      <c r="I77" s="7">
        <v>240.8</v>
      </c>
      <c r="J77">
        <f t="shared" si="13"/>
        <v>162042.16449291332</v>
      </c>
      <c r="O77" s="6"/>
      <c r="P77" s="7"/>
    </row>
    <row r="79" spans="1:20" x14ac:dyDescent="0.6">
      <c r="A79" s="1" t="s">
        <v>3</v>
      </c>
      <c r="B79" s="7">
        <v>5</v>
      </c>
      <c r="C79" s="8">
        <v>45376</v>
      </c>
      <c r="E79" t="s">
        <v>4</v>
      </c>
      <c r="F79" s="2"/>
      <c r="H79" s="1" t="s">
        <v>3</v>
      </c>
      <c r="I79" s="7" t="s">
        <v>40</v>
      </c>
      <c r="J79" s="8">
        <v>45376</v>
      </c>
      <c r="L79" t="s">
        <v>4</v>
      </c>
      <c r="M79" s="2"/>
      <c r="O79" s="1" t="s">
        <v>3</v>
      </c>
      <c r="P79" s="7">
        <v>6</v>
      </c>
      <c r="Q79" s="8">
        <v>45376</v>
      </c>
      <c r="S79" t="s">
        <v>4</v>
      </c>
      <c r="T79" s="2"/>
    </row>
    <row r="80" spans="1:20" x14ac:dyDescent="0.6">
      <c r="A80" s="1"/>
      <c r="E80">
        <v>0.01</v>
      </c>
      <c r="F80" s="2"/>
      <c r="H80" s="1"/>
      <c r="L80">
        <v>0.01</v>
      </c>
      <c r="M80" s="2"/>
      <c r="O80" s="1"/>
      <c r="S80">
        <v>0.01</v>
      </c>
      <c r="T80" s="2"/>
    </row>
    <row r="81" spans="1:20" x14ac:dyDescent="0.6">
      <c r="A81" t="s">
        <v>5</v>
      </c>
      <c r="B81" t="s">
        <v>6</v>
      </c>
      <c r="C81" t="s">
        <v>7</v>
      </c>
      <c r="E81" s="2"/>
      <c r="F81" s="2"/>
      <c r="H81" t="s">
        <v>5</v>
      </c>
      <c r="I81" t="s">
        <v>6</v>
      </c>
      <c r="J81" t="s">
        <v>7</v>
      </c>
      <c r="L81" s="2"/>
      <c r="M81" s="2"/>
      <c r="O81" t="s">
        <v>5</v>
      </c>
      <c r="P81" t="s">
        <v>6</v>
      </c>
      <c r="Q81" t="s">
        <v>7</v>
      </c>
      <c r="S81" s="2"/>
      <c r="T81" s="2"/>
    </row>
    <row r="82" spans="1:20" x14ac:dyDescent="0.6">
      <c r="A82" s="6">
        <v>0.5</v>
      </c>
      <c r="B82">
        <v>199</v>
      </c>
      <c r="C82">
        <f>(A82+$F$22)*10^(B82/59.2*$B$1)</f>
        <v>23950.484267550215</v>
      </c>
      <c r="E82" s="2" t="s">
        <v>8</v>
      </c>
      <c r="F82">
        <v>10</v>
      </c>
      <c r="H82" s="6">
        <v>0.5</v>
      </c>
      <c r="I82">
        <v>198.4</v>
      </c>
      <c r="J82">
        <f>(H82+$F$22)*10^(I82/59.2*$B$1)</f>
        <v>23398.569067338198</v>
      </c>
      <c r="L82" s="2" t="s">
        <v>8</v>
      </c>
      <c r="M82">
        <v>10</v>
      </c>
      <c r="O82" s="6">
        <v>0.5</v>
      </c>
      <c r="P82">
        <v>199.9</v>
      </c>
      <c r="Q82">
        <f>(O82+$F$22)*10^(P82/59.2*$B$1)</f>
        <v>24802.862122861363</v>
      </c>
      <c r="S82" s="2" t="s">
        <v>8</v>
      </c>
      <c r="T82">
        <v>10</v>
      </c>
    </row>
    <row r="83" spans="1:20" x14ac:dyDescent="0.6">
      <c r="A83">
        <v>1</v>
      </c>
      <c r="B83">
        <v>214.7</v>
      </c>
      <c r="C83">
        <f t="shared" ref="C83:C91" si="15">(A83+$F$22)*10^(B83/59.2*$B$1)</f>
        <v>46180.133616279585</v>
      </c>
      <c r="E83" s="2" t="s">
        <v>9</v>
      </c>
      <c r="F83">
        <f>$B$1</f>
        <v>0.999</v>
      </c>
      <c r="H83">
        <v>1.03</v>
      </c>
      <c r="I83">
        <v>215</v>
      </c>
      <c r="J83">
        <f t="shared" ref="J83:J91" si="16">(H83+$F$22)*10^(I83/59.2*$B$1)</f>
        <v>46849.020194867808</v>
      </c>
      <c r="L83" s="2" t="s">
        <v>9</v>
      </c>
      <c r="M83">
        <f>$B$1</f>
        <v>0.999</v>
      </c>
      <c r="O83">
        <v>1.01</v>
      </c>
      <c r="P83">
        <v>214.8</v>
      </c>
      <c r="Q83">
        <f t="shared" ref="Q83:Q92" si="17">(O83+$F$22)*10^(P83/59.2*$B$1)</f>
        <v>46402.066161460098</v>
      </c>
      <c r="S83" s="2" t="s">
        <v>9</v>
      </c>
      <c r="T83">
        <f>$B$1</f>
        <v>0.999</v>
      </c>
    </row>
    <row r="84" spans="1:20" x14ac:dyDescent="0.6">
      <c r="A84" s="6">
        <v>1.5</v>
      </c>
      <c r="B84" s="7">
        <v>222.6</v>
      </c>
      <c r="C84">
        <f t="shared" si="15"/>
        <v>65625.532494618281</v>
      </c>
      <c r="E84" s="2" t="s">
        <v>10</v>
      </c>
      <c r="F84">
        <f>RSQ(A82:A91,C82:C91)</f>
        <v>0.99247559767210092</v>
      </c>
      <c r="H84" s="6">
        <v>1.25</v>
      </c>
      <c r="I84" s="7">
        <v>219.2</v>
      </c>
      <c r="J84">
        <f t="shared" si="16"/>
        <v>56253.885184910054</v>
      </c>
      <c r="L84" s="2" t="s">
        <v>10</v>
      </c>
      <c r="M84">
        <f>RSQ(H82:H91,J82:J91)</f>
        <v>0.99604488211636699</v>
      </c>
      <c r="O84" s="6">
        <v>1.25</v>
      </c>
      <c r="P84" s="7">
        <v>220.1</v>
      </c>
      <c r="Q84">
        <f t="shared" si="17"/>
        <v>58255.914265875173</v>
      </c>
      <c r="S84" s="2" t="s">
        <v>10</v>
      </c>
      <c r="T84">
        <f>RSQ(O82:O91,Q82:Q91)</f>
        <v>0.99075200619804726</v>
      </c>
    </row>
    <row r="85" spans="1:20" x14ac:dyDescent="0.6">
      <c r="A85" s="6">
        <v>1.75</v>
      </c>
      <c r="B85" s="7">
        <v>225.6</v>
      </c>
      <c r="C85">
        <f t="shared" si="15"/>
        <v>75342.125248756391</v>
      </c>
      <c r="E85" s="2" t="s">
        <v>11</v>
      </c>
      <c r="F85">
        <f>INTERCEPT(A82:A91,C82:C91)</f>
        <v>3.1902791656253093E-2</v>
      </c>
      <c r="H85" s="6">
        <v>1.52</v>
      </c>
      <c r="I85" s="7">
        <v>224</v>
      </c>
      <c r="J85">
        <f t="shared" si="16"/>
        <v>69414.864315766099</v>
      </c>
      <c r="L85" s="2" t="s">
        <v>11</v>
      </c>
      <c r="M85">
        <f>INTERCEPT(H82:H91,J82:J91)</f>
        <v>0.10368951904373191</v>
      </c>
      <c r="O85" s="6">
        <v>1.5</v>
      </c>
      <c r="P85" s="7">
        <v>222.2</v>
      </c>
      <c r="Q85">
        <f t="shared" si="17"/>
        <v>64613.436576780572</v>
      </c>
      <c r="S85" s="2" t="s">
        <v>11</v>
      </c>
      <c r="T85">
        <f>INTERCEPT(O82:O92,Q82:Q92)</f>
        <v>5.5841417107415747E-2</v>
      </c>
    </row>
    <row r="86" spans="1:20" x14ac:dyDescent="0.6">
      <c r="A86" s="6">
        <v>2</v>
      </c>
      <c r="B86" s="7">
        <v>229.6</v>
      </c>
      <c r="C86">
        <f t="shared" si="15"/>
        <v>89883.763021290855</v>
      </c>
      <c r="H86" s="6">
        <v>1.75</v>
      </c>
      <c r="I86" s="7">
        <v>227.3</v>
      </c>
      <c r="J86">
        <f t="shared" si="16"/>
        <v>80486.930764417499</v>
      </c>
      <c r="O86" s="6">
        <v>1.76</v>
      </c>
      <c r="P86" s="7">
        <v>225.1</v>
      </c>
      <c r="Q86">
        <f t="shared" si="17"/>
        <v>73955.38831440841</v>
      </c>
    </row>
    <row r="87" spans="1:20" x14ac:dyDescent="0.6">
      <c r="A87" s="6">
        <v>2.25</v>
      </c>
      <c r="B87" s="7">
        <v>231.7</v>
      </c>
      <c r="C87">
        <f t="shared" si="15"/>
        <v>99557.409736136658</v>
      </c>
      <c r="E87" s="3" t="s">
        <v>12</v>
      </c>
      <c r="F87" s="1">
        <f>F85*(1000/F82)*$B$2</f>
        <v>3.1902791656253093E-2</v>
      </c>
      <c r="H87" s="6">
        <v>2</v>
      </c>
      <c r="I87" s="7">
        <v>230.8</v>
      </c>
      <c r="J87">
        <f t="shared" si="16"/>
        <v>94174.049606358676</v>
      </c>
      <c r="L87" s="3" t="s">
        <v>12</v>
      </c>
      <c r="M87" s="1">
        <f>M85*(1000/M82)*$B$2</f>
        <v>0.10368951904373191</v>
      </c>
      <c r="O87" s="6">
        <v>2</v>
      </c>
      <c r="P87" s="7">
        <v>228.2</v>
      </c>
      <c r="Q87">
        <f t="shared" si="17"/>
        <v>85124.827734383012</v>
      </c>
      <c r="S87" s="3" t="s">
        <v>12</v>
      </c>
      <c r="T87" s="1">
        <f>T85*(1000/T82)*$B$2</f>
        <v>5.5841417107415747E-2</v>
      </c>
    </row>
    <row r="88" spans="1:20" x14ac:dyDescent="0.6">
      <c r="A88" s="6">
        <v>2.5</v>
      </c>
      <c r="B88" s="7">
        <v>232.6</v>
      </c>
      <c r="C88">
        <f t="shared" si="15"/>
        <v>105204.66868610542</v>
      </c>
      <c r="E88" s="2"/>
      <c r="F88" s="2"/>
      <c r="H88" s="6">
        <v>2.2599999999999998</v>
      </c>
      <c r="I88" s="7">
        <v>233.7</v>
      </c>
      <c r="J88">
        <f t="shared" si="16"/>
        <v>107690.64303098121</v>
      </c>
      <c r="L88" s="2"/>
      <c r="M88" s="2"/>
      <c r="O88" s="6">
        <v>2.2599999999999998</v>
      </c>
      <c r="P88" s="7">
        <v>231</v>
      </c>
      <c r="Q88">
        <f t="shared" si="17"/>
        <v>96965.104577307153</v>
      </c>
      <c r="S88" s="2"/>
      <c r="T88" s="2"/>
    </row>
    <row r="89" spans="1:20" x14ac:dyDescent="0.6">
      <c r="A89" s="6">
        <v>2.76</v>
      </c>
      <c r="B89" s="7">
        <v>235.6</v>
      </c>
      <c r="C89">
        <f t="shared" si="15"/>
        <v>120670.37833966658</v>
      </c>
      <c r="E89" s="9"/>
      <c r="F89" s="2"/>
      <c r="H89" s="6">
        <v>2.56</v>
      </c>
      <c r="I89" s="7">
        <v>236</v>
      </c>
      <c r="J89">
        <f t="shared" si="16"/>
        <v>120639.5307893735</v>
      </c>
      <c r="L89" s="9"/>
      <c r="M89" s="2"/>
      <c r="O89" s="6">
        <v>2.5</v>
      </c>
      <c r="P89" s="7">
        <v>233.5</v>
      </c>
      <c r="Q89">
        <f t="shared" si="17"/>
        <v>108948.81552095144</v>
      </c>
      <c r="S89" s="9"/>
      <c r="T89" s="2"/>
    </row>
    <row r="90" spans="1:20" x14ac:dyDescent="0.6">
      <c r="A90" s="6">
        <v>3</v>
      </c>
      <c r="B90" s="7">
        <v>238.1</v>
      </c>
      <c r="C90">
        <f t="shared" si="15"/>
        <v>135481.76702454171</v>
      </c>
      <c r="H90" s="6">
        <v>2.74</v>
      </c>
      <c r="I90" s="7">
        <v>237.6</v>
      </c>
      <c r="J90">
        <f t="shared" si="16"/>
        <v>130217.52242044927</v>
      </c>
      <c r="O90" s="6">
        <v>2.76</v>
      </c>
      <c r="P90" s="7">
        <v>236.8</v>
      </c>
      <c r="Q90">
        <f t="shared" si="17"/>
        <v>126430.15616831735</v>
      </c>
    </row>
    <row r="91" spans="1:20" x14ac:dyDescent="0.6">
      <c r="A91" s="6">
        <v>3.25</v>
      </c>
      <c r="B91" s="7">
        <v>240.5</v>
      </c>
      <c r="C91">
        <f t="shared" si="15"/>
        <v>151584.00531404649</v>
      </c>
      <c r="H91" s="6">
        <f>H90+0.25</f>
        <v>2.99</v>
      </c>
      <c r="I91" s="7">
        <v>240.7</v>
      </c>
      <c r="J91">
        <f t="shared" si="16"/>
        <v>149768.90379738453</v>
      </c>
      <c r="O91" s="6">
        <v>3</v>
      </c>
      <c r="P91" s="7">
        <v>238.6</v>
      </c>
      <c r="Q91">
        <f t="shared" si="17"/>
        <v>138139.65031595112</v>
      </c>
    </row>
    <row r="92" spans="1:20" x14ac:dyDescent="0.6">
      <c r="O92" s="6">
        <v>3.26</v>
      </c>
      <c r="P92" s="7">
        <v>240.5</v>
      </c>
      <c r="Q92">
        <f t="shared" si="17"/>
        <v>151698.408336925</v>
      </c>
    </row>
    <row r="93" spans="1:20" x14ac:dyDescent="0.6">
      <c r="A93" s="1" t="s">
        <v>3</v>
      </c>
      <c r="B93" s="7" t="s">
        <v>41</v>
      </c>
      <c r="C93" s="8">
        <v>45376</v>
      </c>
      <c r="E93" t="s">
        <v>4</v>
      </c>
      <c r="F93" s="2"/>
      <c r="H93" s="1" t="s">
        <v>3</v>
      </c>
      <c r="I93" s="7">
        <v>7</v>
      </c>
      <c r="J93" s="8">
        <v>45376</v>
      </c>
      <c r="L93" t="s">
        <v>4</v>
      </c>
      <c r="M93" s="2"/>
    </row>
    <row r="94" spans="1:20" x14ac:dyDescent="0.6">
      <c r="A94" s="1"/>
      <c r="E94">
        <v>0.01</v>
      </c>
      <c r="F94" s="2"/>
      <c r="H94" s="1"/>
      <c r="L94">
        <v>0.01</v>
      </c>
      <c r="M94" s="2"/>
      <c r="O94" s="1" t="s">
        <v>3</v>
      </c>
      <c r="P94" s="7">
        <v>9</v>
      </c>
      <c r="Q94" s="8">
        <v>45376</v>
      </c>
      <c r="S94" t="s">
        <v>4</v>
      </c>
      <c r="T94" s="2"/>
    </row>
    <row r="95" spans="1:20" x14ac:dyDescent="0.6">
      <c r="A95" t="s">
        <v>5</v>
      </c>
      <c r="B95" t="s">
        <v>6</v>
      </c>
      <c r="C95" t="s">
        <v>7</v>
      </c>
      <c r="E95" s="2"/>
      <c r="F95" s="2"/>
      <c r="H95" t="s">
        <v>5</v>
      </c>
      <c r="I95" t="s">
        <v>6</v>
      </c>
      <c r="J95" t="s">
        <v>7</v>
      </c>
      <c r="L95" s="2"/>
      <c r="M95" s="2"/>
      <c r="O95" s="1"/>
      <c r="S95">
        <v>0.01</v>
      </c>
      <c r="T95" s="2"/>
    </row>
    <row r="96" spans="1:20" x14ac:dyDescent="0.6">
      <c r="A96" s="6">
        <v>0.5</v>
      </c>
      <c r="B96">
        <v>196.2</v>
      </c>
      <c r="C96">
        <f>(A96+$F$22)*10^(B96/59.2*$B$1)</f>
        <v>21481.484927366291</v>
      </c>
      <c r="E96" s="2" t="s">
        <v>8</v>
      </c>
      <c r="F96">
        <v>10</v>
      </c>
      <c r="H96" s="6">
        <v>0.78</v>
      </c>
      <c r="I96">
        <v>211.7</v>
      </c>
      <c r="J96">
        <f>(H96+$F$22)*10^(I96/59.2*$B$1)</f>
        <v>40276.920784256836</v>
      </c>
      <c r="L96" s="2" t="s">
        <v>8</v>
      </c>
      <c r="M96">
        <v>10</v>
      </c>
      <c r="O96" t="s">
        <v>5</v>
      </c>
      <c r="P96" t="s">
        <v>6</v>
      </c>
      <c r="Q96" t="s">
        <v>7</v>
      </c>
      <c r="S96" s="2"/>
      <c r="T96" s="2"/>
    </row>
    <row r="97" spans="1:20" x14ac:dyDescent="0.6">
      <c r="A97">
        <v>0.75</v>
      </c>
      <c r="B97">
        <v>209</v>
      </c>
      <c r="C97">
        <f t="shared" ref="C97:C106" si="18">(A97+$F$22)*10^(B97/59.2*$B$1)</f>
        <v>36164.58320597242</v>
      </c>
      <c r="E97" s="2" t="s">
        <v>9</v>
      </c>
      <c r="F97">
        <f>$B$1</f>
        <v>0.999</v>
      </c>
      <c r="H97">
        <v>1.25</v>
      </c>
      <c r="I97">
        <v>220.9</v>
      </c>
      <c r="J97">
        <f t="shared" ref="J97:J106" si="19">(H97+$F$22)*10^(I97/59.2*$B$1)</f>
        <v>60095.232874813031</v>
      </c>
      <c r="L97" s="2" t="s">
        <v>9</v>
      </c>
      <c r="M97">
        <f>$B$1</f>
        <v>0.999</v>
      </c>
      <c r="O97" s="6">
        <v>1</v>
      </c>
      <c r="P97">
        <v>215.9</v>
      </c>
      <c r="Q97">
        <f>(O97+$F$22)*10^(P97/59.2*$B$1)</f>
        <v>48384.38053575527</v>
      </c>
      <c r="S97" s="2" t="s">
        <v>8</v>
      </c>
      <c r="T97">
        <v>10</v>
      </c>
    </row>
    <row r="98" spans="1:20" x14ac:dyDescent="0.6">
      <c r="A98" s="6">
        <v>1.26</v>
      </c>
      <c r="B98" s="7">
        <v>218.6</v>
      </c>
      <c r="C98">
        <f t="shared" si="18"/>
        <v>55006.421262656826</v>
      </c>
      <c r="E98" s="2" t="s">
        <v>10</v>
      </c>
      <c r="F98">
        <f>RSQ(A96:A105,C96:C105)</f>
        <v>0.99892961460515084</v>
      </c>
      <c r="H98" s="6">
        <v>1.51</v>
      </c>
      <c r="I98" s="7">
        <v>222</v>
      </c>
      <c r="J98">
        <f t="shared" si="19"/>
        <v>64169.007722460206</v>
      </c>
      <c r="L98" s="2" t="s">
        <v>10</v>
      </c>
      <c r="M98">
        <f>RSQ(H96:H106,J96:J106)</f>
        <v>0.98878903828175591</v>
      </c>
      <c r="O98">
        <v>1.25</v>
      </c>
      <c r="P98">
        <v>220</v>
      </c>
      <c r="Q98">
        <f t="shared" ref="Q98:Q107" si="20">(O98+$F$22)*10^(P98/59.2*$B$1)</f>
        <v>58029.993570634389</v>
      </c>
      <c r="S98" s="2" t="s">
        <v>9</v>
      </c>
      <c r="T98">
        <f>$B$1</f>
        <v>0.999</v>
      </c>
    </row>
    <row r="99" spans="1:20" x14ac:dyDescent="0.6">
      <c r="A99" s="6">
        <v>1.53</v>
      </c>
      <c r="B99" s="7">
        <v>223.6</v>
      </c>
      <c r="C99">
        <f t="shared" si="18"/>
        <v>68403.654901856338</v>
      </c>
      <c r="E99" s="2" t="s">
        <v>11</v>
      </c>
      <c r="F99">
        <f>INTERCEPT(A96:A105,C96:C105)</f>
        <v>2.9459044476231266E-2</v>
      </c>
      <c r="H99" s="6">
        <v>1.75</v>
      </c>
      <c r="I99" s="7">
        <v>226.8</v>
      </c>
      <c r="J99">
        <f t="shared" si="19"/>
        <v>78938.317690862837</v>
      </c>
      <c r="L99" s="2" t="s">
        <v>11</v>
      </c>
      <c r="M99">
        <f>INTERCEPT(H96:H106,J96:J106)</f>
        <v>-4.044362009471536E-2</v>
      </c>
      <c r="O99" s="6">
        <v>1.5</v>
      </c>
      <c r="P99" s="7">
        <v>223.2</v>
      </c>
      <c r="Q99">
        <f t="shared" si="20"/>
        <v>67173.478815675422</v>
      </c>
      <c r="S99" s="2" t="s">
        <v>10</v>
      </c>
      <c r="T99">
        <f>RSQ(O97:O106,Q97:Q106)</f>
        <v>0.9991646112628918</v>
      </c>
    </row>
    <row r="100" spans="1:20" x14ac:dyDescent="0.6">
      <c r="A100" s="6">
        <v>1.76</v>
      </c>
      <c r="B100" s="7">
        <v>226.8</v>
      </c>
      <c r="C100">
        <f t="shared" si="18"/>
        <v>79005.499237833777</v>
      </c>
      <c r="H100" s="6">
        <v>2</v>
      </c>
      <c r="I100" s="7">
        <v>226.8</v>
      </c>
      <c r="J100">
        <f t="shared" si="19"/>
        <v>80617.856365136511</v>
      </c>
      <c r="O100" s="6">
        <v>2.0099999999999998</v>
      </c>
      <c r="P100" s="7">
        <v>228.4</v>
      </c>
      <c r="Q100">
        <f t="shared" si="20"/>
        <v>85860.419769333341</v>
      </c>
      <c r="S100" s="2" t="s">
        <v>11</v>
      </c>
      <c r="T100">
        <f>INTERCEPT(O97:O106,Q97:Q106)</f>
        <v>-0.23331552385140064</v>
      </c>
    </row>
    <row r="101" spans="1:20" x14ac:dyDescent="0.6">
      <c r="A101" s="6">
        <v>2.0099999999999998</v>
      </c>
      <c r="B101" s="7">
        <v>230.1</v>
      </c>
      <c r="C101">
        <f t="shared" si="18"/>
        <v>91723.476588446938</v>
      </c>
      <c r="E101" s="3" t="s">
        <v>12</v>
      </c>
      <c r="F101" s="1">
        <f>F99*(1000/F96)*$B$2</f>
        <v>2.9459044476231266E-2</v>
      </c>
      <c r="H101" s="6">
        <v>2.25</v>
      </c>
      <c r="I101" s="7">
        <v>230.3</v>
      </c>
      <c r="J101">
        <f t="shared" si="19"/>
        <v>94286.298977742874</v>
      </c>
      <c r="L101" s="3" t="s">
        <v>12</v>
      </c>
      <c r="M101" s="1">
        <f>M99*(1000/M96)*$B$2</f>
        <v>-4.044362009471536E-2</v>
      </c>
      <c r="O101" s="6">
        <v>2.25</v>
      </c>
      <c r="P101" s="7">
        <v>231.4</v>
      </c>
      <c r="Q101">
        <f t="shared" si="20"/>
        <v>98403.623051920833</v>
      </c>
    </row>
    <row r="102" spans="1:20" x14ac:dyDescent="0.6">
      <c r="A102" s="6">
        <v>2.25</v>
      </c>
      <c r="B102" s="7">
        <v>232.3</v>
      </c>
      <c r="C102">
        <f t="shared" si="18"/>
        <v>101905.72631776088</v>
      </c>
      <c r="E102" s="2"/>
      <c r="F102" s="2"/>
      <c r="H102" s="6">
        <v>2.5</v>
      </c>
      <c r="I102" s="7">
        <v>232.9</v>
      </c>
      <c r="J102">
        <f t="shared" si="19"/>
        <v>106438.19792093168</v>
      </c>
      <c r="L102" s="2"/>
      <c r="M102" s="2"/>
      <c r="O102" s="6">
        <v>2.5</v>
      </c>
      <c r="P102" s="7">
        <v>233.2</v>
      </c>
      <c r="Q102">
        <f t="shared" si="20"/>
        <v>107686.19033873406</v>
      </c>
      <c r="S102" s="3" t="s">
        <v>12</v>
      </c>
      <c r="T102" s="1">
        <f>T100*(1000/T97)*$B$2</f>
        <v>-0.23331552385140064</v>
      </c>
    </row>
    <row r="103" spans="1:20" x14ac:dyDescent="0.6">
      <c r="A103" s="6">
        <v>2.75</v>
      </c>
      <c r="B103" s="7">
        <v>236.6</v>
      </c>
      <c r="C103">
        <f t="shared" si="18"/>
        <v>125353.13064698885</v>
      </c>
      <c r="E103" s="9"/>
      <c r="F103" s="2"/>
      <c r="H103" s="6">
        <v>2.75</v>
      </c>
      <c r="I103" s="7">
        <v>236.2</v>
      </c>
      <c r="J103">
        <f t="shared" si="19"/>
        <v>123419.89845833731</v>
      </c>
      <c r="L103" s="9"/>
      <c r="M103" s="2"/>
      <c r="O103" s="6">
        <v>2.75</v>
      </c>
      <c r="P103" s="7">
        <v>234.4</v>
      </c>
      <c r="Q103">
        <f t="shared" si="20"/>
        <v>115082.73770254932</v>
      </c>
      <c r="S103" s="2"/>
      <c r="T103" s="2"/>
    </row>
    <row r="104" spans="1:20" x14ac:dyDescent="0.6">
      <c r="A104" s="6">
        <v>3.06</v>
      </c>
      <c r="B104" s="7">
        <v>238.6</v>
      </c>
      <c r="C104">
        <f t="shared" si="18"/>
        <v>138777.21793279398</v>
      </c>
      <c r="H104" s="6">
        <v>3</v>
      </c>
      <c r="I104" s="7">
        <v>237.5</v>
      </c>
      <c r="J104">
        <f t="shared" si="19"/>
        <v>132359.72382336386</v>
      </c>
      <c r="O104" s="6">
        <v>3</v>
      </c>
      <c r="P104" s="7">
        <v>236.3</v>
      </c>
      <c r="Q104">
        <f t="shared" si="20"/>
        <v>126329.81271838024</v>
      </c>
      <c r="S104" s="9"/>
      <c r="T104" s="2"/>
    </row>
    <row r="105" spans="1:20" x14ac:dyDescent="0.6">
      <c r="A105" s="6">
        <v>3.25</v>
      </c>
      <c r="B105" s="7">
        <v>240.3</v>
      </c>
      <c r="C105">
        <f t="shared" si="18"/>
        <v>150410.57734119028</v>
      </c>
      <c r="H105" s="6">
        <v>3.25</v>
      </c>
      <c r="I105" s="7">
        <v>239.2</v>
      </c>
      <c r="J105">
        <f t="shared" si="19"/>
        <v>144117.2207361077</v>
      </c>
      <c r="O105" s="6">
        <v>3.25</v>
      </c>
      <c r="P105" s="7">
        <v>237.6</v>
      </c>
      <c r="Q105">
        <f t="shared" si="20"/>
        <v>135430.31177950965</v>
      </c>
    </row>
    <row r="106" spans="1:20" x14ac:dyDescent="0.6">
      <c r="A106" s="6"/>
      <c r="B106" s="7"/>
      <c r="C106">
        <f t="shared" si="18"/>
        <v>10</v>
      </c>
      <c r="H106" s="6">
        <v>3.5</v>
      </c>
      <c r="I106" s="7">
        <v>240.4</v>
      </c>
      <c r="J106">
        <f t="shared" si="19"/>
        <v>153845.13544726247</v>
      </c>
      <c r="O106" s="6">
        <v>3.5</v>
      </c>
      <c r="P106" s="7">
        <v>239</v>
      </c>
      <c r="Q106">
        <f t="shared" si="20"/>
        <v>145699.73722193815</v>
      </c>
    </row>
    <row r="107" spans="1:20" x14ac:dyDescent="0.6">
      <c r="O107" s="6"/>
      <c r="P107" s="7"/>
    </row>
    <row r="108" spans="1:20" x14ac:dyDescent="0.6">
      <c r="A108" s="1" t="s">
        <v>3</v>
      </c>
      <c r="B108" s="7">
        <v>13</v>
      </c>
      <c r="C108" s="8">
        <v>45376</v>
      </c>
      <c r="E108" t="s">
        <v>4</v>
      </c>
      <c r="F108" s="2"/>
      <c r="H108" s="1" t="s">
        <v>3</v>
      </c>
      <c r="I108" s="7">
        <v>15</v>
      </c>
      <c r="J108" s="8">
        <v>45376</v>
      </c>
      <c r="L108" t="s">
        <v>4</v>
      </c>
      <c r="M108" s="2"/>
      <c r="O108" s="1" t="s">
        <v>3</v>
      </c>
      <c r="P108" s="7">
        <v>9</v>
      </c>
      <c r="Q108" s="8">
        <v>45376</v>
      </c>
      <c r="S108" t="s">
        <v>4</v>
      </c>
      <c r="T108" s="2"/>
    </row>
    <row r="109" spans="1:20" x14ac:dyDescent="0.6">
      <c r="A109" s="1"/>
      <c r="E109">
        <v>0.01</v>
      </c>
      <c r="F109" s="2"/>
      <c r="H109" s="1"/>
      <c r="L109">
        <v>0.01</v>
      </c>
      <c r="M109" s="2"/>
      <c r="O109" s="1"/>
      <c r="S109">
        <v>0.01</v>
      </c>
      <c r="T109" s="2"/>
    </row>
    <row r="110" spans="1:20" x14ac:dyDescent="0.6">
      <c r="A110" t="s">
        <v>5</v>
      </c>
      <c r="B110" t="s">
        <v>6</v>
      </c>
      <c r="C110" t="s">
        <v>7</v>
      </c>
      <c r="E110" s="2"/>
      <c r="F110" s="2"/>
      <c r="H110" t="s">
        <v>5</v>
      </c>
      <c r="I110" t="s">
        <v>6</v>
      </c>
      <c r="J110" t="s">
        <v>7</v>
      </c>
      <c r="L110" s="2"/>
      <c r="M110" s="2"/>
      <c r="O110" t="s">
        <v>5</v>
      </c>
      <c r="P110" t="s">
        <v>6</v>
      </c>
      <c r="Q110" t="s">
        <v>7</v>
      </c>
      <c r="S110" s="2"/>
      <c r="T110" s="2"/>
    </row>
    <row r="111" spans="1:20" x14ac:dyDescent="0.6">
      <c r="A111" s="6">
        <v>2</v>
      </c>
      <c r="B111">
        <v>138.69999999999999</v>
      </c>
      <c r="C111">
        <f>(A111+$F$22)*10^(B111/59.2*$B$1)</f>
        <v>2628.71646917211</v>
      </c>
      <c r="E111" s="2" t="s">
        <v>8</v>
      </c>
      <c r="F111">
        <v>10</v>
      </c>
      <c r="H111" s="6">
        <v>0.5</v>
      </c>
      <c r="I111">
        <v>205.8</v>
      </c>
      <c r="J111">
        <f>(H111+$F$22)*10^(I111/59.2*$B$1)</f>
        <v>31193.513826064591</v>
      </c>
      <c r="L111" s="2" t="s">
        <v>8</v>
      </c>
      <c r="M111">
        <v>10</v>
      </c>
      <c r="O111" s="6">
        <v>0.56000000000000005</v>
      </c>
      <c r="P111">
        <v>211.8</v>
      </c>
      <c r="Q111">
        <f>(O111+$F$22)*10^(P111/59.2*$B$1)</f>
        <v>39608.547653074325</v>
      </c>
      <c r="S111" s="2" t="s">
        <v>8</v>
      </c>
      <c r="T111">
        <v>10</v>
      </c>
    </row>
    <row r="112" spans="1:20" x14ac:dyDescent="0.6">
      <c r="A112">
        <v>2.5099999999999998</v>
      </c>
      <c r="B112">
        <v>206.5</v>
      </c>
      <c r="C112">
        <f t="shared" ref="C112:C122" si="21">(A112+$F$22)*10^(B112/59.2*$B$1)</f>
        <v>38189.573630199426</v>
      </c>
      <c r="E112" s="2" t="s">
        <v>9</v>
      </c>
      <c r="F112">
        <f>$B$1</f>
        <v>0.999</v>
      </c>
      <c r="H112">
        <v>1</v>
      </c>
      <c r="I112">
        <v>218.7</v>
      </c>
      <c r="J112">
        <f t="shared" ref="J112:J121" si="22">(H112+$F$22)*10^(I112/59.2*$B$1)</f>
        <v>53945.495329351397</v>
      </c>
      <c r="L112" s="2" t="s">
        <v>9</v>
      </c>
      <c r="M112">
        <f>$B$1</f>
        <v>0.999</v>
      </c>
      <c r="O112">
        <v>0.75</v>
      </c>
      <c r="P112">
        <v>216.4</v>
      </c>
      <c r="Q112">
        <f t="shared" ref="Q112:Q120" si="23">(O112+$F$22)*10^(P112/59.2*$B$1)</f>
        <v>48212.368158190788</v>
      </c>
      <c r="S112" s="2" t="s">
        <v>9</v>
      </c>
      <c r="T112">
        <f>$B$1</f>
        <v>0.999</v>
      </c>
    </row>
    <row r="113" spans="1:20" x14ac:dyDescent="0.6">
      <c r="A113" s="6">
        <v>3</v>
      </c>
      <c r="B113" s="7">
        <v>220.2</v>
      </c>
      <c r="C113">
        <f t="shared" si="21"/>
        <v>67580.025654893732</v>
      </c>
      <c r="E113" s="2" t="s">
        <v>10</v>
      </c>
      <c r="F113">
        <f>RSQ(A111:A120,C111:C120)</f>
        <v>0.98272427714636412</v>
      </c>
      <c r="H113" s="6">
        <v>1.25</v>
      </c>
      <c r="I113" s="7">
        <v>223.1</v>
      </c>
      <c r="J113">
        <f t="shared" si="22"/>
        <v>65458.345258419839</v>
      </c>
      <c r="L113" s="2" t="s">
        <v>10</v>
      </c>
      <c r="M113">
        <f>RSQ(H111:H120,J111:J120)</f>
        <v>0.9989637575879502</v>
      </c>
      <c r="O113" s="6">
        <v>1</v>
      </c>
      <c r="P113" s="7">
        <v>222</v>
      </c>
      <c r="Q113">
        <f t="shared" si="23"/>
        <v>61325.724148311238</v>
      </c>
      <c r="S113" s="2" t="s">
        <v>10</v>
      </c>
      <c r="T113">
        <f>RSQ(O111:O120,Q111:Q120)</f>
        <v>0.99954724177363186</v>
      </c>
    </row>
    <row r="114" spans="1:20" x14ac:dyDescent="0.6">
      <c r="A114" s="6">
        <v>3.25</v>
      </c>
      <c r="B114" s="7">
        <v>223.5</v>
      </c>
      <c r="C114">
        <f t="shared" si="21"/>
        <v>78302.995834782952</v>
      </c>
      <c r="E114" s="2" t="s">
        <v>11</v>
      </c>
      <c r="F114">
        <f>INTERCEPT(A111:A120,C111:C120)</f>
        <v>1.7464635815074052</v>
      </c>
      <c r="H114" s="6">
        <v>1.5</v>
      </c>
      <c r="I114" s="7">
        <v>226.2</v>
      </c>
      <c r="J114">
        <f t="shared" si="22"/>
        <v>75478.426936324453</v>
      </c>
      <c r="L114" s="2" t="s">
        <v>11</v>
      </c>
      <c r="M114">
        <f>INTERCEPT(H111:H120,J111:J120)</f>
        <v>-0.21721712152407235</v>
      </c>
      <c r="O114" s="6">
        <v>1.25</v>
      </c>
      <c r="P114" s="7">
        <v>226</v>
      </c>
      <c r="Q114">
        <f t="shared" si="23"/>
        <v>73266.006886666932</v>
      </c>
      <c r="S114" s="2" t="s">
        <v>11</v>
      </c>
      <c r="T114">
        <f>INTERCEPT(O111:O120,Q111:Q120)</f>
        <v>-0.21792101352334958</v>
      </c>
    </row>
    <row r="115" spans="1:20" x14ac:dyDescent="0.6">
      <c r="A115" s="6">
        <v>3.5</v>
      </c>
      <c r="B115" s="7">
        <v>225.8</v>
      </c>
      <c r="C115">
        <f t="shared" si="21"/>
        <v>87238.616283899173</v>
      </c>
      <c r="H115" s="6">
        <v>1.75</v>
      </c>
      <c r="I115" s="7">
        <v>229.4</v>
      </c>
      <c r="J115">
        <f t="shared" si="22"/>
        <v>87329.880646080186</v>
      </c>
      <c r="O115" s="6">
        <v>1.5</v>
      </c>
      <c r="P115" s="7">
        <v>229.6</v>
      </c>
      <c r="Q115">
        <f t="shared" si="23"/>
        <v>86138.606228737073</v>
      </c>
    </row>
    <row r="116" spans="1:20" x14ac:dyDescent="0.6">
      <c r="A116" s="6">
        <v>3.75</v>
      </c>
      <c r="B116" s="7">
        <v>228.3</v>
      </c>
      <c r="C116">
        <f t="shared" si="21"/>
        <v>97918.600605345535</v>
      </c>
      <c r="E116" s="3" t="s">
        <v>12</v>
      </c>
      <c r="F116" s="1">
        <f>F114*(1000/F111)*$B$2</f>
        <v>1.7464635815074052</v>
      </c>
      <c r="H116" s="6">
        <v>2.0099999999999998</v>
      </c>
      <c r="I116" s="7">
        <v>231.4</v>
      </c>
      <c r="J116">
        <f t="shared" si="22"/>
        <v>96475.715334985245</v>
      </c>
      <c r="L116" s="3" t="s">
        <v>12</v>
      </c>
      <c r="M116" s="1">
        <f>M114*(1000/M111)*$B$2</f>
        <v>-0.21721712152407235</v>
      </c>
      <c r="O116" s="6">
        <v>1.75</v>
      </c>
      <c r="P116" s="7">
        <v>232.2</v>
      </c>
      <c r="Q116">
        <f t="shared" si="23"/>
        <v>97367.241583769806</v>
      </c>
      <c r="S116" s="3" t="s">
        <v>12</v>
      </c>
      <c r="T116" s="1">
        <f>T114*(1000/T111)*$B$2</f>
        <v>-0.21792101352334961</v>
      </c>
    </row>
    <row r="117" spans="1:20" x14ac:dyDescent="0.6">
      <c r="A117" s="6">
        <v>3.99</v>
      </c>
      <c r="B117" s="7">
        <v>230.2</v>
      </c>
      <c r="C117">
        <f t="shared" si="21"/>
        <v>107261.2155858054</v>
      </c>
      <c r="E117" s="2"/>
      <c r="F117" s="2"/>
      <c r="H117" s="6">
        <v>2.25</v>
      </c>
      <c r="I117" s="7">
        <v>233.5</v>
      </c>
      <c r="J117">
        <f t="shared" si="22"/>
        <v>106769.83921053242</v>
      </c>
      <c r="L117" s="2"/>
      <c r="M117" s="2"/>
      <c r="O117" s="6">
        <v>2</v>
      </c>
      <c r="P117" s="7">
        <v>235.2</v>
      </c>
      <c r="Q117">
        <f t="shared" si="23"/>
        <v>111732.94505613968</v>
      </c>
      <c r="S117" s="2"/>
      <c r="T117" s="2"/>
    </row>
    <row r="118" spans="1:20" x14ac:dyDescent="0.6">
      <c r="A118" s="6">
        <v>4.26</v>
      </c>
      <c r="B118" s="7">
        <v>232.1</v>
      </c>
      <c r="C118">
        <f t="shared" si="21"/>
        <v>117708.2832116683</v>
      </c>
      <c r="E118" s="9"/>
      <c r="F118" s="2"/>
      <c r="H118" s="6">
        <v>2.5</v>
      </c>
      <c r="I118" s="7">
        <v>235.9</v>
      </c>
      <c r="J118">
        <f t="shared" si="22"/>
        <v>119597.61332376202</v>
      </c>
      <c r="L118" s="9"/>
      <c r="M118" s="2"/>
      <c r="O118" s="6">
        <v>2.25</v>
      </c>
      <c r="P118" s="7">
        <v>237.4</v>
      </c>
      <c r="Q118">
        <f t="shared" si="23"/>
        <v>124239.89872443116</v>
      </c>
      <c r="S118" s="9"/>
      <c r="T118" s="2"/>
    </row>
    <row r="119" spans="1:20" x14ac:dyDescent="0.6">
      <c r="A119" s="6">
        <v>4.51</v>
      </c>
      <c r="B119" s="7">
        <v>234.1</v>
      </c>
      <c r="C119">
        <f t="shared" si="21"/>
        <v>129450.85178653094</v>
      </c>
      <c r="H119" s="6">
        <v>2.76</v>
      </c>
      <c r="I119" s="7">
        <v>238.1</v>
      </c>
      <c r="J119">
        <f t="shared" si="22"/>
        <v>132980.56517178094</v>
      </c>
      <c r="O119" s="6"/>
      <c r="P119" s="7"/>
      <c r="Q119">
        <f t="shared" si="23"/>
        <v>10</v>
      </c>
    </row>
    <row r="120" spans="1:20" x14ac:dyDescent="0.6">
      <c r="A120" s="6">
        <v>4.75</v>
      </c>
      <c r="B120" s="7">
        <v>235</v>
      </c>
      <c r="C120">
        <f t="shared" si="21"/>
        <v>136275.26032063836</v>
      </c>
      <c r="H120" s="6">
        <v>3</v>
      </c>
      <c r="I120" s="7">
        <v>239.1</v>
      </c>
      <c r="J120">
        <f t="shared" si="22"/>
        <v>140849.67600073098</v>
      </c>
      <c r="O120" s="6"/>
      <c r="P120" s="7"/>
      <c r="Q120">
        <f t="shared" si="23"/>
        <v>10</v>
      </c>
    </row>
    <row r="121" spans="1:20" x14ac:dyDescent="0.6">
      <c r="A121" s="6">
        <v>5.01</v>
      </c>
      <c r="B121" s="7">
        <v>236.8</v>
      </c>
      <c r="C121">
        <f t="shared" si="21"/>
        <v>148723.87492840466</v>
      </c>
      <c r="H121" s="6">
        <v>3.25</v>
      </c>
      <c r="I121" s="7">
        <v>240.9</v>
      </c>
      <c r="J121">
        <f t="shared" si="22"/>
        <v>153958.39617012683</v>
      </c>
    </row>
    <row r="122" spans="1:20" x14ac:dyDescent="0.6">
      <c r="A122" s="6">
        <v>5.27</v>
      </c>
      <c r="B122" s="7">
        <v>238.2</v>
      </c>
      <c r="C122">
        <f t="shared" si="21"/>
        <v>159758.52311621603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selection activeCell="L2" sqref="L2:L3"/>
    </sheetView>
  </sheetViews>
  <sheetFormatPr defaultColWidth="8.86328125" defaultRowHeight="13" x14ac:dyDescent="0.6"/>
  <cols>
    <col min="1" max="1" width="9.7265625" bestFit="1" customWidth="1"/>
    <col min="2" max="2" width="17.7265625" bestFit="1" customWidth="1"/>
    <col min="3" max="3" width="23" bestFit="1" customWidth="1"/>
    <col min="4" max="4" width="20.54296875" bestFit="1" customWidth="1"/>
    <col min="9" max="9" width="12" bestFit="1" customWidth="1"/>
  </cols>
  <sheetData>
    <row r="1" spans="1:9" x14ac:dyDescent="0.6">
      <c r="A1" t="s">
        <v>18</v>
      </c>
      <c r="B1" s="7" t="s">
        <v>13</v>
      </c>
      <c r="C1" t="s">
        <v>15</v>
      </c>
      <c r="D1" t="s">
        <v>16</v>
      </c>
      <c r="H1" t="s">
        <v>14</v>
      </c>
      <c r="I1">
        <v>1.0028999999999999</v>
      </c>
    </row>
    <row r="2" spans="1:9" x14ac:dyDescent="0.6">
      <c r="A2">
        <v>1</v>
      </c>
      <c r="B2">
        <v>0.25</v>
      </c>
      <c r="C2">
        <v>0.22600000000000001</v>
      </c>
      <c r="D2">
        <f>C2*$I$1</f>
        <v>0.22665539999999998</v>
      </c>
      <c r="E2">
        <f>(C2-$I$2)</f>
        <v>-1.9165799937499922E-2</v>
      </c>
      <c r="H2" t="s">
        <v>17</v>
      </c>
      <c r="I2">
        <f>AVERAGE(D2:D5)*$I$1</f>
        <v>0.24516579993749993</v>
      </c>
    </row>
    <row r="3" spans="1:9" x14ac:dyDescent="0.6">
      <c r="A3">
        <v>2</v>
      </c>
      <c r="B3">
        <v>0.25</v>
      </c>
      <c r="C3">
        <v>0.26700000000000002</v>
      </c>
      <c r="D3">
        <f t="shared" ref="D3:D5" si="0">C3*$I$1</f>
        <v>0.26777429999999997</v>
      </c>
      <c r="E3">
        <f t="shared" ref="E3:E5" si="1">(C3-$I$2)</f>
        <v>2.1834200062500086E-2</v>
      </c>
      <c r="H3" t="s">
        <v>19</v>
      </c>
      <c r="I3">
        <f>(($I$2-B2)/B2)*100</f>
        <v>-1.9336800250000286</v>
      </c>
    </row>
    <row r="4" spans="1:9" x14ac:dyDescent="0.6">
      <c r="A4">
        <v>3</v>
      </c>
      <c r="B4">
        <v>0.25</v>
      </c>
      <c r="C4" s="7">
        <v>0.23599999999999999</v>
      </c>
      <c r="D4">
        <f t="shared" si="0"/>
        <v>0.23668439999999996</v>
      </c>
      <c r="E4">
        <f t="shared" si="1"/>
        <v>-9.165799937499941E-3</v>
      </c>
      <c r="F4" s="7"/>
      <c r="H4" t="s">
        <v>20</v>
      </c>
      <c r="I4">
        <f>SQRT(SUM(E2:E5)^2/3)</f>
        <v>3.2696499001369532E-3</v>
      </c>
    </row>
    <row r="5" spans="1:9" x14ac:dyDescent="0.6">
      <c r="A5">
        <v>4</v>
      </c>
      <c r="B5">
        <v>0.25</v>
      </c>
      <c r="C5" s="7">
        <v>0.246</v>
      </c>
      <c r="D5">
        <f t="shared" si="0"/>
        <v>0.24671339999999997</v>
      </c>
      <c r="E5">
        <f t="shared" si="1"/>
        <v>8.3420006250006784E-4</v>
      </c>
      <c r="H5" t="s">
        <v>21</v>
      </c>
      <c r="I5">
        <f>(100*I4/I2)</f>
        <v>1.3336484538098237</v>
      </c>
    </row>
    <row r="6" spans="1:9" x14ac:dyDescent="0.6">
      <c r="D6">
        <f>AVERAGE(D2:D5)-B2</f>
        <v>-5.5431250000000376E-3</v>
      </c>
    </row>
    <row r="12" spans="1:9" x14ac:dyDescent="0.6">
      <c r="A12" t="s">
        <v>18</v>
      </c>
      <c r="B12" s="7" t="s">
        <v>13</v>
      </c>
      <c r="C12" t="s">
        <v>15</v>
      </c>
      <c r="D12" t="s">
        <v>16</v>
      </c>
      <c r="H12" t="s">
        <v>17</v>
      </c>
      <c r="I12">
        <f>AVERAGE(D13:D16)*$I$1</f>
        <v>0.48077641997999992</v>
      </c>
    </row>
    <row r="13" spans="1:9" x14ac:dyDescent="0.6">
      <c r="A13">
        <v>1</v>
      </c>
      <c r="B13">
        <v>0.5</v>
      </c>
      <c r="C13">
        <v>0.48</v>
      </c>
      <c r="D13">
        <f>C13*$I$1</f>
        <v>0.48139199999999993</v>
      </c>
      <c r="E13">
        <f>(C13-$I$12)</f>
        <v>-7.7641997999994272E-4</v>
      </c>
      <c r="H13" t="s">
        <v>19</v>
      </c>
      <c r="I13">
        <f>(($I$12-B13)/B13)*100</f>
        <v>-3.844716004000015</v>
      </c>
    </row>
    <row r="14" spans="1:9" x14ac:dyDescent="0.6">
      <c r="A14">
        <v>2</v>
      </c>
      <c r="B14">
        <v>0.5</v>
      </c>
      <c r="C14">
        <v>0.47299999999999998</v>
      </c>
      <c r="D14">
        <f t="shared" ref="D14:D16" si="2">C14*$I$1</f>
        <v>0.47437169999999995</v>
      </c>
      <c r="E14">
        <f t="shared" ref="E14:E16" si="3">(C14-$I$12)</f>
        <v>-7.7764199799999489E-3</v>
      </c>
      <c r="H14" t="s">
        <v>20</v>
      </c>
      <c r="I14">
        <f>SQRT(SUM(E13:E16)^2/3)</f>
        <v>6.4118672913456931E-3</v>
      </c>
    </row>
    <row r="15" spans="1:9" x14ac:dyDescent="0.6">
      <c r="A15">
        <v>3</v>
      </c>
      <c r="B15">
        <v>0.5</v>
      </c>
      <c r="C15" s="7">
        <v>0.47</v>
      </c>
      <c r="D15">
        <f t="shared" si="2"/>
        <v>0.47136299999999992</v>
      </c>
      <c r="E15">
        <f t="shared" si="3"/>
        <v>-1.0776419979999952E-2</v>
      </c>
      <c r="F15" s="7"/>
      <c r="H15" t="s">
        <v>21</v>
      </c>
      <c r="I15">
        <f>(100*I14/I12)</f>
        <v>1.3336484538098652</v>
      </c>
    </row>
    <row r="16" spans="1:9" x14ac:dyDescent="0.6">
      <c r="A16">
        <v>4</v>
      </c>
      <c r="B16">
        <v>0.5</v>
      </c>
      <c r="C16" s="7">
        <v>0.48899999999999999</v>
      </c>
      <c r="D16">
        <f t="shared" si="2"/>
        <v>0.49041809999999997</v>
      </c>
      <c r="E16">
        <f t="shared" si="3"/>
        <v>8.2235800200000653E-3</v>
      </c>
    </row>
    <row r="17" spans="1:9" x14ac:dyDescent="0.6">
      <c r="D17">
        <f>AVERAGE(D13:D16)-B13</f>
        <v>-2.0613800000000015E-2</v>
      </c>
    </row>
    <row r="18" spans="1:9" x14ac:dyDescent="0.6">
      <c r="A18" t="s">
        <v>18</v>
      </c>
      <c r="B18" s="7" t="s">
        <v>13</v>
      </c>
      <c r="C18" t="s">
        <v>15</v>
      </c>
      <c r="D18" t="s">
        <v>16</v>
      </c>
      <c r="H18" t="s">
        <v>17</v>
      </c>
      <c r="I18">
        <f>AVERAGE(D19:D22)*$I$1</f>
        <v>0.72644512412249984</v>
      </c>
    </row>
    <row r="19" spans="1:9" x14ac:dyDescent="0.6">
      <c r="A19">
        <v>1</v>
      </c>
      <c r="B19">
        <v>0.75</v>
      </c>
      <c r="C19">
        <v>0.70799999999999996</v>
      </c>
      <c r="D19">
        <f>C19*$I$1</f>
        <v>0.71005319999999994</v>
      </c>
      <c r="E19">
        <f>(C19-$I$18)</f>
        <v>-1.8445124122499879E-2</v>
      </c>
      <c r="H19" t="s">
        <v>19</v>
      </c>
      <c r="I19">
        <f>(($I$18-B19)/B19)*100</f>
        <v>-3.1406501170000212</v>
      </c>
    </row>
    <row r="20" spans="1:9" x14ac:dyDescent="0.6">
      <c r="A20">
        <v>2</v>
      </c>
      <c r="B20">
        <v>0.75</v>
      </c>
      <c r="C20">
        <v>0.71</v>
      </c>
      <c r="D20">
        <f t="shared" ref="D20:D22" si="4">C20*$I$1</f>
        <v>0.71205899999999989</v>
      </c>
      <c r="E20">
        <f t="shared" ref="E20:E22" si="5">(C20-$I$18)</f>
        <v>-1.6445124122499877E-2</v>
      </c>
      <c r="H20" t="s">
        <v>20</v>
      </c>
      <c r="I20">
        <f>SQRT(SUM(E19:E22)^2/3)</f>
        <v>9.68822416563676E-3</v>
      </c>
    </row>
    <row r="21" spans="1:9" x14ac:dyDescent="0.6">
      <c r="A21">
        <v>3</v>
      </c>
      <c r="B21">
        <v>0.75</v>
      </c>
      <c r="C21" s="7">
        <v>0.73299999999999998</v>
      </c>
      <c r="D21">
        <f t="shared" si="4"/>
        <v>0.73512569999999988</v>
      </c>
      <c r="E21">
        <f t="shared" si="5"/>
        <v>6.5548758775001437E-3</v>
      </c>
      <c r="F21" s="7"/>
      <c r="H21" t="s">
        <v>21</v>
      </c>
      <c r="I21">
        <f>(100*I20/I18)</f>
        <v>1.3336484538098492</v>
      </c>
    </row>
    <row r="22" spans="1:9" x14ac:dyDescent="0.6">
      <c r="A22">
        <v>4</v>
      </c>
      <c r="B22">
        <v>0.75</v>
      </c>
      <c r="C22" s="7">
        <v>0.73799999999999999</v>
      </c>
      <c r="D22">
        <f t="shared" si="4"/>
        <v>0.74014019999999991</v>
      </c>
      <c r="E22">
        <f t="shared" si="5"/>
        <v>1.1554875877500148E-2</v>
      </c>
    </row>
    <row r="23" spans="1:9" x14ac:dyDescent="0.6">
      <c r="D23">
        <f>AVERAGE(D19:D22)-B19</f>
        <v>-2.5655475000000094E-2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AB6E-4F3E-45BF-AB22-6295A93AE3C6}">
  <dimension ref="A1:G6"/>
  <sheetViews>
    <sheetView workbookViewId="0">
      <selection activeCell="F6" sqref="F6"/>
    </sheetView>
  </sheetViews>
  <sheetFormatPr defaultRowHeight="13" x14ac:dyDescent="0.6"/>
  <sheetData>
    <row r="1" spans="1:7" x14ac:dyDescent="0.6">
      <c r="A1" t="s">
        <v>23</v>
      </c>
      <c r="B1" t="s">
        <v>22</v>
      </c>
      <c r="C1" t="s">
        <v>6</v>
      </c>
      <c r="E1" t="s">
        <v>25</v>
      </c>
      <c r="F1" t="s">
        <v>22</v>
      </c>
      <c r="G1" t="s">
        <v>26</v>
      </c>
    </row>
    <row r="2" spans="1:7" x14ac:dyDescent="0.6">
      <c r="A2">
        <v>3</v>
      </c>
      <c r="B2">
        <v>3</v>
      </c>
      <c r="F2">
        <v>6.8</v>
      </c>
      <c r="G2">
        <v>0</v>
      </c>
    </row>
    <row r="3" spans="1:7" x14ac:dyDescent="0.6">
      <c r="A3">
        <v>7</v>
      </c>
      <c r="B3">
        <v>7</v>
      </c>
      <c r="F3">
        <v>6.68</v>
      </c>
      <c r="G3">
        <v>0.25</v>
      </c>
    </row>
    <row r="4" spans="1:7" x14ac:dyDescent="0.6">
      <c r="A4">
        <v>10</v>
      </c>
      <c r="B4">
        <v>10</v>
      </c>
      <c r="F4">
        <v>6.57</v>
      </c>
      <c r="G4">
        <v>0.5</v>
      </c>
    </row>
    <row r="5" spans="1:7" x14ac:dyDescent="0.6">
      <c r="G5">
        <v>0.75</v>
      </c>
    </row>
    <row r="6" spans="1:7" x14ac:dyDescent="0.6">
      <c r="F6">
        <v>6.35</v>
      </c>
      <c r="G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9A5D6410-338E-4DE6-9D2C-8169158E2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1EC04-8E8A-4FE9-B224-35ABA527B3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8471DD-5089-4DA8-B8AF-9A6D98F0C2D4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94b7f148-c09a-42e6-baca-973a9a7cd962"/>
    <ds:schemaRef ds:uri="http://purl.org/dc/terms/"/>
    <ds:schemaRef ds:uri="0ed78115-f4df-42b0-9376-ad3306022cc8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Alkalinity Calcs</vt:lpstr>
      <vt:lpstr>Titrator Calibration</vt:lpstr>
      <vt:lpstr>pH Calibration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Authorized Gateway Customer</dc:creator>
  <cp:keywords/>
  <dc:description/>
  <cp:lastModifiedBy>Howley,Samantha T</cp:lastModifiedBy>
  <cp:revision/>
  <dcterms:created xsi:type="dcterms:W3CDTF">2002-02-13T17:05:31Z</dcterms:created>
  <dcterms:modified xsi:type="dcterms:W3CDTF">2024-03-27T16:16:25Z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