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SpringsProject_Sam&amp;Paul\Depth_length_velocity_width\"/>
    </mc:Choice>
  </mc:AlternateContent>
  <xr:revisionPtr revIDLastSave="0" documentId="13_ncr:1_{A963144C-8130-47F3-92F2-B7986C48D45A}" xr6:coauthVersionLast="47" xr6:coauthVersionMax="47" xr10:uidLastSave="{00000000-0000-0000-0000-000000000000}"/>
  <bookViews>
    <workbookView xWindow="-120" yWindow="-120" windowWidth="25440" windowHeight="15270" xr2:uid="{A6BE7B11-93A5-4402-8C70-CF16D2657EB9}"/>
  </bookViews>
  <sheets>
    <sheet name="Ich" sheetId="1" r:id="rId1"/>
    <sheet name="sheet" sheetId="2" r:id="rId2"/>
    <sheet name="GB" sheetId="3" r:id="rId3"/>
    <sheet name="Sheet4" sheetId="4" r:id="rId4"/>
    <sheet name="Otter" sheetId="5" r:id="rId5"/>
    <sheet name="Sheet6" sheetId="6" r:id="rId6"/>
    <sheet name="Allen Mill" sheetId="10" r:id="rId7"/>
    <sheet name="Sheet3" sheetId="13" r:id="rId8"/>
    <sheet name="Little Fanning" sheetId="11" r:id="rId9"/>
    <sheet name="Sheet5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3" l="1"/>
  <c r="K26" i="13"/>
  <c r="J26" i="13"/>
  <c r="K24" i="4"/>
  <c r="K23" i="4"/>
  <c r="Q18" i="3" s="1"/>
  <c r="F22" i="2"/>
  <c r="J22" i="2" s="1"/>
  <c r="J23" i="2"/>
  <c r="F23" i="2"/>
  <c r="L7" i="10"/>
  <c r="L8" i="10"/>
  <c r="L9" i="10"/>
  <c r="L10" i="10"/>
  <c r="L11" i="10"/>
  <c r="L12" i="10"/>
  <c r="L14" i="10"/>
  <c r="L17" i="10"/>
  <c r="L18" i="10"/>
  <c r="K6" i="11"/>
  <c r="K7" i="11"/>
  <c r="K8" i="11"/>
  <c r="K9" i="11"/>
  <c r="K10" i="11"/>
  <c r="K11" i="11"/>
  <c r="K13" i="11"/>
  <c r="K14" i="11"/>
  <c r="K15" i="11"/>
  <c r="K16" i="11"/>
  <c r="K17" i="11"/>
  <c r="K18" i="11"/>
  <c r="K2" i="11"/>
  <c r="L13" i="1"/>
  <c r="L15" i="1"/>
  <c r="L16" i="1"/>
  <c r="L12" i="1"/>
  <c r="R37" i="3"/>
  <c r="R38" i="3"/>
  <c r="P17" i="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2" i="11"/>
  <c r="L3" i="3"/>
  <c r="L5" i="3"/>
  <c r="L6" i="3"/>
  <c r="L7" i="3"/>
  <c r="L8" i="3"/>
  <c r="L9" i="3"/>
  <c r="L10" i="3"/>
  <c r="L11" i="3"/>
  <c r="L12" i="3"/>
  <c r="L18" i="3"/>
  <c r="S4" i="3"/>
  <c r="L4" i="3"/>
  <c r="L45" i="10"/>
  <c r="L42" i="10"/>
  <c r="M31" i="10"/>
  <c r="M32" i="10"/>
  <c r="M33" i="10"/>
  <c r="M35" i="10"/>
  <c r="M36" i="10"/>
  <c r="M37" i="10"/>
  <c r="M38" i="10"/>
  <c r="M39" i="10"/>
  <c r="M40" i="10"/>
  <c r="M41" i="10"/>
  <c r="M42" i="10"/>
  <c r="M44" i="10"/>
  <c r="M45" i="10"/>
  <c r="M46" i="10"/>
  <c r="M47" i="10"/>
  <c r="M48" i="10"/>
  <c r="M49" i="10"/>
  <c r="M50" i="10"/>
  <c r="M51" i="10"/>
  <c r="L35" i="10"/>
  <c r="L37" i="10"/>
  <c r="L48" i="10"/>
  <c r="L50" i="10"/>
  <c r="L20" i="10"/>
  <c r="L5" i="10"/>
  <c r="L21" i="10"/>
  <c r="L22" i="10"/>
  <c r="O21" i="10"/>
  <c r="Q21" i="5"/>
  <c r="R15" i="10"/>
  <c r="R19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" i="10"/>
  <c r="N14" i="10"/>
  <c r="R14" i="10" s="1"/>
  <c r="N18" i="11"/>
  <c r="M18" i="11"/>
  <c r="M13" i="11"/>
  <c r="M14" i="11"/>
  <c r="N14" i="11" s="1"/>
  <c r="M15" i="11"/>
  <c r="N16" i="11"/>
  <c r="J22" i="12"/>
  <c r="I22" i="12"/>
  <c r="L22" i="12"/>
  <c r="N23" i="10"/>
  <c r="O23" i="10" s="1"/>
  <c r="J25" i="13"/>
  <c r="J22" i="13"/>
  <c r="J23" i="13"/>
  <c r="J24" i="13"/>
  <c r="L4" i="5"/>
  <c r="R39" i="3"/>
  <c r="R36" i="3"/>
  <c r="R40" i="3"/>
  <c r="R26" i="3"/>
  <c r="R28" i="3"/>
  <c r="R29" i="3"/>
  <c r="R30" i="3"/>
  <c r="R31" i="3"/>
  <c r="R32" i="3"/>
  <c r="R33" i="3"/>
  <c r="R34" i="3"/>
  <c r="R3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25" i="3"/>
  <c r="R17" i="3"/>
  <c r="Q16" i="3"/>
  <c r="R16" i="3" s="1"/>
  <c r="Q17" i="3"/>
  <c r="S17" i="3" s="1"/>
  <c r="N17" i="1"/>
  <c r="N17" i="11"/>
  <c r="M17" i="11"/>
  <c r="N22" i="10"/>
  <c r="R22" i="10" s="1"/>
  <c r="L8" i="12"/>
  <c r="N3" i="11" s="1"/>
  <c r="M2" i="11"/>
  <c r="N2" i="11"/>
  <c r="N21" i="10"/>
  <c r="R21" i="10" s="1"/>
  <c r="P16" i="5"/>
  <c r="O16" i="5"/>
  <c r="J21" i="2"/>
  <c r="I21" i="2"/>
  <c r="H21" i="2"/>
  <c r="H20" i="2"/>
  <c r="K23" i="13"/>
  <c r="N20" i="10" s="1"/>
  <c r="O20" i="10" s="1"/>
  <c r="K24" i="13"/>
  <c r="K22" i="4"/>
  <c r="L21" i="12"/>
  <c r="J21" i="12"/>
  <c r="I21" i="12"/>
  <c r="G21" i="12"/>
  <c r="K19" i="6"/>
  <c r="P15" i="5"/>
  <c r="M15" i="5"/>
  <c r="L15" i="5"/>
  <c r="N15" i="11"/>
  <c r="I20" i="12"/>
  <c r="L20" i="12"/>
  <c r="J20" i="12"/>
  <c r="G20" i="12"/>
  <c r="G19" i="12"/>
  <c r="J19" i="12" s="1"/>
  <c r="A15" i="5"/>
  <c r="O15" i="5"/>
  <c r="K18" i="6"/>
  <c r="A20" i="10"/>
  <c r="K21" i="4"/>
  <c r="J20" i="2"/>
  <c r="N16" i="1" s="1"/>
  <c r="O16" i="1" s="1"/>
  <c r="I20" i="2"/>
  <c r="S16" i="3"/>
  <c r="N19" i="10"/>
  <c r="O19" i="10" s="1"/>
  <c r="K22" i="13"/>
  <c r="K20" i="4"/>
  <c r="L6" i="5"/>
  <c r="P9" i="5"/>
  <c r="O9" i="5"/>
  <c r="K12" i="6"/>
  <c r="L9" i="5"/>
  <c r="M9" i="5"/>
  <c r="M3" i="5"/>
  <c r="M8" i="5"/>
  <c r="M10" i="5"/>
  <c r="M11" i="5"/>
  <c r="M12" i="5"/>
  <c r="M13" i="5"/>
  <c r="M14" i="5"/>
  <c r="L3" i="5"/>
  <c r="L7" i="5"/>
  <c r="L8" i="5"/>
  <c r="L10" i="5"/>
  <c r="L11" i="5"/>
  <c r="L12" i="5"/>
  <c r="L13" i="5"/>
  <c r="L14" i="5"/>
  <c r="L2" i="5"/>
  <c r="O14" i="5"/>
  <c r="P14" i="5" s="1"/>
  <c r="K17" i="6"/>
  <c r="O7" i="1"/>
  <c r="K9" i="6"/>
  <c r="K8" i="6"/>
  <c r="K7" i="6"/>
  <c r="J7" i="6"/>
  <c r="I4" i="6"/>
  <c r="J5" i="6"/>
  <c r="I2" i="6"/>
  <c r="O11" i="5"/>
  <c r="M1" i="11"/>
  <c r="N4" i="11"/>
  <c r="N5" i="11"/>
  <c r="N6" i="11"/>
  <c r="N7" i="11"/>
  <c r="N8" i="11"/>
  <c r="N9" i="11"/>
  <c r="N10" i="11"/>
  <c r="N11" i="11"/>
  <c r="N12" i="11"/>
  <c r="N13" i="11"/>
  <c r="N2" i="1"/>
  <c r="O2" i="1" s="1"/>
  <c r="N7" i="1"/>
  <c r="P7" i="1" s="1"/>
  <c r="N14" i="1"/>
  <c r="O14" i="1" s="1"/>
  <c r="L4" i="1"/>
  <c r="Q15" i="3"/>
  <c r="S15" i="3" s="1"/>
  <c r="R15" i="3"/>
  <c r="N18" i="10"/>
  <c r="O18" i="10" s="1"/>
  <c r="K21" i="13"/>
  <c r="J21" i="13"/>
  <c r="I21" i="13"/>
  <c r="G21" i="13"/>
  <c r="N15" i="1"/>
  <c r="O15" i="1" s="1"/>
  <c r="J19" i="2"/>
  <c r="I19" i="2"/>
  <c r="H19" i="2"/>
  <c r="K19" i="4"/>
  <c r="K18" i="4"/>
  <c r="Q14" i="3" s="1"/>
  <c r="L11" i="1"/>
  <c r="O13" i="5"/>
  <c r="P13" i="5" s="1"/>
  <c r="L18" i="12"/>
  <c r="J18" i="12"/>
  <c r="I18" i="12"/>
  <c r="G18" i="12"/>
  <c r="H13" i="11"/>
  <c r="E13" i="11"/>
  <c r="K16" i="6"/>
  <c r="J16" i="6"/>
  <c r="I16" i="6"/>
  <c r="F16" i="6"/>
  <c r="F15" i="10"/>
  <c r="F16" i="10"/>
  <c r="F17" i="10"/>
  <c r="I15" i="10"/>
  <c r="I16" i="10"/>
  <c r="I17" i="10"/>
  <c r="N17" i="10"/>
  <c r="O17" i="10" s="1"/>
  <c r="K20" i="13"/>
  <c r="J20" i="13"/>
  <c r="I20" i="13"/>
  <c r="I19" i="13"/>
  <c r="J18" i="2"/>
  <c r="I18" i="2"/>
  <c r="H18" i="2"/>
  <c r="M12" i="11"/>
  <c r="H3" i="11"/>
  <c r="H4" i="11"/>
  <c r="H5" i="11"/>
  <c r="H6" i="11"/>
  <c r="H7" i="11"/>
  <c r="H8" i="11"/>
  <c r="H9" i="11"/>
  <c r="H10" i="11"/>
  <c r="H11" i="11"/>
  <c r="H2" i="11"/>
  <c r="E3" i="11"/>
  <c r="E4" i="11"/>
  <c r="E5" i="11"/>
  <c r="E6" i="11"/>
  <c r="E7" i="11"/>
  <c r="E8" i="11"/>
  <c r="E9" i="11"/>
  <c r="E10" i="11"/>
  <c r="E11" i="11"/>
  <c r="E2" i="11"/>
  <c r="M6" i="11"/>
  <c r="M7" i="11"/>
  <c r="M8" i="11"/>
  <c r="M10" i="11"/>
  <c r="A2" i="11"/>
  <c r="A3" i="11"/>
  <c r="A4" i="11"/>
  <c r="A5" i="11"/>
  <c r="A6" i="11"/>
  <c r="A7" i="11"/>
  <c r="A8" i="11"/>
  <c r="A9" i="11"/>
  <c r="A10" i="11"/>
  <c r="A11" i="11"/>
  <c r="A12" i="11"/>
  <c r="I7" i="10"/>
  <c r="I5" i="10"/>
  <c r="I8" i="10"/>
  <c r="I9" i="10"/>
  <c r="I10" i="10"/>
  <c r="I11" i="10"/>
  <c r="I12" i="10"/>
  <c r="I13" i="10"/>
  <c r="I14" i="10"/>
  <c r="F5" i="10"/>
  <c r="F7" i="10"/>
  <c r="F8" i="10"/>
  <c r="F9" i="10"/>
  <c r="F10" i="10"/>
  <c r="F11" i="10"/>
  <c r="F12" i="10"/>
  <c r="F13" i="10"/>
  <c r="F14" i="10"/>
  <c r="N16" i="10"/>
  <c r="O16" i="10" s="1"/>
  <c r="K19" i="13"/>
  <c r="J19" i="13"/>
  <c r="F19" i="13"/>
  <c r="G19" i="13"/>
  <c r="S18" i="3" l="1"/>
  <c r="R41" i="3"/>
  <c r="R18" i="3"/>
  <c r="P2" i="1"/>
  <c r="P16" i="1"/>
  <c r="P15" i="1"/>
  <c r="P14" i="1"/>
  <c r="O14" i="10"/>
  <c r="O22" i="10"/>
  <c r="R20" i="10"/>
  <c r="R18" i="10"/>
  <c r="R17" i="10"/>
  <c r="R16" i="10"/>
  <c r="I19" i="12"/>
  <c r="L19" i="12" s="1"/>
  <c r="R14" i="3"/>
  <c r="S14" i="3"/>
  <c r="N3" i="10"/>
  <c r="O3" i="10" s="1"/>
  <c r="N4" i="10"/>
  <c r="N5" i="10"/>
  <c r="O5" i="10" s="1"/>
  <c r="N6" i="10"/>
  <c r="N7" i="10"/>
  <c r="O7" i="10" s="1"/>
  <c r="N8" i="10"/>
  <c r="N9" i="10"/>
  <c r="O9" i="10" s="1"/>
  <c r="N10" i="10"/>
  <c r="O10" i="10" s="1"/>
  <c r="N11" i="10"/>
  <c r="O11" i="10" s="1"/>
  <c r="N12" i="10"/>
  <c r="O12" i="10" s="1"/>
  <c r="N13" i="10"/>
  <c r="N2" i="10"/>
  <c r="R2" i="10" s="1"/>
  <c r="E14" i="6"/>
  <c r="F14" i="6"/>
  <c r="J15" i="6"/>
  <c r="I15" i="6"/>
  <c r="K15" i="6" s="1"/>
  <c r="O12" i="5" s="1"/>
  <c r="P12" i="5" s="1"/>
  <c r="F15" i="6"/>
  <c r="E15" i="6"/>
  <c r="G17" i="12"/>
  <c r="J17" i="12" s="1"/>
  <c r="R13" i="3"/>
  <c r="Q13" i="3"/>
  <c r="S13" i="3" s="1"/>
  <c r="K17" i="4"/>
  <c r="K16" i="4"/>
  <c r="N13" i="1"/>
  <c r="J17" i="2"/>
  <c r="I17" i="2"/>
  <c r="H17" i="2"/>
  <c r="F12" i="1"/>
  <c r="I12" i="1"/>
  <c r="I11" i="1"/>
  <c r="F11" i="1"/>
  <c r="K11" i="6"/>
  <c r="T1" i="5"/>
  <c r="F3" i="3"/>
  <c r="I3" i="3"/>
  <c r="Q3" i="3"/>
  <c r="S3" i="3" s="1"/>
  <c r="R3" i="3"/>
  <c r="K14" i="4"/>
  <c r="K2" i="4"/>
  <c r="K10" i="4"/>
  <c r="K9" i="4"/>
  <c r="K15" i="4"/>
  <c r="P13" i="1" l="1"/>
  <c r="O13" i="1"/>
  <c r="O8" i="10"/>
  <c r="R8" i="10"/>
  <c r="R13" i="10"/>
  <c r="O13" i="10"/>
  <c r="R4" i="10"/>
  <c r="O4" i="10"/>
  <c r="I17" i="12"/>
  <c r="L17" i="12" s="1"/>
  <c r="J10" i="2"/>
  <c r="J2" i="2"/>
  <c r="O10" i="5" l="1"/>
  <c r="P10" i="5" s="1"/>
  <c r="I11" i="5"/>
  <c r="F11" i="5"/>
  <c r="F10" i="5"/>
  <c r="I10" i="5"/>
  <c r="K14" i="6"/>
  <c r="P11" i="5" s="1"/>
  <c r="K13" i="6"/>
  <c r="G16" i="12"/>
  <c r="L16" i="12" s="1"/>
  <c r="N12" i="1"/>
  <c r="N11" i="1"/>
  <c r="J16" i="2"/>
  <c r="I16" i="2"/>
  <c r="I15" i="2"/>
  <c r="H16" i="2"/>
  <c r="H15" i="2"/>
  <c r="P11" i="1" l="1"/>
  <c r="O11" i="1"/>
  <c r="P12" i="1"/>
  <c r="O12" i="1"/>
  <c r="Q12" i="3"/>
  <c r="Q11" i="3"/>
  <c r="F12" i="3"/>
  <c r="I12" i="3"/>
  <c r="F6" i="5"/>
  <c r="I6" i="5"/>
  <c r="O6" i="5"/>
  <c r="P6" i="5" s="1"/>
  <c r="I11" i="3"/>
  <c r="F11" i="3"/>
  <c r="F10" i="3"/>
  <c r="H15" i="12"/>
  <c r="L15" i="12" s="1"/>
  <c r="J15" i="2"/>
  <c r="K17" i="13"/>
  <c r="G16" i="13"/>
  <c r="K16" i="13" s="1"/>
  <c r="L16" i="13"/>
  <c r="G15" i="13"/>
  <c r="K15" i="13" s="1"/>
  <c r="K14" i="13"/>
  <c r="J11" i="13"/>
  <c r="I11" i="13"/>
  <c r="K11" i="13" s="1"/>
  <c r="I10" i="13"/>
  <c r="K10" i="13" s="1"/>
  <c r="I9" i="13"/>
  <c r="F9" i="13"/>
  <c r="J9" i="13" s="1"/>
  <c r="I8" i="13"/>
  <c r="K8" i="13" s="1"/>
  <c r="I7" i="13"/>
  <c r="K7" i="13" s="1"/>
  <c r="J6" i="13"/>
  <c r="I6" i="13"/>
  <c r="J4" i="13"/>
  <c r="K4" i="13" s="1"/>
  <c r="J3" i="13"/>
  <c r="K3" i="13" s="1"/>
  <c r="J2" i="13"/>
  <c r="K2" i="13" s="1"/>
  <c r="R11" i="3" l="1"/>
  <c r="S11" i="3"/>
  <c r="R12" i="3"/>
  <c r="S12" i="3"/>
  <c r="K6" i="13"/>
  <c r="K9" i="13"/>
  <c r="J13" i="6" l="1"/>
  <c r="I13" i="6"/>
  <c r="O7" i="5"/>
  <c r="P7" i="5" s="1"/>
  <c r="O8" i="5"/>
  <c r="P8" i="5" s="1"/>
  <c r="O5" i="5"/>
  <c r="P5" i="5" s="1"/>
  <c r="O4" i="5"/>
  <c r="P4" i="5" s="1"/>
  <c r="O2" i="5"/>
  <c r="P2" i="5" s="1"/>
  <c r="O3" i="5"/>
  <c r="P3" i="5" s="1"/>
  <c r="Z2" i="10"/>
  <c r="Z1" i="10"/>
  <c r="X1" i="10"/>
  <c r="L8" i="1"/>
  <c r="K2" i="6"/>
  <c r="K3" i="6"/>
  <c r="K5" i="6"/>
  <c r="K6" i="6"/>
  <c r="K10" i="6"/>
  <c r="G12" i="6"/>
  <c r="I10" i="6"/>
  <c r="G10" i="6"/>
  <c r="J9" i="6"/>
  <c r="I9" i="6"/>
  <c r="H8" i="6"/>
  <c r="J8" i="6" s="1"/>
  <c r="G8" i="6"/>
  <c r="G11" i="6" s="1"/>
  <c r="I7" i="6"/>
  <c r="H7" i="6"/>
  <c r="G7" i="6"/>
  <c r="I6" i="6"/>
  <c r="E6" i="6"/>
  <c r="I5" i="6"/>
  <c r="J3" i="6"/>
  <c r="I3" i="6"/>
  <c r="J2" i="6"/>
  <c r="M2" i="5"/>
  <c r="I3" i="5"/>
  <c r="I4" i="5"/>
  <c r="I5" i="5"/>
  <c r="I7" i="5"/>
  <c r="I8" i="5"/>
  <c r="I2" i="5"/>
  <c r="F3" i="5"/>
  <c r="F4" i="5"/>
  <c r="F5" i="5"/>
  <c r="F7" i="5"/>
  <c r="F8" i="5"/>
  <c r="F2" i="5"/>
  <c r="Q4" i="3"/>
  <c r="Q5" i="3"/>
  <c r="Q6" i="3"/>
  <c r="Q8" i="3"/>
  <c r="Q9" i="3"/>
  <c r="K13" i="4"/>
  <c r="K12" i="4"/>
  <c r="J11" i="4"/>
  <c r="H11" i="4"/>
  <c r="G11" i="4"/>
  <c r="I11" i="4" s="1"/>
  <c r="K11" i="4" s="1"/>
  <c r="J10" i="4"/>
  <c r="I10" i="4"/>
  <c r="J9" i="4"/>
  <c r="I9" i="4"/>
  <c r="I8" i="4"/>
  <c r="K8" i="4" s="1"/>
  <c r="I7" i="4"/>
  <c r="K7" i="4" s="1"/>
  <c r="J6" i="4"/>
  <c r="I6" i="4"/>
  <c r="K6" i="4" s="1"/>
  <c r="I5" i="4"/>
  <c r="K5" i="4" s="1"/>
  <c r="J4" i="4"/>
  <c r="I4" i="4"/>
  <c r="K4" i="4" s="1"/>
  <c r="J3" i="4"/>
  <c r="I3" i="4"/>
  <c r="K3" i="4" s="1"/>
  <c r="J2" i="4"/>
  <c r="I4" i="3"/>
  <c r="I5" i="3"/>
  <c r="I6" i="3"/>
  <c r="I7" i="3"/>
  <c r="I8" i="3"/>
  <c r="I9" i="3"/>
  <c r="I10" i="3"/>
  <c r="I2" i="3"/>
  <c r="F4" i="3"/>
  <c r="F5" i="3"/>
  <c r="F6" i="3"/>
  <c r="F7" i="3"/>
  <c r="F8" i="3"/>
  <c r="F9" i="3"/>
  <c r="F2" i="3"/>
  <c r="N3" i="1"/>
  <c r="N5" i="1"/>
  <c r="N6" i="1"/>
  <c r="N8" i="1"/>
  <c r="N9" i="1"/>
  <c r="N10" i="1"/>
  <c r="J14" i="2"/>
  <c r="J13" i="2"/>
  <c r="J12" i="2"/>
  <c r="I11" i="2"/>
  <c r="H11" i="2"/>
  <c r="J11" i="2" s="1"/>
  <c r="I10" i="2"/>
  <c r="H10" i="2"/>
  <c r="J9" i="2"/>
  <c r="H9" i="2"/>
  <c r="I8" i="2"/>
  <c r="H8" i="2"/>
  <c r="J8" i="2" s="1"/>
  <c r="I7" i="2"/>
  <c r="J7" i="2" s="1"/>
  <c r="H7" i="2"/>
  <c r="J6" i="2"/>
  <c r="I6" i="2"/>
  <c r="H6" i="2"/>
  <c r="H5" i="2"/>
  <c r="J5" i="2" s="1"/>
  <c r="J4" i="2"/>
  <c r="J3" i="2"/>
  <c r="L10" i="1"/>
  <c r="L7" i="1"/>
  <c r="L6" i="1"/>
  <c r="L5" i="1"/>
  <c r="L3" i="1"/>
  <c r="L2" i="1"/>
  <c r="I3" i="1"/>
  <c r="I5" i="1"/>
  <c r="I6" i="1"/>
  <c r="I7" i="1"/>
  <c r="I8" i="1"/>
  <c r="I9" i="1"/>
  <c r="I10" i="1"/>
  <c r="I2" i="1"/>
  <c r="F3" i="1"/>
  <c r="F5" i="1"/>
  <c r="F6" i="1"/>
  <c r="F7" i="1"/>
  <c r="F8" i="1"/>
  <c r="F9" i="1"/>
  <c r="F10" i="1"/>
  <c r="F2" i="1"/>
  <c r="O8" i="1" l="1"/>
  <c r="P8" i="1"/>
  <c r="O6" i="1"/>
  <c r="P6" i="1"/>
  <c r="P5" i="1"/>
  <c r="O5" i="1"/>
  <c r="P3" i="1"/>
  <c r="O3" i="1"/>
  <c r="P10" i="1"/>
  <c r="O10" i="1"/>
  <c r="P9" i="1"/>
  <c r="O9" i="1"/>
  <c r="R5" i="3"/>
  <c r="S5" i="3"/>
  <c r="R4" i="3"/>
  <c r="R6" i="3"/>
  <c r="S6" i="3"/>
  <c r="Q7" i="3"/>
  <c r="R9" i="3"/>
  <c r="Q10" i="3"/>
  <c r="S9" i="3"/>
  <c r="R8" i="3"/>
  <c r="S8" i="3"/>
  <c r="AD2" i="10"/>
  <c r="I8" i="6"/>
  <c r="S7" i="3" l="1"/>
  <c r="R7" i="3"/>
  <c r="S10" i="3"/>
  <c r="R10" i="3"/>
</calcChain>
</file>

<file path=xl/sharedStrings.xml><?xml version="1.0" encoding="utf-8"?>
<sst xmlns="http://schemas.openxmlformats.org/spreadsheetml/2006/main" count="377" uniqueCount="109">
  <si>
    <t>Ichetucknee</t>
  </si>
  <si>
    <t>Date</t>
  </si>
  <si>
    <t>Site</t>
  </si>
  <si>
    <t>KH</t>
  </si>
  <si>
    <t>KCO2</t>
  </si>
  <si>
    <t>KO2</t>
  </si>
  <si>
    <t>K600</t>
  </si>
  <si>
    <t>depth</t>
  </si>
  <si>
    <t>KCO2_avg</t>
  </si>
  <si>
    <t>KO2_avg</t>
  </si>
  <si>
    <t>Mouth</t>
  </si>
  <si>
    <t xml:space="preserve">Vent </t>
  </si>
  <si>
    <t>mouth_secs</t>
  </si>
  <si>
    <t>vent_secs</t>
  </si>
  <si>
    <t>mouth_m</t>
  </si>
  <si>
    <t>vent_m</t>
  </si>
  <si>
    <t>mouth_m/s</t>
  </si>
  <si>
    <t>vent_m/s</t>
  </si>
  <si>
    <t xml:space="preserve">average </t>
  </si>
  <si>
    <t>14.21/ George's dock</t>
  </si>
  <si>
    <t xml:space="preserve">19.89 sec/entire yard stick </t>
  </si>
  <si>
    <t xml:space="preserve">37.62 sec/ George's doc </t>
  </si>
  <si>
    <t>9.14 sec/ bridge</t>
  </si>
  <si>
    <t>16.54/ dock</t>
  </si>
  <si>
    <t>14.14sec</t>
  </si>
  <si>
    <t>13.08sec</t>
  </si>
  <si>
    <t>3.556m/14.47s</t>
  </si>
  <si>
    <t>3.556m/12.54</t>
  </si>
  <si>
    <t>3.556m/10.52</t>
  </si>
  <si>
    <t>3.556m/10.95</t>
  </si>
  <si>
    <t>3.556m/19.38</t>
  </si>
  <si>
    <t>velocity (m/s)</t>
  </si>
  <si>
    <t>cm/s</t>
  </si>
  <si>
    <t>avg u</t>
  </si>
  <si>
    <t>GilchristBlue</t>
  </si>
  <si>
    <t>49.61/ 20 dec. ft</t>
  </si>
  <si>
    <t>16.25 secs/ 4.9 dec. ft</t>
  </si>
  <si>
    <t>15.35/4.9 dec. ft</t>
  </si>
  <si>
    <t>30.6 sec/ 10 dec. ft</t>
  </si>
  <si>
    <t>70 sec/ 15 dec. ft</t>
  </si>
  <si>
    <t>15.96/10 dec ft</t>
  </si>
  <si>
    <t>NA</t>
  </si>
  <si>
    <t>18.79/6 dec ft</t>
  </si>
  <si>
    <t>40.28/6 dec ft</t>
  </si>
  <si>
    <t>10ft/ 33.68</t>
  </si>
  <si>
    <t>10ft/40.95</t>
  </si>
  <si>
    <t xml:space="preserve"> 3.292m/7.91</t>
  </si>
  <si>
    <t xml:space="preserve"> 3.292m/7.31</t>
  </si>
  <si>
    <t>3.29m/6.23</t>
  </si>
  <si>
    <t>3.29m/5.9</t>
  </si>
  <si>
    <t>0.3ft/sec</t>
  </si>
  <si>
    <t>0.4ft/sec</t>
  </si>
  <si>
    <t>Otter</t>
  </si>
  <si>
    <t>69 secs/5 dec ft</t>
  </si>
  <si>
    <t>1.27min/10 dec ft</t>
  </si>
  <si>
    <t>0.04ft/sec</t>
  </si>
  <si>
    <t>31.55/10.8</t>
  </si>
  <si>
    <t>30.48 sec/ 10.8 dec ft</t>
  </si>
  <si>
    <t xml:space="preserve">32.62 sec/ 10.8 dec ft </t>
  </si>
  <si>
    <t>canoe/ 31.01 sec</t>
  </si>
  <si>
    <t>canoe/ 24.73 sec</t>
  </si>
  <si>
    <t>canoe/ 29.2 sec</t>
  </si>
  <si>
    <t>canoe/23.76 sec</t>
  </si>
  <si>
    <t>K600_avg</t>
  </si>
  <si>
    <t>Gilchrist Blue</t>
  </si>
  <si>
    <t>Little Fanning</t>
  </si>
  <si>
    <t>: (hdown – hup)/(xdown+xup</t>
  </si>
  <si>
    <t>Hdown</t>
  </si>
  <si>
    <t>Xdown</t>
  </si>
  <si>
    <t>Hup</t>
  </si>
  <si>
    <t>Xup</t>
  </si>
  <si>
    <t>22.94 secs/10 dec.ft</t>
  </si>
  <si>
    <t>41.64 secs/10 dec.ft</t>
  </si>
  <si>
    <t xml:space="preserve"> 15 dec ft/35.47 sec</t>
  </si>
  <si>
    <t>15 dec ft/37.34 sec</t>
  </si>
  <si>
    <t>10 dec ft/36.42 sec</t>
  </si>
  <si>
    <t>15 dec ft/24.25 sec</t>
  </si>
  <si>
    <t>10 dec ft/36.85 sec</t>
  </si>
  <si>
    <t>0.5ft/1sec</t>
  </si>
  <si>
    <t>10/13.2</t>
  </si>
  <si>
    <t>36.46 sec/ 15 dec ft</t>
  </si>
  <si>
    <t>39.53 sec/ 15 dec ft</t>
  </si>
  <si>
    <t>10 dec ft/ 28.2 sec</t>
  </si>
  <si>
    <t>10 dec ft/ 13.19 sec</t>
  </si>
  <si>
    <t>average</t>
  </si>
  <si>
    <t>AllenMill</t>
  </si>
  <si>
    <t>17.39 secs/10 dec.ft</t>
  </si>
  <si>
    <t>5.7 secs/ 10 dec.feet</t>
  </si>
  <si>
    <t>20.58 sec/ 15 dec. ft</t>
  </si>
  <si>
    <t>61 sec/ 15 dec. ft</t>
  </si>
  <si>
    <t>15.85 sec/ 15 dec ft</t>
  </si>
  <si>
    <t>37.98 sec/15 dec ft</t>
  </si>
  <si>
    <t>15 dec ft/ 11.57 sec</t>
  </si>
  <si>
    <t>10 dec ft/13.08 sec</t>
  </si>
  <si>
    <t>15 dec ft/ 8.73 sec</t>
  </si>
  <si>
    <t>15 dec ft/ 7.4sec</t>
  </si>
  <si>
    <t>2.9ft / sec</t>
  </si>
  <si>
    <t>AVG(2.4+0.9+1)/sec</t>
  </si>
  <si>
    <t>AVG(13.67+14.91)/10 dec ft</t>
  </si>
  <si>
    <t>0.8ft/sec</t>
  </si>
  <si>
    <t>15 dec ft/11.79</t>
  </si>
  <si>
    <t>15 dec ft/ 11.49</t>
  </si>
  <si>
    <t>U/H</t>
  </si>
  <si>
    <t xml:space="preserve">backwards </t>
  </si>
  <si>
    <t>m/s</t>
  </si>
  <si>
    <t xml:space="preserve">try 2 for one station </t>
  </si>
  <si>
    <t>lake K600-theory; look up the papers for during brownout; try lake metabolizer</t>
  </si>
  <si>
    <t>u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</si>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</sst>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586E75"/>
      <name val="Lucida Console"/>
      <family val="3"/>
    </font>
    <font>
      <sz val="12"/>
      <color rgb="FF93A1A1"/>
      <name val="Lucida Sans Typewriter"/>
      <family val="3"/>
    </font>
    <font>
      <sz val="11"/>
      <name val="Calibri"/>
      <family val="2"/>
      <scheme val="minor"/>
    </font>
    <font>
      <sz val="8"/>
      <color rgb="FF93A1A1"/>
      <name val="Segoe UI"/>
      <family val="2"/>
    </font>
    <font>
      <sz val="10"/>
      <color rgb="FF00FF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1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4" fontId="1" fillId="0" borderId="0" xfId="0" applyNumberFormat="1" applyFont="1"/>
    <xf numFmtId="0" fontId="1" fillId="0" borderId="0" xfId="0" applyFont="1"/>
    <xf numFmtId="164" fontId="0" fillId="0" borderId="0" xfId="0" applyNumberFormat="1"/>
    <xf numFmtId="0" fontId="3" fillId="0" borderId="0" xfId="0" applyFont="1" applyAlignment="1">
      <alignment vertical="center"/>
    </xf>
    <xf numFmtId="14" fontId="1" fillId="2" borderId="0" xfId="0" applyNumberFormat="1" applyFont="1" applyFill="1"/>
    <xf numFmtId="0" fontId="2" fillId="2" borderId="0" xfId="0" applyFont="1" applyFill="1" applyAlignment="1">
      <alignment vertical="center"/>
    </xf>
    <xf numFmtId="165" fontId="0" fillId="0" borderId="0" xfId="0" applyNumberFormat="1"/>
    <xf numFmtId="0" fontId="4" fillId="0" borderId="0" xfId="0" applyFont="1"/>
    <xf numFmtId="0" fontId="4" fillId="0" borderId="0" xfId="0" applyFont="1" applyAlignment="1">
      <alignment vertical="center"/>
    </xf>
    <xf numFmtId="164" fontId="0" fillId="2" borderId="0" xfId="0" applyNumberFormat="1" applyFill="1"/>
    <xf numFmtId="0" fontId="4" fillId="2" borderId="0" xfId="0" applyFont="1" applyFill="1"/>
    <xf numFmtId="0" fontId="5" fillId="0" borderId="0" xfId="0" applyFont="1"/>
    <xf numFmtId="14" fontId="0" fillId="2" borderId="0" xfId="0" applyNumberFormat="1" applyFill="1"/>
    <xf numFmtId="16" fontId="0" fillId="0" borderId="0" xfId="0" applyNumberFormat="1"/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661854768153982E-2"/>
                  <c:y val="-0.58762248468941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600" baseline="0"/>
                      <a:t>y = -0.0773x + 0.3319</a:t>
                    </a:r>
                    <a:endParaRPr lang="en-US" sz="3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Ich!$M$2:$M$16</c:f>
              <c:numCache>
                <c:formatCode>General</c:formatCode>
                <c:ptCount val="15"/>
                <c:pt idx="0">
                  <c:v>1.44</c:v>
                </c:pt>
                <c:pt idx="1">
                  <c:v>1.1299999999999999</c:v>
                </c:pt>
                <c:pt idx="2">
                  <c:v>1</c:v>
                </c:pt>
                <c:pt idx="3">
                  <c:v>0.999</c:v>
                </c:pt>
                <c:pt idx="4">
                  <c:v>0.95599999999999996</c:v>
                </c:pt>
                <c:pt idx="5">
                  <c:v>0.91100000000000003</c:v>
                </c:pt>
                <c:pt idx="6">
                  <c:v>0.91100000000000003</c:v>
                </c:pt>
                <c:pt idx="7">
                  <c:v>0.92600000000000005</c:v>
                </c:pt>
                <c:pt idx="8">
                  <c:v>1.32</c:v>
                </c:pt>
                <c:pt idx="9">
                  <c:v>2.0699999999999998</c:v>
                </c:pt>
                <c:pt idx="10">
                  <c:v>2.38</c:v>
                </c:pt>
                <c:pt idx="11">
                  <c:v>1.75</c:v>
                </c:pt>
                <c:pt idx="12">
                  <c:v>1.41</c:v>
                </c:pt>
                <c:pt idx="13">
                  <c:v>0.98799999999999999</c:v>
                </c:pt>
                <c:pt idx="14">
                  <c:v>0.88900000000000001</c:v>
                </c:pt>
              </c:numCache>
            </c:numRef>
          </c:xVal>
          <c:yVal>
            <c:numRef>
              <c:f>Ich!$N$2:$N$16</c:f>
              <c:numCache>
                <c:formatCode>General</c:formatCode>
                <c:ptCount val="15"/>
                <c:pt idx="0">
                  <c:v>0.26250863915221123</c:v>
                </c:pt>
                <c:pt idx="1">
                  <c:v>0.38382356367635473</c:v>
                </c:pt>
                <c:pt idx="3">
                  <c:v>0.24574982722874913</c:v>
                </c:pt>
                <c:pt idx="4">
                  <c:v>0.31575888663127305</c:v>
                </c:pt>
                <c:pt idx="5">
                  <c:v>0.27092143777075284</c:v>
                </c:pt>
                <c:pt idx="6">
                  <c:v>0.38927203065134103</c:v>
                </c:pt>
                <c:pt idx="7">
                  <c:v>0.24384</c:v>
                </c:pt>
                <c:pt idx="8">
                  <c:v>0.27730699246165846</c:v>
                </c:pt>
                <c:pt idx="9">
                  <c:v>0.15203267905529572</c:v>
                </c:pt>
                <c:pt idx="10">
                  <c:v>9.9617104075948384E-2</c:v>
                </c:pt>
                <c:pt idx="11">
                  <c:v>0.20904352585130417</c:v>
                </c:pt>
                <c:pt idx="12">
                  <c:v>0.14364185726244377</c:v>
                </c:pt>
                <c:pt idx="13">
                  <c:v>0.21754661332746367</c:v>
                </c:pt>
                <c:pt idx="14">
                  <c:v>0.29169342065265502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5-42F0-AF3E-1287CCFE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02880"/>
        <c:axId val="1177382240"/>
      </c:scatterChart>
      <c:valAx>
        <c:axId val="117740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82240"/>
        <c:crosses val="autoZero"/>
        <c:crossBetween val="midCat"/>
      </c:valAx>
      <c:valAx>
        <c:axId val="11773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0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Sheet3!$O:$O</c:f>
              <c:numCache>
                <c:formatCode>General</c:formatCode>
                <c:ptCount val="1048576"/>
                <c:pt idx="0">
                  <c:v>1.150112150281978</c:v>
                </c:pt>
                <c:pt idx="1">
                  <c:v>0.9181468809829525</c:v>
                </c:pt>
                <c:pt idx="2">
                  <c:v>0.79466407571163344</c:v>
                </c:pt>
                <c:pt idx="3">
                  <c:v>0.65990704916701837</c:v>
                </c:pt>
                <c:pt idx="4">
                  <c:v>0.66570577783929297</c:v>
                </c:pt>
                <c:pt idx="5">
                  <c:v>0.66809969999999996</c:v>
                </c:pt>
                <c:pt idx="6">
                  <c:v>0.66217280000000001</c:v>
                </c:pt>
                <c:pt idx="7">
                  <c:v>0.65421839999999998</c:v>
                </c:pt>
                <c:pt idx="8">
                  <c:v>0.65229780000000004</c:v>
                </c:pt>
                <c:pt idx="9">
                  <c:v>0.65180269999999996</c:v>
                </c:pt>
                <c:pt idx="10">
                  <c:v>0.7776843</c:v>
                </c:pt>
                <c:pt idx="11">
                  <c:v>1.1277600000000001</c:v>
                </c:pt>
              </c:numCache>
            </c:numRef>
          </c:xVal>
          <c:yVal>
            <c:numRef>
              <c:f>Sheet3!$N:$N</c:f>
              <c:numCache>
                <c:formatCode>General</c:formatCode>
                <c:ptCount val="1048576"/>
                <c:pt idx="0">
                  <c:v>0.14650561651333108</c:v>
                </c:pt>
                <c:pt idx="1">
                  <c:v>0.20006601307577915</c:v>
                </c:pt>
                <c:pt idx="2">
                  <c:v>0.3183333637360477</c:v>
                </c:pt>
                <c:pt idx="3">
                  <c:v>0.52371134020618559</c:v>
                </c:pt>
                <c:pt idx="4">
                  <c:v>0.32508800559832052</c:v>
                </c:pt>
                <c:pt idx="5">
                  <c:v>0.24384</c:v>
                </c:pt>
                <c:pt idx="6">
                  <c:v>0.39284874334801589</c:v>
                </c:pt>
                <c:pt idx="7">
                  <c:v>0.39284874334801589</c:v>
                </c:pt>
                <c:pt idx="8">
                  <c:v>0.41148000000000001</c:v>
                </c:pt>
                <c:pt idx="9">
                  <c:v>0.41147999999999996</c:v>
                </c:pt>
                <c:pt idx="10">
                  <c:v>7.5695364238410584E-2</c:v>
                </c:pt>
                <c:pt idx="11">
                  <c:v>9.6864406779661016E-2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5F-470A-A13D-6E312F435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851679"/>
        <c:axId val="1653854175"/>
      </c:scatterChart>
      <c:valAx>
        <c:axId val="165385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54175"/>
        <c:crosses val="autoZero"/>
        <c:crossBetween val="midCat"/>
      </c:valAx>
      <c:valAx>
        <c:axId val="165385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5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3854315507861E-4"/>
                  <c:y val="-0.153663141321056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Sheet5!$K$3:$K$12</c:f>
              <c:numCache>
                <c:formatCode>General</c:formatCode>
                <c:ptCount val="10"/>
                <c:pt idx="0">
                  <c:v>0.394991173197279</c:v>
                </c:pt>
                <c:pt idx="1">
                  <c:v>0.4256560711564622</c:v>
                </c:pt>
                <c:pt idx="2">
                  <c:v>0.86087990571428463</c:v>
                </c:pt>
                <c:pt idx="3">
                  <c:v>0.60558590000000001</c:v>
                </c:pt>
                <c:pt idx="4">
                  <c:v>0.36919824176870691</c:v>
                </c:pt>
                <c:pt idx="5">
                  <c:v>0.25787672639455772</c:v>
                </c:pt>
                <c:pt idx="6">
                  <c:v>0.27722239999999998</c:v>
                </c:pt>
                <c:pt idx="7">
                  <c:v>0.28164640000000002</c:v>
                </c:pt>
                <c:pt idx="8">
                  <c:v>0.26450829999999997</c:v>
                </c:pt>
                <c:pt idx="9">
                  <c:v>0.25240439999999997</c:v>
                </c:pt>
              </c:numCache>
            </c:numRef>
          </c:xVal>
          <c:yVal>
            <c:numRef>
              <c:f>Sheet5!$L$3:$L$12</c:f>
              <c:numCache>
                <c:formatCode>General</c:formatCode>
                <c:ptCount val="10"/>
                <c:pt idx="0">
                  <c:v>0.10149343602444527</c:v>
                </c:pt>
                <c:pt idx="1">
                  <c:v>0.12564406432603084</c:v>
                </c:pt>
                <c:pt idx="2">
                  <c:v>0.13669744500710349</c:v>
                </c:pt>
                <c:pt idx="3">
                  <c:v>0.23090909100000001</c:v>
                </c:pt>
                <c:pt idx="4">
                  <c:v>0.11911748803154042</c:v>
                </c:pt>
                <c:pt idx="5">
                  <c:v>0.23090909090909092</c:v>
                </c:pt>
                <c:pt idx="6">
                  <c:v>0.23330000000000001</c:v>
                </c:pt>
                <c:pt idx="7">
                  <c:v>0.23330000000000001</c:v>
                </c:pt>
                <c:pt idx="8">
                  <c:v>9.9059999999999995E-2</c:v>
                </c:pt>
                <c:pt idx="9">
                  <c:v>0.10363200000000002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E-48E7-94FF-B6639757B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851679"/>
        <c:axId val="1653981263"/>
      </c:scatterChart>
      <c:valAx>
        <c:axId val="165385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981263"/>
        <c:crosses val="autoZero"/>
        <c:crossBetween val="midCat"/>
      </c:valAx>
      <c:valAx>
        <c:axId val="165398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5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Ich!$O$2:$O$16</c:f>
              <c:numCache>
                <c:formatCode>General</c:formatCode>
                <c:ptCount val="15"/>
                <c:pt idx="0">
                  <c:v>0.37801244037918413</c:v>
                </c:pt>
                <c:pt idx="1">
                  <c:v>0.33966687051004846</c:v>
                </c:pt>
                <c:pt idx="3">
                  <c:v>0.24599582305180093</c:v>
                </c:pt>
                <c:pt idx="4">
                  <c:v>0.33029172241764965</c:v>
                </c:pt>
                <c:pt idx="5">
                  <c:v>0.2973890645123522</c:v>
                </c:pt>
                <c:pt idx="6">
                  <c:v>0.4273018997270483</c:v>
                </c:pt>
                <c:pt idx="7">
                  <c:v>0.26332613390928722</c:v>
                </c:pt>
                <c:pt idx="8">
                  <c:v>0.2100810548951958</c:v>
                </c:pt>
                <c:pt idx="9">
                  <c:v>7.3445738674055905E-2</c:v>
                </c:pt>
                <c:pt idx="10">
                  <c:v>4.1855926082331255E-2</c:v>
                </c:pt>
                <c:pt idx="11">
                  <c:v>0.11945344334360239</c:v>
                </c:pt>
                <c:pt idx="12">
                  <c:v>0.10187365763293885</c:v>
                </c:pt>
                <c:pt idx="13">
                  <c:v>0.22018887988609684</c:v>
                </c:pt>
                <c:pt idx="14">
                  <c:v>0.3281140839737402</c:v>
                </c:pt>
              </c:numCache>
            </c:numRef>
          </c:xVal>
          <c:yVal>
            <c:numRef>
              <c:f>Ich!$L$2:$L$16</c:f>
              <c:numCache>
                <c:formatCode>General</c:formatCode>
                <c:ptCount val="15"/>
                <c:pt idx="0">
                  <c:v>3.3458070000000002</c:v>
                </c:pt>
                <c:pt idx="1">
                  <c:v>1.9827539999999999</c:v>
                </c:pt>
                <c:pt idx="2">
                  <c:v>1.6264655000000001</c:v>
                </c:pt>
                <c:pt idx="3">
                  <c:v>2.154887</c:v>
                </c:pt>
                <c:pt idx="4">
                  <c:v>4.1273359999999997</c:v>
                </c:pt>
                <c:pt idx="5">
                  <c:v>3.6800974999999996</c:v>
                </c:pt>
                <c:pt idx="6">
                  <c:v>4.9127169999999998</c:v>
                </c:pt>
                <c:pt idx="8">
                  <c:v>3.3787115000000001</c:v>
                </c:pt>
                <c:pt idx="9">
                  <c:v>1.1848084999999999</c:v>
                </c:pt>
                <c:pt idx="10">
                  <c:v>1.9368795000000001</c:v>
                </c:pt>
                <c:pt idx="11">
                  <c:v>1.5521455</c:v>
                </c:pt>
                <c:pt idx="13">
                  <c:v>3.1669510000000001</c:v>
                </c:pt>
                <c:pt idx="14">
                  <c:v>3.6608930000000002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5-4369-8260-63150897D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443632"/>
        <c:axId val="866353568"/>
      </c:scatterChart>
      <c:valAx>
        <c:axId val="92544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353568"/>
        <c:crosses val="autoZero"/>
        <c:crossBetween val="midCat"/>
      </c:valAx>
      <c:valAx>
        <c:axId val="8663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4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677956685308709E-2"/>
                  <c:y val="-0.621755646837514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GB!$Q$25:$Q$41</c:f>
              <c:numCache>
                <c:formatCode>General</c:formatCode>
                <c:ptCount val="17"/>
                <c:pt idx="0">
                  <c:v>0.82705530000000005</c:v>
                </c:pt>
                <c:pt idx="1">
                  <c:v>0.49025730000000001</c:v>
                </c:pt>
                <c:pt idx="2">
                  <c:v>0.45149099999999998</c:v>
                </c:pt>
                <c:pt idx="3">
                  <c:v>0.46726030000000002</c:v>
                </c:pt>
                <c:pt idx="4">
                  <c:v>0.4380986</c:v>
                </c:pt>
                <c:pt idx="5">
                  <c:v>0.42124850000000003</c:v>
                </c:pt>
                <c:pt idx="6">
                  <c:v>0.4075028</c:v>
                </c:pt>
                <c:pt idx="7">
                  <c:v>0.3699016</c:v>
                </c:pt>
                <c:pt idx="8">
                  <c:v>0.39349390000000001</c:v>
                </c:pt>
                <c:pt idx="9">
                  <c:v>0.33838479999999999</c:v>
                </c:pt>
                <c:pt idx="10">
                  <c:v>0.38335439999999998</c:v>
                </c:pt>
                <c:pt idx="11">
                  <c:v>0.41536309999999999</c:v>
                </c:pt>
                <c:pt idx="12">
                  <c:v>0.3952735</c:v>
                </c:pt>
                <c:pt idx="13">
                  <c:v>0.34819040000000001</c:v>
                </c:pt>
                <c:pt idx="14">
                  <c:v>0.30628420000000001</c:v>
                </c:pt>
                <c:pt idx="15">
                  <c:v>0.29804009999999997</c:v>
                </c:pt>
                <c:pt idx="16">
                  <c:v>0.34069490000000002</c:v>
                </c:pt>
              </c:numCache>
            </c:numRef>
          </c:xVal>
          <c:yVal>
            <c:numRef>
              <c:f>GB!$R$25:$R$41</c:f>
              <c:numCache>
                <c:formatCode>General</c:formatCode>
                <c:ptCount val="17"/>
                <c:pt idx="1">
                  <c:v>9.0498812351543945E-2</c:v>
                </c:pt>
                <c:pt idx="3">
                  <c:v>0.13205184611973625</c:v>
                </c:pt>
                <c:pt idx="4">
                  <c:v>0.16555581048725418</c:v>
                </c:pt>
                <c:pt idx="5">
                  <c:v>0.15135790524362708</c:v>
                </c:pt>
                <c:pt idx="6">
                  <c:v>0.13715999999999998</c:v>
                </c:pt>
                <c:pt idx="7">
                  <c:v>0.19507199999999997</c:v>
                </c:pt>
                <c:pt idx="8">
                  <c:v>0.18592799999999998</c:v>
                </c:pt>
                <c:pt idx="9">
                  <c:v>0.17678399999999997</c:v>
                </c:pt>
                <c:pt idx="10">
                  <c:v>0.20116800000000001</c:v>
                </c:pt>
                <c:pt idx="11">
                  <c:v>0.20319999999999999</c:v>
                </c:pt>
                <c:pt idx="12">
                  <c:v>0.1016</c:v>
                </c:pt>
                <c:pt idx="13">
                  <c:v>0.140208</c:v>
                </c:pt>
                <c:pt idx="14">
                  <c:v>0.17525999999999997</c:v>
                </c:pt>
                <c:pt idx="15">
                  <c:v>0.23774400000000001</c:v>
                </c:pt>
                <c:pt idx="16">
                  <c:v>0.18287999999999999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C-4FA4-9FEA-67AB7F4D4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161583"/>
        <c:axId val="1992165903"/>
      </c:scatterChart>
      <c:valAx>
        <c:axId val="199216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65903"/>
        <c:crosses val="autoZero"/>
        <c:crossBetween val="midCat"/>
      </c:valAx>
      <c:valAx>
        <c:axId val="199216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6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019962037818934E-2"/>
                  <c:y val="0.148449838133852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GB!$P$3:$P$18</c:f>
              <c:numCache>
                <c:formatCode>General</c:formatCode>
                <c:ptCount val="16"/>
                <c:pt idx="0">
                  <c:v>0.49025730000000001</c:v>
                </c:pt>
                <c:pt idx="1">
                  <c:v>0.45149099999999998</c:v>
                </c:pt>
                <c:pt idx="2">
                  <c:v>0.46726030000000002</c:v>
                </c:pt>
                <c:pt idx="3">
                  <c:v>0.4380986</c:v>
                </c:pt>
                <c:pt idx="4">
                  <c:v>0.42124850000000003</c:v>
                </c:pt>
                <c:pt idx="5">
                  <c:v>0.4075028</c:v>
                </c:pt>
                <c:pt idx="6">
                  <c:v>0.3699016</c:v>
                </c:pt>
                <c:pt idx="7">
                  <c:v>0.39349390000000001</c:v>
                </c:pt>
                <c:pt idx="8">
                  <c:v>0.33838479999999999</c:v>
                </c:pt>
                <c:pt idx="9">
                  <c:v>0.38335439999999998</c:v>
                </c:pt>
                <c:pt idx="10">
                  <c:v>0.41536309999999999</c:v>
                </c:pt>
                <c:pt idx="11">
                  <c:v>0.3952735</c:v>
                </c:pt>
                <c:pt idx="12">
                  <c:v>0.34819040000000001</c:v>
                </c:pt>
                <c:pt idx="13">
                  <c:v>0.30628420000000001</c:v>
                </c:pt>
                <c:pt idx="14">
                  <c:v>0.29804009999999997</c:v>
                </c:pt>
                <c:pt idx="15">
                  <c:v>0.34069490000000002</c:v>
                </c:pt>
              </c:numCache>
            </c:numRef>
          </c:xVal>
          <c:yVal>
            <c:numRef>
              <c:f>GB!$Q$3:$Q$18</c:f>
              <c:numCache>
                <c:formatCode>General</c:formatCode>
                <c:ptCount val="16"/>
                <c:pt idx="0">
                  <c:v>9.0498812351543945E-2</c:v>
                </c:pt>
                <c:pt idx="1">
                  <c:v>7.4432234432234429E-2</c:v>
                </c:pt>
                <c:pt idx="2">
                  <c:v>0.13205184611973625</c:v>
                </c:pt>
                <c:pt idx="3">
                  <c:v>0.16555581048725418</c:v>
                </c:pt>
                <c:pt idx="4">
                  <c:v>0.15135790524362708</c:v>
                </c:pt>
                <c:pt idx="5">
                  <c:v>0.13715999999999998</c:v>
                </c:pt>
                <c:pt idx="6">
                  <c:v>0.19507199999999997</c:v>
                </c:pt>
                <c:pt idx="7">
                  <c:v>0.18592799999999998</c:v>
                </c:pt>
                <c:pt idx="8">
                  <c:v>0.17678399999999997</c:v>
                </c:pt>
                <c:pt idx="9">
                  <c:v>0.20116800000000001</c:v>
                </c:pt>
                <c:pt idx="10">
                  <c:v>0.20319999999999999</c:v>
                </c:pt>
                <c:pt idx="11">
                  <c:v>0.1016</c:v>
                </c:pt>
                <c:pt idx="12">
                  <c:v>0.140208</c:v>
                </c:pt>
                <c:pt idx="13">
                  <c:v>0.17525999999999997</c:v>
                </c:pt>
                <c:pt idx="14">
                  <c:v>0.23774400000000001</c:v>
                </c:pt>
                <c:pt idx="15">
                  <c:v>0.18287999999999999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1-4FF5-81B2-40F7C1CA1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70576"/>
        <c:axId val="36926704"/>
      </c:scatterChart>
      <c:valAx>
        <c:axId val="10267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6704"/>
        <c:crosses val="autoZero"/>
        <c:crossBetween val="midCat"/>
      </c:valAx>
      <c:valAx>
        <c:axId val="369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684176288740288E-2"/>
                  <c:y val="0.44214758520126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Otter!$O$3:$O$17</c:f>
              <c:numCache>
                <c:formatCode>General</c:formatCode>
                <c:ptCount val="15"/>
                <c:pt idx="0">
                  <c:v>1.2192E-2</c:v>
                </c:pt>
                <c:pt idx="1">
                  <c:v>0.10445738810545679</c:v>
                </c:pt>
                <c:pt idx="2">
                  <c:v>0.11963267239752698</c:v>
                </c:pt>
                <c:pt idx="3">
                  <c:v>0.12563985056039853</c:v>
                </c:pt>
                <c:pt idx="4">
                  <c:v>6.096E-2</c:v>
                </c:pt>
                <c:pt idx="5">
                  <c:v>0.11683549245785273</c:v>
                </c:pt>
                <c:pt idx="6">
                  <c:v>8.957387755102042E-2</c:v>
                </c:pt>
                <c:pt idx="7">
                  <c:v>4.0360478468899529E-2</c:v>
                </c:pt>
                <c:pt idx="8">
                  <c:v>3.2272941176470595E-2</c:v>
                </c:pt>
                <c:pt idx="9">
                  <c:v>4.4325554834523037E-2</c:v>
                </c:pt>
                <c:pt idx="10">
                  <c:v>5.4257142857142865E-2</c:v>
                </c:pt>
                <c:pt idx="11">
                  <c:v>6.7798434710970759E-2</c:v>
                </c:pt>
                <c:pt idx="12">
                  <c:v>0.13796479463537303</c:v>
                </c:pt>
                <c:pt idx="13">
                  <c:v>0.14825881999699747</c:v>
                </c:pt>
              </c:numCache>
            </c:numRef>
          </c:xVal>
          <c:yVal>
            <c:numRef>
              <c:f>Otter!$N$2:$N$16</c:f>
              <c:numCache>
                <c:formatCode>General</c:formatCode>
                <c:ptCount val="15"/>
                <c:pt idx="0">
                  <c:v>0.83024010000000004</c:v>
                </c:pt>
                <c:pt idx="1">
                  <c:v>0.77497579999999999</c:v>
                </c:pt>
                <c:pt idx="2">
                  <c:v>0.68732400000000005</c:v>
                </c:pt>
                <c:pt idx="3">
                  <c:v>0.74424939999999995</c:v>
                </c:pt>
                <c:pt idx="4">
                  <c:v>0.77319099999999996</c:v>
                </c:pt>
                <c:pt idx="5">
                  <c:v>0.74614230000000004</c:v>
                </c:pt>
                <c:pt idx="6">
                  <c:v>0.74922460000000002</c:v>
                </c:pt>
                <c:pt idx="7">
                  <c:v>0.91393539999999995</c:v>
                </c:pt>
                <c:pt idx="8">
                  <c:v>1.6464110000000001</c:v>
                </c:pt>
                <c:pt idx="9">
                  <c:v>1.3130539999999999</c:v>
                </c:pt>
                <c:pt idx="10">
                  <c:v>1.0962289999999999</c:v>
                </c:pt>
                <c:pt idx="11">
                  <c:v>1.0805948000000001</c:v>
                </c:pt>
                <c:pt idx="12">
                  <c:v>0.83889481799999999</c:v>
                </c:pt>
                <c:pt idx="13">
                  <c:v>0.75540980000000002</c:v>
                </c:pt>
                <c:pt idx="14">
                  <c:v>0.7383014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B-4F98-A44D-E41DA0908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636864"/>
        <c:axId val="1832636032"/>
      </c:scatterChart>
      <c:valAx>
        <c:axId val="183263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636032"/>
        <c:crosses val="autoZero"/>
        <c:crossBetween val="midCat"/>
      </c:valAx>
      <c:valAx>
        <c:axId val="18326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K600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63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732283464566924E-4"/>
                  <c:y val="-0.37889690871974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-0.0868x + 0.1579</a:t>
                    </a:r>
                    <a:br>
                      <a:rPr lang="en-US" baseline="0"/>
                    </a:br>
                    <a:r>
                      <a:rPr lang="en-US" baseline="0"/>
                      <a:t>R² = 0.274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Otter!$N$2:$N$16</c:f>
              <c:numCache>
                <c:formatCode>General</c:formatCode>
                <c:ptCount val="15"/>
                <c:pt idx="0">
                  <c:v>0.83024010000000004</c:v>
                </c:pt>
                <c:pt idx="1">
                  <c:v>0.77497579999999999</c:v>
                </c:pt>
                <c:pt idx="2">
                  <c:v>0.68732400000000005</c:v>
                </c:pt>
                <c:pt idx="3">
                  <c:v>0.74424939999999995</c:v>
                </c:pt>
                <c:pt idx="4">
                  <c:v>0.77319099999999996</c:v>
                </c:pt>
                <c:pt idx="5">
                  <c:v>0.74614230000000004</c:v>
                </c:pt>
                <c:pt idx="6">
                  <c:v>0.74922460000000002</c:v>
                </c:pt>
                <c:pt idx="7">
                  <c:v>0.91393539999999995</c:v>
                </c:pt>
                <c:pt idx="8">
                  <c:v>1.6464110000000001</c:v>
                </c:pt>
                <c:pt idx="9">
                  <c:v>1.3130539999999999</c:v>
                </c:pt>
                <c:pt idx="10">
                  <c:v>1.0962289999999999</c:v>
                </c:pt>
                <c:pt idx="11">
                  <c:v>1.0805948000000001</c:v>
                </c:pt>
                <c:pt idx="12">
                  <c:v>0.83889481799999999</c:v>
                </c:pt>
                <c:pt idx="13">
                  <c:v>0.75540980000000002</c:v>
                </c:pt>
                <c:pt idx="14">
                  <c:v>0.7383014</c:v>
                </c:pt>
              </c:numCache>
            </c:numRef>
          </c:xVal>
          <c:yVal>
            <c:numRef>
              <c:f>Otter!$O$2:$O$16</c:f>
              <c:numCache>
                <c:formatCode>General</c:formatCode>
                <c:ptCount val="15"/>
                <c:pt idx="0">
                  <c:v>2.6096000000000001E-2</c:v>
                </c:pt>
                <c:pt idx="1">
                  <c:v>1.2192E-2</c:v>
                </c:pt>
                <c:pt idx="2">
                  <c:v>0.10445738810545679</c:v>
                </c:pt>
                <c:pt idx="3">
                  <c:v>0.11963267239752698</c:v>
                </c:pt>
                <c:pt idx="4">
                  <c:v>0.12563985056039853</c:v>
                </c:pt>
                <c:pt idx="5">
                  <c:v>6.096E-2</c:v>
                </c:pt>
                <c:pt idx="6">
                  <c:v>0.11683549245785273</c:v>
                </c:pt>
                <c:pt idx="7">
                  <c:v>8.957387755102042E-2</c:v>
                </c:pt>
                <c:pt idx="8">
                  <c:v>4.0360478468899529E-2</c:v>
                </c:pt>
                <c:pt idx="9">
                  <c:v>3.2272941176470595E-2</c:v>
                </c:pt>
                <c:pt idx="10">
                  <c:v>4.4325554834523037E-2</c:v>
                </c:pt>
                <c:pt idx="11">
                  <c:v>5.4257142857142865E-2</c:v>
                </c:pt>
                <c:pt idx="12">
                  <c:v>6.7798434710970759E-2</c:v>
                </c:pt>
                <c:pt idx="13">
                  <c:v>0.13796479463537303</c:v>
                </c:pt>
                <c:pt idx="14">
                  <c:v>0.14825881999699747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0-4235-9A41-C23A91791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231183"/>
        <c:axId val="1796215823"/>
      </c:scatterChart>
      <c:valAx>
        <c:axId val="179623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215823"/>
        <c:crosses val="autoZero"/>
        <c:crossBetween val="midCat"/>
      </c:valAx>
      <c:valAx>
        <c:axId val="179621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23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Allen</a:t>
            </a:r>
            <a:r>
              <a:rPr lang="en-US" baseline="0"/>
              <a:t> Mill</a:t>
            </a:r>
            <a:endParaRPr lang="en-US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393743349648864"/>
          <c:y val="0.11976359851570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21833511748809E-2"/>
          <c:y val="1.6893565090781569E-2"/>
          <c:w val="0.91338475109173911"/>
          <c:h val="0.7620045302993131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'Allen Mill'!$M$2:$M$22</c:f>
              <c:numCache>
                <c:formatCode>General</c:formatCode>
                <c:ptCount val="21"/>
                <c:pt idx="1">
                  <c:v>0.41249999999999998</c:v>
                </c:pt>
                <c:pt idx="2">
                  <c:v>1.1134900000000001</c:v>
                </c:pt>
                <c:pt idx="3">
                  <c:v>0.82254210000000005</c:v>
                </c:pt>
                <c:pt idx="4">
                  <c:v>0.70015590000000005</c:v>
                </c:pt>
                <c:pt idx="5">
                  <c:v>0.66093950000000001</c:v>
                </c:pt>
                <c:pt idx="6">
                  <c:v>0.67033030000000005</c:v>
                </c:pt>
                <c:pt idx="7">
                  <c:v>0.65163530000000003</c:v>
                </c:pt>
                <c:pt idx="8">
                  <c:v>0.65221130000000005</c:v>
                </c:pt>
                <c:pt idx="9">
                  <c:v>0.65073259999999999</c:v>
                </c:pt>
                <c:pt idx="10">
                  <c:v>0.61574680000000004</c:v>
                </c:pt>
                <c:pt idx="11">
                  <c:v>1.1493393000000001</c:v>
                </c:pt>
                <c:pt idx="12">
                  <c:v>1.9614750000000001</c:v>
                </c:pt>
                <c:pt idx="13">
                  <c:v>2.3679839999999999</c:v>
                </c:pt>
                <c:pt idx="14">
                  <c:v>1.5505709999999999</c:v>
                </c:pt>
                <c:pt idx="15">
                  <c:v>1.290305</c:v>
                </c:pt>
                <c:pt idx="16">
                  <c:v>1.1154360000000001</c:v>
                </c:pt>
                <c:pt idx="17">
                  <c:v>0.71709690000000004</c:v>
                </c:pt>
                <c:pt idx="18">
                  <c:v>0.73544750000000003</c:v>
                </c:pt>
                <c:pt idx="19">
                  <c:v>0.61764379999999997</c:v>
                </c:pt>
                <c:pt idx="20">
                  <c:v>0.81902019999999998</c:v>
                </c:pt>
              </c:numCache>
            </c:numRef>
          </c:xVal>
          <c:yVal>
            <c:numRef>
              <c:f>'Allen Mill'!$N$2:$N$22</c:f>
              <c:numCache>
                <c:formatCode>General</c:formatCode>
                <c:ptCount val="21"/>
                <c:pt idx="0">
                  <c:v>0.36752642087327392</c:v>
                </c:pt>
                <c:pt idx="1">
                  <c:v>0.14650561651333108</c:v>
                </c:pt>
                <c:pt idx="2">
                  <c:v>0.20006601307577915</c:v>
                </c:pt>
                <c:pt idx="3">
                  <c:v>0.3183333637360477</c:v>
                </c:pt>
                <c:pt idx="4">
                  <c:v>0.52371134020618559</c:v>
                </c:pt>
                <c:pt idx="5">
                  <c:v>0.32508800559832052</c:v>
                </c:pt>
                <c:pt idx="6">
                  <c:v>0.24384</c:v>
                </c:pt>
                <c:pt idx="7">
                  <c:v>0.39284874334801589</c:v>
                </c:pt>
                <c:pt idx="8">
                  <c:v>0.39284874334801589</c:v>
                </c:pt>
                <c:pt idx="9">
                  <c:v>0.41148000000000001</c:v>
                </c:pt>
                <c:pt idx="10">
                  <c:v>0.41147999999999996</c:v>
                </c:pt>
                <c:pt idx="11">
                  <c:v>9.6864406779661016E-2</c:v>
                </c:pt>
                <c:pt idx="12">
                  <c:v>2.5907667950055772E-2</c:v>
                </c:pt>
                <c:pt idx="14">
                  <c:v>8.526759287224403E-2</c:v>
                </c:pt>
                <c:pt idx="15">
                  <c:v>0.11148909281324629</c:v>
                </c:pt>
                <c:pt idx="16">
                  <c:v>8.1843181839146212E-2</c:v>
                </c:pt>
                <c:pt idx="17">
                  <c:v>0.24384000000000006</c:v>
                </c:pt>
                <c:pt idx="18">
                  <c:v>0.18897599999999998</c:v>
                </c:pt>
                <c:pt idx="19">
                  <c:v>0.21945600000000001</c:v>
                </c:pt>
                <c:pt idx="20">
                  <c:v>0.26351463378000001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A-42A5-BEE1-44B9410D6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418288"/>
        <c:axId val="1692405808"/>
      </c:scatterChart>
      <c:valAx>
        <c:axId val="16924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405808"/>
        <c:crosses val="autoZero"/>
        <c:crossBetween val="midCat"/>
      </c:valAx>
      <c:valAx>
        <c:axId val="16924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4182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'Allen Mill'!$R$1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8828302712160978E-2"/>
                  <c:y val="-0.495787401574803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'Allen Mill'!$Q$2:$Q$25</c:f>
              <c:numCache>
                <c:formatCode>General</c:formatCode>
                <c:ptCount val="24"/>
                <c:pt idx="0">
                  <c:v>0</c:v>
                </c:pt>
                <c:pt idx="1">
                  <c:v>0.41249999999999998</c:v>
                </c:pt>
                <c:pt idx="2">
                  <c:v>1.1134900000000001</c:v>
                </c:pt>
                <c:pt idx="3">
                  <c:v>0.82254210000000005</c:v>
                </c:pt>
                <c:pt idx="4">
                  <c:v>0.70015590000000005</c:v>
                </c:pt>
                <c:pt idx="5">
                  <c:v>0.66093950000000001</c:v>
                </c:pt>
                <c:pt idx="6">
                  <c:v>0.67033030000000005</c:v>
                </c:pt>
                <c:pt idx="7">
                  <c:v>0.65163530000000003</c:v>
                </c:pt>
                <c:pt idx="8">
                  <c:v>0.65221130000000005</c:v>
                </c:pt>
                <c:pt idx="9">
                  <c:v>0.65073259999999999</c:v>
                </c:pt>
                <c:pt idx="10">
                  <c:v>0.61574680000000004</c:v>
                </c:pt>
                <c:pt idx="11">
                  <c:v>1.1493393000000001</c:v>
                </c:pt>
                <c:pt idx="12">
                  <c:v>1.9614750000000001</c:v>
                </c:pt>
                <c:pt idx="13">
                  <c:v>2.3679839999999999</c:v>
                </c:pt>
                <c:pt idx="14">
                  <c:v>1.5505709999999999</c:v>
                </c:pt>
                <c:pt idx="15">
                  <c:v>1.290305</c:v>
                </c:pt>
                <c:pt idx="16">
                  <c:v>1.1154360000000001</c:v>
                </c:pt>
                <c:pt idx="17">
                  <c:v>0.71709690000000004</c:v>
                </c:pt>
                <c:pt idx="18">
                  <c:v>0.73544750000000003</c:v>
                </c:pt>
                <c:pt idx="19">
                  <c:v>0.61764379999999997</c:v>
                </c:pt>
                <c:pt idx="20">
                  <c:v>0.81902019999999998</c:v>
                </c:pt>
                <c:pt idx="21">
                  <c:v>0.65185249999999995</c:v>
                </c:pt>
              </c:numCache>
            </c:numRef>
          </c:xVal>
          <c:yVal>
            <c:numRef>
              <c:f>'Allen Mill'!$R$2:$R$25</c:f>
              <c:numCache>
                <c:formatCode>General</c:formatCode>
                <c:ptCount val="24"/>
                <c:pt idx="0">
                  <c:v>0.36752642087327392</c:v>
                </c:pt>
                <c:pt idx="2">
                  <c:v>0.20006601307577915</c:v>
                </c:pt>
                <c:pt idx="6">
                  <c:v>0.24384</c:v>
                </c:pt>
                <c:pt idx="11">
                  <c:v>9.6864406779661016E-2</c:v>
                </c:pt>
                <c:pt idx="12">
                  <c:v>2.5907667950055772E-2</c:v>
                </c:pt>
                <c:pt idx="13">
                  <c:v>0</c:v>
                </c:pt>
                <c:pt idx="14">
                  <c:v>8.526759287224403E-2</c:v>
                </c:pt>
                <c:pt idx="15">
                  <c:v>0.11148909281324629</c:v>
                </c:pt>
                <c:pt idx="16">
                  <c:v>8.1843181839146212E-2</c:v>
                </c:pt>
                <c:pt idx="17">
                  <c:v>0.24384000000000006</c:v>
                </c:pt>
                <c:pt idx="18">
                  <c:v>0.18897599999999998</c:v>
                </c:pt>
                <c:pt idx="19">
                  <c:v>0.21945600000000001</c:v>
                </c:pt>
                <c:pt idx="20">
                  <c:v>0.26351463378000001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7-4150-B6FD-6B9D584DC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4352"/>
        <c:axId val="708692112"/>
      </c:scatterChart>
      <c:valAx>
        <c:axId val="7086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92112"/>
        <c:crosses val="autoZero"/>
        <c:crossBetween val="midCat"/>
      </c:valAx>
      <c:valAx>
        <c:axId val="7086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875874890638674"/>
                  <c:y val="-0.11279928550597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'Allen Mill'!$M$30:$M$51</c:f>
              <c:numCache>
                <c:formatCode>General</c:formatCode>
                <c:ptCount val="22"/>
                <c:pt idx="1">
                  <c:v>0.35516513094140867</c:v>
                </c:pt>
                <c:pt idx="2">
                  <c:v>0.17967472817517816</c:v>
                </c:pt>
                <c:pt idx="3">
                  <c:v>0.38701163592240162</c:v>
                </c:pt>
                <c:pt idx="5">
                  <c:v>0.49185743263690629</c:v>
                </c:pt>
                <c:pt idx="6">
                  <c:v>0.36376096977862998</c:v>
                </c:pt>
                <c:pt idx="7">
                  <c:v>0.60286596405691328</c:v>
                </c:pt>
                <c:pt idx="8">
                  <c:v>0.60233354335936196</c:v>
                </c:pt>
                <c:pt idx="9">
                  <c:v>0.63233346538962398</c:v>
                </c:pt>
                <c:pt idx="10">
                  <c:v>0.66826169457965501</c:v>
                </c:pt>
                <c:pt idx="11">
                  <c:v>8.4278338676543135E-2</c:v>
                </c:pt>
                <c:pt idx="12">
                  <c:v>1.320825804563187E-2</c:v>
                </c:pt>
                <c:pt idx="14">
                  <c:v>5.4991092231341895E-2</c:v>
                </c:pt>
                <c:pt idx="15">
                  <c:v>8.6405224201445613E-2</c:v>
                </c:pt>
                <c:pt idx="16">
                  <c:v>7.3373265556379935E-2</c:v>
                </c:pt>
                <c:pt idx="17">
                  <c:v>0.34003772711888736</c:v>
                </c:pt>
                <c:pt idx="18">
                  <c:v>0.25695375944577958</c:v>
                </c:pt>
                <c:pt idx="19">
                  <c:v>0.35531158897733617</c:v>
                </c:pt>
                <c:pt idx="20">
                  <c:v>0.32174375403683575</c:v>
                </c:pt>
                <c:pt idx="21">
                  <c:v>0.5455221848501004</c:v>
                </c:pt>
              </c:numCache>
            </c:numRef>
          </c:xVal>
          <c:yVal>
            <c:numRef>
              <c:f>'Allen Mill'!$L$31:$L$51</c:f>
              <c:numCache>
                <c:formatCode>General</c:formatCode>
                <c:ptCount val="21"/>
                <c:pt idx="4">
                  <c:v>3.3936694999999997</c:v>
                </c:pt>
                <c:pt idx="6">
                  <c:v>3.7752630000000003</c:v>
                </c:pt>
                <c:pt idx="11">
                  <c:v>1.3509420000000001</c:v>
                </c:pt>
                <c:pt idx="14">
                  <c:v>4.3683994999999998</c:v>
                </c:pt>
                <c:pt idx="17">
                  <c:v>3.3714789999999999</c:v>
                </c:pt>
                <c:pt idx="19">
                  <c:v>4.2591400000000004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A-4358-B5BA-E90AC61D3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834255"/>
        <c:axId val="1575837135"/>
      </c:scatterChart>
      <c:valAx>
        <c:axId val="157583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37135"/>
        <c:crosses val="autoZero"/>
        <c:crossBetween val="midCat"/>
      </c:valAx>
      <c:valAx>
        <c:axId val="157583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3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24</xdr:row>
      <xdr:rowOff>90487</xdr:rowOff>
    </xdr:from>
    <xdr:to>
      <xdr:col>14</xdr:col>
      <xdr:colOff>681037</xdr:colOff>
      <xdr:row>38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3BD15-7BBA-84EC-3728-119FDCAB9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720725</xdr:colOff>
      <xdr:row>2</xdr:row>
      <xdr:rowOff>14287</xdr:rowOff>
    </xdr:from>
    <xdr:to>
      <xdr:col>23</xdr:col>
      <xdr:colOff>187325</xdr:colOff>
      <xdr:row>16</xdr:row>
      <xdr:rowOff>115887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113782-AC7A-9994-B5C3-D31843A79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485775</xdr:colOff>
      <xdr:row>21</xdr:row>
      <xdr:rowOff>90487</xdr:rowOff>
    </xdr:from>
    <xdr:to>
      <xdr:col>28</xdr:col>
      <xdr:colOff>85725</xdr:colOff>
      <xdr:row>42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0EB11A-E864-9510-E24E-E1FFAC327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148167</xdr:colOff>
      <xdr:row>3</xdr:row>
      <xdr:rowOff>7761</xdr:rowOff>
    </xdr:from>
    <xdr:to>
      <xdr:col>26</xdr:col>
      <xdr:colOff>448028</xdr:colOff>
      <xdr:row>17</xdr:row>
      <xdr:rowOff>45156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CE426C-2628-8052-6CCC-793E00DF0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26039</xdr:colOff>
      <xdr:row>6</xdr:row>
      <xdr:rowOff>78323</xdr:rowOff>
    </xdr:from>
    <xdr:to>
      <xdr:col>26</xdr:col>
      <xdr:colOff>27215</xdr:colOff>
      <xdr:row>23</xdr:row>
      <xdr:rowOff>176892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4D4A7E-A19A-CC09-43E9-01DDA5301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238124</xdr:colOff>
      <xdr:row>16</xdr:row>
      <xdr:rowOff>161059</xdr:rowOff>
    </xdr:from>
    <xdr:to>
      <xdr:col>15</xdr:col>
      <xdr:colOff>281419</xdr:colOff>
      <xdr:row>31</xdr:row>
      <xdr:rowOff>46759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A64BA-15D5-528F-F8F9-E62FA095F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711993</xdr:colOff>
      <xdr:row>0</xdr:row>
      <xdr:rowOff>180976</xdr:rowOff>
    </xdr:from>
    <xdr:to>
      <xdr:col>23</xdr:col>
      <xdr:colOff>514349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43D0C-9F9D-54ED-A763-61B561AD5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1055687</xdr:colOff>
      <xdr:row>26</xdr:row>
      <xdr:rowOff>120650</xdr:rowOff>
    </xdr:from>
    <xdr:to>
      <xdr:col>25</xdr:col>
      <xdr:colOff>166687</xdr:colOff>
      <xdr:row>41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16D51-DA36-5DA7-E924-01568D24D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33337</xdr:colOff>
      <xdr:row>31</xdr:row>
      <xdr:rowOff>85725</xdr:rowOff>
    </xdr:from>
    <xdr:to>
      <xdr:col>19</xdr:col>
      <xdr:colOff>80962</xdr:colOff>
      <xdr:row>45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E6D036-2806-D09A-33FD-5FC07B779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18</xdr:row>
      <xdr:rowOff>176212</xdr:rowOff>
    </xdr:from>
    <xdr:to>
      <xdr:col>22</xdr:col>
      <xdr:colOff>314325</xdr:colOff>
      <xdr:row>33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8F21E-3280-F692-B3E8-7C061C997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317500</xdr:colOff>
      <xdr:row>1</xdr:row>
      <xdr:rowOff>139700</xdr:rowOff>
    </xdr:from>
    <xdr:to>
      <xdr:col>28</xdr:col>
      <xdr:colOff>431800</xdr:colOff>
      <xdr:row>27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B5E1F-833E-DE8D-2D9C-DBDD36E71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22427-CD9D-4DAD-85CC-57A7D73624F7}">
  <dimension ref="A1:P23"/>
  <sheetViews>
    <sheetView tabSelected="1" zoomScaleNormal="100" workbookViewId="0">
      <pane xSplit="1" topLeftCell="B1" activePane="topRight" state="frozen"/>
      <selection pane="topRight" activeCell="V30" sqref="V30"/>
    </sheetView>
  </sheetViews>
  <sheetFormatPr defaultRowHeight="15" x14ac:dyDescent="0.25"/>
  <cols>
    <col min="1" max="1" width="11.42578125" bestFit="1" customWidth="1"/>
    <col min="2" max="2" width="11.85546875" bestFit="1" customWidth="1"/>
    <col min="4" max="6" width="0" hidden="1" customWidth="1"/>
    <col min="7" max="9" width="9.140625" customWidth="1"/>
    <col min="12" max="12" width="9" customWidth="1"/>
    <col min="14" max="14" width="13.42578125" bestFit="1" customWidth="1"/>
    <col min="15" max="15" width="12" bestFit="1" customWidth="1"/>
    <col min="16" max="16" width="12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4</v>
      </c>
      <c r="F1" t="s">
        <v>8</v>
      </c>
      <c r="G1" t="s">
        <v>5</v>
      </c>
      <c r="H1" t="s">
        <v>5</v>
      </c>
      <c r="I1" t="s">
        <v>9</v>
      </c>
      <c r="J1" t="s">
        <v>6</v>
      </c>
      <c r="K1" t="s">
        <v>6</v>
      </c>
      <c r="L1" t="s">
        <v>63</v>
      </c>
      <c r="M1" t="s">
        <v>7</v>
      </c>
      <c r="N1" t="s">
        <v>31</v>
      </c>
      <c r="O1" t="s">
        <v>102</v>
      </c>
      <c r="P1" t="s">
        <v>108</v>
      </c>
    </row>
    <row r="2" spans="1:16" x14ac:dyDescent="0.25">
      <c r="A2" s="2">
        <v>44844</v>
      </c>
      <c r="B2" t="s">
        <v>0</v>
      </c>
      <c r="C2">
        <v>3.8624749999999999E-2</v>
      </c>
      <c r="D2" s="3">
        <v>2.470549E-2</v>
      </c>
      <c r="E2" s="3">
        <v>6.2516530000000001E-2</v>
      </c>
      <c r="F2">
        <f>AVERAGE(D2:E2)</f>
        <v>4.3611009999999999E-2</v>
      </c>
      <c r="G2" s="3">
        <v>5.6045600000000001E-2</v>
      </c>
      <c r="H2" s="3">
        <v>2.2148279999999999E-2</v>
      </c>
      <c r="I2">
        <f>AVERAGE(G2:H2)</f>
        <v>3.9096939999999997E-2</v>
      </c>
      <c r="J2" s="9">
        <v>2.3297080000000001</v>
      </c>
      <c r="K2" s="9">
        <v>4.3619060000000003</v>
      </c>
      <c r="L2">
        <f>AVERAGE(J2:K2)</f>
        <v>3.3458070000000002</v>
      </c>
      <c r="M2" s="17">
        <v>1.44</v>
      </c>
      <c r="N2">
        <f>sheet!J6</f>
        <v>0.26250863915221123</v>
      </c>
      <c r="O2">
        <f>N2*M2</f>
        <v>0.37801244037918413</v>
      </c>
      <c r="P2">
        <f>N2*20*M2</f>
        <v>7.5602488075836822</v>
      </c>
    </row>
    <row r="3" spans="1:16" x14ac:dyDescent="0.25">
      <c r="A3" s="2">
        <v>44860</v>
      </c>
      <c r="B3" t="s">
        <v>0</v>
      </c>
      <c r="C3" s="3">
        <v>3.7225920000000003E-2</v>
      </c>
      <c r="D3" s="3">
        <v>0.35945899999999997</v>
      </c>
      <c r="E3" s="3">
        <v>0.28873369999999998</v>
      </c>
      <c r="F3">
        <f t="shared" ref="F3:F12" si="0">AVERAGE(D3:E3)</f>
        <v>0.32409634999999998</v>
      </c>
      <c r="G3" s="3">
        <v>0.32147920000000002</v>
      </c>
      <c r="H3" s="3">
        <v>0.25822659999999997</v>
      </c>
      <c r="I3">
        <f t="shared" ref="I3:I12" si="1">AVERAGE(G3:H3)</f>
        <v>0.28985289999999997</v>
      </c>
      <c r="J3" s="20">
        <v>1.8382069999999999</v>
      </c>
      <c r="K3" s="20">
        <v>2.1273010000000001</v>
      </c>
      <c r="L3">
        <f t="shared" ref="L3:L10" si="2">AVERAGE(J3:K3)</f>
        <v>1.9827539999999999</v>
      </c>
      <c r="M3" s="20">
        <v>1.1299999999999999</v>
      </c>
      <c r="N3">
        <f>sheet!J7</f>
        <v>0.38382356367635473</v>
      </c>
      <c r="O3">
        <f t="shared" ref="O3:O16" si="3">N3/M3</f>
        <v>0.33966687051004846</v>
      </c>
      <c r="P3">
        <f t="shared" ref="P3:P17" si="4">N3*20*M3</f>
        <v>8.6744125390856155</v>
      </c>
    </row>
    <row r="4" spans="1:16" x14ac:dyDescent="0.25">
      <c r="A4" s="2">
        <v>44872</v>
      </c>
      <c r="B4" t="s">
        <v>0</v>
      </c>
      <c r="C4" s="9">
        <v>3.6878500000000002E-2</v>
      </c>
      <c r="J4" s="20">
        <v>2.0594380000000001</v>
      </c>
      <c r="K4" s="20">
        <v>1.1934929999999999</v>
      </c>
      <c r="L4">
        <f t="shared" si="2"/>
        <v>1.6264655000000001</v>
      </c>
      <c r="M4" s="20">
        <v>1</v>
      </c>
    </row>
    <row r="5" spans="1:16" x14ac:dyDescent="0.25">
      <c r="A5" s="2">
        <v>44886</v>
      </c>
      <c r="B5" t="s">
        <v>0</v>
      </c>
      <c r="C5" s="3">
        <v>3.7650309999999999E-2</v>
      </c>
      <c r="D5" s="3">
        <v>0.6447254</v>
      </c>
      <c r="E5" s="3">
        <v>0.78523370000000003</v>
      </c>
      <c r="F5">
        <f t="shared" si="0"/>
        <v>0.71497955000000002</v>
      </c>
      <c r="G5" s="3">
        <v>0.57702779999999998</v>
      </c>
      <c r="H5" s="3">
        <v>0.70278240000000003</v>
      </c>
      <c r="I5">
        <f t="shared" si="1"/>
        <v>0.6399051</v>
      </c>
      <c r="J5" s="20">
        <v>2.3111069999999998</v>
      </c>
      <c r="K5" s="20">
        <v>1.998667</v>
      </c>
      <c r="L5">
        <f t="shared" si="2"/>
        <v>2.154887</v>
      </c>
      <c r="M5" s="20">
        <v>0.999</v>
      </c>
      <c r="N5">
        <f>sheet!J9</f>
        <v>0.24574982722874913</v>
      </c>
      <c r="O5">
        <f t="shared" si="3"/>
        <v>0.24599582305180093</v>
      </c>
      <c r="P5">
        <f t="shared" si="4"/>
        <v>4.9100815480304076</v>
      </c>
    </row>
    <row r="6" spans="1:16" x14ac:dyDescent="0.25">
      <c r="A6" s="2">
        <v>44900</v>
      </c>
      <c r="B6" t="s">
        <v>0</v>
      </c>
      <c r="C6" s="3">
        <v>3.7318570000000002E-2</v>
      </c>
      <c r="D6" s="3">
        <v>0.31791639999999999</v>
      </c>
      <c r="E6" s="3">
        <v>0.34001029999999999</v>
      </c>
      <c r="F6">
        <f t="shared" si="0"/>
        <v>0.32896334999999999</v>
      </c>
      <c r="G6" s="3">
        <v>0.2843715</v>
      </c>
      <c r="H6" s="3">
        <v>0.30413420000000002</v>
      </c>
      <c r="I6">
        <f t="shared" si="1"/>
        <v>0.29425285000000001</v>
      </c>
      <c r="J6" s="20">
        <v>4.2193649999999998</v>
      </c>
      <c r="K6" s="20">
        <v>4.0353070000000004</v>
      </c>
      <c r="L6">
        <f t="shared" si="2"/>
        <v>4.1273359999999997</v>
      </c>
      <c r="M6" s="20">
        <v>0.95599999999999996</v>
      </c>
      <c r="N6">
        <f>sheet!J10</f>
        <v>0.31575888663127305</v>
      </c>
      <c r="O6">
        <f t="shared" si="3"/>
        <v>0.33029172241764965</v>
      </c>
      <c r="P6">
        <f t="shared" si="4"/>
        <v>6.0373099123899401</v>
      </c>
    </row>
    <row r="7" spans="1:16" s="1" customFormat="1" x14ac:dyDescent="0.25">
      <c r="A7" s="18">
        <v>44914</v>
      </c>
      <c r="B7" s="1" t="s">
        <v>0</v>
      </c>
      <c r="C7" s="11">
        <v>3.7598230000000003E-2</v>
      </c>
      <c r="D7" s="11">
        <v>0.3660834</v>
      </c>
      <c r="E7" s="11">
        <v>0.85899709999999996</v>
      </c>
      <c r="F7" s="1">
        <f t="shared" si="0"/>
        <v>0.61254025000000001</v>
      </c>
      <c r="G7" s="11">
        <v>0.32761449999999998</v>
      </c>
      <c r="H7" s="11">
        <v>0.76873150000000001</v>
      </c>
      <c r="I7" s="1">
        <f t="shared" si="1"/>
        <v>0.54817300000000002</v>
      </c>
      <c r="J7" s="20">
        <v>4.6947159999999997</v>
      </c>
      <c r="K7" s="20">
        <v>2.6654789999999999</v>
      </c>
      <c r="L7" s="1">
        <f t="shared" si="2"/>
        <v>3.6800974999999996</v>
      </c>
      <c r="M7" s="20">
        <v>0.91100000000000003</v>
      </c>
      <c r="N7" s="1">
        <f>sheet!J11</f>
        <v>0.27092143777075284</v>
      </c>
      <c r="O7" s="1">
        <f t="shared" si="3"/>
        <v>0.2973890645123522</v>
      </c>
      <c r="P7" s="1">
        <f t="shared" si="4"/>
        <v>4.9361885961831176</v>
      </c>
    </row>
    <row r="8" spans="1:16" s="1" customFormat="1" x14ac:dyDescent="0.25">
      <c r="A8" s="18">
        <v>44929</v>
      </c>
      <c r="B8" s="1" t="s">
        <v>0</v>
      </c>
      <c r="C8" s="11">
        <v>3.8271649999999997E-2</v>
      </c>
      <c r="D8" s="11">
        <v>0.42728349999999998</v>
      </c>
      <c r="E8" s="11">
        <v>0.38062099999999999</v>
      </c>
      <c r="F8" s="1">
        <f t="shared" si="0"/>
        <v>0.40395225000000001</v>
      </c>
      <c r="G8" s="11">
        <v>0.38282579999999999</v>
      </c>
      <c r="H8" s="11">
        <v>0.3410184</v>
      </c>
      <c r="I8" s="1">
        <f t="shared" si="1"/>
        <v>0.36192210000000002</v>
      </c>
      <c r="J8" s="20">
        <v>4.7155639999999996</v>
      </c>
      <c r="K8" s="20">
        <v>5.1098699999999999</v>
      </c>
      <c r="L8" s="1">
        <f t="shared" si="2"/>
        <v>4.9127169999999998</v>
      </c>
      <c r="M8" s="20">
        <v>0.91100000000000003</v>
      </c>
      <c r="N8" s="1">
        <f>sheet!J12</f>
        <v>0.38927203065134103</v>
      </c>
      <c r="O8" s="1">
        <f t="shared" si="3"/>
        <v>0.4273018997270483</v>
      </c>
      <c r="P8" s="1">
        <f t="shared" si="4"/>
        <v>7.0925363984674341</v>
      </c>
    </row>
    <row r="9" spans="1:16" x14ac:dyDescent="0.25">
      <c r="A9" s="2">
        <v>44944</v>
      </c>
      <c r="B9" t="s">
        <v>0</v>
      </c>
      <c r="C9" s="3">
        <v>3.8261009999999998E-2</v>
      </c>
      <c r="D9" s="3">
        <v>0.35313060000000002</v>
      </c>
      <c r="E9" s="3">
        <v>0.38338270000000002</v>
      </c>
      <c r="F9">
        <f t="shared" si="0"/>
        <v>0.36825665000000002</v>
      </c>
      <c r="G9" s="3">
        <v>0.31638250000000001</v>
      </c>
      <c r="H9" s="3">
        <v>0.34348649999999997</v>
      </c>
      <c r="I9">
        <f t="shared" si="1"/>
        <v>0.32993450000000002</v>
      </c>
      <c r="J9" s="20">
        <v>4.8767269999999998</v>
      </c>
      <c r="K9" s="20">
        <v>5.189514</v>
      </c>
      <c r="M9" s="20">
        <v>0.92600000000000005</v>
      </c>
      <c r="N9">
        <f>sheet!J13</f>
        <v>0.24384</v>
      </c>
      <c r="O9">
        <f t="shared" si="3"/>
        <v>0.26332613390928722</v>
      </c>
      <c r="P9">
        <f t="shared" si="4"/>
        <v>4.5159168000000003</v>
      </c>
    </row>
    <row r="10" spans="1:16" s="1" customFormat="1" x14ac:dyDescent="0.25">
      <c r="A10" s="18">
        <v>44958</v>
      </c>
      <c r="B10" s="1" t="s">
        <v>0</v>
      </c>
      <c r="C10" s="11">
        <v>3.7849019999999997E-2</v>
      </c>
      <c r="D10" s="11">
        <v>0.26577250000000002</v>
      </c>
      <c r="E10" s="11">
        <v>0.23366819999999999</v>
      </c>
      <c r="F10" s="1">
        <f t="shared" si="0"/>
        <v>0.24972035000000001</v>
      </c>
      <c r="G10" s="11">
        <v>0.209204</v>
      </c>
      <c r="H10" s="11">
        <v>0.2379472</v>
      </c>
      <c r="I10" s="1">
        <f t="shared" si="1"/>
        <v>0.22357559999999999</v>
      </c>
      <c r="J10" s="20">
        <v>3.5236130000000001</v>
      </c>
      <c r="K10" s="20">
        <v>3.2338100000000001</v>
      </c>
      <c r="L10" s="1">
        <f t="shared" si="2"/>
        <v>3.3787115000000001</v>
      </c>
      <c r="M10" s="20">
        <v>1.32</v>
      </c>
      <c r="N10" s="1">
        <f>sheet!J14</f>
        <v>0.27730699246165846</v>
      </c>
      <c r="O10" s="1">
        <f t="shared" si="3"/>
        <v>0.2100810548951958</v>
      </c>
      <c r="P10" s="1">
        <f t="shared" si="4"/>
        <v>7.3209046009877836</v>
      </c>
    </row>
    <row r="11" spans="1:16" x14ac:dyDescent="0.25">
      <c r="A11" s="2">
        <v>44972</v>
      </c>
      <c r="B11" t="s">
        <v>0</v>
      </c>
      <c r="C11">
        <v>3.780708E-2</v>
      </c>
      <c r="D11">
        <v>0.24224989999999999</v>
      </c>
      <c r="E11">
        <v>0.16618620000000001</v>
      </c>
      <c r="F11">
        <f t="shared" si="0"/>
        <v>0.20421804999999998</v>
      </c>
      <c r="G11">
        <v>0.21682870000000001</v>
      </c>
      <c r="H11">
        <v>0.14874689999999999</v>
      </c>
      <c r="I11">
        <f t="shared" si="1"/>
        <v>0.1827878</v>
      </c>
      <c r="J11" s="20">
        <v>1.036697</v>
      </c>
      <c r="K11" s="20">
        <v>1.3329200000000001</v>
      </c>
      <c r="L11">
        <f>AVERAGE(J11:K11)</f>
        <v>1.1848084999999999</v>
      </c>
      <c r="M11" s="9">
        <v>2.0699999999999998</v>
      </c>
      <c r="N11">
        <f>sheet!J15</f>
        <v>0.15203267905529572</v>
      </c>
      <c r="O11">
        <f t="shared" si="3"/>
        <v>7.3445738674055905E-2</v>
      </c>
      <c r="P11">
        <f t="shared" si="4"/>
        <v>6.2941529128892419</v>
      </c>
    </row>
    <row r="12" spans="1:16" s="1" customFormat="1" x14ac:dyDescent="0.25">
      <c r="A12" s="18">
        <v>44986</v>
      </c>
      <c r="B12" s="1" t="s">
        <v>0</v>
      </c>
      <c r="C12" s="11">
        <v>3.7205370000000001E-2</v>
      </c>
      <c r="D12" s="1">
        <v>3.5260640000000003E-2</v>
      </c>
      <c r="E12" s="1">
        <v>3.0738069999999999E-2</v>
      </c>
      <c r="F12" s="1">
        <f t="shared" si="0"/>
        <v>3.2999355000000001E-2</v>
      </c>
      <c r="G12" s="1">
        <v>2.7493279999999998E-2</v>
      </c>
      <c r="H12" s="1">
        <v>3.1538429999999999E-2</v>
      </c>
      <c r="I12" s="1">
        <f t="shared" si="1"/>
        <v>2.9515855000000001E-2</v>
      </c>
      <c r="J12" s="20">
        <v>1.8467180000000001</v>
      </c>
      <c r="K12" s="20">
        <v>2.0270410000000001</v>
      </c>
      <c r="L12" s="1">
        <f>AVERAGE(J12:K12)</f>
        <v>1.9368795000000001</v>
      </c>
      <c r="M12" s="20">
        <v>2.38</v>
      </c>
      <c r="N12" s="1">
        <f>sheet!J16</f>
        <v>9.9617104075948384E-2</v>
      </c>
      <c r="O12" s="1">
        <f t="shared" si="3"/>
        <v>4.1855926082331255E-2</v>
      </c>
      <c r="P12" s="1">
        <f t="shared" si="4"/>
        <v>4.7417741540151424</v>
      </c>
    </row>
    <row r="13" spans="1:16" s="1" customFormat="1" x14ac:dyDescent="0.25">
      <c r="A13" s="18">
        <v>45000</v>
      </c>
      <c r="B13" s="1" t="s">
        <v>0</v>
      </c>
      <c r="C13" s="1">
        <v>3.7195100000000002E-2</v>
      </c>
      <c r="F13" s="1">
        <v>6.3636289999999998E-2</v>
      </c>
      <c r="I13" s="1">
        <v>5.6909550000000003E-2</v>
      </c>
      <c r="J13" s="20">
        <v>1.5079309999999999</v>
      </c>
      <c r="K13" s="20">
        <v>1.59636</v>
      </c>
      <c r="L13" s="1">
        <f t="shared" ref="L13:L16" si="5">AVERAGE(J13:K13)</f>
        <v>1.5521455</v>
      </c>
      <c r="M13" s="20">
        <v>1.75</v>
      </c>
      <c r="N13" s="1">
        <f>sheet!J17</f>
        <v>0.20904352585130417</v>
      </c>
      <c r="O13" s="1">
        <f t="shared" si="3"/>
        <v>0.11945344334360239</v>
      </c>
      <c r="P13" s="1">
        <f t="shared" si="4"/>
        <v>7.3165234047956469</v>
      </c>
    </row>
    <row r="14" spans="1:16" x14ac:dyDescent="0.25">
      <c r="A14" s="2">
        <v>45014</v>
      </c>
      <c r="B14" t="s">
        <v>0</v>
      </c>
      <c r="C14">
        <v>3.7359839999999998E-2</v>
      </c>
      <c r="F14">
        <v>0.1194043</v>
      </c>
      <c r="I14">
        <v>0.10681300000000001</v>
      </c>
      <c r="J14" s="20">
        <v>5.6851799999999999</v>
      </c>
      <c r="L14" s="1"/>
      <c r="M14" s="20">
        <v>1.41</v>
      </c>
      <c r="N14">
        <f>sheet!J18</f>
        <v>0.14364185726244377</v>
      </c>
      <c r="O14" s="1">
        <f t="shared" si="3"/>
        <v>0.10187365763293885</v>
      </c>
      <c r="P14">
        <f t="shared" si="4"/>
        <v>4.0507003748009147</v>
      </c>
    </row>
    <row r="15" spans="1:16" x14ac:dyDescent="0.25">
      <c r="A15" s="2">
        <v>45028</v>
      </c>
      <c r="B15" t="s">
        <v>0</v>
      </c>
      <c r="C15" s="9">
        <v>3.6980260000000001E-2</v>
      </c>
      <c r="J15" s="20">
        <v>3.1669510000000001</v>
      </c>
      <c r="L15" s="1">
        <f>AVERAGE(J15:K15)</f>
        <v>3.1669510000000001</v>
      </c>
      <c r="M15" s="20">
        <v>0.98799999999999999</v>
      </c>
      <c r="N15">
        <f>sheet!J19</f>
        <v>0.21754661332746367</v>
      </c>
      <c r="O15" s="1">
        <f t="shared" si="3"/>
        <v>0.22018887988609684</v>
      </c>
      <c r="P15">
        <f t="shared" si="4"/>
        <v>4.298721079350682</v>
      </c>
    </row>
    <row r="16" spans="1:16" s="1" customFormat="1" x14ac:dyDescent="0.25">
      <c r="A16" s="18">
        <v>45042</v>
      </c>
      <c r="B16" s="1" t="s">
        <v>0</v>
      </c>
      <c r="J16" s="20">
        <v>3.6608930000000002</v>
      </c>
      <c r="L16" s="1">
        <f t="shared" si="5"/>
        <v>3.6608930000000002</v>
      </c>
      <c r="M16" s="20">
        <v>0.88900000000000001</v>
      </c>
      <c r="N16" s="1">
        <f>sheet!J20</f>
        <v>0.29169342065265502</v>
      </c>
      <c r="O16" s="1">
        <f t="shared" si="3"/>
        <v>0.3281140839737402</v>
      </c>
      <c r="P16" s="1">
        <f t="shared" si="4"/>
        <v>5.1863090192042058</v>
      </c>
    </row>
    <row r="17" spans="1:16" x14ac:dyDescent="0.25">
      <c r="A17" s="2">
        <v>45076</v>
      </c>
      <c r="B17" t="s">
        <v>0</v>
      </c>
      <c r="C17" s="9">
        <v>3.6595419999999997E-2</v>
      </c>
      <c r="L17" s="1"/>
      <c r="M17" s="17"/>
      <c r="N17">
        <f xml:space="preserve"> -0.0773*M17 + 0.3319</f>
        <v>0.33189999999999997</v>
      </c>
      <c r="P17">
        <f t="shared" si="4"/>
        <v>0</v>
      </c>
    </row>
    <row r="18" spans="1:16" x14ac:dyDescent="0.25">
      <c r="A18" s="2">
        <v>45233</v>
      </c>
    </row>
    <row r="22" spans="1:16" x14ac:dyDescent="0.25">
      <c r="A22" s="2"/>
      <c r="C22" s="3"/>
      <c r="D22" s="3"/>
      <c r="E22" s="3"/>
      <c r="G22" s="3"/>
      <c r="H22" s="3"/>
      <c r="J22" s="9"/>
      <c r="K22" s="9"/>
      <c r="M22" s="9"/>
    </row>
    <row r="23" spans="1:16" x14ac:dyDescent="0.25">
      <c r="A23" s="2"/>
      <c r="M23" s="3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D2ED-FD4B-4F8F-9E64-576040756B1E}">
  <dimension ref="A1:L22"/>
  <sheetViews>
    <sheetView topLeftCell="B1" workbookViewId="0">
      <selection activeCell="B22" sqref="B22"/>
    </sheetView>
  </sheetViews>
  <sheetFormatPr defaultRowHeight="15" x14ac:dyDescent="0.25"/>
  <cols>
    <col min="1" max="1" width="15.5703125" style="8" bestFit="1" customWidth="1"/>
    <col min="2" max="2" width="11.7109375" bestFit="1" customWidth="1"/>
    <col min="9" max="9" width="12" bestFit="1" customWidth="1"/>
  </cols>
  <sheetData>
    <row r="1" spans="1:12" x14ac:dyDescent="0.25">
      <c r="A1" s="8" t="s">
        <v>1</v>
      </c>
      <c r="B1" t="s">
        <v>2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7</v>
      </c>
      <c r="L1" t="s">
        <v>31</v>
      </c>
    </row>
    <row r="2" spans="1:12" x14ac:dyDescent="0.25">
      <c r="A2" s="8">
        <v>44725</v>
      </c>
    </row>
    <row r="3" spans="1:12" x14ac:dyDescent="0.25">
      <c r="A3" s="8">
        <v>44750</v>
      </c>
      <c r="B3" t="s">
        <v>65</v>
      </c>
      <c r="C3" t="s">
        <v>71</v>
      </c>
      <c r="D3" t="s">
        <v>72</v>
      </c>
      <c r="E3">
        <v>23.56666666666667</v>
      </c>
      <c r="F3">
        <v>41.384</v>
      </c>
      <c r="G3">
        <v>3.048</v>
      </c>
      <c r="H3">
        <v>3.048</v>
      </c>
      <c r="I3">
        <v>0.12933521923620933</v>
      </c>
      <c r="J3">
        <v>7.3651652812681226E-2</v>
      </c>
      <c r="K3">
        <v>0.394991173197279</v>
      </c>
      <c r="L3">
        <v>0.10149343602444527</v>
      </c>
    </row>
    <row r="4" spans="1:12" x14ac:dyDescent="0.25">
      <c r="A4" s="8">
        <v>44797</v>
      </c>
      <c r="B4" t="s">
        <v>65</v>
      </c>
      <c r="C4" t="s">
        <v>73</v>
      </c>
      <c r="D4" t="s">
        <v>74</v>
      </c>
      <c r="E4">
        <v>37.56666666666667</v>
      </c>
      <c r="F4">
        <v>35.281999999999996</v>
      </c>
      <c r="G4">
        <v>4.5720000000000001</v>
      </c>
      <c r="H4">
        <v>4.5720000000000001</v>
      </c>
      <c r="I4">
        <v>0.12170363797692989</v>
      </c>
      <c r="J4">
        <v>0.12958449067513181</v>
      </c>
      <c r="K4">
        <v>0.4256560711564622</v>
      </c>
      <c r="L4">
        <v>0.12564406432603084</v>
      </c>
    </row>
    <row r="5" spans="1:12" x14ac:dyDescent="0.25">
      <c r="A5" s="8">
        <v>44823</v>
      </c>
      <c r="B5" t="s">
        <v>65</v>
      </c>
      <c r="C5" t="s">
        <v>75</v>
      </c>
      <c r="D5" t="s">
        <v>76</v>
      </c>
      <c r="E5">
        <v>36.252000000000002</v>
      </c>
      <c r="F5">
        <v>24.15</v>
      </c>
      <c r="G5">
        <v>3.048</v>
      </c>
      <c r="H5">
        <v>4.5720000000000001</v>
      </c>
      <c r="I5">
        <v>8.4078119827871556E-2</v>
      </c>
      <c r="J5">
        <v>0.18931677018633541</v>
      </c>
      <c r="K5">
        <v>0.86087990571428463</v>
      </c>
      <c r="L5">
        <v>0.13669744500710349</v>
      </c>
    </row>
    <row r="6" spans="1:12" x14ac:dyDescent="0.25">
      <c r="A6" s="8">
        <v>44851</v>
      </c>
      <c r="B6" t="s">
        <v>65</v>
      </c>
      <c r="K6">
        <v>0.60558590000000001</v>
      </c>
      <c r="L6">
        <v>0.23090909100000001</v>
      </c>
    </row>
    <row r="7" spans="1:12" x14ac:dyDescent="0.25">
      <c r="A7" s="8">
        <v>44865</v>
      </c>
      <c r="B7" t="s">
        <v>65</v>
      </c>
      <c r="C7" t="s">
        <v>77</v>
      </c>
      <c r="D7" t="s">
        <v>78</v>
      </c>
      <c r="E7">
        <v>35.51</v>
      </c>
      <c r="F7">
        <v>1</v>
      </c>
      <c r="G7">
        <v>3.048</v>
      </c>
      <c r="H7">
        <v>0.15240000000000001</v>
      </c>
      <c r="I7">
        <v>8.5834976063080826E-2</v>
      </c>
      <c r="J7">
        <v>0.15240000000000001</v>
      </c>
      <c r="K7">
        <v>0.36919824176870691</v>
      </c>
      <c r="L7">
        <v>0.11911748803154042</v>
      </c>
    </row>
    <row r="8" spans="1:12" x14ac:dyDescent="0.25">
      <c r="A8" s="8">
        <v>44879</v>
      </c>
      <c r="B8" t="s">
        <v>65</v>
      </c>
      <c r="C8" t="s">
        <v>79</v>
      </c>
      <c r="E8">
        <v>13.2</v>
      </c>
      <c r="G8">
        <v>3.048</v>
      </c>
      <c r="I8">
        <v>0.23090909090909092</v>
      </c>
      <c r="K8">
        <v>0.25787672639455772</v>
      </c>
      <c r="L8">
        <f>I8</f>
        <v>0.23090909090909092</v>
      </c>
    </row>
    <row r="9" spans="1:12" x14ac:dyDescent="0.25">
      <c r="A9" s="8">
        <v>44893</v>
      </c>
      <c r="B9" t="s">
        <v>65</v>
      </c>
      <c r="C9" t="s">
        <v>80</v>
      </c>
      <c r="D9" t="s">
        <v>81</v>
      </c>
      <c r="E9">
        <v>36.46</v>
      </c>
      <c r="F9">
        <v>39.53</v>
      </c>
      <c r="G9">
        <v>4.5720000000000001</v>
      </c>
      <c r="H9">
        <v>4.5720000000000001</v>
      </c>
      <c r="I9">
        <v>0.12539769610532089</v>
      </c>
      <c r="J9">
        <v>0.1156589931697445</v>
      </c>
      <c r="K9">
        <v>0.27722239999999998</v>
      </c>
      <c r="L9">
        <v>0.23330000000000001</v>
      </c>
    </row>
    <row r="10" spans="1:12" x14ac:dyDescent="0.25">
      <c r="A10" s="8">
        <v>44907</v>
      </c>
      <c r="B10" t="s">
        <v>65</v>
      </c>
      <c r="C10" t="s">
        <v>82</v>
      </c>
      <c r="D10" t="s">
        <v>83</v>
      </c>
      <c r="E10">
        <v>28.2</v>
      </c>
      <c r="F10">
        <v>13.19</v>
      </c>
      <c r="G10">
        <v>3.048</v>
      </c>
      <c r="H10">
        <v>3.048</v>
      </c>
      <c r="I10">
        <v>0.10808510638297873</v>
      </c>
      <c r="J10">
        <v>0.23108415466262322</v>
      </c>
      <c r="K10">
        <v>0.28164640000000002</v>
      </c>
      <c r="L10">
        <v>0.23330000000000001</v>
      </c>
    </row>
    <row r="11" spans="1:12" x14ac:dyDescent="0.25">
      <c r="A11" s="8">
        <v>44930</v>
      </c>
      <c r="B11" t="s">
        <v>65</v>
      </c>
      <c r="C11">
        <v>0.4</v>
      </c>
      <c r="D11">
        <v>0.1</v>
      </c>
      <c r="E11">
        <v>0.4</v>
      </c>
      <c r="F11">
        <v>0.4</v>
      </c>
      <c r="K11">
        <v>0.26450829999999997</v>
      </c>
      <c r="L11">
        <v>9.9059999999999995E-2</v>
      </c>
    </row>
    <row r="12" spans="1:12" x14ac:dyDescent="0.25">
      <c r="A12" s="8">
        <v>44937</v>
      </c>
      <c r="B12" t="s">
        <v>65</v>
      </c>
      <c r="F12">
        <v>0.4</v>
      </c>
      <c r="G12">
        <v>0</v>
      </c>
      <c r="H12">
        <v>0.2</v>
      </c>
      <c r="I12">
        <v>0.5</v>
      </c>
      <c r="J12">
        <v>0.6</v>
      </c>
      <c r="K12">
        <v>0.25240439999999997</v>
      </c>
      <c r="L12">
        <v>0.10363200000000002</v>
      </c>
    </row>
    <row r="13" spans="1:12" x14ac:dyDescent="0.25">
      <c r="A13" s="8">
        <v>44951</v>
      </c>
      <c r="B13" t="s">
        <v>65</v>
      </c>
      <c r="E13">
        <v>30.67</v>
      </c>
      <c r="F13">
        <v>30.29</v>
      </c>
      <c r="G13">
        <v>3.048</v>
      </c>
      <c r="H13">
        <v>3.048</v>
      </c>
      <c r="I13">
        <v>9.9380502119334857E-2</v>
      </c>
      <c r="J13">
        <v>0.10062726972598218</v>
      </c>
      <c r="L13">
        <v>0.10000388592265852</v>
      </c>
    </row>
    <row r="14" spans="1:12" x14ac:dyDescent="0.25">
      <c r="A14" s="8">
        <v>44963</v>
      </c>
      <c r="B14" t="s">
        <v>65</v>
      </c>
      <c r="E14">
        <v>46.82</v>
      </c>
      <c r="F14">
        <v>21.29</v>
      </c>
      <c r="G14">
        <v>3.048</v>
      </c>
      <c r="H14">
        <v>1.524</v>
      </c>
      <c r="I14">
        <v>6.5100384451089274E-2</v>
      </c>
      <c r="J14">
        <v>7.158290277125412E-2</v>
      </c>
      <c r="L14">
        <v>6.8341643611171704E-2</v>
      </c>
    </row>
    <row r="15" spans="1:12" x14ac:dyDescent="0.25">
      <c r="A15" s="8">
        <v>44979</v>
      </c>
      <c r="B15" t="s">
        <v>65</v>
      </c>
      <c r="F15">
        <v>71.099999999999994</v>
      </c>
      <c r="H15">
        <f>CONVERT(18,"ft","m")</f>
        <v>5.4863999999999997</v>
      </c>
      <c r="L15">
        <f>H15/F15</f>
        <v>7.7164556962025316E-2</v>
      </c>
    </row>
    <row r="16" spans="1:12" x14ac:dyDescent="0.25">
      <c r="A16" s="8">
        <v>44993</v>
      </c>
      <c r="B16" t="s">
        <v>65</v>
      </c>
      <c r="E16">
        <v>41.29</v>
      </c>
      <c r="G16">
        <f>CONVERT(8.01,"ft","m")</f>
        <v>2.4414479999999998</v>
      </c>
      <c r="L16">
        <f>G16/E16</f>
        <v>5.9129280697505449E-2</v>
      </c>
    </row>
    <row r="17" spans="1:12" x14ac:dyDescent="0.25">
      <c r="A17" s="8">
        <v>45005</v>
      </c>
      <c r="B17" t="s">
        <v>65</v>
      </c>
      <c r="E17">
        <v>12.83</v>
      </c>
      <c r="F17">
        <v>15.09</v>
      </c>
      <c r="G17">
        <f>CONVERT(5,"ft","m")</f>
        <v>1.524</v>
      </c>
      <c r="I17">
        <f t="shared" ref="I17:I22" si="0">G17/E17</f>
        <v>0.11878409976617303</v>
      </c>
      <c r="J17">
        <f t="shared" ref="J17:J22" si="1">G17/F17</f>
        <v>0.10099403578528827</v>
      </c>
      <c r="L17">
        <f>AVERAGE(I17:J17)</f>
        <v>0.10988906777573065</v>
      </c>
    </row>
    <row r="18" spans="1:12" x14ac:dyDescent="0.25">
      <c r="A18" s="8">
        <v>45021</v>
      </c>
      <c r="B18" t="s">
        <v>65</v>
      </c>
      <c r="E18">
        <v>11.68</v>
      </c>
      <c r="F18">
        <v>12.59</v>
      </c>
      <c r="G18">
        <f>CONVERT(5,"ft","m")</f>
        <v>1.524</v>
      </c>
      <c r="I18">
        <f t="shared" si="0"/>
        <v>0.13047945205479453</v>
      </c>
      <c r="J18">
        <f t="shared" si="1"/>
        <v>0.1210484511517077</v>
      </c>
      <c r="L18">
        <f>AVERAGE(I18:J18)</f>
        <v>0.1257639516032511</v>
      </c>
    </row>
    <row r="19" spans="1:12" x14ac:dyDescent="0.25">
      <c r="A19" s="8">
        <v>45035</v>
      </c>
      <c r="B19" t="s">
        <v>65</v>
      </c>
      <c r="E19">
        <v>16.829999999999998</v>
      </c>
      <c r="F19">
        <v>16.86</v>
      </c>
      <c r="G19">
        <f>CONVERT(5,"ft","m")</f>
        <v>1.524</v>
      </c>
      <c r="I19">
        <f t="shared" si="0"/>
        <v>9.0552584670231737E-2</v>
      </c>
      <c r="J19">
        <f t="shared" si="1"/>
        <v>9.0391459074733102E-2</v>
      </c>
      <c r="L19">
        <f>AVERAGE(I19:J19)</f>
        <v>9.0472021872482419E-2</v>
      </c>
    </row>
    <row r="20" spans="1:12" x14ac:dyDescent="0.25">
      <c r="A20" s="8">
        <v>45049</v>
      </c>
      <c r="B20" t="s">
        <v>65</v>
      </c>
      <c r="E20">
        <v>15.48</v>
      </c>
      <c r="F20">
        <v>13.9</v>
      </c>
      <c r="G20">
        <f>CONVERT(5,"ft","m")</f>
        <v>1.524</v>
      </c>
      <c r="I20">
        <f t="shared" si="0"/>
        <v>9.8449612403100781E-2</v>
      </c>
      <c r="J20">
        <f t="shared" si="1"/>
        <v>0.10964028776978417</v>
      </c>
      <c r="L20">
        <f>AVERAGE(I20:J20)</f>
        <v>0.10404495008644248</v>
      </c>
    </row>
    <row r="21" spans="1:12" x14ac:dyDescent="0.25">
      <c r="A21" s="8">
        <v>45064</v>
      </c>
      <c r="B21" t="s">
        <v>65</v>
      </c>
      <c r="D21">
        <v>23.8</v>
      </c>
      <c r="E21">
        <v>30.9</v>
      </c>
      <c r="F21">
        <v>29.87</v>
      </c>
      <c r="G21">
        <f>CONVERT(5,"ft","m")</f>
        <v>1.524</v>
      </c>
      <c r="I21">
        <f t="shared" si="0"/>
        <v>4.9320388349514563E-2</v>
      </c>
      <c r="J21">
        <f t="shared" si="1"/>
        <v>5.1021091396049545E-2</v>
      </c>
      <c r="L21">
        <f>G21/AVERAGE(D21:F21)</f>
        <v>5.4061724015608367E-2</v>
      </c>
    </row>
    <row r="22" spans="1:12" x14ac:dyDescent="0.25">
      <c r="A22" s="8">
        <v>45089</v>
      </c>
      <c r="B22" t="s">
        <v>65</v>
      </c>
      <c r="E22">
        <v>43.4</v>
      </c>
      <c r="F22">
        <v>51.09</v>
      </c>
      <c r="G22">
        <v>1</v>
      </c>
      <c r="I22">
        <f t="shared" si="0"/>
        <v>2.3041474654377881E-2</v>
      </c>
      <c r="J22">
        <f t="shared" si="1"/>
        <v>1.9573302016050106E-2</v>
      </c>
      <c r="L22">
        <f>G22/AVERAGE(D22:F22)</f>
        <v>2.1166260979997881E-2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13426-5480-4A84-AC47-2881397B5345}">
  <dimension ref="A1:K23"/>
  <sheetViews>
    <sheetView workbookViewId="0">
      <selection activeCell="O16" sqref="O16"/>
    </sheetView>
  </sheetViews>
  <sheetFormatPr defaultRowHeight="15" x14ac:dyDescent="0.25"/>
  <cols>
    <col min="1" max="1" width="10.7109375" bestFit="1" customWidth="1"/>
    <col min="2" max="3" width="0" hidden="1" customWidth="1"/>
    <col min="4" max="4" width="12" customWidth="1"/>
    <col min="5" max="9" width="9.140625" customWidth="1"/>
  </cols>
  <sheetData>
    <row r="1" spans="1:11" x14ac:dyDescent="0.25">
      <c r="A1" t="s">
        <v>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1" x14ac:dyDescent="0.25">
      <c r="A2" s="2">
        <v>44740</v>
      </c>
      <c r="B2" s="4" t="s">
        <v>19</v>
      </c>
      <c r="C2" t="s">
        <v>20</v>
      </c>
      <c r="D2">
        <v>14.350000000000001</v>
      </c>
      <c r="E2">
        <v>19.533999999999999</v>
      </c>
      <c r="F2">
        <v>3.5559999999999996</v>
      </c>
      <c r="G2">
        <v>25</v>
      </c>
      <c r="H2">
        <v>0.24780487804878043</v>
      </c>
      <c r="I2">
        <v>1.2798198013719668</v>
      </c>
      <c r="J2">
        <f>AVERAGE(H2:I2)</f>
        <v>0.76381233971037366</v>
      </c>
    </row>
    <row r="3" spans="1:11" x14ac:dyDescent="0.25">
      <c r="A3" s="2">
        <v>44747</v>
      </c>
      <c r="B3" s="4" t="s">
        <v>21</v>
      </c>
      <c r="C3" t="s">
        <v>22</v>
      </c>
      <c r="D3">
        <v>38.033333333333331</v>
      </c>
      <c r="E3">
        <v>9.0839999999999996</v>
      </c>
      <c r="F3">
        <v>3.5559999999999996</v>
      </c>
      <c r="H3">
        <v>9.3496932515337416E-2</v>
      </c>
      <c r="J3">
        <f t="shared" ref="J3:J11" si="0">AVERAGE(H3:I3)</f>
        <v>9.3496932515337416E-2</v>
      </c>
    </row>
    <row r="4" spans="1:11" x14ac:dyDescent="0.25">
      <c r="A4" s="2">
        <v>44804</v>
      </c>
      <c r="B4" s="4" t="s">
        <v>23</v>
      </c>
      <c r="D4">
        <v>16.899999999999999</v>
      </c>
      <c r="E4">
        <v>0</v>
      </c>
      <c r="F4">
        <v>3.5559999999999996</v>
      </c>
      <c r="H4">
        <v>0.21041420118343196</v>
      </c>
      <c r="J4">
        <f t="shared" si="0"/>
        <v>0.21041420118343196</v>
      </c>
    </row>
    <row r="5" spans="1:11" x14ac:dyDescent="0.25">
      <c r="A5" s="2">
        <v>44830</v>
      </c>
      <c r="B5" s="5">
        <v>40.81</v>
      </c>
      <c r="C5" s="1"/>
      <c r="D5" s="1">
        <v>40.485999999999997</v>
      </c>
      <c r="E5" s="1"/>
      <c r="F5" s="1">
        <v>3.556</v>
      </c>
      <c r="G5" s="1"/>
      <c r="H5" s="1">
        <f t="shared" ref="H5:H11" si="1">F5/D5</f>
        <v>8.7832831102109377E-2</v>
      </c>
      <c r="I5" s="1"/>
      <c r="J5" s="1">
        <f t="shared" si="0"/>
        <v>8.7832831102109377E-2</v>
      </c>
    </row>
    <row r="6" spans="1:11" x14ac:dyDescent="0.25">
      <c r="A6" s="2">
        <v>44844</v>
      </c>
      <c r="B6" s="4" t="s">
        <v>24</v>
      </c>
      <c r="C6" t="s">
        <v>25</v>
      </c>
      <c r="D6">
        <v>14.084</v>
      </c>
      <c r="E6">
        <v>13.048</v>
      </c>
      <c r="F6">
        <v>3.556</v>
      </c>
      <c r="H6">
        <f t="shared" si="1"/>
        <v>0.25248508946322068</v>
      </c>
      <c r="I6">
        <f>F6/E6</f>
        <v>0.27253218884120173</v>
      </c>
      <c r="J6">
        <f t="shared" si="0"/>
        <v>0.26250863915221123</v>
      </c>
      <c r="K6" s="7"/>
    </row>
    <row r="7" spans="1:11" x14ac:dyDescent="0.25">
      <c r="A7" s="2">
        <v>44860</v>
      </c>
      <c r="B7" s="4">
        <v>9.32</v>
      </c>
      <c r="C7">
        <v>9.2100000000000009</v>
      </c>
      <c r="D7">
        <v>9.32</v>
      </c>
      <c r="E7">
        <v>9.2100000000000009</v>
      </c>
      <c r="F7">
        <v>3.556</v>
      </c>
      <c r="G7">
        <v>3.556</v>
      </c>
      <c r="H7">
        <f t="shared" si="1"/>
        <v>0.38154506437768237</v>
      </c>
      <c r="I7">
        <f>F7/E7</f>
        <v>0.38610206297502714</v>
      </c>
      <c r="J7">
        <f t="shared" si="0"/>
        <v>0.38382356367635473</v>
      </c>
    </row>
    <row r="8" spans="1:11" x14ac:dyDescent="0.25">
      <c r="A8" s="2">
        <v>44872</v>
      </c>
      <c r="B8" s="4">
        <v>9.11</v>
      </c>
      <c r="C8">
        <v>7.28</v>
      </c>
      <c r="D8">
        <v>9.11</v>
      </c>
      <c r="E8">
        <v>7.28</v>
      </c>
      <c r="F8">
        <v>3.556</v>
      </c>
      <c r="G8">
        <v>3.556</v>
      </c>
      <c r="H8">
        <f t="shared" si="1"/>
        <v>0.39034028540065863</v>
      </c>
      <c r="I8">
        <f>F8/E8</f>
        <v>0.48846153846153845</v>
      </c>
      <c r="J8">
        <f t="shared" si="0"/>
        <v>0.43940091193109854</v>
      </c>
    </row>
    <row r="9" spans="1:11" x14ac:dyDescent="0.25">
      <c r="A9" s="2">
        <v>44886</v>
      </c>
      <c r="B9" s="4" t="s">
        <v>26</v>
      </c>
      <c r="D9">
        <v>14.47</v>
      </c>
      <c r="F9">
        <v>3.556</v>
      </c>
      <c r="H9">
        <f t="shared" si="1"/>
        <v>0.24574982722874913</v>
      </c>
      <c r="J9">
        <f t="shared" si="0"/>
        <v>0.24574982722874913</v>
      </c>
    </row>
    <row r="10" spans="1:11" x14ac:dyDescent="0.25">
      <c r="A10" s="2">
        <v>44900</v>
      </c>
      <c r="B10" s="4" t="s">
        <v>27</v>
      </c>
      <c r="C10" t="s">
        <v>28</v>
      </c>
      <c r="D10">
        <v>12.54</v>
      </c>
      <c r="E10">
        <v>10.220000000000001</v>
      </c>
      <c r="F10">
        <v>3.556</v>
      </c>
      <c r="G10">
        <v>3.556</v>
      </c>
      <c r="H10">
        <f t="shared" si="1"/>
        <v>0.28357256778309414</v>
      </c>
      <c r="I10">
        <f t="shared" ref="I10:I11" si="2">F10/E10</f>
        <v>0.34794520547945201</v>
      </c>
      <c r="J10">
        <f>AVERAGE(H10:I10)</f>
        <v>0.31575888663127305</v>
      </c>
    </row>
    <row r="11" spans="1:11" x14ac:dyDescent="0.25">
      <c r="A11" s="2">
        <v>44914</v>
      </c>
      <c r="B11" s="4" t="s">
        <v>29</v>
      </c>
      <c r="C11" t="s">
        <v>30</v>
      </c>
      <c r="D11">
        <v>10.95</v>
      </c>
      <c r="E11">
        <v>16.38</v>
      </c>
      <c r="F11">
        <v>3.556</v>
      </c>
      <c r="G11">
        <v>3.556</v>
      </c>
      <c r="H11">
        <f t="shared" si="1"/>
        <v>0.32474885844748863</v>
      </c>
      <c r="I11">
        <f t="shared" si="2"/>
        <v>0.2170940170940171</v>
      </c>
      <c r="J11">
        <f t="shared" si="0"/>
        <v>0.27092143777075284</v>
      </c>
    </row>
    <row r="12" spans="1:11" x14ac:dyDescent="0.25">
      <c r="A12" s="2">
        <v>44929</v>
      </c>
      <c r="F12">
        <v>9.5</v>
      </c>
      <c r="G12">
        <v>8.77</v>
      </c>
      <c r="J12">
        <f>F11/AVERAGE(F12:G12)</f>
        <v>0.38927203065134103</v>
      </c>
    </row>
    <row r="13" spans="1:11" x14ac:dyDescent="0.25">
      <c r="A13" s="2">
        <v>44944</v>
      </c>
      <c r="J13">
        <f>CONVERT(0.8,"ft","m")</f>
        <v>0.24384</v>
      </c>
    </row>
    <row r="14" spans="1:11" x14ac:dyDescent="0.25">
      <c r="A14" s="2">
        <v>44958</v>
      </c>
      <c r="B14">
        <v>12.81</v>
      </c>
      <c r="C14">
        <v>12.76</v>
      </c>
      <c r="D14">
        <v>12.9</v>
      </c>
      <c r="F14">
        <v>3.556</v>
      </c>
      <c r="J14">
        <f>F14/AVERAGE(B14:D14)</f>
        <v>0.27730699246165846</v>
      </c>
    </row>
    <row r="15" spans="1:11" x14ac:dyDescent="0.25">
      <c r="A15" s="2">
        <v>44972</v>
      </c>
      <c r="D15">
        <v>24.89</v>
      </c>
      <c r="E15">
        <v>22.06</v>
      </c>
      <c r="F15">
        <v>3.556</v>
      </c>
      <c r="H15">
        <f>F15/E15</f>
        <v>0.16119673617407074</v>
      </c>
      <c r="I15">
        <f>F15/D15</f>
        <v>0.1428686219365207</v>
      </c>
      <c r="J15">
        <f t="shared" ref="J15:J21" si="3">AVERAGE(H15:I15)</f>
        <v>0.15203267905529572</v>
      </c>
    </row>
    <row r="16" spans="1:11" x14ac:dyDescent="0.25">
      <c r="A16" s="2">
        <v>44986</v>
      </c>
      <c r="D16">
        <v>35.159999999999997</v>
      </c>
      <c r="E16">
        <v>36.25</v>
      </c>
      <c r="F16">
        <v>3.556</v>
      </c>
      <c r="H16">
        <f>F16/E16</f>
        <v>9.8096551724137934E-2</v>
      </c>
      <c r="I16">
        <f>F16/D16</f>
        <v>0.10113765642775883</v>
      </c>
      <c r="J16">
        <f t="shared" si="3"/>
        <v>9.9617104075948384E-2</v>
      </c>
    </row>
    <row r="17" spans="1:10" x14ac:dyDescent="0.25">
      <c r="A17" s="2">
        <v>45000</v>
      </c>
      <c r="D17">
        <v>15.02</v>
      </c>
      <c r="E17">
        <v>19.61</v>
      </c>
      <c r="F17">
        <v>3.556</v>
      </c>
      <c r="H17">
        <f>F17/D17</f>
        <v>0.2367509986684421</v>
      </c>
      <c r="I17">
        <f>F17/E17</f>
        <v>0.18133605303416625</v>
      </c>
      <c r="J17">
        <f t="shared" si="3"/>
        <v>0.20904352585130417</v>
      </c>
    </row>
    <row r="18" spans="1:10" x14ac:dyDescent="0.25">
      <c r="A18" s="2">
        <v>45014</v>
      </c>
      <c r="D18">
        <v>22.45</v>
      </c>
      <c r="E18">
        <v>27.59</v>
      </c>
      <c r="F18">
        <v>3.556</v>
      </c>
      <c r="H18">
        <f>F18/D18</f>
        <v>0.15839643652561247</v>
      </c>
      <c r="I18">
        <f>F18/E18</f>
        <v>0.1288872779992751</v>
      </c>
      <c r="J18">
        <f t="shared" si="3"/>
        <v>0.14364185726244377</v>
      </c>
    </row>
    <row r="19" spans="1:10" x14ac:dyDescent="0.25">
      <c r="A19" s="2">
        <v>45021</v>
      </c>
      <c r="D19">
        <v>18.47</v>
      </c>
      <c r="E19">
        <v>14.66</v>
      </c>
      <c r="F19">
        <v>3.556</v>
      </c>
      <c r="H19">
        <f>F19/D19</f>
        <v>0.19252842447211696</v>
      </c>
      <c r="I19">
        <f>F19/E19</f>
        <v>0.24256480218281037</v>
      </c>
      <c r="J19">
        <f t="shared" si="3"/>
        <v>0.21754661332746367</v>
      </c>
    </row>
    <row r="20" spans="1:10" x14ac:dyDescent="0.25">
      <c r="A20" s="19">
        <v>45042</v>
      </c>
      <c r="D20">
        <v>11.12</v>
      </c>
      <c r="E20">
        <v>13.49</v>
      </c>
      <c r="F20">
        <v>3.556</v>
      </c>
      <c r="H20">
        <f>F20/D20</f>
        <v>0.31978417266187054</v>
      </c>
      <c r="I20">
        <f>F20/E20</f>
        <v>0.26360266864343956</v>
      </c>
      <c r="J20">
        <f t="shared" si="3"/>
        <v>0.29169342065265502</v>
      </c>
    </row>
    <row r="21" spans="1:10" x14ac:dyDescent="0.25">
      <c r="A21" s="2">
        <v>45064</v>
      </c>
      <c r="D21">
        <v>10.6</v>
      </c>
      <c r="E21">
        <v>9.25</v>
      </c>
      <c r="F21">
        <v>3.556</v>
      </c>
      <c r="H21">
        <f>F21/D21</f>
        <v>0.33547169811320754</v>
      </c>
      <c r="I21">
        <f>F21/E21</f>
        <v>0.38443243243243241</v>
      </c>
      <c r="J21">
        <f t="shared" si="3"/>
        <v>0.35995206527281998</v>
      </c>
    </row>
    <row r="22" spans="1:10" x14ac:dyDescent="0.25">
      <c r="A22" s="2">
        <v>45239</v>
      </c>
      <c r="D22">
        <v>0.9</v>
      </c>
      <c r="F22">
        <f>CONVERT(1, "ft", "m")</f>
        <v>0.30480000000000002</v>
      </c>
      <c r="J22">
        <f>F22</f>
        <v>0.30480000000000002</v>
      </c>
    </row>
    <row r="23" spans="1:10" x14ac:dyDescent="0.25">
      <c r="A23" s="2">
        <v>45127</v>
      </c>
      <c r="D23">
        <v>13.2</v>
      </c>
      <c r="F23">
        <f>CONVERT(5,"ft","m")</f>
        <v>1.524</v>
      </c>
      <c r="J23">
        <f>F23/D23</f>
        <v>0.11545454545454546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9CDDE-5949-473E-916A-DEBE521034D3}">
  <dimension ref="A1:Z41"/>
  <sheetViews>
    <sheetView zoomScale="90" zoomScaleNormal="90" workbookViewId="0">
      <pane xSplit="1" topLeftCell="J1" activePane="topRight" state="frozen"/>
      <selection pane="topRight" activeCell="AC9" sqref="AC9"/>
    </sheetView>
  </sheetViews>
  <sheetFormatPr defaultRowHeight="15" x14ac:dyDescent="0.25"/>
  <cols>
    <col min="1" max="1" width="11.5703125" bestFit="1" customWidth="1"/>
    <col min="2" max="2" width="12.7109375" bestFit="1" customWidth="1"/>
    <col min="3" max="3" width="12.42578125" hidden="1" customWidth="1"/>
    <col min="4" max="9" width="0" hidden="1" customWidth="1"/>
    <col min="10" max="11" width="9.140625" customWidth="1"/>
    <col min="14" max="15" width="0" hidden="1" customWidth="1"/>
    <col min="16" max="16" width="9.7109375" bestFit="1" customWidth="1"/>
    <col min="17" max="17" width="13.42578125" bestFit="1" customWidth="1"/>
  </cols>
  <sheetData>
    <row r="1" spans="1:26" x14ac:dyDescent="0.25">
      <c r="A1" t="s">
        <v>1</v>
      </c>
      <c r="B1" t="s">
        <v>2</v>
      </c>
      <c r="C1" t="s">
        <v>3</v>
      </c>
      <c r="D1" t="s">
        <v>4</v>
      </c>
      <c r="E1" t="s">
        <v>4</v>
      </c>
      <c r="F1" t="s">
        <v>8</v>
      </c>
      <c r="G1" t="s">
        <v>5</v>
      </c>
      <c r="H1" t="s">
        <v>5</v>
      </c>
      <c r="I1" t="s">
        <v>9</v>
      </c>
      <c r="J1" t="s">
        <v>6</v>
      </c>
      <c r="K1" t="s">
        <v>6</v>
      </c>
      <c r="L1" t="s">
        <v>63</v>
      </c>
      <c r="M1" t="s">
        <v>3</v>
      </c>
      <c r="N1" t="s">
        <v>8</v>
      </c>
      <c r="O1" t="s">
        <v>9</v>
      </c>
      <c r="P1" t="s">
        <v>7</v>
      </c>
      <c r="Q1" t="s">
        <v>31</v>
      </c>
      <c r="R1" t="s">
        <v>32</v>
      </c>
      <c r="S1" t="s">
        <v>102</v>
      </c>
    </row>
    <row r="2" spans="1:26" x14ac:dyDescent="0.25">
      <c r="A2" s="6">
        <v>44830</v>
      </c>
      <c r="B2" t="s">
        <v>64</v>
      </c>
      <c r="C2" s="3">
        <v>3.5997870000000001E-2</v>
      </c>
      <c r="D2" s="3">
        <v>0.96499460000000004</v>
      </c>
      <c r="E2" s="3">
        <v>0.53533379999999997</v>
      </c>
      <c r="F2">
        <f>AVERAGE(D2:E2)</f>
        <v>0.75016419999999995</v>
      </c>
      <c r="G2" s="3">
        <v>0.86118269999999997</v>
      </c>
      <c r="H2" s="3">
        <v>0.47622229999999999</v>
      </c>
      <c r="I2">
        <f>AVERAGE(G2:H2)</f>
        <v>0.66870249999999998</v>
      </c>
      <c r="J2" s="9">
        <v>1.2375039999999999</v>
      </c>
      <c r="K2" s="3"/>
      <c r="L2" s="9">
        <v>1.2375039999999999</v>
      </c>
      <c r="M2" s="9">
        <v>3.7215640000000001E-2</v>
      </c>
      <c r="P2" s="3">
        <v>0.82705530000000005</v>
      </c>
      <c r="U2" s="6"/>
      <c r="Z2" s="3"/>
    </row>
    <row r="3" spans="1:26" x14ac:dyDescent="0.25">
      <c r="A3" s="6">
        <v>44858</v>
      </c>
      <c r="B3" t="s">
        <v>64</v>
      </c>
      <c r="C3" s="3">
        <v>3.6344950000000001E-2</v>
      </c>
      <c r="D3" s="3">
        <v>0.25572669999999997</v>
      </c>
      <c r="E3" s="3">
        <v>0.29313850000000002</v>
      </c>
      <c r="F3">
        <f t="shared" ref="F3:F9" si="0">AVERAGE(D3:E3)</f>
        <v>0.27443260000000003</v>
      </c>
      <c r="G3" s="3">
        <v>0.26176339999999998</v>
      </c>
      <c r="H3" s="3">
        <v>0.2283559</v>
      </c>
      <c r="I3">
        <f t="shared" ref="I3:I12" si="1">AVERAGE(G3:H3)</f>
        <v>0.24505964999999999</v>
      </c>
      <c r="J3" s="9">
        <v>6.10006</v>
      </c>
      <c r="K3" s="9">
        <v>6.7242430000000004</v>
      </c>
      <c r="L3" s="1">
        <f>J3</f>
        <v>6.10006</v>
      </c>
      <c r="M3" s="9">
        <v>3.6344950000000001E-2</v>
      </c>
      <c r="P3" s="17">
        <v>0.49025730000000001</v>
      </c>
      <c r="Q3">
        <f>Sheet4!K7</f>
        <v>9.0498812351543945E-2</v>
      </c>
      <c r="R3">
        <f t="shared" ref="R3:R10" si="2">CONVERT(Q3,"m","cm")</f>
        <v>9.0498812351543947</v>
      </c>
      <c r="S3">
        <f t="shared" ref="S3:S16" si="3">Q3/P3</f>
        <v>0.18459452281800587</v>
      </c>
      <c r="U3" s="6"/>
      <c r="Z3" s="3"/>
    </row>
    <row r="4" spans="1:26" s="1" customFormat="1" x14ac:dyDescent="0.25">
      <c r="A4" s="10">
        <v>44872</v>
      </c>
      <c r="B4" s="1" t="s">
        <v>64</v>
      </c>
      <c r="C4" s="11">
        <v>3.6245359999999997E-2</v>
      </c>
      <c r="D4" s="11">
        <v>1.7765690000000001</v>
      </c>
      <c r="E4" s="11">
        <v>2.0245220000000002</v>
      </c>
      <c r="F4" s="1">
        <f t="shared" si="0"/>
        <v>1.9005455000000002</v>
      </c>
      <c r="G4" s="11">
        <v>1.9898579999999999</v>
      </c>
      <c r="H4" s="11">
        <v>1.807517</v>
      </c>
      <c r="I4" s="1">
        <f t="shared" si="1"/>
        <v>1.8986874999999999</v>
      </c>
      <c r="J4" s="9">
        <v>2.289793</v>
      </c>
      <c r="K4" s="9">
        <v>2.2480129999999998</v>
      </c>
      <c r="L4" s="1">
        <f>AVERAGE(J4:K4)</f>
        <v>2.2689029999999999</v>
      </c>
      <c r="P4" s="11">
        <v>0.45149099999999998</v>
      </c>
      <c r="Q4" s="1">
        <f>Sheet4!K8</f>
        <v>7.4432234432234429E-2</v>
      </c>
      <c r="R4" s="1">
        <f t="shared" si="2"/>
        <v>7.4432234432234425</v>
      </c>
      <c r="S4" s="1">
        <f>Q4/P4</f>
        <v>0.16485873346807453</v>
      </c>
      <c r="U4" s="10"/>
      <c r="W4" s="11"/>
      <c r="Z4" s="11"/>
    </row>
    <row r="5" spans="1:26" s="1" customFormat="1" x14ac:dyDescent="0.25">
      <c r="A5" s="10">
        <v>44886</v>
      </c>
      <c r="B5" s="1" t="s">
        <v>64</v>
      </c>
      <c r="C5" s="11">
        <v>3.6555200000000003E-2</v>
      </c>
      <c r="D5" s="11">
        <v>1.045973</v>
      </c>
      <c r="E5" s="11">
        <v>1.233209</v>
      </c>
      <c r="F5" s="1">
        <f t="shared" si="0"/>
        <v>1.139591</v>
      </c>
      <c r="G5" s="11">
        <v>0.93436490000000005</v>
      </c>
      <c r="H5" s="11">
        <v>1.101623</v>
      </c>
      <c r="I5" s="1">
        <f t="shared" si="1"/>
        <v>1.0179939500000001</v>
      </c>
      <c r="J5" s="9">
        <v>3.5770819999999999</v>
      </c>
      <c r="K5" s="9">
        <v>3.0230890000000001</v>
      </c>
      <c r="L5" s="1">
        <f t="shared" ref="L5:L18" si="4">AVERAGE(J5:K5)</f>
        <v>3.3000854999999998</v>
      </c>
      <c r="M5" s="1">
        <v>3.6555200000000003E-2</v>
      </c>
      <c r="P5" s="11">
        <v>0.46726030000000002</v>
      </c>
      <c r="Q5" s="1">
        <f>Sheet4!K9</f>
        <v>0.13205184611973625</v>
      </c>
      <c r="R5" s="1">
        <f t="shared" si="2"/>
        <v>13.205184611973625</v>
      </c>
      <c r="S5" s="1">
        <f t="shared" si="3"/>
        <v>0.28260874317748852</v>
      </c>
      <c r="U5" s="10"/>
      <c r="W5" s="11"/>
      <c r="Z5" s="11"/>
    </row>
    <row r="6" spans="1:26" s="1" customFormat="1" x14ac:dyDescent="0.25">
      <c r="A6" s="10">
        <v>44900</v>
      </c>
      <c r="B6" s="1" t="s">
        <v>64</v>
      </c>
      <c r="C6" s="11">
        <v>3.6484950000000002E-2</v>
      </c>
      <c r="D6" s="11">
        <v>0.47232750000000001</v>
      </c>
      <c r="E6" s="11">
        <v>0.60754779999999997</v>
      </c>
      <c r="F6" s="1">
        <f t="shared" si="0"/>
        <v>0.53993764999999994</v>
      </c>
      <c r="G6" s="11">
        <v>0.4218771</v>
      </c>
      <c r="H6" s="11">
        <v>0.54265419999999998</v>
      </c>
      <c r="I6" s="1">
        <f t="shared" si="1"/>
        <v>0.48226564999999999</v>
      </c>
      <c r="J6" s="9">
        <v>4.7075870000000002</v>
      </c>
      <c r="K6" s="9">
        <v>5.5083399999999996</v>
      </c>
      <c r="L6" s="1">
        <f t="shared" si="4"/>
        <v>5.1079635000000003</v>
      </c>
      <c r="M6" s="9">
        <v>3.6484950000000002E-2</v>
      </c>
      <c r="P6" s="11">
        <v>0.4380986</v>
      </c>
      <c r="Q6" s="1">
        <f>Sheet4!K10</f>
        <v>0.16555581048725418</v>
      </c>
      <c r="R6" s="1">
        <f t="shared" si="2"/>
        <v>16.555581048725418</v>
      </c>
      <c r="S6" s="1">
        <f t="shared" si="3"/>
        <v>0.3778962326911206</v>
      </c>
    </row>
    <row r="7" spans="1:26" s="1" customFormat="1" x14ac:dyDescent="0.25">
      <c r="A7" s="10">
        <v>44915</v>
      </c>
      <c r="B7" s="1" t="s">
        <v>64</v>
      </c>
      <c r="C7" s="11">
        <v>3.6878500000000002E-2</v>
      </c>
      <c r="D7" s="11">
        <v>0.3022106</v>
      </c>
      <c r="E7" s="11">
        <v>0.29465330000000001</v>
      </c>
      <c r="F7" s="1">
        <f t="shared" si="0"/>
        <v>0.29843195</v>
      </c>
      <c r="G7" s="11">
        <v>0.27011639999999998</v>
      </c>
      <c r="H7" s="11">
        <v>0.26336179999999998</v>
      </c>
      <c r="I7" s="1">
        <f t="shared" si="1"/>
        <v>0.26673910000000001</v>
      </c>
      <c r="J7" s="9">
        <v>8.9504169999999998</v>
      </c>
      <c r="K7" s="9">
        <v>9.1028090000000006</v>
      </c>
      <c r="L7" s="1">
        <f t="shared" si="4"/>
        <v>9.0266130000000011</v>
      </c>
      <c r="M7" s="9">
        <v>3.6878500000000002E-2</v>
      </c>
      <c r="P7" s="11">
        <v>0.42124850000000003</v>
      </c>
      <c r="Q7" s="1">
        <f>AVERAGE(Q6,Q8)</f>
        <v>0.15135790524362708</v>
      </c>
      <c r="R7" s="1">
        <f t="shared" si="2"/>
        <v>15.135790524362708</v>
      </c>
      <c r="S7" s="1">
        <f t="shared" si="3"/>
        <v>0.35930787941945685</v>
      </c>
    </row>
    <row r="8" spans="1:26" x14ac:dyDescent="0.25">
      <c r="A8" s="6">
        <v>44929</v>
      </c>
      <c r="B8" t="s">
        <v>64</v>
      </c>
      <c r="C8" s="3">
        <v>3.781756E-2</v>
      </c>
      <c r="D8" s="3">
        <v>0.65779569999999998</v>
      </c>
      <c r="E8" s="3">
        <v>0.41005449999999999</v>
      </c>
      <c r="F8">
        <f t="shared" si="0"/>
        <v>0.53392510000000004</v>
      </c>
      <c r="G8" s="3">
        <v>0.58889530000000001</v>
      </c>
      <c r="H8" s="3">
        <v>0.36710359999999997</v>
      </c>
      <c r="I8">
        <f t="shared" si="1"/>
        <v>0.47799944999999999</v>
      </c>
      <c r="J8" s="9">
        <v>5.5590900000000003</v>
      </c>
      <c r="K8" s="9">
        <v>7.686045</v>
      </c>
      <c r="L8" s="1">
        <f t="shared" si="4"/>
        <v>6.6225675000000006</v>
      </c>
      <c r="M8" s="9">
        <v>3.781756E-2</v>
      </c>
      <c r="P8" s="3">
        <v>0.4075028</v>
      </c>
      <c r="Q8">
        <f>Sheet4!K12</f>
        <v>0.13715999999999998</v>
      </c>
      <c r="R8">
        <f t="shared" si="2"/>
        <v>13.715999999999998</v>
      </c>
      <c r="S8">
        <f t="shared" si="3"/>
        <v>0.33658664431262797</v>
      </c>
    </row>
    <row r="9" spans="1:26" x14ac:dyDescent="0.25">
      <c r="A9" s="6">
        <v>44944</v>
      </c>
      <c r="B9" t="s">
        <v>64</v>
      </c>
      <c r="C9" s="3">
        <v>3.8667819999999999E-2</v>
      </c>
      <c r="D9" s="3">
        <v>0.29632890000000001</v>
      </c>
      <c r="E9" s="3">
        <v>0.31481350000000002</v>
      </c>
      <c r="F9">
        <f t="shared" si="0"/>
        <v>0.30557120000000004</v>
      </c>
      <c r="G9" s="3">
        <v>0.26567610000000003</v>
      </c>
      <c r="H9" s="3">
        <v>0.28224870000000002</v>
      </c>
      <c r="I9">
        <f t="shared" si="1"/>
        <v>0.27396240000000005</v>
      </c>
      <c r="J9" s="9">
        <v>10.87335</v>
      </c>
      <c r="K9" s="9">
        <v>10.31127</v>
      </c>
      <c r="L9" s="1">
        <f t="shared" si="4"/>
        <v>10.592310000000001</v>
      </c>
      <c r="M9" s="9">
        <v>3.8667819999999999E-2</v>
      </c>
      <c r="P9" s="3">
        <v>0.3699016</v>
      </c>
      <c r="Q9">
        <f>Sheet4!K13</f>
        <v>0.19507199999999997</v>
      </c>
      <c r="R9">
        <f t="shared" si="2"/>
        <v>19.507199999999997</v>
      </c>
      <c r="S9">
        <f t="shared" si="3"/>
        <v>0.52736187137335977</v>
      </c>
    </row>
    <row r="10" spans="1:26" x14ac:dyDescent="0.25">
      <c r="A10" s="6">
        <v>44958</v>
      </c>
      <c r="B10" t="s">
        <v>64</v>
      </c>
      <c r="C10" s="3">
        <v>3.8292930000000003E-2</v>
      </c>
      <c r="D10" s="3">
        <v>0.41591620000000001</v>
      </c>
      <c r="E10" s="3">
        <v>0.55361459999999996</v>
      </c>
      <c r="F10">
        <f>AVERAGE(D10:E10)</f>
        <v>0.48476540000000001</v>
      </c>
      <c r="G10" s="3">
        <v>0.37265480000000001</v>
      </c>
      <c r="H10" s="3">
        <v>0.49603059999999999</v>
      </c>
      <c r="I10">
        <f t="shared" si="1"/>
        <v>0.43434269999999997</v>
      </c>
      <c r="J10" s="9">
        <v>8.4231839999999991</v>
      </c>
      <c r="K10" s="9">
        <v>6.961055</v>
      </c>
      <c r="L10" s="1">
        <f t="shared" si="4"/>
        <v>7.6921194999999996</v>
      </c>
      <c r="M10" s="9">
        <v>3.8261009999999998E-2</v>
      </c>
      <c r="P10" s="3">
        <v>0.39349390000000001</v>
      </c>
      <c r="Q10">
        <f>AVERAGE(Q9,Q11)</f>
        <v>0.18592799999999998</v>
      </c>
      <c r="R10">
        <f t="shared" si="2"/>
        <v>18.592799999999997</v>
      </c>
      <c r="S10">
        <f t="shared" si="3"/>
        <v>0.47250541876252716</v>
      </c>
    </row>
    <row r="11" spans="1:26" x14ac:dyDescent="0.25">
      <c r="A11" s="2">
        <v>44972</v>
      </c>
      <c r="B11" t="s">
        <v>64</v>
      </c>
      <c r="C11">
        <v>3.8261009999999998E-2</v>
      </c>
      <c r="D11">
        <v>0.47325879999999998</v>
      </c>
      <c r="E11">
        <v>0.49897190000000002</v>
      </c>
      <c r="F11">
        <f>AVERAGE(D11:E11)</f>
        <v>0.48611535</v>
      </c>
      <c r="G11">
        <v>0.42400979999999999</v>
      </c>
      <c r="H11">
        <v>0.44704709999999998</v>
      </c>
      <c r="I11">
        <f t="shared" si="1"/>
        <v>0.43552844999999996</v>
      </c>
      <c r="J11" s="9">
        <v>9.1813730000000007</v>
      </c>
      <c r="K11" s="9">
        <v>9.1707590000000003</v>
      </c>
      <c r="L11" s="1">
        <f t="shared" si="4"/>
        <v>9.1760660000000005</v>
      </c>
      <c r="M11" s="9">
        <v>3.7880520000000001E-2</v>
      </c>
      <c r="P11">
        <v>0.33838479999999999</v>
      </c>
      <c r="Q11">
        <f>Sheet4!K15</f>
        <v>0.17678399999999997</v>
      </c>
      <c r="R11">
        <f t="shared" ref="R11:R16" si="5">CONVERT(Q11,"m","cm")</f>
        <v>17.678399999999996</v>
      </c>
      <c r="S11">
        <f t="shared" si="3"/>
        <v>0.52243481385688717</v>
      </c>
    </row>
    <row r="12" spans="1:26" x14ac:dyDescent="0.25">
      <c r="A12" s="2">
        <v>44986</v>
      </c>
      <c r="B12" t="s">
        <v>64</v>
      </c>
      <c r="C12" s="3">
        <v>3.6726509999999997E-2</v>
      </c>
      <c r="D12" s="3">
        <v>0.35925639999999998</v>
      </c>
      <c r="E12" s="3">
        <v>0.29065619999999998</v>
      </c>
      <c r="F12">
        <f>AVERAGE(D12:E12)</f>
        <v>0.32495629999999998</v>
      </c>
      <c r="G12" s="3">
        <v>0.321019</v>
      </c>
      <c r="H12" s="3">
        <v>0.25972030000000002</v>
      </c>
      <c r="I12">
        <f t="shared" si="1"/>
        <v>0.29036965000000003</v>
      </c>
      <c r="J12" s="9">
        <v>9.3730239999999991</v>
      </c>
      <c r="K12" s="9">
        <v>10.795170000000001</v>
      </c>
      <c r="L12" s="1">
        <f t="shared" si="4"/>
        <v>10.084097</v>
      </c>
      <c r="M12" s="9">
        <v>3.6696199999999998E-2</v>
      </c>
      <c r="P12" s="3">
        <v>0.38335439999999998</v>
      </c>
      <c r="Q12">
        <f>Sheet4!K16</f>
        <v>0.20116800000000001</v>
      </c>
      <c r="R12">
        <f t="shared" si="5"/>
        <v>20.116800000000001</v>
      </c>
      <c r="S12">
        <f t="shared" si="3"/>
        <v>0.52475724812340752</v>
      </c>
    </row>
    <row r="13" spans="1:26" x14ac:dyDescent="0.25">
      <c r="A13" s="2">
        <v>45000</v>
      </c>
      <c r="B13" t="s">
        <v>64</v>
      </c>
      <c r="L13" s="1"/>
      <c r="M13">
        <v>3.7401160000000003E-2</v>
      </c>
      <c r="P13" s="17">
        <v>0.41536309999999999</v>
      </c>
      <c r="Q13">
        <f>Sheet4!K17</f>
        <v>0.20319999999999999</v>
      </c>
      <c r="R13">
        <f t="shared" si="5"/>
        <v>20.32</v>
      </c>
      <c r="S13">
        <f t="shared" si="3"/>
        <v>0.48921052447846236</v>
      </c>
    </row>
    <row r="14" spans="1:26" x14ac:dyDescent="0.25">
      <c r="A14" s="2">
        <v>45014</v>
      </c>
      <c r="B14" t="s">
        <v>64</v>
      </c>
      <c r="L14" s="1"/>
      <c r="M14">
        <v>3.6575299999999998E-2</v>
      </c>
      <c r="N14" s="9">
        <v>0.39120749999999999</v>
      </c>
      <c r="O14" s="9">
        <v>0.34947699999999998</v>
      </c>
      <c r="P14" s="3">
        <v>0.3952735</v>
      </c>
      <c r="Q14">
        <f>Sheet4!K18</f>
        <v>0.1016</v>
      </c>
      <c r="R14">
        <f t="shared" si="5"/>
        <v>10.16</v>
      </c>
      <c r="S14">
        <f t="shared" si="3"/>
        <v>0.25703721600360258</v>
      </c>
    </row>
    <row r="15" spans="1:26" x14ac:dyDescent="0.25">
      <c r="A15" s="2">
        <v>45028</v>
      </c>
      <c r="B15" t="s">
        <v>64</v>
      </c>
      <c r="L15" s="1"/>
      <c r="M15" s="9">
        <v>3.7215640000000001E-2</v>
      </c>
      <c r="P15" s="17">
        <v>0.34819040000000001</v>
      </c>
      <c r="Q15">
        <f>Sheet4!K19</f>
        <v>0.140208</v>
      </c>
      <c r="R15">
        <f t="shared" si="5"/>
        <v>14.020799999999999</v>
      </c>
      <c r="S15">
        <f t="shared" si="3"/>
        <v>0.40267623690946103</v>
      </c>
    </row>
    <row r="16" spans="1:26" x14ac:dyDescent="0.25">
      <c r="A16" s="2">
        <v>45042</v>
      </c>
      <c r="B16" t="s">
        <v>64</v>
      </c>
      <c r="L16" s="1"/>
      <c r="M16" s="9">
        <v>3.6255299999999997E-2</v>
      </c>
      <c r="P16" s="17">
        <v>0.30628420000000001</v>
      </c>
      <c r="Q16">
        <f>Sheet4!K20</f>
        <v>0.17525999999999997</v>
      </c>
      <c r="R16">
        <f t="shared" si="5"/>
        <v>17.525999999999996</v>
      </c>
      <c r="S16">
        <f t="shared" si="3"/>
        <v>0.57221364993688861</v>
      </c>
    </row>
    <row r="17" spans="1:19" x14ac:dyDescent="0.25">
      <c r="A17" s="2">
        <v>45063</v>
      </c>
      <c r="B17" t="s">
        <v>64</v>
      </c>
      <c r="L17" s="1"/>
      <c r="M17">
        <v>3.5968310000000003E-2</v>
      </c>
      <c r="P17">
        <v>0.29804009999999997</v>
      </c>
      <c r="Q17">
        <f>Sheet4!K22</f>
        <v>0.23774400000000001</v>
      </c>
      <c r="R17">
        <f>CONVERT(Q17,"m","cm")</f>
        <v>23.7744</v>
      </c>
      <c r="S17">
        <f>Q17/P17</f>
        <v>0.79769131737642029</v>
      </c>
    </row>
    <row r="18" spans="1:19" x14ac:dyDescent="0.25">
      <c r="A18" s="2">
        <v>45076</v>
      </c>
      <c r="B18" t="s">
        <v>64</v>
      </c>
      <c r="K18" s="9">
        <v>7.8568749999999996</v>
      </c>
      <c r="L18" s="1">
        <f t="shared" si="4"/>
        <v>7.8568749999999996</v>
      </c>
      <c r="M18" s="9">
        <v>3.5948630000000002E-2</v>
      </c>
      <c r="P18">
        <v>0.34069490000000002</v>
      </c>
      <c r="Q18">
        <f>Sheet4!K23</f>
        <v>0.18287999999999999</v>
      </c>
      <c r="R18">
        <f>CONVERT(Q18,"m","cm")</f>
        <v>18.288</v>
      </c>
      <c r="S18">
        <f>Q18/P18</f>
        <v>0.53678525859940951</v>
      </c>
    </row>
    <row r="24" spans="1:19" x14ac:dyDescent="0.25">
      <c r="Q24" t="s">
        <v>7</v>
      </c>
      <c r="R24" t="s">
        <v>31</v>
      </c>
    </row>
    <row r="25" spans="1:19" x14ac:dyDescent="0.25">
      <c r="P25" s="2">
        <f>A2</f>
        <v>44830</v>
      </c>
      <c r="Q25">
        <f>P2</f>
        <v>0.82705530000000005</v>
      </c>
    </row>
    <row r="26" spans="1:19" x14ac:dyDescent="0.25">
      <c r="P26" s="2">
        <f t="shared" ref="P26:P41" si="6">A3</f>
        <v>44858</v>
      </c>
      <c r="Q26">
        <f t="shared" ref="Q26:R41" si="7">P3</f>
        <v>0.49025730000000001</v>
      </c>
      <c r="R26">
        <f t="shared" si="7"/>
        <v>9.0498812351543945E-2</v>
      </c>
    </row>
    <row r="27" spans="1:19" x14ac:dyDescent="0.25">
      <c r="P27" s="2">
        <f t="shared" si="6"/>
        <v>44872</v>
      </c>
      <c r="Q27">
        <f t="shared" si="7"/>
        <v>0.45149099999999998</v>
      </c>
    </row>
    <row r="28" spans="1:19" x14ac:dyDescent="0.25">
      <c r="P28" s="2">
        <f t="shared" si="6"/>
        <v>44886</v>
      </c>
      <c r="Q28">
        <f t="shared" si="7"/>
        <v>0.46726030000000002</v>
      </c>
      <c r="R28">
        <f t="shared" si="7"/>
        <v>0.13205184611973625</v>
      </c>
    </row>
    <row r="29" spans="1:19" x14ac:dyDescent="0.25">
      <c r="P29" s="2">
        <f t="shared" si="6"/>
        <v>44900</v>
      </c>
      <c r="Q29">
        <f t="shared" si="7"/>
        <v>0.4380986</v>
      </c>
      <c r="R29">
        <f t="shared" si="7"/>
        <v>0.16555581048725418</v>
      </c>
    </row>
    <row r="30" spans="1:19" x14ac:dyDescent="0.25">
      <c r="P30" s="2">
        <f t="shared" si="6"/>
        <v>44915</v>
      </c>
      <c r="Q30">
        <f t="shared" si="7"/>
        <v>0.42124850000000003</v>
      </c>
      <c r="R30">
        <f t="shared" si="7"/>
        <v>0.15135790524362708</v>
      </c>
    </row>
    <row r="31" spans="1:19" x14ac:dyDescent="0.25">
      <c r="P31" s="2">
        <f t="shared" si="6"/>
        <v>44929</v>
      </c>
      <c r="Q31">
        <f t="shared" si="7"/>
        <v>0.4075028</v>
      </c>
      <c r="R31">
        <f t="shared" si="7"/>
        <v>0.13715999999999998</v>
      </c>
    </row>
    <row r="32" spans="1:19" x14ac:dyDescent="0.25">
      <c r="P32" s="2">
        <f t="shared" si="6"/>
        <v>44944</v>
      </c>
      <c r="Q32">
        <f t="shared" si="7"/>
        <v>0.3699016</v>
      </c>
      <c r="R32">
        <f t="shared" si="7"/>
        <v>0.19507199999999997</v>
      </c>
    </row>
    <row r="33" spans="16:18" x14ac:dyDescent="0.25">
      <c r="P33" s="2">
        <f t="shared" si="6"/>
        <v>44958</v>
      </c>
      <c r="Q33">
        <f t="shared" si="7"/>
        <v>0.39349390000000001</v>
      </c>
      <c r="R33">
        <f t="shared" si="7"/>
        <v>0.18592799999999998</v>
      </c>
    </row>
    <row r="34" spans="16:18" x14ac:dyDescent="0.25">
      <c r="P34" s="2">
        <f t="shared" si="6"/>
        <v>44972</v>
      </c>
      <c r="Q34">
        <f t="shared" si="7"/>
        <v>0.33838479999999999</v>
      </c>
      <c r="R34">
        <f t="shared" si="7"/>
        <v>0.17678399999999997</v>
      </c>
    </row>
    <row r="35" spans="16:18" x14ac:dyDescent="0.25">
      <c r="P35" s="2">
        <f t="shared" si="6"/>
        <v>44986</v>
      </c>
      <c r="Q35">
        <f t="shared" si="7"/>
        <v>0.38335439999999998</v>
      </c>
      <c r="R35">
        <f t="shared" si="7"/>
        <v>0.20116800000000001</v>
      </c>
    </row>
    <row r="36" spans="16:18" x14ac:dyDescent="0.25">
      <c r="P36" s="2">
        <f t="shared" si="6"/>
        <v>45000</v>
      </c>
      <c r="Q36">
        <f t="shared" si="7"/>
        <v>0.41536309999999999</v>
      </c>
      <c r="R36">
        <f t="shared" si="7"/>
        <v>0.20319999999999999</v>
      </c>
    </row>
    <row r="37" spans="16:18" x14ac:dyDescent="0.25">
      <c r="P37" s="2">
        <f t="shared" si="6"/>
        <v>45014</v>
      </c>
      <c r="Q37">
        <f t="shared" si="7"/>
        <v>0.3952735</v>
      </c>
      <c r="R37">
        <f t="shared" si="7"/>
        <v>0.1016</v>
      </c>
    </row>
    <row r="38" spans="16:18" x14ac:dyDescent="0.25">
      <c r="P38" s="2">
        <f t="shared" si="6"/>
        <v>45028</v>
      </c>
      <c r="Q38">
        <f t="shared" si="7"/>
        <v>0.34819040000000001</v>
      </c>
      <c r="R38">
        <f t="shared" si="7"/>
        <v>0.140208</v>
      </c>
    </row>
    <row r="39" spans="16:18" x14ac:dyDescent="0.25">
      <c r="P39" s="2">
        <f t="shared" si="6"/>
        <v>45042</v>
      </c>
      <c r="Q39">
        <f t="shared" si="7"/>
        <v>0.30628420000000001</v>
      </c>
      <c r="R39">
        <f t="shared" si="7"/>
        <v>0.17525999999999997</v>
      </c>
    </row>
    <row r="40" spans="16:18" x14ac:dyDescent="0.25">
      <c r="P40" s="2">
        <f t="shared" si="6"/>
        <v>45063</v>
      </c>
      <c r="Q40">
        <f t="shared" si="7"/>
        <v>0.29804009999999997</v>
      </c>
      <c r="R40">
        <f t="shared" si="7"/>
        <v>0.23774400000000001</v>
      </c>
    </row>
    <row r="41" spans="16:18" x14ac:dyDescent="0.25">
      <c r="P41" s="2">
        <f t="shared" si="6"/>
        <v>45076</v>
      </c>
      <c r="Q41">
        <f t="shared" si="7"/>
        <v>0.34069490000000002</v>
      </c>
      <c r="R41">
        <f t="shared" si="7"/>
        <v>0.18287999999999999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2C26-9644-42FC-A9E1-49AF0DA321F5}">
  <dimension ref="A1:K24"/>
  <sheetViews>
    <sheetView topLeftCell="A10" workbookViewId="0">
      <pane xSplit="1" topLeftCell="B1" activePane="topRight" state="frozen"/>
      <selection pane="topRight" activeCell="O24" sqref="O24"/>
    </sheetView>
  </sheetViews>
  <sheetFormatPr defaultRowHeight="15" x14ac:dyDescent="0.25"/>
  <cols>
    <col min="1" max="1" width="10.28515625" bestFit="1" customWidth="1"/>
  </cols>
  <sheetData>
    <row r="1" spans="1:11" x14ac:dyDescent="0.25">
      <c r="A1" s="7" t="s">
        <v>1</v>
      </c>
      <c r="B1" s="7" t="s">
        <v>2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33</v>
      </c>
    </row>
    <row r="2" spans="1:11" x14ac:dyDescent="0.25">
      <c r="A2" s="2">
        <v>44718</v>
      </c>
      <c r="B2" t="s">
        <v>34</v>
      </c>
      <c r="D2" t="s">
        <v>35</v>
      </c>
      <c r="E2">
        <v>0</v>
      </c>
      <c r="F2">
        <v>49.366</v>
      </c>
      <c r="H2">
        <v>20</v>
      </c>
      <c r="J2">
        <f t="shared" ref="J2:J4" si="0">H2/F2</f>
        <v>0.40513713892152492</v>
      </c>
      <c r="K2">
        <f>CONVERT(AVERAGE(I2:J2),"ft","m")</f>
        <v>0.12348579994328079</v>
      </c>
    </row>
    <row r="3" spans="1:11" x14ac:dyDescent="0.25">
      <c r="A3" s="2">
        <v>44747</v>
      </c>
      <c r="B3" t="s">
        <v>34</v>
      </c>
      <c r="C3" t="s">
        <v>36</v>
      </c>
      <c r="D3" t="s">
        <v>37</v>
      </c>
      <c r="E3">
        <v>16.416666666666668</v>
      </c>
      <c r="F3">
        <v>15.209999999999999</v>
      </c>
      <c r="G3">
        <v>1.4935200000000002</v>
      </c>
      <c r="H3">
        <v>1.4935200000000002</v>
      </c>
      <c r="I3">
        <f>G3/E3</f>
        <v>9.0975837563451775E-2</v>
      </c>
      <c r="J3">
        <f>H3/F3</f>
        <v>9.8193293885601593E-2</v>
      </c>
      <c r="K3">
        <f t="shared" ref="K3:K8" si="1">AVERAGE(I3:J3)</f>
        <v>9.4584565724526684E-2</v>
      </c>
    </row>
    <row r="4" spans="1:11" x14ac:dyDescent="0.25">
      <c r="A4" s="2">
        <v>44774</v>
      </c>
      <c r="B4" t="s">
        <v>34</v>
      </c>
      <c r="C4" t="s">
        <v>38</v>
      </c>
      <c r="D4" t="s">
        <v>39</v>
      </c>
      <c r="E4">
        <v>31.000000000000004</v>
      </c>
      <c r="F4">
        <v>70</v>
      </c>
      <c r="G4">
        <v>3.048</v>
      </c>
      <c r="H4">
        <v>4.5720000000000001</v>
      </c>
      <c r="I4">
        <f t="shared" ref="I4:J11" si="2">G4/E4</f>
        <v>9.8322580645161278E-2</v>
      </c>
      <c r="J4">
        <f t="shared" si="0"/>
        <v>6.5314285714285714E-2</v>
      </c>
      <c r="K4">
        <f t="shared" si="1"/>
        <v>8.1818433179723496E-2</v>
      </c>
    </row>
    <row r="5" spans="1:11" x14ac:dyDescent="0.25">
      <c r="A5" s="2">
        <v>44801</v>
      </c>
      <c r="B5" t="s">
        <v>34</v>
      </c>
      <c r="C5" t="s">
        <v>40</v>
      </c>
      <c r="D5" t="s">
        <v>41</v>
      </c>
      <c r="E5">
        <v>16.600000000000001</v>
      </c>
      <c r="F5">
        <v>0</v>
      </c>
      <c r="G5">
        <v>3.048</v>
      </c>
      <c r="I5">
        <f t="shared" si="2"/>
        <v>0.1836144578313253</v>
      </c>
      <c r="K5">
        <f t="shared" si="1"/>
        <v>0.1836144578313253</v>
      </c>
    </row>
    <row r="6" spans="1:11" x14ac:dyDescent="0.25">
      <c r="A6" s="2">
        <v>44830</v>
      </c>
      <c r="B6" t="s">
        <v>34</v>
      </c>
      <c r="C6" t="s">
        <v>42</v>
      </c>
      <c r="D6" t="s">
        <v>43</v>
      </c>
      <c r="E6">
        <v>18.474</v>
      </c>
      <c r="F6">
        <v>40.167999999999999</v>
      </c>
      <c r="G6">
        <v>1.8288</v>
      </c>
      <c r="H6">
        <v>1.8288</v>
      </c>
      <c r="I6">
        <f t="shared" si="2"/>
        <v>9.8993179603767453E-2</v>
      </c>
      <c r="J6">
        <f>H6/F6</f>
        <v>4.5528779127663815E-2</v>
      </c>
      <c r="K6">
        <f t="shared" si="1"/>
        <v>7.2260979365715627E-2</v>
      </c>
    </row>
    <row r="7" spans="1:11" x14ac:dyDescent="0.25">
      <c r="A7" s="2">
        <v>44858</v>
      </c>
      <c r="B7" t="s">
        <v>34</v>
      </c>
      <c r="C7" t="s">
        <v>44</v>
      </c>
      <c r="E7">
        <v>33.68</v>
      </c>
      <c r="G7">
        <v>3.048</v>
      </c>
      <c r="I7">
        <f t="shared" si="2"/>
        <v>9.0498812351543945E-2</v>
      </c>
      <c r="K7">
        <f t="shared" si="1"/>
        <v>9.0498812351543945E-2</v>
      </c>
    </row>
    <row r="8" spans="1:11" x14ac:dyDescent="0.25">
      <c r="A8" s="2">
        <v>44872</v>
      </c>
      <c r="B8" t="s">
        <v>34</v>
      </c>
      <c r="C8" t="s">
        <v>45</v>
      </c>
      <c r="E8">
        <v>40.950000000000003</v>
      </c>
      <c r="G8">
        <v>3.048</v>
      </c>
      <c r="I8">
        <f t="shared" si="2"/>
        <v>7.4432234432234429E-2</v>
      </c>
      <c r="K8">
        <f t="shared" si="1"/>
        <v>7.4432234432234429E-2</v>
      </c>
    </row>
    <row r="9" spans="1:11" x14ac:dyDescent="0.25">
      <c r="A9" s="2">
        <v>44886</v>
      </c>
      <c r="B9" t="s">
        <v>34</v>
      </c>
      <c r="C9" t="s">
        <v>46</v>
      </c>
      <c r="D9" t="s">
        <v>47</v>
      </c>
      <c r="E9">
        <v>7.91</v>
      </c>
      <c r="F9">
        <v>7.31</v>
      </c>
      <c r="G9">
        <v>3.2918400000000005</v>
      </c>
      <c r="H9">
        <v>3.2918400000000005</v>
      </c>
      <c r="I9">
        <f t="shared" si="2"/>
        <v>0.41616182048040462</v>
      </c>
      <c r="J9">
        <f t="shared" si="2"/>
        <v>0.45032010943912459</v>
      </c>
      <c r="K9">
        <f>CONVERT(AVERAGE(I9:J9),"ft","m")</f>
        <v>0.13205184611973625</v>
      </c>
    </row>
    <row r="10" spans="1:11" x14ac:dyDescent="0.25">
      <c r="A10" s="2">
        <v>44900</v>
      </c>
      <c r="B10" t="s">
        <v>34</v>
      </c>
      <c r="C10" t="s">
        <v>48</v>
      </c>
      <c r="D10" t="s">
        <v>49</v>
      </c>
      <c r="E10">
        <v>6.23</v>
      </c>
      <c r="F10">
        <v>5.9</v>
      </c>
      <c r="G10">
        <v>3.2918400000000005</v>
      </c>
      <c r="H10">
        <v>3.2918400000000005</v>
      </c>
      <c r="I10">
        <f t="shared" si="2"/>
        <v>0.52838523274478333</v>
      </c>
      <c r="J10">
        <f t="shared" si="2"/>
        <v>0.55793898305084755</v>
      </c>
      <c r="K10">
        <f>CONVERT(AVERAGE(I10:J10),"ft","m")</f>
        <v>0.16555581048725418</v>
      </c>
    </row>
    <row r="11" spans="1:11" x14ac:dyDescent="0.25">
      <c r="A11" s="2">
        <v>44915</v>
      </c>
      <c r="B11" t="s">
        <v>34</v>
      </c>
      <c r="C11" t="s">
        <v>50</v>
      </c>
      <c r="D11" t="s">
        <v>51</v>
      </c>
      <c r="E11">
        <v>1</v>
      </c>
      <c r="F11">
        <v>1</v>
      </c>
      <c r="G11">
        <f>CONVERT(0.3,"ft","m")</f>
        <v>9.1439999999999994E-2</v>
      </c>
      <c r="H11">
        <f>CONVERT(0.2,"ft","m")</f>
        <v>6.096E-2</v>
      </c>
      <c r="I11">
        <f t="shared" si="2"/>
        <v>9.1439999999999994E-2</v>
      </c>
      <c r="J11">
        <f t="shared" si="2"/>
        <v>6.096E-2</v>
      </c>
      <c r="K11">
        <f>AVERAGE(I11:J11)</f>
        <v>7.619999999999999E-2</v>
      </c>
    </row>
    <row r="12" spans="1:11" x14ac:dyDescent="0.25">
      <c r="A12" s="2">
        <v>44930</v>
      </c>
      <c r="B12" t="s">
        <v>34</v>
      </c>
      <c r="E12">
        <v>0</v>
      </c>
      <c r="F12">
        <v>0.2</v>
      </c>
      <c r="G12">
        <v>0.3</v>
      </c>
      <c r="H12">
        <v>0.6</v>
      </c>
      <c r="I12">
        <v>1.2</v>
      </c>
      <c r="J12">
        <v>0.4</v>
      </c>
      <c r="K12">
        <f>CONVERT((AVERAGE(E12:J12)),"ft","m")</f>
        <v>0.13715999999999998</v>
      </c>
    </row>
    <row r="13" spans="1:11" x14ac:dyDescent="0.25">
      <c r="A13" s="2">
        <v>44944</v>
      </c>
      <c r="B13" t="s">
        <v>34</v>
      </c>
      <c r="C13">
        <v>0.4</v>
      </c>
      <c r="D13">
        <v>0.7</v>
      </c>
      <c r="E13">
        <v>1.2</v>
      </c>
      <c r="F13">
        <v>0.4</v>
      </c>
      <c r="G13">
        <v>0.5</v>
      </c>
      <c r="K13">
        <f>CONVERT(AVERAGE(C13:G13),"ft","m")</f>
        <v>0.19507199999999997</v>
      </c>
    </row>
    <row r="14" spans="1:11" x14ac:dyDescent="0.25">
      <c r="A14" s="2">
        <v>44951</v>
      </c>
      <c r="B14" t="s">
        <v>34</v>
      </c>
      <c r="C14">
        <v>0.5</v>
      </c>
      <c r="D14">
        <v>0.3</v>
      </c>
      <c r="E14">
        <v>0.4</v>
      </c>
      <c r="F14">
        <v>0.4</v>
      </c>
      <c r="K14">
        <f>CONVERT(AVERAGE(C14:F14),"ft","m")</f>
        <v>0.12192</v>
      </c>
    </row>
    <row r="15" spans="1:11" x14ac:dyDescent="0.25">
      <c r="A15" s="2">
        <v>44972</v>
      </c>
      <c r="B15" t="s">
        <v>34</v>
      </c>
      <c r="C15">
        <v>0.5</v>
      </c>
      <c r="D15">
        <v>0.7</v>
      </c>
      <c r="E15">
        <v>1.2</v>
      </c>
      <c r="F15">
        <v>0.5</v>
      </c>
      <c r="G15">
        <v>0</v>
      </c>
      <c r="K15">
        <f>CONVERT(AVERAGE(C15:G15),"ft","m")</f>
        <v>0.17678399999999997</v>
      </c>
    </row>
    <row r="16" spans="1:11" x14ac:dyDescent="0.25">
      <c r="A16" s="2">
        <v>44986</v>
      </c>
      <c r="B16" t="s">
        <v>34</v>
      </c>
      <c r="C16">
        <v>0.3</v>
      </c>
      <c r="D16">
        <v>0.3</v>
      </c>
      <c r="E16">
        <v>0.9</v>
      </c>
      <c r="F16">
        <v>1.2</v>
      </c>
      <c r="G16">
        <v>0.6</v>
      </c>
      <c r="K16">
        <f>CONVERT(AVERAGE(C16:G16),"ft","m")</f>
        <v>0.20116800000000001</v>
      </c>
    </row>
    <row r="17" spans="1:11" x14ac:dyDescent="0.25">
      <c r="A17" s="2">
        <v>45000</v>
      </c>
      <c r="B17" t="s">
        <v>34</v>
      </c>
      <c r="C17">
        <v>0.1</v>
      </c>
      <c r="D17">
        <v>0.6</v>
      </c>
      <c r="E17">
        <v>1.3</v>
      </c>
      <c r="K17">
        <f>CONVERT(AVERAGE(C17:E17),"ft","m")</f>
        <v>0.20319999999999999</v>
      </c>
    </row>
    <row r="18" spans="1:11" x14ac:dyDescent="0.25">
      <c r="A18" s="2">
        <v>45014</v>
      </c>
      <c r="B18" t="s">
        <v>34</v>
      </c>
      <c r="C18">
        <v>0.1</v>
      </c>
      <c r="D18">
        <v>0.3</v>
      </c>
      <c r="E18">
        <v>0.6</v>
      </c>
      <c r="K18">
        <f>CONVERT(AVERAGE(C18:E18),"ft","m")</f>
        <v>0.1016</v>
      </c>
    </row>
    <row r="19" spans="1:11" x14ac:dyDescent="0.25">
      <c r="A19" s="2">
        <v>45028</v>
      </c>
      <c r="B19" t="s">
        <v>34</v>
      </c>
      <c r="C19">
        <v>0</v>
      </c>
      <c r="D19">
        <v>0.5</v>
      </c>
      <c r="E19">
        <v>1.3</v>
      </c>
      <c r="F19">
        <v>0.5</v>
      </c>
      <c r="G19">
        <v>0</v>
      </c>
      <c r="K19">
        <f>CONVERT(AVERAGE(C19:G19),"ft","m")</f>
        <v>0.140208</v>
      </c>
    </row>
    <row r="20" spans="1:11" x14ac:dyDescent="0.25">
      <c r="A20" s="2">
        <v>45042</v>
      </c>
      <c r="B20" t="s">
        <v>34</v>
      </c>
      <c r="C20">
        <v>0.4</v>
      </c>
      <c r="D20">
        <v>0.6</v>
      </c>
      <c r="E20">
        <v>1.3</v>
      </c>
      <c r="F20">
        <v>0</v>
      </c>
      <c r="K20">
        <f>CONVERT(AVERAGE(C20:G20),"ft","m")</f>
        <v>0.17525999999999997</v>
      </c>
    </row>
    <row r="21" spans="1:11" x14ac:dyDescent="0.25">
      <c r="A21" s="2">
        <v>45050</v>
      </c>
      <c r="B21" t="s">
        <v>34</v>
      </c>
      <c r="C21">
        <v>0.4</v>
      </c>
      <c r="D21">
        <v>0.8</v>
      </c>
      <c r="E21">
        <v>0.8</v>
      </c>
      <c r="F21">
        <v>0.4</v>
      </c>
      <c r="G21">
        <v>0.1</v>
      </c>
      <c r="K21">
        <f>CONVERT(AVERAGE(C21:G21),"ft","m")</f>
        <v>0.15240000000000001</v>
      </c>
    </row>
    <row r="22" spans="1:11" x14ac:dyDescent="0.25">
      <c r="A22" s="2">
        <v>45063</v>
      </c>
      <c r="B22" t="s">
        <v>34</v>
      </c>
      <c r="C22">
        <v>0</v>
      </c>
      <c r="D22">
        <v>0.1</v>
      </c>
      <c r="E22">
        <v>1</v>
      </c>
      <c r="F22">
        <v>1.4</v>
      </c>
      <c r="G22">
        <v>1.4</v>
      </c>
      <c r="K22">
        <f>CONVERT(AVERAGE(C22:G22),"ft","m")</f>
        <v>0.23774400000000001</v>
      </c>
    </row>
    <row r="23" spans="1:11" x14ac:dyDescent="0.25">
      <c r="A23" s="2">
        <v>45076</v>
      </c>
      <c r="C23">
        <v>0.4</v>
      </c>
      <c r="D23">
        <v>0.6</v>
      </c>
      <c r="E23">
        <v>0.7</v>
      </c>
      <c r="F23">
        <v>0.7</v>
      </c>
      <c r="G23">
        <v>0</v>
      </c>
      <c r="K23">
        <f>CONVERT(AVERAGE(B23:F23),"ft","m")</f>
        <v>0.18287999999999999</v>
      </c>
    </row>
    <row r="24" spans="1:11" x14ac:dyDescent="0.25">
      <c r="A24" s="2">
        <v>45231</v>
      </c>
      <c r="C24">
        <v>1.2</v>
      </c>
      <c r="D24">
        <v>0.4</v>
      </c>
      <c r="E24">
        <v>1.2</v>
      </c>
      <c r="F24">
        <v>0.7</v>
      </c>
      <c r="K24">
        <f>CONVERT(AVERAGE(C24:G24),"ft","m")</f>
        <v>0.26669999999999999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4C987-BECE-4B96-B942-DF53860ED9B0}">
  <dimension ref="A1:U21"/>
  <sheetViews>
    <sheetView zoomScale="80" zoomScaleNormal="80" workbookViewId="0">
      <pane xSplit="1" topLeftCell="B1" activePane="topRight" state="frozen"/>
      <selection pane="topRight" activeCell="N1" sqref="N1:P1048576"/>
    </sheetView>
  </sheetViews>
  <sheetFormatPr defaultRowHeight="15" x14ac:dyDescent="0.25"/>
  <cols>
    <col min="1" max="1" width="11.42578125" bestFit="1" customWidth="1"/>
    <col min="4" max="9" width="0" hidden="1" customWidth="1"/>
    <col min="15" max="15" width="13.42578125" bestFit="1" customWidth="1"/>
    <col min="18" max="18" width="11" bestFit="1" customWidth="1"/>
  </cols>
  <sheetData>
    <row r="1" spans="1:21" x14ac:dyDescent="0.25">
      <c r="A1" t="s">
        <v>1</v>
      </c>
      <c r="B1" t="s">
        <v>2</v>
      </c>
      <c r="C1" t="s">
        <v>3</v>
      </c>
      <c r="D1" t="s">
        <v>4</v>
      </c>
      <c r="E1" t="s">
        <v>4</v>
      </c>
      <c r="F1" t="s">
        <v>8</v>
      </c>
      <c r="G1" t="s">
        <v>5</v>
      </c>
      <c r="H1" t="s">
        <v>5</v>
      </c>
      <c r="I1" t="s">
        <v>9</v>
      </c>
      <c r="J1" t="s">
        <v>6</v>
      </c>
      <c r="K1" t="s">
        <v>6</v>
      </c>
      <c r="L1" t="s">
        <v>63</v>
      </c>
      <c r="M1" t="s">
        <v>63</v>
      </c>
      <c r="N1" t="s">
        <v>7</v>
      </c>
      <c r="O1" t="s">
        <v>31</v>
      </c>
      <c r="P1" t="s">
        <v>102</v>
      </c>
      <c r="R1" s="2">
        <v>44963</v>
      </c>
      <c r="S1" t="s">
        <v>52</v>
      </c>
      <c r="T1">
        <f>Sheet6!K12</f>
        <v>8.957387755102042E-2</v>
      </c>
      <c r="U1" t="s">
        <v>104</v>
      </c>
    </row>
    <row r="2" spans="1:21" x14ac:dyDescent="0.25">
      <c r="A2" s="2">
        <v>44851</v>
      </c>
      <c r="B2" t="s">
        <v>52</v>
      </c>
      <c r="C2" s="9">
        <v>3.5674400000000002E-2</v>
      </c>
      <c r="D2" s="3">
        <v>0.26058730000000002</v>
      </c>
      <c r="F2">
        <f>AVERAGE(D2:E2)</f>
        <v>0.26058730000000002</v>
      </c>
      <c r="G2" s="3">
        <v>0.23287640000000001</v>
      </c>
      <c r="I2">
        <f>AVERAGE(G2:H2)</f>
        <v>0.23287640000000001</v>
      </c>
      <c r="J2" s="9">
        <v>2.6160169999999998</v>
      </c>
      <c r="L2">
        <f>AVERAGE(J2:K2)</f>
        <v>2.6160169999999998</v>
      </c>
      <c r="M2">
        <f>AVERAGE(J2:K2)</f>
        <v>2.6160169999999998</v>
      </c>
      <c r="N2" s="3">
        <v>0.83024010000000004</v>
      </c>
      <c r="O2">
        <f>Sheet6!K4</f>
        <v>2.6096000000000001E-2</v>
      </c>
      <c r="P2">
        <f>O2/N2</f>
        <v>3.1431871334569358E-2</v>
      </c>
    </row>
    <row r="3" spans="1:21" x14ac:dyDescent="0.25">
      <c r="A3" s="2">
        <v>44865</v>
      </c>
      <c r="B3" t="s">
        <v>52</v>
      </c>
      <c r="C3" s="3">
        <v>3.6929339999999998E-2</v>
      </c>
      <c r="E3" s="3">
        <v>0.93754530000000003</v>
      </c>
      <c r="F3">
        <f t="shared" ref="F3:F11" si="0">AVERAGE(D3:E3)</f>
        <v>0.93754530000000003</v>
      </c>
      <c r="G3" s="3">
        <v>0.83805410000000002</v>
      </c>
      <c r="I3">
        <f t="shared" ref="I3:I11" si="1">AVERAGE(G3:H3)</f>
        <v>0.83805410000000002</v>
      </c>
      <c r="J3" s="9">
        <v>1.5343420000000001</v>
      </c>
      <c r="L3">
        <f t="shared" ref="L3:L15" si="2">AVERAGE(J3:K3)</f>
        <v>1.5343420000000001</v>
      </c>
      <c r="M3">
        <f t="shared" ref="M3:M15" si="3">AVERAGE(J3:K3)</f>
        <v>1.5343420000000001</v>
      </c>
      <c r="N3" s="3">
        <v>0.77497579999999999</v>
      </c>
      <c r="O3">
        <f>Sheet6!K5</f>
        <v>1.2192E-2</v>
      </c>
      <c r="P3">
        <f>O3/N3</f>
        <v>1.5732104150865098E-2</v>
      </c>
    </row>
    <row r="4" spans="1:21" x14ac:dyDescent="0.25">
      <c r="A4" s="2">
        <v>44879</v>
      </c>
      <c r="B4" t="s">
        <v>52</v>
      </c>
      <c r="C4" s="3">
        <v>3.6235419999999997E-2</v>
      </c>
      <c r="D4" s="3">
        <v>4.3150149999999998</v>
      </c>
      <c r="E4" s="3">
        <v>0.34704099999999999</v>
      </c>
      <c r="F4">
        <f>AVERAGE(D4:E4)</f>
        <v>2.3310279999999999</v>
      </c>
      <c r="G4" s="3">
        <v>3.85243</v>
      </c>
      <c r="H4" s="3">
        <v>0.30983690000000003</v>
      </c>
      <c r="I4">
        <f>AVERAGE(G4:H4)</f>
        <v>2.0811334499999998</v>
      </c>
      <c r="J4" s="3">
        <v>3.5844619999999998</v>
      </c>
      <c r="K4" s="3"/>
      <c r="L4">
        <f t="shared" si="2"/>
        <v>3.5844619999999998</v>
      </c>
      <c r="N4">
        <v>0.68732400000000005</v>
      </c>
      <c r="O4">
        <f>Sheet6!K7</f>
        <v>0.10445738810545679</v>
      </c>
      <c r="P4">
        <f>O4/N4</f>
        <v>0.15197692515532235</v>
      </c>
    </row>
    <row r="5" spans="1:21" x14ac:dyDescent="0.25">
      <c r="A5" s="2">
        <v>44893</v>
      </c>
      <c r="B5" t="s">
        <v>52</v>
      </c>
      <c r="C5" s="3">
        <v>4.1884999999999999E-2</v>
      </c>
      <c r="D5" s="3">
        <v>0.58644249999999998</v>
      </c>
      <c r="E5" s="3">
        <v>0.75442909999999996</v>
      </c>
      <c r="F5">
        <f>AVERAGE(D5:E5)</f>
        <v>0.67043579999999992</v>
      </c>
      <c r="G5" s="3">
        <v>0.52860629999999997</v>
      </c>
      <c r="H5" s="3">
        <v>0.68002569999999996</v>
      </c>
      <c r="I5">
        <f>AVERAGE(G5:H5)</f>
        <v>0.60431599999999996</v>
      </c>
      <c r="J5" s="9">
        <v>3.9700989999999998</v>
      </c>
      <c r="L5" s="9">
        <v>5.3412050000000004</v>
      </c>
      <c r="N5" s="3">
        <v>0.74424939999999995</v>
      </c>
      <c r="O5">
        <f>Sheet6!K8</f>
        <v>0.11963267239752698</v>
      </c>
      <c r="P5">
        <f>O5/N5</f>
        <v>0.160742719305554</v>
      </c>
    </row>
    <row r="6" spans="1:21" x14ac:dyDescent="0.25">
      <c r="A6" s="2">
        <v>44907</v>
      </c>
      <c r="B6" t="s">
        <v>52</v>
      </c>
      <c r="C6" s="3">
        <v>4.0715519999999998E-2</v>
      </c>
      <c r="D6" s="3">
        <v>3.0489220000000001E-2</v>
      </c>
      <c r="F6">
        <f>AVERAGE(D6:E6)</f>
        <v>3.0489220000000001E-2</v>
      </c>
      <c r="H6" s="3">
        <v>2.7429530000000001E-2</v>
      </c>
      <c r="I6">
        <f>AVERAGE(G6:H6)</f>
        <v>2.7429530000000001E-2</v>
      </c>
      <c r="J6" s="9">
        <v>12.93876</v>
      </c>
      <c r="L6">
        <f t="shared" si="2"/>
        <v>12.93876</v>
      </c>
      <c r="N6" s="3">
        <v>0.77319099999999996</v>
      </c>
      <c r="O6">
        <f>Sheet6!K9</f>
        <v>0.12563985056039853</v>
      </c>
      <c r="P6">
        <f>O6/N6</f>
        <v>0.16249523152804227</v>
      </c>
    </row>
    <row r="7" spans="1:21" x14ac:dyDescent="0.25">
      <c r="A7" s="2">
        <v>44930</v>
      </c>
      <c r="B7" t="s">
        <v>52</v>
      </c>
      <c r="C7" s="3">
        <v>3.825038E-2</v>
      </c>
      <c r="D7" s="3">
        <v>8.7674310000000005E-2</v>
      </c>
      <c r="E7" s="3">
        <v>5.368858E-2</v>
      </c>
      <c r="F7">
        <f t="shared" si="0"/>
        <v>7.0681445000000009E-2</v>
      </c>
      <c r="G7" s="3">
        <v>7.8549179999999996E-2</v>
      </c>
      <c r="H7" s="3">
        <v>4.8100669999999998E-2</v>
      </c>
      <c r="I7">
        <f t="shared" si="1"/>
        <v>6.3324925000000004E-2</v>
      </c>
      <c r="J7" s="9">
        <v>6.1167170000000004</v>
      </c>
      <c r="K7" s="9">
        <v>9.3405749999999994</v>
      </c>
      <c r="L7">
        <f t="shared" si="2"/>
        <v>7.7286459999999995</v>
      </c>
      <c r="M7" s="9">
        <v>6.1167170000000004</v>
      </c>
      <c r="N7" s="3">
        <v>0.74614230000000004</v>
      </c>
      <c r="O7">
        <f>Sheet6!K10</f>
        <v>6.096E-2</v>
      </c>
      <c r="P7">
        <f t="shared" ref="P7:P16" si="4">O7/N7</f>
        <v>8.1700233320105287E-2</v>
      </c>
    </row>
    <row r="8" spans="1:21" x14ac:dyDescent="0.25">
      <c r="A8" s="2">
        <v>44951</v>
      </c>
      <c r="B8" t="s">
        <v>52</v>
      </c>
      <c r="C8" s="3">
        <v>3.9189410000000001E-2</v>
      </c>
      <c r="D8" s="3">
        <v>0.19477639999999999</v>
      </c>
      <c r="E8" s="3">
        <v>8.0740510000000001E-2</v>
      </c>
      <c r="F8">
        <f t="shared" si="0"/>
        <v>0.137758455</v>
      </c>
      <c r="G8" s="3">
        <v>7.2452610000000001E-2</v>
      </c>
      <c r="H8" s="3">
        <v>0.17478289999999999</v>
      </c>
      <c r="I8">
        <f t="shared" si="1"/>
        <v>0.123617755</v>
      </c>
      <c r="J8" s="9">
        <v>4.7245619999999997</v>
      </c>
      <c r="K8" s="9">
        <v>8.3280510000000003</v>
      </c>
      <c r="L8">
        <f t="shared" si="2"/>
        <v>6.5263065000000005</v>
      </c>
      <c r="M8">
        <f t="shared" si="3"/>
        <v>6.5263065000000005</v>
      </c>
      <c r="N8" s="3">
        <v>0.74922460000000002</v>
      </c>
      <c r="O8">
        <f>Sheet6!K11</f>
        <v>0.11683549245785273</v>
      </c>
      <c r="P8">
        <f t="shared" si="4"/>
        <v>0.15594187972185206</v>
      </c>
    </row>
    <row r="9" spans="1:21" x14ac:dyDescent="0.25">
      <c r="A9" s="2">
        <v>44963</v>
      </c>
      <c r="B9" t="s">
        <v>52</v>
      </c>
      <c r="C9" s="9">
        <v>3.8570989999999999E-2</v>
      </c>
      <c r="D9" s="3"/>
      <c r="E9" s="3"/>
      <c r="G9" s="3"/>
      <c r="H9" s="3"/>
      <c r="J9" s="9">
        <v>2.3153250000000001</v>
      </c>
      <c r="K9" s="9">
        <v>7.6000439999999996</v>
      </c>
      <c r="L9">
        <f t="shared" si="2"/>
        <v>4.9576845</v>
      </c>
      <c r="M9">
        <f t="shared" si="3"/>
        <v>4.9576845</v>
      </c>
      <c r="N9" s="3">
        <v>0.91393539999999995</v>
      </c>
      <c r="O9">
        <f>Sheet6!K12</f>
        <v>8.957387755102042E-2</v>
      </c>
      <c r="P9">
        <f t="shared" si="4"/>
        <v>9.8008981325179462E-2</v>
      </c>
    </row>
    <row r="10" spans="1:21" x14ac:dyDescent="0.25">
      <c r="A10" s="2">
        <v>44979</v>
      </c>
      <c r="B10" t="s">
        <v>52</v>
      </c>
      <c r="C10">
        <v>4.2075969999999997E-2</v>
      </c>
      <c r="D10" s="9">
        <v>0.23568539999999999</v>
      </c>
      <c r="E10" s="9">
        <v>0.109053</v>
      </c>
      <c r="F10">
        <f t="shared" si="0"/>
        <v>0.1723692</v>
      </c>
      <c r="G10" s="9">
        <v>0.21250769999999999</v>
      </c>
      <c r="H10" s="3">
        <v>9.8328479999999996E-2</v>
      </c>
      <c r="I10">
        <f t="shared" si="1"/>
        <v>0.15541809000000001</v>
      </c>
      <c r="J10" s="9">
        <v>1.5720160000000001</v>
      </c>
      <c r="K10" s="9">
        <v>2.6277680000000001</v>
      </c>
      <c r="L10">
        <f t="shared" si="2"/>
        <v>2.0998920000000001</v>
      </c>
      <c r="M10">
        <f t="shared" si="3"/>
        <v>2.0998920000000001</v>
      </c>
      <c r="N10" s="9">
        <v>1.6464110000000001</v>
      </c>
      <c r="O10">
        <f>Sheet6!K13*-1</f>
        <v>4.0360478468899529E-2</v>
      </c>
      <c r="P10">
        <f t="shared" si="4"/>
        <v>2.4514218180575524E-2</v>
      </c>
      <c r="Q10" t="s">
        <v>103</v>
      </c>
    </row>
    <row r="11" spans="1:21" x14ac:dyDescent="0.25">
      <c r="A11" s="2">
        <v>44993</v>
      </c>
      <c r="B11" t="s">
        <v>52</v>
      </c>
      <c r="C11" s="3">
        <v>4.0055800000000003E-2</v>
      </c>
      <c r="D11" s="9">
        <v>0.12336999999999999</v>
      </c>
      <c r="E11" s="9">
        <v>0.4521116</v>
      </c>
      <c r="F11">
        <f t="shared" si="0"/>
        <v>0.28774080000000002</v>
      </c>
      <c r="G11" s="9">
        <v>0.1108676</v>
      </c>
      <c r="H11" s="9">
        <v>0.4062943</v>
      </c>
      <c r="I11">
        <f t="shared" si="1"/>
        <v>0.25858094999999998</v>
      </c>
      <c r="J11" s="9">
        <v>1.406887</v>
      </c>
      <c r="K11" s="9">
        <v>2.5794049999999999</v>
      </c>
      <c r="L11">
        <f t="shared" si="2"/>
        <v>1.9931459999999999</v>
      </c>
      <c r="M11">
        <f t="shared" si="3"/>
        <v>1.9931459999999999</v>
      </c>
      <c r="N11" s="9">
        <v>1.3130539999999999</v>
      </c>
      <c r="O11">
        <f>Sheet6!K14</f>
        <v>3.2272941176470595E-2</v>
      </c>
      <c r="P11">
        <f t="shared" si="4"/>
        <v>2.4578533081252255E-2</v>
      </c>
    </row>
    <row r="12" spans="1:21" x14ac:dyDescent="0.25">
      <c r="A12" s="2">
        <v>45005</v>
      </c>
      <c r="B12" t="s">
        <v>52</v>
      </c>
      <c r="C12">
        <v>3.9332180000000001E-2</v>
      </c>
      <c r="F12">
        <v>0.13423979999999999</v>
      </c>
      <c r="I12">
        <v>0.12048929999999999</v>
      </c>
      <c r="J12" s="9">
        <v>3.2245010000000001</v>
      </c>
      <c r="L12">
        <f t="shared" si="2"/>
        <v>3.2245010000000001</v>
      </c>
      <c r="M12">
        <f t="shared" si="3"/>
        <v>3.2245010000000001</v>
      </c>
      <c r="N12">
        <v>1.0962289999999999</v>
      </c>
      <c r="O12">
        <f>Sheet6!K15</f>
        <v>4.4325554834523037E-2</v>
      </c>
      <c r="P12">
        <f t="shared" si="4"/>
        <v>4.0434576018809065E-2</v>
      </c>
    </row>
    <row r="13" spans="1:21" x14ac:dyDescent="0.25">
      <c r="A13" s="2">
        <v>45021</v>
      </c>
      <c r="B13" t="s">
        <v>52</v>
      </c>
      <c r="C13">
        <v>3.7975200000000001E-2</v>
      </c>
      <c r="F13" s="7">
        <v>0.10364760000000001</v>
      </c>
      <c r="I13">
        <v>9.2816250000000003E-2</v>
      </c>
      <c r="J13" s="9">
        <v>4.039587</v>
      </c>
      <c r="L13">
        <f t="shared" si="2"/>
        <v>4.039587</v>
      </c>
      <c r="M13">
        <f t="shared" si="3"/>
        <v>4.039587</v>
      </c>
      <c r="N13">
        <v>1.0805948000000001</v>
      </c>
      <c r="O13">
        <f>Sheet6!K16</f>
        <v>5.4257142857142865E-2</v>
      </c>
      <c r="P13">
        <f t="shared" si="4"/>
        <v>5.0210442301908971E-2</v>
      </c>
    </row>
    <row r="14" spans="1:21" x14ac:dyDescent="0.25">
      <c r="A14" s="2">
        <v>45045</v>
      </c>
      <c r="B14" t="s">
        <v>52</v>
      </c>
      <c r="C14">
        <v>3.7184839999999997E-2</v>
      </c>
      <c r="J14" s="9">
        <v>5.7395490000000002</v>
      </c>
      <c r="L14">
        <f t="shared" si="2"/>
        <v>5.7395490000000002</v>
      </c>
      <c r="M14">
        <f t="shared" si="3"/>
        <v>5.7395490000000002</v>
      </c>
      <c r="N14">
        <v>0.83889481799999999</v>
      </c>
      <c r="O14">
        <f>Sheet6!K17</f>
        <v>6.7798434710970759E-2</v>
      </c>
      <c r="P14">
        <f t="shared" si="4"/>
        <v>8.0818754933554449E-2</v>
      </c>
    </row>
    <row r="15" spans="1:21" x14ac:dyDescent="0.25">
      <c r="A15" s="2">
        <f>Sheet6!A18</f>
        <v>45049</v>
      </c>
      <c r="C15">
        <v>3.6305070000000002E-2</v>
      </c>
      <c r="J15" s="9">
        <v>7.2273800000000001</v>
      </c>
      <c r="L15">
        <f t="shared" si="2"/>
        <v>7.2273800000000001</v>
      </c>
      <c r="M15">
        <f t="shared" si="3"/>
        <v>7.2273800000000001</v>
      </c>
      <c r="N15">
        <v>0.75540980000000002</v>
      </c>
      <c r="O15">
        <f>Sheet6!K18</f>
        <v>0.13796479463537303</v>
      </c>
      <c r="P15">
        <f t="shared" si="4"/>
        <v>0.18263569606241942</v>
      </c>
    </row>
    <row r="16" spans="1:21" x14ac:dyDescent="0.25">
      <c r="A16" s="2">
        <v>45063</v>
      </c>
      <c r="C16">
        <v>3.528717E-2</v>
      </c>
      <c r="L16">
        <v>8.5486810000000002</v>
      </c>
      <c r="M16">
        <v>8.5486810000000002</v>
      </c>
      <c r="N16">
        <v>0.7383014</v>
      </c>
      <c r="O16">
        <f>Sheet6!K19</f>
        <v>0.14825881999699747</v>
      </c>
      <c r="P16">
        <f t="shared" si="4"/>
        <v>0.20081069871599522</v>
      </c>
    </row>
    <row r="21" spans="17:17" x14ac:dyDescent="0.25">
      <c r="Q21">
        <f>AVERAGE(L2:L16)</f>
        <v>5.2066772666666656</v>
      </c>
    </row>
  </sheetData>
  <conditionalFormatting sqref="R1:U1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18CC-3206-4EC0-8B48-5F99D688B8AE}">
  <dimension ref="A1:K19"/>
  <sheetViews>
    <sheetView workbookViewId="0">
      <pane xSplit="1" topLeftCell="B1" activePane="topRight" state="frozen"/>
      <selection pane="topRight" activeCell="K39" sqref="K39"/>
    </sheetView>
  </sheetViews>
  <sheetFormatPr defaultRowHeight="15" x14ac:dyDescent="0.25"/>
  <cols>
    <col min="1" max="1" width="10.7109375" bestFit="1" customWidth="1"/>
    <col min="7" max="7" width="8.7109375" bestFit="1" customWidth="1"/>
    <col min="9" max="9" width="11.7109375" bestFit="1" customWidth="1"/>
    <col min="11" max="11" width="9.140625" style="12"/>
  </cols>
  <sheetData>
    <row r="1" spans="1:11" x14ac:dyDescent="0.25">
      <c r="A1" t="s">
        <v>1</v>
      </c>
      <c r="B1" t="s">
        <v>2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s="12" t="s">
        <v>33</v>
      </c>
    </row>
    <row r="2" spans="1:11" x14ac:dyDescent="0.25">
      <c r="A2" s="2">
        <v>44781</v>
      </c>
      <c r="B2" t="s">
        <v>52</v>
      </c>
      <c r="C2" t="s">
        <v>53</v>
      </c>
      <c r="D2" t="s">
        <v>53</v>
      </c>
      <c r="E2">
        <v>69</v>
      </c>
      <c r="F2">
        <v>69</v>
      </c>
      <c r="G2">
        <v>1.524</v>
      </c>
      <c r="H2">
        <v>1.524</v>
      </c>
      <c r="I2">
        <f>G2/E2</f>
        <v>2.2086956521739132E-2</v>
      </c>
      <c r="J2">
        <f t="shared" ref="I2:J3" si="0">H2/F2</f>
        <v>2.2086956521739132E-2</v>
      </c>
      <c r="K2" s="12">
        <f t="shared" ref="K2:K6" si="1">AVERAGE(I2:J2)</f>
        <v>2.2086956521739132E-2</v>
      </c>
    </row>
    <row r="3" spans="1:11" x14ac:dyDescent="0.25">
      <c r="A3" s="2">
        <v>44811</v>
      </c>
      <c r="B3" t="s">
        <v>52</v>
      </c>
      <c r="E3">
        <v>1</v>
      </c>
      <c r="F3">
        <v>1</v>
      </c>
      <c r="G3">
        <v>0.02</v>
      </c>
      <c r="H3">
        <v>0.02</v>
      </c>
      <c r="I3">
        <f t="shared" si="0"/>
        <v>0.02</v>
      </c>
      <c r="J3">
        <f t="shared" si="0"/>
        <v>0.02</v>
      </c>
      <c r="K3" s="12">
        <f t="shared" si="1"/>
        <v>0.02</v>
      </c>
    </row>
    <row r="4" spans="1:11" x14ac:dyDescent="0.25">
      <c r="A4" s="2">
        <v>44851</v>
      </c>
      <c r="B4" t="s">
        <v>52</v>
      </c>
      <c r="C4" t="s">
        <v>54</v>
      </c>
      <c r="E4">
        <v>76.2</v>
      </c>
      <c r="G4">
        <v>3.048</v>
      </c>
      <c r="I4">
        <f>G4/E4</f>
        <v>0.04</v>
      </c>
      <c r="K4" s="12">
        <v>2.6096000000000001E-2</v>
      </c>
    </row>
    <row r="5" spans="1:11" x14ac:dyDescent="0.25">
      <c r="A5" s="2">
        <v>44865</v>
      </c>
      <c r="B5" t="s">
        <v>52</v>
      </c>
      <c r="C5" t="s">
        <v>55</v>
      </c>
      <c r="D5" t="s">
        <v>55</v>
      </c>
      <c r="E5">
        <v>1</v>
      </c>
      <c r="F5">
        <v>1</v>
      </c>
      <c r="G5">
        <v>1.2192E-2</v>
      </c>
      <c r="H5">
        <v>1.2192E-2</v>
      </c>
      <c r="I5">
        <f>G5/E5</f>
        <v>1.2192E-2</v>
      </c>
      <c r="J5">
        <f>H5/F5</f>
        <v>1.2192E-2</v>
      </c>
      <c r="K5" s="12">
        <f t="shared" si="1"/>
        <v>1.2192E-2</v>
      </c>
    </row>
    <row r="6" spans="1:11" x14ac:dyDescent="0.25">
      <c r="A6" s="2">
        <v>44872</v>
      </c>
      <c r="B6" t="s">
        <v>52</v>
      </c>
      <c r="C6" t="s">
        <v>56</v>
      </c>
      <c r="E6">
        <f>(30.48+32.62)/2</f>
        <v>31.549999999999997</v>
      </c>
      <c r="G6">
        <v>3.2918400000000001</v>
      </c>
      <c r="I6">
        <f>G6/E6</f>
        <v>0.10433724247226625</v>
      </c>
      <c r="K6" s="12">
        <f t="shared" si="1"/>
        <v>0.10433724247226625</v>
      </c>
    </row>
    <row r="7" spans="1:11" x14ac:dyDescent="0.25">
      <c r="A7" s="2">
        <v>44879</v>
      </c>
      <c r="B7" t="s">
        <v>52</v>
      </c>
      <c r="C7" t="s">
        <v>57</v>
      </c>
      <c r="D7" t="s">
        <v>58</v>
      </c>
      <c r="E7">
        <v>30.48</v>
      </c>
      <c r="F7">
        <v>32.619999999999997</v>
      </c>
      <c r="G7">
        <f>CONVERT(10.8,"ft","m")</f>
        <v>3.2918400000000005</v>
      </c>
      <c r="H7">
        <f>CONVERT(10.8,"ft","m")</f>
        <v>3.2918400000000005</v>
      </c>
      <c r="I7">
        <f>G7/E7</f>
        <v>0.10800000000000001</v>
      </c>
      <c r="J7">
        <f>H7/F7</f>
        <v>0.10091477621091358</v>
      </c>
      <c r="K7" s="12">
        <f>AVERAGE(I7:J7)</f>
        <v>0.10445738810545679</v>
      </c>
    </row>
    <row r="8" spans="1:11" x14ac:dyDescent="0.25">
      <c r="A8" s="2">
        <v>44893</v>
      </c>
      <c r="B8" t="s">
        <v>52</v>
      </c>
      <c r="C8" t="s">
        <v>59</v>
      </c>
      <c r="D8" t="s">
        <v>60</v>
      </c>
      <c r="E8">
        <v>31.01</v>
      </c>
      <c r="F8">
        <v>24.73</v>
      </c>
      <c r="G8">
        <f>CONVERT(10.8,"ft","m")</f>
        <v>3.2918400000000005</v>
      </c>
      <c r="H8">
        <f>CONVERT(10.8,"ft","m")</f>
        <v>3.2918400000000005</v>
      </c>
      <c r="I8">
        <f t="shared" ref="I8:I10" si="2">G8/E8</f>
        <v>0.10615414382457274</v>
      </c>
      <c r="J8">
        <f t="shared" ref="J8:J9" si="3">H8/F8</f>
        <v>0.13311120097048121</v>
      </c>
      <c r="K8" s="12">
        <f>AVERAGE(I8:J8)</f>
        <v>0.11963267239752698</v>
      </c>
    </row>
    <row r="9" spans="1:11" x14ac:dyDescent="0.25">
      <c r="A9" s="2">
        <v>44907</v>
      </c>
      <c r="B9" t="s">
        <v>52</v>
      </c>
      <c r="C9" t="s">
        <v>61</v>
      </c>
      <c r="D9" t="s">
        <v>62</v>
      </c>
      <c r="E9">
        <v>29.2</v>
      </c>
      <c r="F9">
        <v>23.76</v>
      </c>
      <c r="G9">
        <v>3.2918400000000005</v>
      </c>
      <c r="H9">
        <v>3.2918400000000005</v>
      </c>
      <c r="I9">
        <f t="shared" si="2"/>
        <v>0.11273424657534249</v>
      </c>
      <c r="J9">
        <f t="shared" si="3"/>
        <v>0.13854545454545455</v>
      </c>
      <c r="K9" s="12">
        <f>AVERAGE(I9:J9)</f>
        <v>0.12563985056039853</v>
      </c>
    </row>
    <row r="10" spans="1:11" x14ac:dyDescent="0.25">
      <c r="A10" s="2">
        <v>44930</v>
      </c>
      <c r="B10" t="s">
        <v>52</v>
      </c>
      <c r="E10">
        <v>1</v>
      </c>
      <c r="G10">
        <f>CONVERT(0.2,"ft","m")</f>
        <v>6.096E-2</v>
      </c>
      <c r="I10">
        <f t="shared" si="2"/>
        <v>6.096E-2</v>
      </c>
      <c r="K10" s="12">
        <f t="shared" ref="K10" si="4">AVERAGE(I10:J10)</f>
        <v>6.096E-2</v>
      </c>
    </row>
    <row r="11" spans="1:11" x14ac:dyDescent="0.25">
      <c r="A11" s="2">
        <v>44951</v>
      </c>
      <c r="B11" t="s">
        <v>52</v>
      </c>
      <c r="E11">
        <v>28.8</v>
      </c>
      <c r="F11">
        <v>27.55</v>
      </c>
      <c r="G11">
        <f>G8</f>
        <v>3.2918400000000005</v>
      </c>
      <c r="K11" s="12">
        <f>G12/AVERAGE(E11:F11)</f>
        <v>0.11683549245785273</v>
      </c>
    </row>
    <row r="12" spans="1:11" x14ac:dyDescent="0.25">
      <c r="A12" s="2">
        <v>44963</v>
      </c>
      <c r="B12" t="s">
        <v>52</v>
      </c>
      <c r="G12">
        <f>G9</f>
        <v>3.2918400000000005</v>
      </c>
      <c r="I12">
        <v>35.86</v>
      </c>
      <c r="J12">
        <v>37.64</v>
      </c>
      <c r="K12" s="12">
        <f>G12/AVERAGE(I12:J12)</f>
        <v>8.957387755102042E-2</v>
      </c>
    </row>
    <row r="13" spans="1:11" x14ac:dyDescent="0.25">
      <c r="A13" s="2">
        <v>44979</v>
      </c>
      <c r="B13" t="s">
        <v>52</v>
      </c>
      <c r="E13">
        <v>76</v>
      </c>
      <c r="F13">
        <v>88</v>
      </c>
      <c r="G13">
        <v>3.2918400000000005</v>
      </c>
      <c r="H13">
        <v>3.2918400000000005</v>
      </c>
      <c r="I13">
        <f>H13/F13</f>
        <v>3.7407272727272733E-2</v>
      </c>
      <c r="J13">
        <f>H13/E13</f>
        <v>4.3313684210526324E-2</v>
      </c>
      <c r="K13" s="12">
        <f>AVERAGE(I13:J13)*-1</f>
        <v>-4.0360478468899529E-2</v>
      </c>
    </row>
    <row r="14" spans="1:11" x14ac:dyDescent="0.25">
      <c r="A14" s="2">
        <v>44993</v>
      </c>
      <c r="B14" t="s">
        <v>52</v>
      </c>
      <c r="E14">
        <f>CONVERT(1.33,"min","sec")</f>
        <v>79.800000000000011</v>
      </c>
      <c r="F14">
        <f>CONVERT(2.07,"min","sec")</f>
        <v>124.19999999999999</v>
      </c>
      <c r="G14">
        <v>3.2918400000000005</v>
      </c>
      <c r="K14" s="12">
        <f>G14/AVERAGE(E14:F14)</f>
        <v>3.2272941176470595E-2</v>
      </c>
    </row>
    <row r="15" spans="1:11" x14ac:dyDescent="0.25">
      <c r="A15" s="2">
        <v>45005</v>
      </c>
      <c r="B15" t="s">
        <v>52</v>
      </c>
      <c r="E15">
        <f>CONVERT(1.34,"min","sec")</f>
        <v>80.400000000000006</v>
      </c>
      <c r="F15">
        <f>CONVERT(1.15,"min","sec")</f>
        <v>69</v>
      </c>
      <c r="G15">
        <v>3.2918400000000005</v>
      </c>
      <c r="I15">
        <f>Sheet3!G20/F15</f>
        <v>4.7707826086956527E-2</v>
      </c>
      <c r="J15">
        <f>Sheet3!G20/E15</f>
        <v>4.0943283582089554E-2</v>
      </c>
      <c r="K15" s="12">
        <f>AVERAGE(I15:J15)</f>
        <v>4.4325554834523037E-2</v>
      </c>
    </row>
    <row r="16" spans="1:11" x14ac:dyDescent="0.25">
      <c r="A16" s="2">
        <v>45021</v>
      </c>
      <c r="B16" t="s">
        <v>52</v>
      </c>
      <c r="E16">
        <v>50.4</v>
      </c>
      <c r="F16">
        <f>CONVERT(1.27,"min","sec")</f>
        <v>76.2</v>
      </c>
      <c r="G16">
        <v>3.2918400000000005</v>
      </c>
      <c r="I16">
        <f>G16/E16</f>
        <v>6.5314285714285727E-2</v>
      </c>
      <c r="J16">
        <f>G16/F16</f>
        <v>4.3200000000000002E-2</v>
      </c>
      <c r="K16" s="12">
        <f>AVERAGE(I16:J16)</f>
        <v>5.4257142857142865E-2</v>
      </c>
    </row>
    <row r="17" spans="1:11" x14ac:dyDescent="0.25">
      <c r="A17" s="2">
        <v>45035</v>
      </c>
      <c r="B17" t="s">
        <v>52</v>
      </c>
      <c r="D17">
        <v>37.83</v>
      </c>
      <c r="E17">
        <v>56.16</v>
      </c>
      <c r="F17">
        <v>51.67</v>
      </c>
      <c r="G17">
        <v>3.2918400000000005</v>
      </c>
      <c r="K17" s="12">
        <f>G17/AVERAGE(D17:F17)</f>
        <v>6.7798434710970759E-2</v>
      </c>
    </row>
    <row r="18" spans="1:11" x14ac:dyDescent="0.25">
      <c r="A18" s="2">
        <v>45049</v>
      </c>
      <c r="B18" t="s">
        <v>52</v>
      </c>
      <c r="E18">
        <v>22.1</v>
      </c>
      <c r="F18">
        <v>25.62</v>
      </c>
      <c r="G18">
        <v>3.2918400000000005</v>
      </c>
      <c r="K18" s="12">
        <f>G18/AVERAGE(D18:F18)</f>
        <v>0.13796479463537303</v>
      </c>
    </row>
    <row r="19" spans="1:11" x14ac:dyDescent="0.25">
      <c r="A19" s="2">
        <v>45063</v>
      </c>
      <c r="B19" t="s">
        <v>52</v>
      </c>
      <c r="D19">
        <v>13.84</v>
      </c>
      <c r="E19">
        <v>26.12</v>
      </c>
      <c r="F19">
        <v>26.65</v>
      </c>
      <c r="G19">
        <v>3.2918400000000005</v>
      </c>
      <c r="K19" s="12">
        <f>G19/AVERAGE(D19:F19)</f>
        <v>0.14825881999699747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CAEA-3221-4D6F-856C-8C802CD7B5F7}">
  <dimension ref="A1:AM51"/>
  <sheetViews>
    <sheetView zoomScale="80" zoomScaleNormal="80" workbookViewId="0">
      <pane ySplit="1" topLeftCell="A2" activePane="bottomLeft" state="frozen"/>
      <selection pane="bottomLeft" activeCell="M7" sqref="M7:M8"/>
    </sheetView>
  </sheetViews>
  <sheetFormatPr defaultRowHeight="15" x14ac:dyDescent="0.25"/>
  <cols>
    <col min="1" max="1" width="11.140625" bestFit="1" customWidth="1"/>
    <col min="4" max="9" width="0" hidden="1" customWidth="1"/>
    <col min="11" max="11" width="13" bestFit="1" customWidth="1"/>
    <col min="14" max="14" width="13.42578125" bestFit="1" customWidth="1"/>
    <col min="16" max="16" width="24.42578125" bestFit="1" customWidth="1"/>
    <col min="18" max="18" width="16" bestFit="1" customWidth="1"/>
    <col min="34" max="34" width="15.5703125" bestFit="1" customWidth="1"/>
  </cols>
  <sheetData>
    <row r="1" spans="1:39" x14ac:dyDescent="0.25">
      <c r="A1" s="7" t="s">
        <v>1</v>
      </c>
      <c r="B1" s="7" t="s">
        <v>2</v>
      </c>
      <c r="C1" t="s">
        <v>3</v>
      </c>
      <c r="D1" t="s">
        <v>4</v>
      </c>
      <c r="E1" t="s">
        <v>4</v>
      </c>
      <c r="F1" t="s">
        <v>8</v>
      </c>
      <c r="G1" t="s">
        <v>5</v>
      </c>
      <c r="H1" t="s">
        <v>5</v>
      </c>
      <c r="I1" t="s">
        <v>9</v>
      </c>
      <c r="J1" t="s">
        <v>6</v>
      </c>
      <c r="K1" t="s">
        <v>6</v>
      </c>
      <c r="L1" t="s">
        <v>63</v>
      </c>
      <c r="M1" t="s">
        <v>7</v>
      </c>
      <c r="N1" t="s">
        <v>31</v>
      </c>
      <c r="O1" t="s">
        <v>102</v>
      </c>
      <c r="Q1" t="s">
        <v>7</v>
      </c>
      <c r="R1" t="s">
        <v>107</v>
      </c>
      <c r="W1" t="s">
        <v>67</v>
      </c>
      <c r="X1">
        <f>CONVERT(6.1,"ft","m")</f>
        <v>1.85928</v>
      </c>
      <c r="Y1" t="s">
        <v>69</v>
      </c>
      <c r="Z1">
        <f>CONVERT(6.9,"ft","m")</f>
        <v>2.1031200000000001</v>
      </c>
      <c r="AD1" t="s">
        <v>66</v>
      </c>
      <c r="AH1" s="8">
        <v>44958</v>
      </c>
      <c r="AI1" t="s">
        <v>85</v>
      </c>
      <c r="AJ1">
        <v>10.53965</v>
      </c>
      <c r="AK1" s="14">
        <v>0.78326130000000005</v>
      </c>
      <c r="AL1">
        <v>9.6864406779661016E-2</v>
      </c>
      <c r="AM1">
        <v>0.12366806170515639</v>
      </c>
    </row>
    <row r="2" spans="1:39" x14ac:dyDescent="0.25">
      <c r="A2" s="2">
        <v>44742</v>
      </c>
      <c r="B2" t="s">
        <v>85</v>
      </c>
      <c r="N2">
        <f>Sheet3!K2</f>
        <v>0.36752642087327392</v>
      </c>
      <c r="Q2">
        <f>M2</f>
        <v>0</v>
      </c>
      <c r="R2">
        <f>N2</f>
        <v>0.36752642087327392</v>
      </c>
      <c r="W2" t="s">
        <v>68</v>
      </c>
      <c r="X2">
        <v>34.299999999999997</v>
      </c>
      <c r="Y2" t="s">
        <v>70</v>
      </c>
      <c r="Z2">
        <f>CONVERT(188,"ft", "m")</f>
        <v>57.302399999999999</v>
      </c>
      <c r="AD2" s="7">
        <f>(X1-Z1)/(X2+Z2)</f>
        <v>-2.6619389884981188E-3</v>
      </c>
    </row>
    <row r="3" spans="1:39" x14ac:dyDescent="0.25">
      <c r="A3" s="2">
        <v>44762</v>
      </c>
      <c r="B3" t="s">
        <v>85</v>
      </c>
      <c r="C3">
        <v>3.6545149999999998E-2</v>
      </c>
      <c r="M3">
        <v>0.41249999999999998</v>
      </c>
      <c r="N3">
        <f>Sheet3!K3</f>
        <v>0.14650561651333108</v>
      </c>
      <c r="O3">
        <f>N3/M3</f>
        <v>0.35516513094140867</v>
      </c>
      <c r="Q3">
        <f t="shared" ref="Q3:Q23" si="0">M3</f>
        <v>0.41249999999999998</v>
      </c>
    </row>
    <row r="4" spans="1:39" x14ac:dyDescent="0.25">
      <c r="A4" s="2">
        <v>44789</v>
      </c>
      <c r="B4" t="s">
        <v>85</v>
      </c>
      <c r="C4">
        <v>3.6545149999999998E-2</v>
      </c>
      <c r="M4">
        <v>1.1134900000000001</v>
      </c>
      <c r="N4">
        <f>Sheet3!K4</f>
        <v>0.20006601307577915</v>
      </c>
      <c r="O4">
        <f t="shared" ref="O4:O23" si="1">N4/M4</f>
        <v>0.17967472817517816</v>
      </c>
      <c r="Q4">
        <f t="shared" si="0"/>
        <v>1.1134900000000001</v>
      </c>
      <c r="R4">
        <f t="shared" ref="R4:R22" si="2">N4</f>
        <v>0.20006601307577915</v>
      </c>
    </row>
    <row r="5" spans="1:39" x14ac:dyDescent="0.25">
      <c r="A5" s="2">
        <v>44844</v>
      </c>
      <c r="B5" t="s">
        <v>85</v>
      </c>
      <c r="C5" s="14">
        <v>3.6858189999999999E-2</v>
      </c>
      <c r="D5" s="14">
        <v>8.2789119999999994E-2</v>
      </c>
      <c r="E5" s="14">
        <v>3.6029730000000003E-2</v>
      </c>
      <c r="F5">
        <f t="shared" ref="F5:F17" si="3">AVERAGE(D5:E5)</f>
        <v>5.9409425000000002E-2</v>
      </c>
      <c r="G5" s="14">
        <v>7.3994480000000001E-2</v>
      </c>
      <c r="H5" s="14">
        <v>3.2202309999999998E-2</v>
      </c>
      <c r="I5">
        <f t="shared" ref="I5:I17" si="4">AVERAGE(G5:H5)</f>
        <v>5.3098395E-2</v>
      </c>
      <c r="J5" s="9">
        <v>5.1351339999999999</v>
      </c>
      <c r="K5" s="9">
        <v>8.9418330000000008</v>
      </c>
      <c r="L5">
        <f>J5</f>
        <v>5.1351339999999999</v>
      </c>
      <c r="M5" s="13">
        <v>0.82254210000000005</v>
      </c>
      <c r="N5">
        <f>Sheet3!K6</f>
        <v>0.3183333637360477</v>
      </c>
      <c r="O5">
        <f t="shared" si="1"/>
        <v>0.38701163592240162</v>
      </c>
      <c r="Q5">
        <f t="shared" si="0"/>
        <v>0.82254210000000005</v>
      </c>
      <c r="T5" s="9"/>
      <c r="U5" s="13"/>
    </row>
    <row r="6" spans="1:39" x14ac:dyDescent="0.25">
      <c r="A6" s="2">
        <v>44860</v>
      </c>
      <c r="B6" t="s">
        <v>85</v>
      </c>
      <c r="C6" s="13"/>
      <c r="D6" s="13"/>
      <c r="E6" s="13"/>
      <c r="G6" s="13"/>
      <c r="H6" s="13"/>
      <c r="J6" s="13" t="s">
        <v>41</v>
      </c>
      <c r="K6" s="13" t="s">
        <v>41</v>
      </c>
      <c r="M6" s="14">
        <v>0.70015590000000005</v>
      </c>
      <c r="N6">
        <f>Sheet3!K7</f>
        <v>0.52371134020618559</v>
      </c>
      <c r="Q6">
        <f t="shared" si="0"/>
        <v>0.70015590000000005</v>
      </c>
      <c r="T6" s="14"/>
      <c r="U6" s="13"/>
    </row>
    <row r="7" spans="1:39" x14ac:dyDescent="0.25">
      <c r="A7" s="2">
        <v>44872</v>
      </c>
      <c r="B7" t="s">
        <v>85</v>
      </c>
      <c r="C7" s="14">
        <v>3.7000659999999998E-2</v>
      </c>
      <c r="D7" s="14">
        <v>0.3528347</v>
      </c>
      <c r="E7" s="14">
        <v>0.54498740000000001</v>
      </c>
      <c r="F7">
        <f t="shared" si="3"/>
        <v>0.44891104999999998</v>
      </c>
      <c r="G7" s="13">
        <v>0.48721449999999999</v>
      </c>
      <c r="H7" s="14">
        <v>0.31543149999999998</v>
      </c>
      <c r="I7">
        <f>AVERAGE(G7:H7)</f>
        <v>0.40132299999999999</v>
      </c>
      <c r="J7" s="9">
        <v>3.882069</v>
      </c>
      <c r="K7" s="9">
        <v>2.9052699999999998</v>
      </c>
      <c r="L7">
        <f t="shared" ref="L7:L18" si="5">J7</f>
        <v>3.882069</v>
      </c>
      <c r="M7" s="14">
        <v>0.66093950000000001</v>
      </c>
      <c r="N7">
        <f>Sheet3!K9</f>
        <v>0.32508800559832052</v>
      </c>
      <c r="O7">
        <f t="shared" si="1"/>
        <v>0.49185743263690629</v>
      </c>
      <c r="Q7">
        <f t="shared" si="0"/>
        <v>0.66093950000000001</v>
      </c>
      <c r="T7" s="14"/>
      <c r="U7" s="13"/>
    </row>
    <row r="8" spans="1:39" x14ac:dyDescent="0.25">
      <c r="A8" s="2">
        <v>44886</v>
      </c>
      <c r="B8" t="s">
        <v>85</v>
      </c>
      <c r="C8" s="14">
        <v>3.7619050000000001E-2</v>
      </c>
      <c r="D8" s="14">
        <v>0.13602549999999999</v>
      </c>
      <c r="E8" s="14">
        <v>0.52159659999999997</v>
      </c>
      <c r="F8">
        <f t="shared" si="3"/>
        <v>0.32881104999999999</v>
      </c>
      <c r="G8" s="14">
        <v>0.1239793</v>
      </c>
      <c r="H8" s="14">
        <v>0.47540470000000001</v>
      </c>
      <c r="I8">
        <f t="shared" si="4"/>
        <v>0.29969200000000001</v>
      </c>
      <c r="J8" s="9">
        <v>7.2022959999999996</v>
      </c>
      <c r="K8" s="9">
        <v>2.9336730000000002</v>
      </c>
      <c r="L8">
        <f t="shared" si="5"/>
        <v>7.2022959999999996</v>
      </c>
      <c r="M8" s="14">
        <v>0.67033030000000005</v>
      </c>
      <c r="N8">
        <f>Sheet3!K10</f>
        <v>0.24384</v>
      </c>
      <c r="O8">
        <f t="shared" si="1"/>
        <v>0.36376096977862998</v>
      </c>
      <c r="Q8">
        <f t="shared" si="0"/>
        <v>0.67033030000000005</v>
      </c>
      <c r="R8">
        <f t="shared" si="2"/>
        <v>0.24384</v>
      </c>
      <c r="T8" s="14"/>
      <c r="U8" s="13"/>
    </row>
    <row r="9" spans="1:39" x14ac:dyDescent="0.25">
      <c r="A9" s="2">
        <v>44900</v>
      </c>
      <c r="B9" t="s">
        <v>85</v>
      </c>
      <c r="C9" s="14">
        <v>3.7349510000000002E-2</v>
      </c>
      <c r="D9" s="14">
        <v>0.43587229999999999</v>
      </c>
      <c r="E9" s="14">
        <v>0.35221229999999998</v>
      </c>
      <c r="F9">
        <f t="shared" si="3"/>
        <v>0.39404229999999996</v>
      </c>
      <c r="G9" s="14">
        <v>0.38990229999999998</v>
      </c>
      <c r="H9" s="14">
        <v>0.3150656</v>
      </c>
      <c r="I9">
        <f t="shared" si="4"/>
        <v>0.35248394999999999</v>
      </c>
      <c r="J9" s="9">
        <v>3.5337610000000002</v>
      </c>
      <c r="K9" s="9">
        <v>4.0167650000000004</v>
      </c>
      <c r="L9">
        <f t="shared" si="5"/>
        <v>3.5337610000000002</v>
      </c>
      <c r="M9" s="14">
        <v>0.65163530000000003</v>
      </c>
      <c r="N9">
        <f>Sheet3!K11</f>
        <v>0.39284874334801589</v>
      </c>
      <c r="O9">
        <f t="shared" si="1"/>
        <v>0.60286596405691328</v>
      </c>
      <c r="Q9">
        <f t="shared" si="0"/>
        <v>0.65163530000000003</v>
      </c>
      <c r="T9" s="14"/>
      <c r="U9" s="13"/>
    </row>
    <row r="10" spans="1:39" x14ac:dyDescent="0.25">
      <c r="A10" s="2">
        <v>44914</v>
      </c>
      <c r="B10" t="s">
        <v>85</v>
      </c>
      <c r="C10" s="14">
        <v>3.7608639999999999E-2</v>
      </c>
      <c r="D10" s="14">
        <v>0.27535929999999997</v>
      </c>
      <c r="E10" s="14">
        <v>0.30298940000000002</v>
      </c>
      <c r="F10">
        <f t="shared" si="3"/>
        <v>0.28917435000000002</v>
      </c>
      <c r="G10" s="14">
        <v>0.27115539999999999</v>
      </c>
      <c r="H10" s="14">
        <v>0.24642829999999999</v>
      </c>
      <c r="I10">
        <f t="shared" si="4"/>
        <v>0.25879184999999999</v>
      </c>
      <c r="J10" s="9">
        <v>4.6896240000000002</v>
      </c>
      <c r="K10" s="9">
        <v>4.3797680000000003</v>
      </c>
      <c r="L10">
        <f t="shared" si="5"/>
        <v>4.6896240000000002</v>
      </c>
      <c r="M10" s="14">
        <v>0.65221130000000005</v>
      </c>
      <c r="N10">
        <f>Sheet3!K12</f>
        <v>0.39284874334801589</v>
      </c>
      <c r="O10">
        <f t="shared" si="1"/>
        <v>0.60233354335936196</v>
      </c>
      <c r="Q10">
        <f t="shared" si="0"/>
        <v>0.65221130000000005</v>
      </c>
      <c r="T10" s="14"/>
      <c r="U10" s="13"/>
    </row>
    <row r="11" spans="1:39" x14ac:dyDescent="0.25">
      <c r="A11" s="2">
        <v>44929</v>
      </c>
      <c r="B11" t="s">
        <v>85</v>
      </c>
      <c r="C11" s="14">
        <v>3.820788E-2</v>
      </c>
      <c r="D11" s="14">
        <v>0.1067843</v>
      </c>
      <c r="E11" s="14">
        <v>0.21414920000000001</v>
      </c>
      <c r="F11">
        <f t="shared" si="3"/>
        <v>0.16046674999999999</v>
      </c>
      <c r="G11" s="14">
        <v>9.5663250000000005E-2</v>
      </c>
      <c r="H11" s="14">
        <v>0.19184660000000001</v>
      </c>
      <c r="I11">
        <f t="shared" si="4"/>
        <v>0.14375492500000001</v>
      </c>
      <c r="J11" s="9">
        <v>9.0677260000000004</v>
      </c>
      <c r="K11" s="9">
        <v>5.7019799999999998</v>
      </c>
      <c r="L11">
        <f t="shared" si="5"/>
        <v>9.0677260000000004</v>
      </c>
      <c r="M11" s="14">
        <v>0.65073259999999999</v>
      </c>
      <c r="N11">
        <f>Sheet3!K13</f>
        <v>0.41148000000000001</v>
      </c>
      <c r="O11">
        <f t="shared" si="1"/>
        <v>0.63233346538962398</v>
      </c>
      <c r="Q11">
        <f t="shared" si="0"/>
        <v>0.65073259999999999</v>
      </c>
      <c r="T11" s="14"/>
      <c r="U11" s="13"/>
    </row>
    <row r="12" spans="1:39" x14ac:dyDescent="0.25">
      <c r="A12" s="2">
        <v>44944</v>
      </c>
      <c r="B12" t="s">
        <v>85</v>
      </c>
      <c r="C12" s="14">
        <v>3.8176050000000003E-2</v>
      </c>
      <c r="D12" s="14">
        <v>0.28809119999999999</v>
      </c>
      <c r="E12" s="14">
        <v>0.36560140000000002</v>
      </c>
      <c r="F12">
        <f t="shared" si="3"/>
        <v>0.32684630000000003</v>
      </c>
      <c r="G12" s="14">
        <v>0.25807380000000002</v>
      </c>
      <c r="H12" s="14">
        <v>0.32750800000000002</v>
      </c>
      <c r="I12">
        <f t="shared" si="4"/>
        <v>0.29279090000000002</v>
      </c>
      <c r="J12" s="9">
        <v>4.9734340000000001</v>
      </c>
      <c r="K12" s="9">
        <v>4.2516230000000004</v>
      </c>
      <c r="L12">
        <f t="shared" si="5"/>
        <v>4.9734340000000001</v>
      </c>
      <c r="M12" s="14">
        <v>0.61574680000000004</v>
      </c>
      <c r="N12">
        <f>Sheet3!K14</f>
        <v>0.41147999999999996</v>
      </c>
      <c r="O12">
        <f t="shared" si="1"/>
        <v>0.66826169457965501</v>
      </c>
      <c r="Q12">
        <f t="shared" si="0"/>
        <v>0.61574680000000004</v>
      </c>
      <c r="T12" s="14"/>
      <c r="U12" s="13"/>
    </row>
    <row r="13" spans="1:39" x14ac:dyDescent="0.25">
      <c r="A13" s="2">
        <v>44958</v>
      </c>
      <c r="B13" t="s">
        <v>85</v>
      </c>
      <c r="C13" s="14">
        <v>3.7849019999999997E-2</v>
      </c>
      <c r="D13" s="14">
        <v>5.2812230000000002E-2</v>
      </c>
      <c r="E13" s="14">
        <v>5.3894739999999997E-2</v>
      </c>
      <c r="F13">
        <f t="shared" si="3"/>
        <v>5.3353484999999999E-2</v>
      </c>
      <c r="G13" s="14">
        <v>4.7282999999999999E-2</v>
      </c>
      <c r="H13" s="14">
        <v>4.8252179999999999E-2</v>
      </c>
      <c r="I13">
        <f t="shared" si="4"/>
        <v>4.7767589999999999E-2</v>
      </c>
      <c r="J13" s="9">
        <v>7.8836440000000003</v>
      </c>
      <c r="K13" s="9">
        <v>8.1339579999999998</v>
      </c>
      <c r="M13" s="14">
        <v>1.1493393000000001</v>
      </c>
      <c r="N13">
        <f>Sheet3!K16</f>
        <v>9.6864406779661016E-2</v>
      </c>
      <c r="O13">
        <f t="shared" si="1"/>
        <v>8.4278338676543135E-2</v>
      </c>
      <c r="Q13">
        <f t="shared" si="0"/>
        <v>1.1493393000000001</v>
      </c>
      <c r="R13">
        <f t="shared" si="2"/>
        <v>9.6864406779661016E-2</v>
      </c>
      <c r="T13" s="14"/>
      <c r="U13" s="13"/>
    </row>
    <row r="14" spans="1:39" x14ac:dyDescent="0.25">
      <c r="A14" s="2">
        <v>44972</v>
      </c>
      <c r="B14" t="s">
        <v>85</v>
      </c>
      <c r="C14" s="14">
        <v>3.8894949999999998E-2</v>
      </c>
      <c r="D14" s="14">
        <v>0.16645299999999999</v>
      </c>
      <c r="E14" s="14">
        <v>0.16645299999999999</v>
      </c>
      <c r="F14">
        <f t="shared" si="3"/>
        <v>0.16645299999999999</v>
      </c>
      <c r="G14" s="14">
        <v>0.14929239999999999</v>
      </c>
      <c r="H14" s="14">
        <v>0.14929239999999999</v>
      </c>
      <c r="I14">
        <f t="shared" si="4"/>
        <v>0.14929239999999999</v>
      </c>
      <c r="J14" s="9">
        <v>1.3509420000000001</v>
      </c>
      <c r="K14" s="9">
        <v>1.3509420000000001</v>
      </c>
      <c r="L14">
        <f t="shared" si="5"/>
        <v>1.3509420000000001</v>
      </c>
      <c r="M14" s="14">
        <v>1.9614750000000001</v>
      </c>
      <c r="N14">
        <f>Sheet3!K17*-1</f>
        <v>2.5907667950055772E-2</v>
      </c>
      <c r="O14">
        <f t="shared" si="1"/>
        <v>1.320825804563187E-2</v>
      </c>
      <c r="Q14">
        <f t="shared" si="0"/>
        <v>1.9614750000000001</v>
      </c>
      <c r="R14">
        <f t="shared" si="2"/>
        <v>2.5907667950055772E-2</v>
      </c>
      <c r="T14" s="14"/>
      <c r="U14" s="13"/>
    </row>
    <row r="15" spans="1:39" x14ac:dyDescent="0.25">
      <c r="A15" s="2">
        <v>44986</v>
      </c>
      <c r="B15" t="s">
        <v>85</v>
      </c>
      <c r="C15" s="14">
        <v>4.2643229999999997E-2</v>
      </c>
      <c r="D15" s="13"/>
      <c r="E15" s="13"/>
      <c r="F15" t="e">
        <f t="shared" si="3"/>
        <v>#DIV/0!</v>
      </c>
      <c r="G15" s="13"/>
      <c r="H15" s="13"/>
      <c r="I15" t="e">
        <f t="shared" si="4"/>
        <v>#DIV/0!</v>
      </c>
      <c r="J15" s="13" t="s">
        <v>41</v>
      </c>
      <c r="K15" s="13" t="s">
        <v>41</v>
      </c>
      <c r="M15" s="14">
        <v>2.3679839999999999</v>
      </c>
      <c r="Q15">
        <f t="shared" si="0"/>
        <v>2.3679839999999999</v>
      </c>
      <c r="R15">
        <f t="shared" si="2"/>
        <v>0</v>
      </c>
      <c r="T15" s="14"/>
      <c r="U15" s="13"/>
    </row>
    <row r="16" spans="1:39" x14ac:dyDescent="0.25">
      <c r="A16" s="2">
        <v>45000</v>
      </c>
      <c r="B16" t="s">
        <v>85</v>
      </c>
      <c r="C16" s="14">
        <v>3.7567030000000001E-2</v>
      </c>
      <c r="D16" s="13"/>
      <c r="E16" s="13"/>
      <c r="F16" t="e">
        <f t="shared" si="3"/>
        <v>#DIV/0!</v>
      </c>
      <c r="G16" s="13"/>
      <c r="H16" s="13"/>
      <c r="I16" t="e">
        <f t="shared" si="4"/>
        <v>#DIV/0!</v>
      </c>
      <c r="J16" s="13" t="s">
        <v>41</v>
      </c>
      <c r="K16" s="13" t="s">
        <v>41</v>
      </c>
      <c r="M16" s="13">
        <v>1.5505709999999999</v>
      </c>
      <c r="N16">
        <f>Sheet3!K19</f>
        <v>8.526759287224403E-2</v>
      </c>
      <c r="O16">
        <f t="shared" si="1"/>
        <v>5.4991092231341895E-2</v>
      </c>
      <c r="Q16">
        <f t="shared" si="0"/>
        <v>1.5505709999999999</v>
      </c>
      <c r="R16">
        <f t="shared" si="2"/>
        <v>8.526759287224403E-2</v>
      </c>
      <c r="T16" s="14"/>
      <c r="U16" s="13"/>
    </row>
    <row r="17" spans="1:21" x14ac:dyDescent="0.25">
      <c r="A17" s="2">
        <v>45014</v>
      </c>
      <c r="B17" t="s">
        <v>85</v>
      </c>
      <c r="C17">
        <v>3.781756E-2</v>
      </c>
      <c r="D17" s="9">
        <v>5.9162149999999997E-2</v>
      </c>
      <c r="E17" s="9">
        <v>4.4639900000000003E-2</v>
      </c>
      <c r="F17">
        <f t="shared" si="3"/>
        <v>5.1901025000000003E-2</v>
      </c>
      <c r="G17" s="9">
        <v>5.2965239999999997E-2</v>
      </c>
      <c r="H17" s="9">
        <v>3.9964119999999999E-2</v>
      </c>
      <c r="I17">
        <f t="shared" si="4"/>
        <v>4.6464679999999994E-2</v>
      </c>
      <c r="J17" s="9">
        <v>3.9594749999999999</v>
      </c>
      <c r="K17" s="9">
        <v>4.7773240000000001</v>
      </c>
      <c r="L17">
        <f t="shared" si="5"/>
        <v>3.9594749999999999</v>
      </c>
      <c r="M17" s="17">
        <v>1.290305</v>
      </c>
      <c r="N17">
        <f>Sheet3!K20</f>
        <v>0.11148909281324629</v>
      </c>
      <c r="O17">
        <f t="shared" si="1"/>
        <v>8.6405224201445613E-2</v>
      </c>
      <c r="Q17">
        <f t="shared" si="0"/>
        <v>1.290305</v>
      </c>
      <c r="R17">
        <f t="shared" si="2"/>
        <v>0.11148909281324629</v>
      </c>
      <c r="T17" s="14"/>
      <c r="U17" s="13"/>
    </row>
    <row r="18" spans="1:21" x14ac:dyDescent="0.25">
      <c r="A18" s="2">
        <v>45028</v>
      </c>
      <c r="B18" t="s">
        <v>85</v>
      </c>
      <c r="C18">
        <v>3.701086E-2</v>
      </c>
      <c r="J18" s="9">
        <v>3.2537379999999998</v>
      </c>
      <c r="K18" s="9">
        <v>6.0454759999999998</v>
      </c>
      <c r="L18">
        <f t="shared" si="5"/>
        <v>3.2537379999999998</v>
      </c>
      <c r="M18" s="17">
        <v>1.1154360000000001</v>
      </c>
      <c r="N18">
        <f>Sheet3!K21</f>
        <v>8.1843181839146212E-2</v>
      </c>
      <c r="O18">
        <f t="shared" si="1"/>
        <v>7.3373265556379935E-2</v>
      </c>
      <c r="Q18">
        <f t="shared" si="0"/>
        <v>1.1154360000000001</v>
      </c>
      <c r="R18">
        <f t="shared" si="2"/>
        <v>8.1843181839146212E-2</v>
      </c>
      <c r="T18" s="14"/>
      <c r="U18" s="13"/>
    </row>
    <row r="19" spans="1:21" x14ac:dyDescent="0.25">
      <c r="A19" s="2">
        <v>45042</v>
      </c>
      <c r="B19" t="s">
        <v>85</v>
      </c>
      <c r="C19" s="9">
        <v>3.6908990000000003E-2</v>
      </c>
      <c r="K19">
        <v>5.9652430000000001</v>
      </c>
      <c r="M19">
        <v>0.71709690000000004</v>
      </c>
      <c r="N19">
        <f>Sheet3!K22</f>
        <v>0.24384000000000006</v>
      </c>
      <c r="O19">
        <f t="shared" si="1"/>
        <v>0.34003772711888736</v>
      </c>
      <c r="Q19">
        <f t="shared" si="0"/>
        <v>0.71709690000000004</v>
      </c>
      <c r="R19">
        <f t="shared" si="2"/>
        <v>0.24384000000000006</v>
      </c>
      <c r="T19" s="14"/>
      <c r="U19" s="13"/>
    </row>
    <row r="20" spans="1:21" x14ac:dyDescent="0.25">
      <c r="A20" s="2">
        <f>Sheet3!A23</f>
        <v>45076</v>
      </c>
      <c r="B20" t="s">
        <v>85</v>
      </c>
      <c r="C20" s="9">
        <v>3.6888659999999997E-2</v>
      </c>
      <c r="K20">
        <v>3.3714789999999999</v>
      </c>
      <c r="L20">
        <f t="shared" ref="L20:L22" si="6">AVERAGE(J20:K20)</f>
        <v>3.3714789999999999</v>
      </c>
      <c r="M20">
        <v>0.73544750000000003</v>
      </c>
      <c r="N20">
        <f>Sheet3!K23</f>
        <v>0.18897599999999998</v>
      </c>
      <c r="O20">
        <f t="shared" si="1"/>
        <v>0.25695375944577958</v>
      </c>
      <c r="Q20">
        <f t="shared" si="0"/>
        <v>0.73544750000000003</v>
      </c>
      <c r="R20">
        <f t="shared" si="2"/>
        <v>0.18897599999999998</v>
      </c>
      <c r="T20" s="14"/>
      <c r="U20" s="13"/>
    </row>
    <row r="21" spans="1:21" x14ac:dyDescent="0.25">
      <c r="A21" s="2">
        <v>45063</v>
      </c>
      <c r="B21" t="s">
        <v>85</v>
      </c>
      <c r="C21">
        <v>3.6384880000000001E-2</v>
      </c>
      <c r="K21">
        <v>4.9873989999999999</v>
      </c>
      <c r="L21">
        <f t="shared" si="6"/>
        <v>4.9873989999999999</v>
      </c>
      <c r="M21">
        <v>0.61764379999999997</v>
      </c>
      <c r="N21">
        <f>Sheet3!K24</f>
        <v>0.21945600000000001</v>
      </c>
      <c r="O21">
        <f t="shared" si="1"/>
        <v>0.35531158897733617</v>
      </c>
      <c r="Q21">
        <f t="shared" si="0"/>
        <v>0.61764379999999997</v>
      </c>
      <c r="R21">
        <f t="shared" si="2"/>
        <v>0.21945600000000001</v>
      </c>
    </row>
    <row r="22" spans="1:21" x14ac:dyDescent="0.25">
      <c r="A22" s="2">
        <v>45075</v>
      </c>
      <c r="B22" t="s">
        <v>85</v>
      </c>
      <c r="C22" s="9">
        <v>3.6444879999999999E-2</v>
      </c>
      <c r="J22">
        <v>4.8181630000000002</v>
      </c>
      <c r="K22" s="9">
        <v>3.7001170000000001</v>
      </c>
      <c r="L22">
        <f t="shared" si="6"/>
        <v>4.2591400000000004</v>
      </c>
      <c r="M22">
        <v>0.81902019999999998</v>
      </c>
      <c r="N22">
        <f>-0.2211*M22+0.4446</f>
        <v>0.26351463378000001</v>
      </c>
      <c r="O22">
        <f t="shared" si="1"/>
        <v>0.32174375403683575</v>
      </c>
      <c r="Q22">
        <f t="shared" si="0"/>
        <v>0.81902019999999998</v>
      </c>
      <c r="R22">
        <f t="shared" si="2"/>
        <v>0.26351463378000001</v>
      </c>
    </row>
    <row r="23" spans="1:21" x14ac:dyDescent="0.25">
      <c r="A23" s="2">
        <v>45085</v>
      </c>
      <c r="B23" t="s">
        <v>85</v>
      </c>
      <c r="C23">
        <v>3.6404859999999997E-2</v>
      </c>
      <c r="J23">
        <v>2.704593</v>
      </c>
      <c r="K23">
        <v>1.973881</v>
      </c>
      <c r="M23">
        <v>0.65185249999999995</v>
      </c>
      <c r="N23">
        <f>Sheet3!J25</f>
        <v>0.35560000000000003</v>
      </c>
      <c r="O23">
        <f t="shared" si="1"/>
        <v>0.5455221848501004</v>
      </c>
      <c r="Q23">
        <f t="shared" si="0"/>
        <v>0.65185249999999995</v>
      </c>
    </row>
    <row r="24" spans="1:21" x14ac:dyDescent="0.25">
      <c r="J24" t="s">
        <v>105</v>
      </c>
    </row>
    <row r="25" spans="1:21" x14ac:dyDescent="0.25">
      <c r="J25" t="s">
        <v>106</v>
      </c>
    </row>
    <row r="29" spans="1:21" x14ac:dyDescent="0.25">
      <c r="L29" t="s">
        <v>63</v>
      </c>
      <c r="M29" t="s">
        <v>102</v>
      </c>
    </row>
    <row r="31" spans="1:21" x14ac:dyDescent="0.25">
      <c r="M31">
        <f t="shared" ref="M31:M51" si="7">O3</f>
        <v>0.35516513094140867</v>
      </c>
    </row>
    <row r="32" spans="1:21" x14ac:dyDescent="0.25">
      <c r="M32">
        <f t="shared" si="7"/>
        <v>0.17967472817517816</v>
      </c>
    </row>
    <row r="33" spans="12:13" x14ac:dyDescent="0.25">
      <c r="M33">
        <f t="shared" si="7"/>
        <v>0.38701163592240162</v>
      </c>
    </row>
    <row r="35" spans="12:13" x14ac:dyDescent="0.25">
      <c r="L35">
        <f t="shared" ref="L35:L50" si="8">AVERAGE(J7:K7)</f>
        <v>3.3936694999999997</v>
      </c>
      <c r="M35">
        <f t="shared" si="7"/>
        <v>0.49185743263690629</v>
      </c>
    </row>
    <row r="36" spans="12:13" x14ac:dyDescent="0.25">
      <c r="M36">
        <f t="shared" si="7"/>
        <v>0.36376096977862998</v>
      </c>
    </row>
    <row r="37" spans="12:13" x14ac:dyDescent="0.25">
      <c r="L37">
        <f t="shared" si="8"/>
        <v>3.7752630000000003</v>
      </c>
      <c r="M37">
        <f t="shared" si="7"/>
        <v>0.60286596405691328</v>
      </c>
    </row>
    <row r="38" spans="12:13" x14ac:dyDescent="0.25">
      <c r="M38">
        <f t="shared" si="7"/>
        <v>0.60233354335936196</v>
      </c>
    </row>
    <row r="39" spans="12:13" x14ac:dyDescent="0.25">
      <c r="M39">
        <f t="shared" si="7"/>
        <v>0.63233346538962398</v>
      </c>
    </row>
    <row r="40" spans="12:13" x14ac:dyDescent="0.25">
      <c r="M40">
        <f t="shared" si="7"/>
        <v>0.66826169457965501</v>
      </c>
    </row>
    <row r="41" spans="12:13" x14ac:dyDescent="0.25">
      <c r="M41">
        <f t="shared" si="7"/>
        <v>8.4278338676543135E-2</v>
      </c>
    </row>
    <row r="42" spans="12:13" x14ac:dyDescent="0.25">
      <c r="L42">
        <f t="shared" si="8"/>
        <v>1.3509420000000001</v>
      </c>
      <c r="M42">
        <f t="shared" si="7"/>
        <v>1.320825804563187E-2</v>
      </c>
    </row>
    <row r="44" spans="12:13" x14ac:dyDescent="0.25">
      <c r="M44">
        <f t="shared" si="7"/>
        <v>5.4991092231341895E-2</v>
      </c>
    </row>
    <row r="45" spans="12:13" x14ac:dyDescent="0.25">
      <c r="L45">
        <f t="shared" si="8"/>
        <v>4.3683994999999998</v>
      </c>
      <c r="M45">
        <f t="shared" si="7"/>
        <v>8.6405224201445613E-2</v>
      </c>
    </row>
    <row r="46" spans="12:13" x14ac:dyDescent="0.25">
      <c r="M46">
        <f t="shared" si="7"/>
        <v>7.3373265556379935E-2</v>
      </c>
    </row>
    <row r="47" spans="12:13" x14ac:dyDescent="0.25">
      <c r="M47">
        <f t="shared" si="7"/>
        <v>0.34003772711888736</v>
      </c>
    </row>
    <row r="48" spans="12:13" x14ac:dyDescent="0.25">
      <c r="L48">
        <f t="shared" si="8"/>
        <v>3.3714789999999999</v>
      </c>
      <c r="M48">
        <f t="shared" si="7"/>
        <v>0.25695375944577958</v>
      </c>
    </row>
    <row r="49" spans="12:13" x14ac:dyDescent="0.25">
      <c r="M49">
        <f t="shared" si="7"/>
        <v>0.35531158897733617</v>
      </c>
    </row>
    <row r="50" spans="12:13" x14ac:dyDescent="0.25">
      <c r="L50">
        <f t="shared" si="8"/>
        <v>4.2591400000000004</v>
      </c>
      <c r="M50">
        <f t="shared" si="7"/>
        <v>0.32174375403683575</v>
      </c>
    </row>
    <row r="51" spans="12:13" x14ac:dyDescent="0.25">
      <c r="M51">
        <f t="shared" si="7"/>
        <v>0.5455221848501004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E98E5-6326-41BF-BE7E-28E9A759AF25}">
  <dimension ref="A1:O26"/>
  <sheetViews>
    <sheetView topLeftCell="A11" workbookViewId="0">
      <selection activeCell="K25" sqref="K25"/>
    </sheetView>
  </sheetViews>
  <sheetFormatPr defaultRowHeight="15" x14ac:dyDescent="0.25"/>
  <cols>
    <col min="1" max="1" width="10.7109375" bestFit="1" customWidth="1"/>
    <col min="3" max="3" width="18.42578125" bestFit="1" customWidth="1"/>
    <col min="4" max="4" width="25.140625" bestFit="1" customWidth="1"/>
    <col min="5" max="5" width="12" bestFit="1" customWidth="1"/>
    <col min="6" max="6" width="9.7109375" bestFit="1" customWidth="1"/>
    <col min="7" max="7" width="9.5703125" bestFit="1" customWidth="1"/>
    <col min="9" max="9" width="12" bestFit="1" customWidth="1"/>
  </cols>
  <sheetData>
    <row r="1" spans="1:15" x14ac:dyDescent="0.25">
      <c r="A1" s="7" t="s">
        <v>1</v>
      </c>
      <c r="B1" s="7" t="s">
        <v>2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84</v>
      </c>
      <c r="L1" s="7" t="s">
        <v>7</v>
      </c>
      <c r="N1">
        <v>0.14650561651333108</v>
      </c>
      <c r="O1">
        <v>1.150112150281978</v>
      </c>
    </row>
    <row r="2" spans="1:15" x14ac:dyDescent="0.25">
      <c r="A2" s="2">
        <v>44742</v>
      </c>
      <c r="B2" t="s">
        <v>85</v>
      </c>
      <c r="C2" t="s">
        <v>86</v>
      </c>
      <c r="D2" t="s">
        <v>87</v>
      </c>
      <c r="E2">
        <v>17.234000000000002</v>
      </c>
      <c r="F2">
        <v>5.42</v>
      </c>
      <c r="G2">
        <v>3.048</v>
      </c>
      <c r="H2">
        <v>3.048</v>
      </c>
      <c r="I2">
        <v>0.1726912181303116</v>
      </c>
      <c r="J2">
        <f>H2/F2</f>
        <v>0.56236162361623621</v>
      </c>
      <c r="K2">
        <f>AVERAGE(I2:J2)</f>
        <v>0.36752642087327392</v>
      </c>
      <c r="N2">
        <v>0.20006601307577915</v>
      </c>
      <c r="O2">
        <v>0.9181468809829525</v>
      </c>
    </row>
    <row r="3" spans="1:15" x14ac:dyDescent="0.25">
      <c r="A3" s="2">
        <v>44762</v>
      </c>
      <c r="B3" t="s">
        <v>85</v>
      </c>
      <c r="C3" t="s">
        <v>88</v>
      </c>
      <c r="D3" t="s">
        <v>89</v>
      </c>
      <c r="E3">
        <v>20.966666666666665</v>
      </c>
      <c r="F3">
        <v>61</v>
      </c>
      <c r="G3">
        <v>4.5720000000000001</v>
      </c>
      <c r="H3">
        <v>4.5720000000000001</v>
      </c>
      <c r="I3">
        <v>0.21806041335453102</v>
      </c>
      <c r="J3">
        <f t="shared" ref="J3:J11" si="0">H3/F3</f>
        <v>7.4950819672131144E-2</v>
      </c>
      <c r="K3">
        <f t="shared" ref="K3:K8" si="1">AVERAGE(I3:J3)</f>
        <v>0.14650561651333108</v>
      </c>
      <c r="L3">
        <v>1.150112150281978</v>
      </c>
      <c r="N3">
        <v>0.3183333637360477</v>
      </c>
      <c r="O3">
        <v>0.79466407571163344</v>
      </c>
    </row>
    <row r="4" spans="1:15" x14ac:dyDescent="0.25">
      <c r="A4" s="2">
        <v>44789</v>
      </c>
      <c r="B4" t="s">
        <v>85</v>
      </c>
      <c r="C4" t="s">
        <v>90</v>
      </c>
      <c r="D4" t="s">
        <v>91</v>
      </c>
      <c r="E4">
        <v>16.416666666666664</v>
      </c>
      <c r="F4">
        <v>37.588000000000001</v>
      </c>
      <c r="G4">
        <v>4.5720000000000001</v>
      </c>
      <c r="H4">
        <v>4.5720000000000001</v>
      </c>
      <c r="I4">
        <v>0.27849746192893404</v>
      </c>
      <c r="J4">
        <f t="shared" si="0"/>
        <v>0.12163456422262424</v>
      </c>
      <c r="K4">
        <f t="shared" si="1"/>
        <v>0.20006601307577915</v>
      </c>
      <c r="L4">
        <v>0.9181468809829525</v>
      </c>
      <c r="N4">
        <v>0.52371134020618559</v>
      </c>
      <c r="O4">
        <v>0.65990704916701837</v>
      </c>
    </row>
    <row r="5" spans="1:15" x14ac:dyDescent="0.25">
      <c r="A5" s="2">
        <v>44816</v>
      </c>
      <c r="B5" t="s">
        <v>85</v>
      </c>
      <c r="L5">
        <v>1.65</v>
      </c>
      <c r="N5">
        <v>0.32508800559832052</v>
      </c>
      <c r="O5">
        <v>0.66570577783929297</v>
      </c>
    </row>
    <row r="6" spans="1:15" x14ac:dyDescent="0.25">
      <c r="A6" s="2">
        <v>44844</v>
      </c>
      <c r="B6" t="s">
        <v>85</v>
      </c>
      <c r="C6" t="s">
        <v>92</v>
      </c>
      <c r="D6" t="s">
        <v>93</v>
      </c>
      <c r="E6">
        <v>11.342000000000001</v>
      </c>
      <c r="F6">
        <v>13.05</v>
      </c>
      <c r="G6">
        <v>4.5720000000000001</v>
      </c>
      <c r="H6">
        <v>3.048</v>
      </c>
      <c r="I6">
        <f>G6/E6</f>
        <v>0.40310350908129078</v>
      </c>
      <c r="J6">
        <f t="shared" si="0"/>
        <v>0.2335632183908046</v>
      </c>
      <c r="K6">
        <f t="shared" si="1"/>
        <v>0.3183333637360477</v>
      </c>
      <c r="L6">
        <v>0.79466407571163344</v>
      </c>
      <c r="N6">
        <v>0.24384</v>
      </c>
      <c r="O6">
        <v>0.66809969999999996</v>
      </c>
    </row>
    <row r="7" spans="1:15" x14ac:dyDescent="0.25">
      <c r="A7" s="2">
        <v>44860</v>
      </c>
      <c r="B7" t="s">
        <v>85</v>
      </c>
      <c r="C7" t="s">
        <v>94</v>
      </c>
      <c r="D7" t="s">
        <v>95</v>
      </c>
      <c r="E7">
        <v>8.73</v>
      </c>
      <c r="G7">
        <v>4.5720000000000001</v>
      </c>
      <c r="I7">
        <f t="shared" ref="I7:I11" si="2">G7/E7</f>
        <v>0.52371134020618559</v>
      </c>
      <c r="K7">
        <f t="shared" si="1"/>
        <v>0.52371134020618559</v>
      </c>
      <c r="L7">
        <v>0.65990704916701837</v>
      </c>
      <c r="N7">
        <v>0.39284874334801589</v>
      </c>
      <c r="O7">
        <v>0.66217280000000001</v>
      </c>
    </row>
    <row r="8" spans="1:15" x14ac:dyDescent="0.25">
      <c r="A8" s="2">
        <v>44865</v>
      </c>
      <c r="B8" t="s">
        <v>85</v>
      </c>
      <c r="C8" t="s">
        <v>96</v>
      </c>
      <c r="E8">
        <v>1</v>
      </c>
      <c r="G8">
        <v>0.88392000000000004</v>
      </c>
      <c r="I8">
        <f t="shared" si="2"/>
        <v>0.88392000000000004</v>
      </c>
      <c r="K8">
        <f t="shared" si="1"/>
        <v>0.88392000000000004</v>
      </c>
      <c r="N8">
        <v>0.39284874334801589</v>
      </c>
      <c r="O8">
        <v>0.65421839999999998</v>
      </c>
    </row>
    <row r="9" spans="1:15" x14ac:dyDescent="0.25">
      <c r="A9" s="2">
        <v>44872</v>
      </c>
      <c r="B9" t="s">
        <v>85</v>
      </c>
      <c r="C9" t="s">
        <v>97</v>
      </c>
      <c r="D9" t="s">
        <v>98</v>
      </c>
      <c r="E9">
        <v>1</v>
      </c>
      <c r="F9">
        <f>(13.67+14.91)/2</f>
        <v>14.29</v>
      </c>
      <c r="G9">
        <v>0.43687999999999999</v>
      </c>
      <c r="H9">
        <v>3.048</v>
      </c>
      <c r="I9">
        <f t="shared" si="2"/>
        <v>0.43687999999999999</v>
      </c>
      <c r="J9">
        <f t="shared" si="0"/>
        <v>0.21329601119664102</v>
      </c>
      <c r="K9">
        <f>AVERAGE(I9:J9)</f>
        <v>0.32508800559832052</v>
      </c>
      <c r="L9">
        <v>0.66570577783929297</v>
      </c>
      <c r="N9">
        <v>0.41148000000000001</v>
      </c>
      <c r="O9">
        <v>0.65229780000000004</v>
      </c>
    </row>
    <row r="10" spans="1:15" x14ac:dyDescent="0.25">
      <c r="A10" s="2">
        <v>44886</v>
      </c>
      <c r="B10" t="s">
        <v>85</v>
      </c>
      <c r="C10" t="s">
        <v>99</v>
      </c>
      <c r="E10">
        <v>1</v>
      </c>
      <c r="G10">
        <v>0.24384</v>
      </c>
      <c r="I10">
        <f t="shared" si="2"/>
        <v>0.24384</v>
      </c>
      <c r="K10">
        <f>AVERAGE(I10:J10)</f>
        <v>0.24384</v>
      </c>
      <c r="L10">
        <v>0.66809969999999996</v>
      </c>
      <c r="N10">
        <v>0.41147999999999996</v>
      </c>
      <c r="O10">
        <v>0.65180269999999996</v>
      </c>
    </row>
    <row r="11" spans="1:15" x14ac:dyDescent="0.25">
      <c r="A11" s="2">
        <v>44900</v>
      </c>
      <c r="B11" t="s">
        <v>85</v>
      </c>
      <c r="C11" t="s">
        <v>100</v>
      </c>
      <c r="D11" t="s">
        <v>101</v>
      </c>
      <c r="E11">
        <v>11.79</v>
      </c>
      <c r="F11">
        <v>11.49</v>
      </c>
      <c r="G11">
        <v>4.5720000000000001</v>
      </c>
      <c r="H11">
        <v>4.5720000000000001</v>
      </c>
      <c r="I11">
        <f t="shared" si="2"/>
        <v>0.38778625954198476</v>
      </c>
      <c r="J11">
        <f t="shared" si="0"/>
        <v>0.39791122715404698</v>
      </c>
      <c r="K11">
        <f>AVERAGE(I11:J11)</f>
        <v>0.39284874334801589</v>
      </c>
      <c r="L11">
        <v>0.66217280000000001</v>
      </c>
      <c r="N11">
        <v>7.5695364238410584E-2</v>
      </c>
      <c r="O11">
        <v>0.7776843</v>
      </c>
    </row>
    <row r="12" spans="1:15" x14ac:dyDescent="0.25">
      <c r="A12" s="2">
        <v>44914</v>
      </c>
      <c r="B12" t="s">
        <v>85</v>
      </c>
      <c r="K12">
        <v>0.39284874334801589</v>
      </c>
      <c r="L12">
        <v>0.65421839999999998</v>
      </c>
      <c r="N12">
        <v>9.6864406779661016E-2</v>
      </c>
      <c r="O12">
        <v>1.1277600000000001</v>
      </c>
    </row>
    <row r="13" spans="1:15" x14ac:dyDescent="0.25">
      <c r="A13" s="2">
        <v>44929</v>
      </c>
      <c r="B13" t="s">
        <v>85</v>
      </c>
      <c r="D13">
        <v>1.6</v>
      </c>
      <c r="E13">
        <v>0.8</v>
      </c>
      <c r="F13">
        <v>2.8</v>
      </c>
      <c r="K13">
        <v>0.41148000000000001</v>
      </c>
      <c r="L13">
        <v>0.65229780000000004</v>
      </c>
    </row>
    <row r="14" spans="1:15" x14ac:dyDescent="0.25">
      <c r="A14" s="2">
        <v>44944</v>
      </c>
      <c r="B14" t="s">
        <v>85</v>
      </c>
      <c r="C14">
        <v>1.8</v>
      </c>
      <c r="D14">
        <v>0.4</v>
      </c>
      <c r="E14">
        <v>0.3</v>
      </c>
      <c r="F14">
        <v>1.5</v>
      </c>
      <c r="G14">
        <v>2.2999999999999998</v>
      </c>
      <c r="H14">
        <v>1.8</v>
      </c>
      <c r="K14">
        <f>CONVERT(AVERAGE(C14:H14),"ft","m")</f>
        <v>0.41147999999999996</v>
      </c>
      <c r="L14">
        <v>0.65180269999999996</v>
      </c>
    </row>
    <row r="15" spans="1:15" x14ac:dyDescent="0.25">
      <c r="A15" s="2">
        <v>44951</v>
      </c>
      <c r="B15" t="s">
        <v>85</v>
      </c>
      <c r="C15">
        <v>49.77</v>
      </c>
      <c r="D15">
        <v>29.04</v>
      </c>
      <c r="F15">
        <v>41.99</v>
      </c>
      <c r="G15">
        <f>CONVERT(10,"ft","m")</f>
        <v>3.048</v>
      </c>
      <c r="K15">
        <f>G15/AVERAGE(C15:F15)</f>
        <v>7.5695364238410584E-2</v>
      </c>
      <c r="L15">
        <v>0.7776843</v>
      </c>
    </row>
    <row r="16" spans="1:15" x14ac:dyDescent="0.25">
      <c r="A16" s="2">
        <v>44958</v>
      </c>
      <c r="B16" t="s">
        <v>85</v>
      </c>
      <c r="C16">
        <v>68</v>
      </c>
      <c r="D16">
        <v>41.99</v>
      </c>
      <c r="E16">
        <v>49.77</v>
      </c>
      <c r="F16">
        <v>29.04</v>
      </c>
      <c r="G16">
        <f>AVERAGE(C16:F16)</f>
        <v>47.2</v>
      </c>
      <c r="H16">
        <v>4.5720000000000001</v>
      </c>
      <c r="K16">
        <f>H16/G16</f>
        <v>9.6864406779661016E-2</v>
      </c>
      <c r="L16">
        <f>CONVERT(3.7,"ft","m")</f>
        <v>1.1277600000000001</v>
      </c>
    </row>
    <row r="17" spans="1:11" x14ac:dyDescent="0.25">
      <c r="A17" s="2">
        <v>44972</v>
      </c>
      <c r="B17" t="s">
        <v>85</v>
      </c>
      <c r="F17">
        <v>277.91000000000003</v>
      </c>
      <c r="G17">
        <v>7.2</v>
      </c>
      <c r="K17">
        <f>(G17/F17)*-1</f>
        <v>-2.5907667950055772E-2</v>
      </c>
    </row>
    <row r="18" spans="1:11" x14ac:dyDescent="0.25">
      <c r="A18" s="2">
        <v>44986</v>
      </c>
      <c r="B18" t="s">
        <v>85</v>
      </c>
      <c r="K18">
        <v>0</v>
      </c>
    </row>
    <row r="19" spans="1:11" x14ac:dyDescent="0.25">
      <c r="A19" s="2">
        <v>45000</v>
      </c>
      <c r="B19" t="s">
        <v>85</v>
      </c>
      <c r="E19">
        <v>44</v>
      </c>
      <c r="F19">
        <f>(CONVERT(1.24,"min","sec"))-44.3</f>
        <v>30.100000000000009</v>
      </c>
      <c r="G19">
        <f>CONVERT(10,"ft","m")</f>
        <v>3.048</v>
      </c>
      <c r="I19">
        <f>G19/E19</f>
        <v>6.9272727272727277E-2</v>
      </c>
      <c r="J19">
        <f>G19/F19</f>
        <v>0.10126245847176077</v>
      </c>
      <c r="K19">
        <f>AVERAGE(I19:J19)</f>
        <v>8.526759287224403E-2</v>
      </c>
    </row>
    <row r="20" spans="1:11" x14ac:dyDescent="0.25">
      <c r="A20" s="2">
        <v>46110</v>
      </c>
      <c r="B20" t="s">
        <v>85</v>
      </c>
      <c r="E20">
        <v>27.7</v>
      </c>
      <c r="F20">
        <v>31.61</v>
      </c>
      <c r="G20">
        <v>3.2918400000000005</v>
      </c>
      <c r="I20">
        <f>G20/E20</f>
        <v>0.11883898916967511</v>
      </c>
      <c r="J20">
        <f>G20/F20</f>
        <v>0.10413919645681748</v>
      </c>
      <c r="K20">
        <f>AVERAGE(I20:J20)</f>
        <v>0.11148909281324629</v>
      </c>
    </row>
    <row r="21" spans="1:11" x14ac:dyDescent="0.25">
      <c r="A21" s="2">
        <v>45028</v>
      </c>
      <c r="B21" t="s">
        <v>85</v>
      </c>
      <c r="E21">
        <v>18.22</v>
      </c>
      <c r="F21">
        <v>19.04</v>
      </c>
      <c r="G21">
        <f>CONVERT(5,"ft","m")</f>
        <v>1.524</v>
      </c>
      <c r="I21">
        <f>G21/E21</f>
        <v>8.3644346871569714E-2</v>
      </c>
      <c r="J21">
        <f>G21/F21</f>
        <v>8.0042016806722696E-2</v>
      </c>
      <c r="K21">
        <f>AVERAGE(I21:J21)</f>
        <v>8.1843181839146212E-2</v>
      </c>
    </row>
    <row r="22" spans="1:11" x14ac:dyDescent="0.25">
      <c r="A22" s="2">
        <v>45042</v>
      </c>
      <c r="B22" t="s">
        <v>85</v>
      </c>
      <c r="E22">
        <v>1.4</v>
      </c>
      <c r="F22">
        <v>0.8</v>
      </c>
      <c r="G22">
        <v>0.2</v>
      </c>
      <c r="J22">
        <f t="shared" ref="J22:J24" si="3">G22/F22</f>
        <v>0.25</v>
      </c>
      <c r="K22">
        <f>CONVERT(AVERAGE(E22:G22),"ft","m")</f>
        <v>0.24384000000000006</v>
      </c>
    </row>
    <row r="23" spans="1:11" x14ac:dyDescent="0.25">
      <c r="A23" s="2">
        <v>45076</v>
      </c>
      <c r="E23">
        <v>0.5</v>
      </c>
      <c r="F23">
        <v>0</v>
      </c>
      <c r="G23">
        <v>0.8</v>
      </c>
      <c r="H23">
        <v>0.6</v>
      </c>
      <c r="I23">
        <v>1.2</v>
      </c>
      <c r="J23" t="e">
        <f t="shared" si="3"/>
        <v>#DIV/0!</v>
      </c>
      <c r="K23">
        <f>CONVERT(AVERAGE(E23:I23),"ft","m")</f>
        <v>0.18897599999999998</v>
      </c>
    </row>
    <row r="24" spans="1:11" x14ac:dyDescent="0.25">
      <c r="E24">
        <v>0.8</v>
      </c>
      <c r="F24">
        <v>0.2</v>
      </c>
      <c r="G24">
        <v>0.1</v>
      </c>
      <c r="H24">
        <v>0.2</v>
      </c>
      <c r="I24">
        <v>2.2999999999999998</v>
      </c>
      <c r="J24">
        <f t="shared" si="3"/>
        <v>0.5</v>
      </c>
      <c r="K24">
        <f>CONVERT(AVERAGE(E24:I24),"ft","m")</f>
        <v>0.21945600000000001</v>
      </c>
    </row>
    <row r="25" spans="1:11" x14ac:dyDescent="0.25">
      <c r="A25" s="2">
        <v>45086</v>
      </c>
      <c r="E25">
        <v>0.4</v>
      </c>
      <c r="F25">
        <v>0.6</v>
      </c>
      <c r="G25">
        <v>0.7</v>
      </c>
      <c r="H25">
        <v>0.7</v>
      </c>
      <c r="I25">
        <v>0</v>
      </c>
      <c r="J25">
        <f>CONVERT(G25/F25,"ft","m")</f>
        <v>0.35560000000000003</v>
      </c>
      <c r="K25">
        <f t="shared" ref="K25:K26" si="4">CONVERT(AVERAGE(E25:I25),"ft","m")</f>
        <v>0.14630399999999999</v>
      </c>
    </row>
    <row r="26" spans="1:11" x14ac:dyDescent="0.25">
      <c r="A26" s="2">
        <v>45233</v>
      </c>
      <c r="E26">
        <v>1.2</v>
      </c>
      <c r="F26">
        <v>1.9</v>
      </c>
      <c r="G26">
        <v>1.3</v>
      </c>
      <c r="J26">
        <f>CONVERT(G26/F26,"ft","m")</f>
        <v>0.20854736842105265</v>
      </c>
      <c r="K26">
        <f t="shared" si="4"/>
        <v>0.44703999999999999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629F-E895-4D37-AE1C-1B9A50C48409}">
  <dimension ref="A1:V31"/>
  <sheetViews>
    <sheetView zoomScale="90" zoomScaleNormal="90" workbookViewId="0">
      <selection activeCell="R4" sqref="R4"/>
    </sheetView>
  </sheetViews>
  <sheetFormatPr defaultRowHeight="15" x14ac:dyDescent="0.25"/>
  <cols>
    <col min="1" max="1" width="16.5703125" bestFit="1" customWidth="1"/>
    <col min="3" max="8" width="0" hidden="1" customWidth="1"/>
    <col min="11" max="11" width="24.42578125" bestFit="1" customWidth="1"/>
    <col min="13" max="13" width="13.42578125" bestFit="1" customWidth="1"/>
    <col min="17" max="17" width="16.5703125" bestFit="1" customWidth="1"/>
  </cols>
  <sheetData>
    <row r="1" spans="1:22" x14ac:dyDescent="0.25">
      <c r="A1" s="8" t="s">
        <v>1</v>
      </c>
      <c r="B1" s="13" t="s">
        <v>3</v>
      </c>
      <c r="C1" s="13" t="s">
        <v>4</v>
      </c>
      <c r="D1" s="13" t="s">
        <v>4</v>
      </c>
      <c r="E1" s="13" t="s">
        <v>8</v>
      </c>
      <c r="F1" s="13" t="s">
        <v>5</v>
      </c>
      <c r="G1" s="13" t="s">
        <v>5</v>
      </c>
      <c r="H1" s="13" t="s">
        <v>9</v>
      </c>
      <c r="I1" s="13" t="s">
        <v>6</v>
      </c>
      <c r="J1" s="13" t="s">
        <v>6</v>
      </c>
      <c r="K1" s="13" t="s">
        <v>63</v>
      </c>
      <c r="L1" s="13" t="s">
        <v>7</v>
      </c>
      <c r="M1" t="str">
        <f>Sheet5!L1</f>
        <v>velocity (m/s)</v>
      </c>
      <c r="N1" t="s">
        <v>102</v>
      </c>
      <c r="O1" s="13" t="s">
        <v>108</v>
      </c>
    </row>
    <row r="2" spans="1:22" x14ac:dyDescent="0.25">
      <c r="A2" s="8">
        <f>Sheet5!A7</f>
        <v>44865</v>
      </c>
      <c r="B2" s="13">
        <v>3.6325000000000003E-2</v>
      </c>
      <c r="C2" s="14">
        <v>0.82505910000000005</v>
      </c>
      <c r="D2" s="14">
        <v>0.18262439999999999</v>
      </c>
      <c r="E2" s="13">
        <f>AVERAGE(C2:D2)</f>
        <v>0.50384174999999998</v>
      </c>
      <c r="F2" s="14">
        <v>0.73672590000000004</v>
      </c>
      <c r="G2" s="14">
        <v>0.1630721</v>
      </c>
      <c r="H2" s="13">
        <f>AVERAGE(F2:G2)</f>
        <v>0.44989900000000005</v>
      </c>
      <c r="I2" s="9">
        <v>11.738300000000001</v>
      </c>
      <c r="J2" s="9">
        <v>4.2952430000000001</v>
      </c>
      <c r="K2" s="9">
        <f>MAX(I2:J2)</f>
        <v>11.738300000000001</v>
      </c>
      <c r="L2" s="17">
        <v>0.38796439999999999</v>
      </c>
      <c r="M2">
        <f>Sheet5!L7</f>
        <v>0.11911748803154042</v>
      </c>
      <c r="N2">
        <f>M2/L2</f>
        <v>0.3070320061107164</v>
      </c>
      <c r="O2">
        <f>L2*M2*7.13</f>
        <v>0.32950114823622256</v>
      </c>
      <c r="Q2" s="8"/>
      <c r="R2" s="13"/>
    </row>
    <row r="3" spans="1:22" x14ac:dyDescent="0.25">
      <c r="A3" s="8">
        <f>Sheet5!A8</f>
        <v>44879</v>
      </c>
      <c r="B3" s="14">
        <v>3.6665929999999999E-2</v>
      </c>
      <c r="C3" s="13">
        <v>1.0824910000000001</v>
      </c>
      <c r="D3" s="14">
        <v>1.1721980000000001</v>
      </c>
      <c r="E3" s="13">
        <f t="shared" ref="E3:E7" si="0">AVERAGE(C3:D3)</f>
        <v>1.1273445</v>
      </c>
      <c r="F3" s="14">
        <v>0.96717410000000004</v>
      </c>
      <c r="G3" s="14">
        <v>1.0473239999999999</v>
      </c>
      <c r="H3" s="13">
        <f t="shared" ref="H3:H7" si="1">AVERAGE(F3:G3)</f>
        <v>1.00724905</v>
      </c>
      <c r="I3" s="9">
        <v>4.8610059999999997</v>
      </c>
      <c r="J3" s="9">
        <v>3.257949</v>
      </c>
      <c r="K3" s="9"/>
      <c r="L3" s="14">
        <v>0.25787670000000001</v>
      </c>
      <c r="N3">
        <f>M3/L3</f>
        <v>0</v>
      </c>
      <c r="O3">
        <f t="shared" ref="O3:O18" si="2">L3*M3*7.13</f>
        <v>0</v>
      </c>
      <c r="Q3" s="8"/>
      <c r="R3" s="9"/>
    </row>
    <row r="4" spans="1:22" x14ac:dyDescent="0.25">
      <c r="A4" s="8">
        <f>Sheet5!A9</f>
        <v>44893</v>
      </c>
      <c r="B4" s="14">
        <v>3.7215640000000001E-2</v>
      </c>
      <c r="C4" s="14">
        <v>1.6121179999999999</v>
      </c>
      <c r="D4" s="14">
        <v>1.9120569999999999</v>
      </c>
      <c r="E4" s="13">
        <f>AVERAGE(C4:D4)</f>
        <v>1.7620874999999998</v>
      </c>
      <c r="F4" s="14">
        <v>1.441759</v>
      </c>
      <c r="G4" s="14">
        <v>1.710002</v>
      </c>
      <c r="H4" s="13">
        <f>AVERAGE(F4:G4)</f>
        <v>1.5758805</v>
      </c>
      <c r="I4" s="9">
        <v>4.1932910000000003</v>
      </c>
      <c r="J4" s="9">
        <v>3.7007509999999999</v>
      </c>
      <c r="K4" s="9"/>
      <c r="L4" s="14">
        <v>0.35802780000000001</v>
      </c>
      <c r="N4">
        <f t="shared" ref="N4:N17" si="3">M4/L4</f>
        <v>0</v>
      </c>
      <c r="O4">
        <f t="shared" si="2"/>
        <v>0</v>
      </c>
      <c r="Q4" s="8"/>
      <c r="R4" s="9"/>
    </row>
    <row r="5" spans="1:22" x14ac:dyDescent="0.25">
      <c r="A5" s="8">
        <f>Sheet5!A10</f>
        <v>44907</v>
      </c>
      <c r="B5" s="14">
        <v>3.6858189999999999E-2</v>
      </c>
      <c r="C5" s="14">
        <v>0.35434979999999999</v>
      </c>
      <c r="D5" s="14">
        <v>0.67551119999999998</v>
      </c>
      <c r="E5" s="13">
        <f>AVERAGE(C5:D5)</f>
        <v>0.51493049999999996</v>
      </c>
      <c r="F5" s="14">
        <v>0.31670739999999997</v>
      </c>
      <c r="G5" s="14">
        <v>0.60375199999999996</v>
      </c>
      <c r="H5" s="13">
        <f>AVERAGE(F5:G5)</f>
        <v>0.46022969999999996</v>
      </c>
      <c r="I5" s="9">
        <v>16.349270000000001</v>
      </c>
      <c r="J5" s="9">
        <v>10.634029999999999</v>
      </c>
      <c r="K5" s="9"/>
      <c r="L5" s="14">
        <v>0.27586650000000001</v>
      </c>
      <c r="N5">
        <f t="shared" si="3"/>
        <v>0</v>
      </c>
      <c r="O5">
        <f t="shared" si="2"/>
        <v>0</v>
      </c>
      <c r="Q5" s="8"/>
      <c r="R5" s="9"/>
    </row>
    <row r="6" spans="1:22" x14ac:dyDescent="0.25">
      <c r="A6" s="8">
        <f>Sheet5!A11</f>
        <v>44930</v>
      </c>
      <c r="B6" s="14">
        <v>3.832489E-2</v>
      </c>
      <c r="C6" s="14">
        <v>0.61014520000000005</v>
      </c>
      <c r="D6" s="14">
        <v>0.34980430000000001</v>
      </c>
      <c r="E6" s="13">
        <f>AVERAGE(C6:D6)</f>
        <v>0.47997475000000001</v>
      </c>
      <c r="F6" s="14">
        <v>0.31343670000000001</v>
      </c>
      <c r="G6" s="14">
        <v>0.54671099999999995</v>
      </c>
      <c r="H6" s="13">
        <f>AVERAGE(F6:G6)</f>
        <v>0.43007384999999998</v>
      </c>
      <c r="I6" s="9">
        <v>21.594809999999999</v>
      </c>
      <c r="J6" s="9">
        <v>14.903130000000001</v>
      </c>
      <c r="K6" s="9">
        <f t="shared" ref="K6:K18" si="4">MAX(I6:J6)</f>
        <v>21.594809999999999</v>
      </c>
      <c r="L6" s="14">
        <v>0.22794990000000001</v>
      </c>
      <c r="M6">
        <f>Sheet5!L11</f>
        <v>9.9059999999999995E-2</v>
      </c>
      <c r="N6">
        <f t="shared" si="3"/>
        <v>0.43456917506873216</v>
      </c>
      <c r="O6">
        <f t="shared" si="2"/>
        <v>0.16100051288021999</v>
      </c>
      <c r="Q6" s="8"/>
      <c r="R6" s="9"/>
    </row>
    <row r="7" spans="1:22" x14ac:dyDescent="0.25">
      <c r="A7" s="8">
        <f>Sheet5!A12</f>
        <v>44937</v>
      </c>
      <c r="B7" s="14">
        <v>3.8282289999999997E-2</v>
      </c>
      <c r="C7" s="14">
        <v>1.1230119999999999</v>
      </c>
      <c r="D7" s="14">
        <v>1.312357</v>
      </c>
      <c r="E7" s="13">
        <f t="shared" si="0"/>
        <v>1.2176844999999998</v>
      </c>
      <c r="F7" s="14">
        <v>1.006184</v>
      </c>
      <c r="G7" s="14">
        <v>1.1758310000000001</v>
      </c>
      <c r="H7" s="13">
        <f t="shared" si="1"/>
        <v>1.0910074999999999</v>
      </c>
      <c r="I7" s="9">
        <v>10.26834</v>
      </c>
      <c r="J7" s="9">
        <v>9.2552640000000004</v>
      </c>
      <c r="K7" s="9">
        <f t="shared" si="4"/>
        <v>10.26834</v>
      </c>
      <c r="L7" s="17">
        <v>0.21319479999999999</v>
      </c>
      <c r="M7">
        <f>Sheet5!L12</f>
        <v>0.10363200000000002</v>
      </c>
      <c r="N7">
        <f t="shared" si="3"/>
        <v>0.4860906551191681</v>
      </c>
      <c r="O7">
        <f t="shared" si="2"/>
        <v>0.157528819051968</v>
      </c>
      <c r="Q7" s="8"/>
      <c r="R7" s="9"/>
    </row>
    <row r="8" spans="1:22" x14ac:dyDescent="0.25">
      <c r="A8" s="8">
        <f>Sheet5!A13</f>
        <v>44951</v>
      </c>
      <c r="B8" s="14">
        <v>3.8431649999999998E-2</v>
      </c>
      <c r="C8" s="14">
        <v>0.4802555</v>
      </c>
      <c r="D8" s="14">
        <v>0.43799169999999998</v>
      </c>
      <c r="E8" s="13">
        <f>AVERAGE(C8:D8)</f>
        <v>0.45912359999999997</v>
      </c>
      <c r="F8" s="14">
        <v>0.4304038</v>
      </c>
      <c r="G8" s="14">
        <v>0.39252710000000002</v>
      </c>
      <c r="H8" s="13">
        <f>AVERAGE(F8:G8)</f>
        <v>0.41146545000000001</v>
      </c>
      <c r="I8" s="9">
        <v>10.83794</v>
      </c>
      <c r="J8" s="9">
        <v>11.524380000000001</v>
      </c>
      <c r="K8" s="9">
        <f t="shared" si="4"/>
        <v>11.524380000000001</v>
      </c>
      <c r="L8" s="14">
        <v>0.36657230000000002</v>
      </c>
      <c r="M8">
        <f>Sheet5!L13</f>
        <v>0.10000388592265852</v>
      </c>
      <c r="N8">
        <f t="shared" si="3"/>
        <v>0.27280808157806391</v>
      </c>
      <c r="O8">
        <f t="shared" si="2"/>
        <v>0.26137620638255477</v>
      </c>
      <c r="Q8" s="8"/>
      <c r="R8" s="9"/>
    </row>
    <row r="9" spans="1:22" x14ac:dyDescent="0.25">
      <c r="A9" s="8">
        <f>Sheet5!A14</f>
        <v>44963</v>
      </c>
      <c r="B9" s="13">
        <v>0.4802555</v>
      </c>
      <c r="C9" s="14">
        <v>0.13823009999999999</v>
      </c>
      <c r="D9" s="14">
        <v>0.242476</v>
      </c>
      <c r="E9" s="13">
        <f>AVERAGE(C9:D9)</f>
        <v>0.19035305</v>
      </c>
      <c r="F9" s="14">
        <v>0.12370009999999999</v>
      </c>
      <c r="G9" s="14">
        <v>0.2169883</v>
      </c>
      <c r="H9" s="13">
        <f>AVERAGE(F9:G9)</f>
        <v>0.1703442</v>
      </c>
      <c r="I9" s="9">
        <v>20.314869999999999</v>
      </c>
      <c r="J9" s="9">
        <v>13.967000000000001</v>
      </c>
      <c r="K9" s="9">
        <f t="shared" si="4"/>
        <v>20.314869999999999</v>
      </c>
      <c r="L9" s="14">
        <v>0.39381680000000002</v>
      </c>
      <c r="N9">
        <f t="shared" si="3"/>
        <v>0</v>
      </c>
      <c r="O9">
        <f t="shared" si="2"/>
        <v>0</v>
      </c>
      <c r="Q9" s="8"/>
      <c r="R9" s="9"/>
    </row>
    <row r="10" spans="1:22" x14ac:dyDescent="0.25">
      <c r="A10" s="8">
        <f>Sheet5!A15</f>
        <v>44979</v>
      </c>
      <c r="B10" s="14">
        <v>3.6807470000000002E-2</v>
      </c>
      <c r="C10" s="14">
        <v>1.233846</v>
      </c>
      <c r="D10" s="14">
        <v>1.1228720000000001</v>
      </c>
      <c r="E10" s="13">
        <f>AVERAGE(C10:D10)</f>
        <v>1.1783589999999999</v>
      </c>
      <c r="F10" s="14">
        <v>1.102678</v>
      </c>
      <c r="G10" s="14">
        <v>1.003501</v>
      </c>
      <c r="H10" s="13">
        <f>AVERAGE(F10:G10)</f>
        <v>1.0530895</v>
      </c>
      <c r="I10" s="9">
        <v>1.3035620000000001</v>
      </c>
      <c r="J10" s="9">
        <v>1.3880950000000001</v>
      </c>
      <c r="K10" s="9">
        <f t="shared" si="4"/>
        <v>1.3880950000000001</v>
      </c>
      <c r="L10" s="14">
        <v>0.89886370000000004</v>
      </c>
      <c r="M10">
        <f>Sheet5!L15</f>
        <v>7.7164556962025316E-2</v>
      </c>
      <c r="N10">
        <f t="shared" si="3"/>
        <v>8.5846782957221784E-2</v>
      </c>
      <c r="O10">
        <f t="shared" si="2"/>
        <v>0.49453978875159493</v>
      </c>
      <c r="Q10" s="8"/>
      <c r="R10" s="9"/>
    </row>
    <row r="11" spans="1:22" x14ac:dyDescent="0.25">
      <c r="A11" s="8">
        <f>Sheet5!A16</f>
        <v>44993</v>
      </c>
      <c r="B11" s="14">
        <v>3.6017590000000002E-2</v>
      </c>
      <c r="C11" s="14">
        <v>0.1165334</v>
      </c>
      <c r="D11" s="13"/>
      <c r="E11" s="13">
        <f>AVERAGE(C11:D11)</f>
        <v>0.1165334</v>
      </c>
      <c r="F11" s="14">
        <v>0.1040006</v>
      </c>
      <c r="G11" s="13"/>
      <c r="H11" s="13">
        <f>AVERAGE(F11:G11)</f>
        <v>0.1040006</v>
      </c>
      <c r="I11" s="9">
        <v>6.628387</v>
      </c>
      <c r="J11" s="13"/>
      <c r="K11" s="9">
        <f t="shared" si="4"/>
        <v>6.628387</v>
      </c>
      <c r="L11" s="17">
        <v>0.67217629999999995</v>
      </c>
      <c r="N11">
        <f t="shared" si="3"/>
        <v>0</v>
      </c>
      <c r="O11">
        <f t="shared" si="2"/>
        <v>0</v>
      </c>
      <c r="Q11" s="8"/>
      <c r="R11" s="9"/>
    </row>
    <row r="12" spans="1:22" s="1" customFormat="1" x14ac:dyDescent="0.25">
      <c r="A12" s="15">
        <f>Sheet5!A17</f>
        <v>45005</v>
      </c>
      <c r="B12" s="14">
        <v>3.6545149999999998E-2</v>
      </c>
      <c r="C12" s="16"/>
      <c r="D12" s="16"/>
      <c r="E12" s="13"/>
      <c r="F12" s="16"/>
      <c r="G12" s="16"/>
      <c r="H12" s="13"/>
      <c r="I12" s="16"/>
      <c r="J12" s="16"/>
      <c r="K12" s="9"/>
      <c r="L12" s="14">
        <v>0.61719930000000001</v>
      </c>
      <c r="M12">
        <f>Sheet5!L17</f>
        <v>0.10988906777573065</v>
      </c>
      <c r="N12">
        <f t="shared" si="3"/>
        <v>0.17804470577936601</v>
      </c>
      <c r="O12">
        <f t="shared" si="2"/>
        <v>0.48358123920398294</v>
      </c>
      <c r="Q12" s="8"/>
      <c r="R12" s="9"/>
      <c r="S12"/>
      <c r="T12"/>
      <c r="U12"/>
      <c r="V12"/>
    </row>
    <row r="13" spans="1:22" x14ac:dyDescent="0.25">
      <c r="A13" s="8">
        <v>45021</v>
      </c>
      <c r="B13">
        <v>3.61164E-2</v>
      </c>
      <c r="C13">
        <v>0.48008040000000002</v>
      </c>
      <c r="D13">
        <v>0.29390769999999999</v>
      </c>
      <c r="E13" s="13">
        <f t="shared" ref="E13" si="5">AVERAGE(C13:D13)</f>
        <v>0.38699404999999998</v>
      </c>
      <c r="F13">
        <v>0.42852410000000002</v>
      </c>
      <c r="G13">
        <v>0.26234469999999999</v>
      </c>
      <c r="H13" s="13">
        <f t="shared" ref="H13" si="6">AVERAGE(F13:G13)</f>
        <v>0.34543440000000003</v>
      </c>
      <c r="I13" s="9">
        <v>4.4027149999999997</v>
      </c>
      <c r="J13" s="9">
        <v>6.1064559999999997</v>
      </c>
      <c r="K13" s="9">
        <f t="shared" si="4"/>
        <v>6.1064559999999997</v>
      </c>
      <c r="L13">
        <v>0.54925000000000002</v>
      </c>
      <c r="M13">
        <f>Sheet5!L18</f>
        <v>0.1257639516032511</v>
      </c>
      <c r="N13">
        <f t="shared" si="3"/>
        <v>0.22897396741602385</v>
      </c>
      <c r="O13">
        <f t="shared" si="2"/>
        <v>0.49251081348095083</v>
      </c>
      <c r="Q13" s="8"/>
      <c r="R13" s="9"/>
    </row>
    <row r="14" spans="1:22" x14ac:dyDescent="0.25">
      <c r="A14" s="2">
        <v>45035</v>
      </c>
      <c r="B14">
        <v>3.6595419999999997E-2</v>
      </c>
      <c r="I14">
        <v>9.1253700000000002</v>
      </c>
      <c r="J14">
        <v>17.580829999999999</v>
      </c>
      <c r="K14" s="9">
        <f t="shared" si="4"/>
        <v>17.580829999999999</v>
      </c>
      <c r="L14">
        <v>0.38663259999999999</v>
      </c>
      <c r="M14">
        <f>Sheet5!L19</f>
        <v>9.0472021872482419E-2</v>
      </c>
      <c r="N14">
        <f t="shared" si="3"/>
        <v>0.23399998311700157</v>
      </c>
      <c r="O14">
        <f t="shared" si="2"/>
        <v>0.24940335760239915</v>
      </c>
      <c r="Q14" s="8"/>
      <c r="R14" s="9"/>
    </row>
    <row r="15" spans="1:22" x14ac:dyDescent="0.25">
      <c r="A15" s="2">
        <v>45049</v>
      </c>
      <c r="B15">
        <v>3.6086720000000003E-2</v>
      </c>
      <c r="I15">
        <v>10.55167</v>
      </c>
      <c r="J15">
        <v>12.449669999999999</v>
      </c>
      <c r="K15" s="9">
        <f t="shared" si="4"/>
        <v>12.449669999999999</v>
      </c>
      <c r="L15">
        <v>0.3272159</v>
      </c>
      <c r="M15">
        <f>Sheet5!L20</f>
        <v>0.10404495008644248</v>
      </c>
      <c r="N15">
        <f t="shared" si="3"/>
        <v>0.31797033728019475</v>
      </c>
      <c r="O15">
        <f t="shared" si="2"/>
        <v>0.24274200493872122</v>
      </c>
      <c r="Q15" s="8"/>
      <c r="R15" s="9"/>
    </row>
    <row r="16" spans="1:22" x14ac:dyDescent="0.25">
      <c r="A16" s="2">
        <v>45063</v>
      </c>
      <c r="B16">
        <v>3.6384880000000001E-2</v>
      </c>
      <c r="J16" s="9">
        <v>14.55968</v>
      </c>
      <c r="K16" s="9">
        <f t="shared" si="4"/>
        <v>14.55968</v>
      </c>
      <c r="L16">
        <v>0.29029470000000002</v>
      </c>
      <c r="N16">
        <f t="shared" si="3"/>
        <v>0</v>
      </c>
      <c r="O16">
        <f t="shared" si="2"/>
        <v>0</v>
      </c>
      <c r="Q16" s="8"/>
      <c r="R16" s="9"/>
    </row>
    <row r="17" spans="1:18" x14ac:dyDescent="0.25">
      <c r="A17" s="2">
        <v>45076</v>
      </c>
      <c r="B17" s="9">
        <v>3.5528570000000002E-2</v>
      </c>
      <c r="J17" s="9">
        <v>12.568110000000001</v>
      </c>
      <c r="K17" s="9">
        <f t="shared" si="4"/>
        <v>12.568110000000001</v>
      </c>
      <c r="L17">
        <v>0.27665770000000001</v>
      </c>
      <c r="M17">
        <f xml:space="preserve"> -0.1236*L17 + 0.1764</f>
        <v>0.14220510827999999</v>
      </c>
      <c r="N17">
        <f t="shared" si="3"/>
        <v>0.51401102618868</v>
      </c>
      <c r="O17">
        <f t="shared" si="2"/>
        <v>0.28050944525901972</v>
      </c>
      <c r="Q17" s="8"/>
      <c r="R17" s="9"/>
    </row>
    <row r="18" spans="1:18" x14ac:dyDescent="0.25">
      <c r="A18" s="2">
        <v>45096</v>
      </c>
      <c r="B18">
        <v>3.5229539999999997E-2</v>
      </c>
      <c r="I18">
        <v>15.679040000000001</v>
      </c>
      <c r="K18" s="9">
        <f t="shared" si="4"/>
        <v>15.679040000000001</v>
      </c>
      <c r="L18">
        <v>0.30433179999999999</v>
      </c>
      <c r="M18">
        <f>-0.1236*L18+0.1764</f>
        <v>0.13878458952</v>
      </c>
      <c r="N18">
        <f>M18/L18</f>
        <v>0.45603052168718489</v>
      </c>
      <c r="O18">
        <f t="shared" si="2"/>
        <v>0.30114670089849394</v>
      </c>
    </row>
    <row r="19" spans="1:18" x14ac:dyDescent="0.25">
      <c r="K19" s="9"/>
    </row>
    <row r="29" spans="1:18" x14ac:dyDescent="0.25">
      <c r="Q29" s="8"/>
    </row>
    <row r="30" spans="1:18" x14ac:dyDescent="0.25">
      <c r="Q30" s="8"/>
    </row>
    <row r="31" spans="1:18" x14ac:dyDescent="0.25">
      <c r="Q31" s="8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Ich</vt:lpstr>
      <vt:lpstr>sheet</vt:lpstr>
      <vt:lpstr>GB</vt:lpstr>
      <vt:lpstr>Sheet4</vt:lpstr>
      <vt:lpstr>Otter</vt:lpstr>
      <vt:lpstr>Sheet6</vt:lpstr>
      <vt:lpstr>Allen Mill</vt:lpstr>
      <vt:lpstr>Sheet3</vt:lpstr>
      <vt:lpstr>Little Fanning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2023-02-13T16:16:56Z</dcterms:created>
  <dcterms:modified xsi:type="dcterms:W3CDTF">2023-11-28T19:29:24Z</dcterms:modified>
</cp:coreProperties>
</file>