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\Dropbox\Hillsboro\Crops\2023 Crop\PPSN\"/>
    </mc:Choice>
  </mc:AlternateContent>
  <xr:revisionPtr revIDLastSave="0" documentId="13_ncr:1_{EB624789-FEF3-455E-875B-2225FEE4D41F}" xr6:coauthVersionLast="47" xr6:coauthVersionMax="47" xr10:uidLastSave="{00000000-0000-0000-0000-000000000000}"/>
  <bookViews>
    <workbookView xWindow="-120" yWindow="-120" windowWidth="29040" windowHeight="15840" activeTab="14" xr2:uid="{D415A1EC-FAEC-4669-8191-8A2DB3955C51}"/>
  </bookViews>
  <sheets>
    <sheet name="F1" sheetId="2" r:id="rId1"/>
    <sheet name="F2" sheetId="3" r:id="rId2"/>
    <sheet name="F3b" sheetId="22" r:id="rId3"/>
    <sheet name="F4c" sheetId="21" r:id="rId4"/>
    <sheet name="F05" sheetId="17" r:id="rId5"/>
    <sheet name="F6a" sheetId="24" r:id="rId6"/>
    <sheet name="6b" sheetId="23" r:id="rId7"/>
    <sheet name="F7" sheetId="12" r:id="rId8"/>
    <sheet name="F8" sheetId="19" r:id="rId9"/>
    <sheet name="F9" sheetId="4" r:id="rId10"/>
    <sheet name="F10" sheetId="18" r:id="rId11"/>
    <sheet name="F12" sheetId="14" r:id="rId12"/>
    <sheet name="F13" sheetId="20" r:id="rId13"/>
    <sheet name="F14" sheetId="5" r:id="rId14"/>
    <sheet name="F15" sheetId="25" r:id="rId15"/>
    <sheet name="F17" sheetId="13" r:id="rId16"/>
    <sheet name="F18" sheetId="10" r:id="rId17"/>
    <sheet name="F19a" sheetId="16" r:id="rId18"/>
    <sheet name="F19b" sheetId="15" r:id="rId19"/>
    <sheet name="F19d" sheetId="1" r:id="rId20"/>
    <sheet name="F21" sheetId="7" r:id="rId21"/>
    <sheet name="F22" sheetId="8" r:id="rId22"/>
    <sheet name="F25" sheetId="9" r:id="rId23"/>
    <sheet name="F25 (2)" sheetId="11" r:id="rId24"/>
    <sheet name="F26" sheetId="6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25" l="1"/>
  <c r="W14" i="25"/>
  <c r="W11" i="25" s="1"/>
  <c r="X11" i="25" s="1"/>
  <c r="V14" i="25"/>
  <c r="U14" i="25"/>
  <c r="T14" i="25"/>
  <c r="S14" i="25"/>
  <c r="S11" i="25" s="1"/>
  <c r="T11" i="25" s="1"/>
  <c r="R14" i="25"/>
  <c r="Q14" i="25"/>
  <c r="P14" i="25"/>
  <c r="O14" i="25"/>
  <c r="O11" i="25" s="1"/>
  <c r="P11" i="25" s="1"/>
  <c r="N14" i="25"/>
  <c r="M14" i="25"/>
  <c r="L14" i="25"/>
  <c r="K14" i="25"/>
  <c r="K11" i="25" s="1"/>
  <c r="I14" i="25"/>
  <c r="H14" i="25"/>
  <c r="F14" i="25"/>
  <c r="E14" i="25"/>
  <c r="U11" i="25"/>
  <c r="V11" i="25" s="1"/>
  <c r="Q11" i="25"/>
  <c r="R11" i="25" s="1"/>
  <c r="M11" i="25"/>
  <c r="N11" i="25" s="1"/>
  <c r="G11" i="25"/>
  <c r="D11" i="25"/>
  <c r="J2" i="25" s="1"/>
  <c r="I4" i="25"/>
  <c r="D4" i="25"/>
  <c r="L1" i="25"/>
  <c r="R8" i="25" l="1"/>
  <c r="R9" i="25"/>
  <c r="L11" i="25"/>
  <c r="J3" i="25"/>
  <c r="N9" i="25"/>
  <c r="N8" i="25"/>
  <c r="M7" i="25"/>
  <c r="V9" i="25"/>
  <c r="U7" i="25"/>
  <c r="V8" i="25"/>
  <c r="T8" i="25"/>
  <c r="T9" i="25"/>
  <c r="P9" i="25"/>
  <c r="O7" i="25"/>
  <c r="P8" i="25"/>
  <c r="K7" i="25"/>
  <c r="X9" i="25"/>
  <c r="W7" i="25"/>
  <c r="X8" i="25"/>
  <c r="Q7" i="25"/>
  <c r="S7" i="25"/>
  <c r="G10" i="25" l="1"/>
  <c r="H8" i="25" s="1"/>
  <c r="I7" i="25" s="1"/>
  <c r="J4" i="25"/>
  <c r="D10" i="25"/>
  <c r="E8" i="25" s="1"/>
  <c r="F7" i="25" s="1"/>
  <c r="J5" i="25"/>
  <c r="L8" i="25"/>
  <c r="L9" i="25"/>
  <c r="O3" i="25"/>
  <c r="K2" i="25"/>
  <c r="L2" i="25" s="1"/>
  <c r="M4" i="25" l="1"/>
  <c r="L4" i="25"/>
  <c r="N4" i="25" s="1"/>
  <c r="N3" i="25" l="1"/>
  <c r="O5" i="25"/>
  <c r="M30" i="24" l="1"/>
  <c r="X14" i="24"/>
  <c r="W14" i="24"/>
  <c r="V14" i="24"/>
  <c r="U14" i="24"/>
  <c r="T14" i="24"/>
  <c r="S11" i="24" s="1"/>
  <c r="T11" i="24" s="1"/>
  <c r="S14" i="24"/>
  <c r="R14" i="24"/>
  <c r="Q11" i="24" s="1"/>
  <c r="R11" i="24" s="1"/>
  <c r="Q14" i="24"/>
  <c r="P14" i="24"/>
  <c r="O14" i="24"/>
  <c r="N14" i="24"/>
  <c r="M14" i="24"/>
  <c r="L14" i="24"/>
  <c r="K11" i="24" s="1"/>
  <c r="K14" i="24"/>
  <c r="I14" i="24"/>
  <c r="H14" i="24"/>
  <c r="G11" i="24" s="1"/>
  <c r="J2" i="24" s="1"/>
  <c r="F14" i="24"/>
  <c r="E14" i="24"/>
  <c r="W11" i="24"/>
  <c r="X11" i="24" s="1"/>
  <c r="V11" i="24"/>
  <c r="V9" i="24" s="1"/>
  <c r="U11" i="24"/>
  <c r="P11" i="24"/>
  <c r="P9" i="24" s="1"/>
  <c r="O11" i="24"/>
  <c r="N11" i="24"/>
  <c r="N8" i="24" s="1"/>
  <c r="M11" i="24"/>
  <c r="D11" i="24"/>
  <c r="V8" i="24"/>
  <c r="P8" i="24"/>
  <c r="I4" i="24"/>
  <c r="F4" i="24"/>
  <c r="D4" i="24"/>
  <c r="L1" i="24"/>
  <c r="O7" i="24" s="1"/>
  <c r="R9" i="24" l="1"/>
  <c r="Q7" i="24"/>
  <c r="R8" i="24"/>
  <c r="J3" i="24"/>
  <c r="L11" i="24"/>
  <c r="S7" i="24"/>
  <c r="T9" i="24"/>
  <c r="T8" i="24"/>
  <c r="X9" i="24"/>
  <c r="X8" i="24"/>
  <c r="U7" i="24"/>
  <c r="K7" i="24"/>
  <c r="M7" i="24"/>
  <c r="N9" i="24"/>
  <c r="W7" i="24"/>
  <c r="O3" i="24" l="1"/>
  <c r="L8" i="24"/>
  <c r="L9" i="24"/>
  <c r="J5" i="24"/>
  <c r="G10" i="24"/>
  <c r="H8" i="24" s="1"/>
  <c r="I7" i="24" s="1"/>
  <c r="J4" i="24"/>
  <c r="D10" i="24"/>
  <c r="E8" i="24" s="1"/>
  <c r="F7" i="24" s="1"/>
  <c r="K2" i="24"/>
  <c r="L2" i="24" s="1"/>
  <c r="M4" i="24" l="1"/>
  <c r="L4" i="24"/>
  <c r="N4" i="24" l="1"/>
  <c r="N3" i="24" l="1"/>
  <c r="O5" i="24"/>
  <c r="X14" i="23" l="1"/>
  <c r="W14" i="23"/>
  <c r="V14" i="23"/>
  <c r="U14" i="23"/>
  <c r="T14" i="23"/>
  <c r="S14" i="23"/>
  <c r="R14" i="23"/>
  <c r="Q14" i="23"/>
  <c r="Q11" i="23" s="1"/>
  <c r="R11" i="23" s="1"/>
  <c r="P14" i="23"/>
  <c r="O14" i="23"/>
  <c r="N14" i="23"/>
  <c r="M14" i="23"/>
  <c r="L14" i="23"/>
  <c r="K14" i="23"/>
  <c r="I14" i="23"/>
  <c r="H14" i="23"/>
  <c r="G11" i="23" s="1"/>
  <c r="J2" i="23" s="1"/>
  <c r="F14" i="23"/>
  <c r="E14" i="23"/>
  <c r="W11" i="23"/>
  <c r="X11" i="23" s="1"/>
  <c r="U11" i="23"/>
  <c r="V11" i="23" s="1"/>
  <c r="S11" i="23"/>
  <c r="T11" i="23" s="1"/>
  <c r="P11" i="23"/>
  <c r="P9" i="23" s="1"/>
  <c r="O11" i="23"/>
  <c r="M11" i="23"/>
  <c r="N11" i="23" s="1"/>
  <c r="K11" i="23"/>
  <c r="L11" i="23" s="1"/>
  <c r="D11" i="23"/>
  <c r="P8" i="23"/>
  <c r="O7" i="23"/>
  <c r="U4" i="23"/>
  <c r="T4" i="23"/>
  <c r="I4" i="23"/>
  <c r="D4" i="23"/>
  <c r="W3" i="23"/>
  <c r="V3" i="23"/>
  <c r="V2" i="23"/>
  <c r="V4" i="23" s="1"/>
  <c r="W4" i="23" s="1"/>
  <c r="T8" i="23" l="1"/>
  <c r="T9" i="23"/>
  <c r="S7" i="23"/>
  <c r="V8" i="23"/>
  <c r="V9" i="23"/>
  <c r="U7" i="23"/>
  <c r="X8" i="23"/>
  <c r="X9" i="23"/>
  <c r="W7" i="23"/>
  <c r="N8" i="23"/>
  <c r="N9" i="23"/>
  <c r="M7" i="23"/>
  <c r="M6" i="23" s="1"/>
  <c r="Q7" i="23"/>
  <c r="R8" i="23"/>
  <c r="R9" i="23"/>
  <c r="L8" i="23"/>
  <c r="L9" i="23"/>
  <c r="K7" i="23"/>
  <c r="W2" i="23"/>
  <c r="J3" i="23"/>
  <c r="G10" i="23" l="1"/>
  <c r="H8" i="23" s="1"/>
  <c r="I7" i="23" s="1"/>
  <c r="D10" i="23"/>
  <c r="E8" i="23" s="1"/>
  <c r="F7" i="23" s="1"/>
  <c r="J5" i="23"/>
  <c r="J4" i="23"/>
  <c r="O3" i="23"/>
  <c r="K2" i="23"/>
  <c r="L2" i="23" s="1"/>
  <c r="M4" i="23" l="1"/>
  <c r="L4" i="23"/>
  <c r="N4" i="23" s="1"/>
  <c r="N3" i="23" l="1"/>
  <c r="O5" i="23"/>
  <c r="X14" i="22" l="1"/>
  <c r="W14" i="22"/>
  <c r="V14" i="22"/>
  <c r="U14" i="22"/>
  <c r="T14" i="22"/>
  <c r="S14" i="22"/>
  <c r="R14" i="22"/>
  <c r="Q14" i="22"/>
  <c r="Q11" i="22" s="1"/>
  <c r="R11" i="22" s="1"/>
  <c r="P14" i="22"/>
  <c r="O14" i="22"/>
  <c r="N14" i="22"/>
  <c r="M14" i="22"/>
  <c r="L14" i="22"/>
  <c r="K14" i="22"/>
  <c r="I14" i="22"/>
  <c r="H14" i="22"/>
  <c r="G11" i="22" s="1"/>
  <c r="J2" i="22" s="1"/>
  <c r="F14" i="22"/>
  <c r="E14" i="22"/>
  <c r="W11" i="22"/>
  <c r="X11" i="22" s="1"/>
  <c r="U11" i="22"/>
  <c r="V11" i="22" s="1"/>
  <c r="S11" i="22"/>
  <c r="T11" i="22" s="1"/>
  <c r="O11" i="22"/>
  <c r="P11" i="22" s="1"/>
  <c r="M11" i="22"/>
  <c r="N11" i="22" s="1"/>
  <c r="K11" i="22"/>
  <c r="J3" i="22" s="1"/>
  <c r="D11" i="22"/>
  <c r="I4" i="22"/>
  <c r="F4" i="22"/>
  <c r="D4" i="22"/>
  <c r="L1" i="22"/>
  <c r="X14" i="21"/>
  <c r="W14" i="21"/>
  <c r="W11" i="21" s="1"/>
  <c r="X11" i="21" s="1"/>
  <c r="V14" i="21"/>
  <c r="U11" i="21" s="1"/>
  <c r="V11" i="21" s="1"/>
  <c r="U14" i="21"/>
  <c r="T14" i="21"/>
  <c r="S14" i="21"/>
  <c r="R14" i="21"/>
  <c r="Q14" i="21"/>
  <c r="P14" i="21"/>
  <c r="O14" i="21"/>
  <c r="O11" i="21" s="1"/>
  <c r="P11" i="21" s="1"/>
  <c r="N14" i="21"/>
  <c r="M11" i="21" s="1"/>
  <c r="M14" i="21"/>
  <c r="L14" i="21"/>
  <c r="K14" i="21"/>
  <c r="I14" i="21"/>
  <c r="H14" i="21"/>
  <c r="F14" i="21"/>
  <c r="E14" i="21"/>
  <c r="D11" i="21" s="1"/>
  <c r="J2" i="21" s="1"/>
  <c r="S11" i="21"/>
  <c r="T11" i="21" s="1"/>
  <c r="Q11" i="21"/>
  <c r="R11" i="21" s="1"/>
  <c r="K11" i="21"/>
  <c r="L11" i="21" s="1"/>
  <c r="G11" i="21"/>
  <c r="I4" i="21"/>
  <c r="F4" i="21"/>
  <c r="D4" i="21"/>
  <c r="L1" i="21"/>
  <c r="W7" i="21" s="1"/>
  <c r="V8" i="21" l="1"/>
  <c r="V9" i="21"/>
  <c r="T8" i="21"/>
  <c r="T9" i="21"/>
  <c r="S7" i="21"/>
  <c r="N11" i="21"/>
  <c r="J3" i="21"/>
  <c r="K2" i="21"/>
  <c r="L2" i="21" s="1"/>
  <c r="O7" i="22"/>
  <c r="T9" i="22"/>
  <c r="S7" i="22"/>
  <c r="T8" i="22"/>
  <c r="P9" i="21"/>
  <c r="P8" i="21"/>
  <c r="O7" i="21"/>
  <c r="K2" i="22"/>
  <c r="L2" i="22" s="1"/>
  <c r="X8" i="21"/>
  <c r="X9" i="21"/>
  <c r="X8" i="22"/>
  <c r="X9" i="22"/>
  <c r="J5" i="22"/>
  <c r="G10" i="22"/>
  <c r="H8" i="22" s="1"/>
  <c r="I7" i="22" s="1"/>
  <c r="J4" i="22"/>
  <c r="D10" i="22"/>
  <c r="E8" i="22" s="1"/>
  <c r="F7" i="22" s="1"/>
  <c r="R8" i="22"/>
  <c r="Q7" i="22"/>
  <c r="R9" i="22"/>
  <c r="P9" i="22"/>
  <c r="P8" i="22"/>
  <c r="L8" i="21"/>
  <c r="K7" i="21"/>
  <c r="L9" i="21"/>
  <c r="N8" i="22"/>
  <c r="N9" i="22"/>
  <c r="V8" i="22"/>
  <c r="V9" i="22"/>
  <c r="R8" i="21"/>
  <c r="R9" i="21"/>
  <c r="Q7" i="21"/>
  <c r="U7" i="22"/>
  <c r="W7" i="22"/>
  <c r="U7" i="21"/>
  <c r="K7" i="22"/>
  <c r="M7" i="22"/>
  <c r="L11" i="22"/>
  <c r="D10" i="21" l="1"/>
  <c r="E8" i="21" s="1"/>
  <c r="F7" i="21" s="1"/>
  <c r="J5" i="21"/>
  <c r="G10" i="21"/>
  <c r="H8" i="21" s="1"/>
  <c r="I7" i="21" s="1"/>
  <c r="J4" i="21"/>
  <c r="N8" i="21"/>
  <c r="N9" i="21"/>
  <c r="M7" i="21"/>
  <c r="O3" i="21" s="1"/>
  <c r="L8" i="22"/>
  <c r="L4" i="22" s="1"/>
  <c r="N4" i="22" s="1"/>
  <c r="L9" i="22"/>
  <c r="M4" i="22"/>
  <c r="O3" i="22"/>
  <c r="O5" i="22" l="1"/>
  <c r="N3" i="22"/>
  <c r="M4" i="21"/>
  <c r="L4" i="21"/>
  <c r="N4" i="21" s="1"/>
  <c r="N3" i="21" l="1"/>
  <c r="O5" i="21"/>
  <c r="H20" i="20" l="1"/>
  <c r="E20" i="20" s="1"/>
  <c r="E14" i="20" s="1"/>
  <c r="D11" i="20" s="1"/>
  <c r="K19" i="20"/>
  <c r="K18" i="20"/>
  <c r="K17" i="20"/>
  <c r="K14" i="20" s="1"/>
  <c r="K11" i="20" s="1"/>
  <c r="X14" i="20"/>
  <c r="W14" i="20"/>
  <c r="V14" i="20"/>
  <c r="U14" i="20"/>
  <c r="U11" i="20" s="1"/>
  <c r="V11" i="20" s="1"/>
  <c r="T14" i="20"/>
  <c r="S14" i="20"/>
  <c r="R14" i="20"/>
  <c r="Q14" i="20"/>
  <c r="Q11" i="20" s="1"/>
  <c r="R11" i="20" s="1"/>
  <c r="P14" i="20"/>
  <c r="O14" i="20"/>
  <c r="N14" i="20"/>
  <c r="M14" i="20"/>
  <c r="M11" i="20" s="1"/>
  <c r="N11" i="20" s="1"/>
  <c r="L14" i="20"/>
  <c r="I14" i="20"/>
  <c r="H14" i="20"/>
  <c r="G11" i="20" s="1"/>
  <c r="F14" i="20"/>
  <c r="X11" i="20"/>
  <c r="X9" i="20" s="1"/>
  <c r="W11" i="20"/>
  <c r="S11" i="20"/>
  <c r="T11" i="20" s="1"/>
  <c r="P11" i="20"/>
  <c r="P8" i="20" s="1"/>
  <c r="O11" i="20"/>
  <c r="X8" i="20"/>
  <c r="U4" i="20"/>
  <c r="T4" i="20"/>
  <c r="I4" i="20"/>
  <c r="D4" i="20"/>
  <c r="V3" i="20"/>
  <c r="W3" i="20" s="1"/>
  <c r="V2" i="20"/>
  <c r="W2" i="20" s="1"/>
  <c r="L1" i="20"/>
  <c r="W7" i="20" s="1"/>
  <c r="N8" i="20" l="1"/>
  <c r="N9" i="20"/>
  <c r="V8" i="20"/>
  <c r="V9" i="20"/>
  <c r="T8" i="20"/>
  <c r="T9" i="20"/>
  <c r="R8" i="20"/>
  <c r="R9" i="20"/>
  <c r="J3" i="20"/>
  <c r="L11" i="20"/>
  <c r="J2" i="20"/>
  <c r="K2" i="20" s="1"/>
  <c r="L2" i="20" s="1"/>
  <c r="M7" i="20"/>
  <c r="V4" i="20"/>
  <c r="W4" i="20" s="1"/>
  <c r="O7" i="20"/>
  <c r="P9" i="20"/>
  <c r="S7" i="20"/>
  <c r="U7" i="20"/>
  <c r="Q7" i="20"/>
  <c r="L9" i="20" l="1"/>
  <c r="L8" i="20"/>
  <c r="K7" i="20"/>
  <c r="O3" i="20" s="1"/>
  <c r="D10" i="20"/>
  <c r="E8" i="20" s="1"/>
  <c r="F7" i="20" s="1"/>
  <c r="J5" i="20"/>
  <c r="J4" i="20"/>
  <c r="G10" i="20"/>
  <c r="H8" i="20" s="1"/>
  <c r="I7" i="20" s="1"/>
  <c r="M4" i="20" l="1"/>
  <c r="L4" i="20"/>
  <c r="N4" i="20" s="1"/>
  <c r="N3" i="20" l="1"/>
  <c r="O5" i="20"/>
  <c r="X14" i="19" l="1"/>
  <c r="W11" i="19" s="1"/>
  <c r="X11" i="19" s="1"/>
  <c r="W14" i="19"/>
  <c r="V14" i="19"/>
  <c r="U11" i="19" s="1"/>
  <c r="V11" i="19" s="1"/>
  <c r="U14" i="19"/>
  <c r="T14" i="19"/>
  <c r="S14" i="19"/>
  <c r="R14" i="19"/>
  <c r="Q14" i="19"/>
  <c r="Q11" i="19" s="1"/>
  <c r="R11" i="19" s="1"/>
  <c r="P14" i="19"/>
  <c r="O14" i="19"/>
  <c r="N14" i="19"/>
  <c r="M11" i="19" s="1"/>
  <c r="N11" i="19" s="1"/>
  <c r="M14" i="19"/>
  <c r="L14" i="19"/>
  <c r="K14" i="19"/>
  <c r="I14" i="19"/>
  <c r="H14" i="19"/>
  <c r="G11" i="19" s="1"/>
  <c r="F14" i="19"/>
  <c r="D11" i="19" s="1"/>
  <c r="J2" i="19" s="1"/>
  <c r="E14" i="19"/>
  <c r="S11" i="19"/>
  <c r="T11" i="19" s="1"/>
  <c r="P11" i="19"/>
  <c r="O11" i="19"/>
  <c r="K11" i="19"/>
  <c r="P9" i="19"/>
  <c r="P8" i="19"/>
  <c r="U4" i="19"/>
  <c r="T4" i="19"/>
  <c r="I4" i="19"/>
  <c r="D4" i="19"/>
  <c r="V3" i="19"/>
  <c r="W3" i="19" s="1"/>
  <c r="V2" i="19"/>
  <c r="V4" i="19" s="1"/>
  <c r="W4" i="19" s="1"/>
  <c r="L1" i="19"/>
  <c r="O7" i="19" s="1"/>
  <c r="R9" i="19" l="1"/>
  <c r="R8" i="19"/>
  <c r="V8" i="19"/>
  <c r="V9" i="19"/>
  <c r="X8" i="19"/>
  <c r="X9" i="19"/>
  <c r="J3" i="19"/>
  <c r="T8" i="19"/>
  <c r="T9" i="19"/>
  <c r="N8" i="19"/>
  <c r="N9" i="19"/>
  <c r="W2" i="19"/>
  <c r="S7" i="19"/>
  <c r="L11" i="19"/>
  <c r="U7" i="19"/>
  <c r="W7" i="19"/>
  <c r="Q7" i="19"/>
  <c r="M7" i="19"/>
  <c r="G10" i="19" l="1"/>
  <c r="H8" i="19" s="1"/>
  <c r="I7" i="19" s="1"/>
  <c r="D10" i="19"/>
  <c r="E8" i="19" s="1"/>
  <c r="F7" i="19" s="1"/>
  <c r="J5" i="19"/>
  <c r="J4" i="19"/>
  <c r="L8" i="19"/>
  <c r="L9" i="19"/>
  <c r="K7" i="19"/>
  <c r="O3" i="19" s="1"/>
  <c r="K2" i="19"/>
  <c r="L2" i="19" s="1"/>
  <c r="M4" i="19" l="1"/>
  <c r="L4" i="19"/>
  <c r="N4" i="19" l="1"/>
  <c r="N3" i="19" l="1"/>
  <c r="O5" i="19"/>
  <c r="X14" i="18" l="1"/>
  <c r="W11" i="18" s="1"/>
  <c r="X11" i="18" s="1"/>
  <c r="W14" i="18"/>
  <c r="V14" i="18"/>
  <c r="U14" i="18"/>
  <c r="T14" i="18"/>
  <c r="S14" i="18"/>
  <c r="S11" i="18" s="1"/>
  <c r="T11" i="18" s="1"/>
  <c r="R14" i="18"/>
  <c r="Q14" i="18"/>
  <c r="Q11" i="18" s="1"/>
  <c r="R11" i="18" s="1"/>
  <c r="P14" i="18"/>
  <c r="O11" i="18" s="1"/>
  <c r="P11" i="18" s="1"/>
  <c r="O14" i="18"/>
  <c r="N14" i="18"/>
  <c r="M14" i="18"/>
  <c r="L14" i="18"/>
  <c r="K14" i="18"/>
  <c r="K11" i="18" s="1"/>
  <c r="I14" i="18"/>
  <c r="H14" i="18"/>
  <c r="F14" i="18"/>
  <c r="D11" i="18" s="1"/>
  <c r="J2" i="18" s="1"/>
  <c r="E14" i="18"/>
  <c r="U11" i="18"/>
  <c r="V11" i="18" s="1"/>
  <c r="M11" i="18"/>
  <c r="N11" i="18" s="1"/>
  <c r="G11" i="18"/>
  <c r="U4" i="18"/>
  <c r="T4" i="18"/>
  <c r="I4" i="18"/>
  <c r="D4" i="18"/>
  <c r="V3" i="18"/>
  <c r="W3" i="18" s="1"/>
  <c r="V2" i="18"/>
  <c r="W2" i="18" s="1"/>
  <c r="L1" i="18"/>
  <c r="M7" i="18" s="1"/>
  <c r="R8" i="18" l="1"/>
  <c r="R9" i="18"/>
  <c r="T8" i="18"/>
  <c r="T9" i="18"/>
  <c r="N8" i="18"/>
  <c r="N9" i="18"/>
  <c r="J3" i="18"/>
  <c r="L11" i="18"/>
  <c r="U7" i="18"/>
  <c r="V8" i="18"/>
  <c r="V9" i="18"/>
  <c r="P9" i="18"/>
  <c r="O7" i="18"/>
  <c r="P8" i="18"/>
  <c r="X8" i="18"/>
  <c r="X9" i="18"/>
  <c r="V4" i="18"/>
  <c r="W4" i="18" s="1"/>
  <c r="Q7" i="18"/>
  <c r="S7" i="18"/>
  <c r="W7" i="18"/>
  <c r="L8" i="18" l="1"/>
  <c r="L9" i="18"/>
  <c r="K7" i="18"/>
  <c r="O3" i="18" s="1"/>
  <c r="G10" i="18"/>
  <c r="H8" i="18" s="1"/>
  <c r="I7" i="18" s="1"/>
  <c r="D10" i="18"/>
  <c r="E8" i="18" s="1"/>
  <c r="F7" i="18" s="1"/>
  <c r="J5" i="18"/>
  <c r="J4" i="18"/>
  <c r="K2" i="18"/>
  <c r="L2" i="18" s="1"/>
  <c r="M4" i="18" l="1"/>
  <c r="L4" i="18"/>
  <c r="N4" i="18" s="1"/>
  <c r="N3" i="18" l="1"/>
  <c r="O5" i="18"/>
  <c r="O22" i="17" l="1"/>
  <c r="X14" i="17"/>
  <c r="W14" i="17"/>
  <c r="V14" i="17"/>
  <c r="U14" i="17"/>
  <c r="T14" i="17"/>
  <c r="S11" i="17" s="1"/>
  <c r="T11" i="17" s="1"/>
  <c r="S14" i="17"/>
  <c r="R14" i="17"/>
  <c r="Q11" i="17" s="1"/>
  <c r="R11" i="17" s="1"/>
  <c r="Q14" i="17"/>
  <c r="P14" i="17"/>
  <c r="O14" i="17"/>
  <c r="N14" i="17"/>
  <c r="M14" i="17"/>
  <c r="L14" i="17"/>
  <c r="K11" i="17" s="1"/>
  <c r="K14" i="17"/>
  <c r="I14" i="17"/>
  <c r="G11" i="17" s="1"/>
  <c r="J2" i="17" s="1"/>
  <c r="H14" i="17"/>
  <c r="F14" i="17"/>
  <c r="E14" i="17"/>
  <c r="W11" i="17"/>
  <c r="X11" i="17" s="1"/>
  <c r="V11" i="17"/>
  <c r="V9" i="17" s="1"/>
  <c r="U11" i="17"/>
  <c r="P11" i="17"/>
  <c r="P8" i="17" s="1"/>
  <c r="O11" i="17"/>
  <c r="N11" i="17"/>
  <c r="N8" i="17" s="1"/>
  <c r="M11" i="17"/>
  <c r="D11" i="17"/>
  <c r="T4" i="17"/>
  <c r="I4" i="17"/>
  <c r="D4" i="17"/>
  <c r="V2" i="17"/>
  <c r="W2" i="17" s="1"/>
  <c r="L1" i="17"/>
  <c r="H18" i="16"/>
  <c r="E18" i="16"/>
  <c r="E14" i="16" s="1"/>
  <c r="D11" i="16" s="1"/>
  <c r="J2" i="16" s="1"/>
  <c r="X14" i="16"/>
  <c r="W11" i="16" s="1"/>
  <c r="X11" i="16" s="1"/>
  <c r="W14" i="16"/>
  <c r="V14" i="16"/>
  <c r="U14" i="16"/>
  <c r="T14" i="16"/>
  <c r="S11" i="16" s="1"/>
  <c r="T11" i="16" s="1"/>
  <c r="S14" i="16"/>
  <c r="R14" i="16"/>
  <c r="Q14" i="16"/>
  <c r="Q11" i="16" s="1"/>
  <c r="R11" i="16" s="1"/>
  <c r="P14" i="16"/>
  <c r="O11" i="16" s="1"/>
  <c r="P11" i="16" s="1"/>
  <c r="O14" i="16"/>
  <c r="N14" i="16"/>
  <c r="M14" i="16"/>
  <c r="L14" i="16"/>
  <c r="I14" i="16"/>
  <c r="H14" i="16"/>
  <c r="F14" i="16"/>
  <c r="V11" i="16"/>
  <c r="V9" i="16" s="1"/>
  <c r="U11" i="16"/>
  <c r="N11" i="16"/>
  <c r="N8" i="16" s="1"/>
  <c r="M11" i="16"/>
  <c r="G11" i="16"/>
  <c r="V8" i="16"/>
  <c r="I4" i="16"/>
  <c r="D4" i="16"/>
  <c r="L1" i="16"/>
  <c r="M7" i="16" s="1"/>
  <c r="K18" i="15"/>
  <c r="H18" i="15"/>
  <c r="E18" i="15"/>
  <c r="X14" i="15"/>
  <c r="W14" i="15"/>
  <c r="W11" i="15" s="1"/>
  <c r="X11" i="15" s="1"/>
  <c r="V14" i="15"/>
  <c r="U14" i="15"/>
  <c r="T14" i="15"/>
  <c r="S14" i="15"/>
  <c r="S11" i="15" s="1"/>
  <c r="T11" i="15" s="1"/>
  <c r="R14" i="15"/>
  <c r="Q14" i="15"/>
  <c r="P14" i="15"/>
  <c r="O14" i="15"/>
  <c r="O11" i="15" s="1"/>
  <c r="P11" i="15" s="1"/>
  <c r="N14" i="15"/>
  <c r="M14" i="15"/>
  <c r="L14" i="15"/>
  <c r="K14" i="15"/>
  <c r="K11" i="15" s="1"/>
  <c r="I14" i="15"/>
  <c r="H14" i="15"/>
  <c r="F14" i="15"/>
  <c r="E14" i="15"/>
  <c r="U11" i="15"/>
  <c r="V11" i="15" s="1"/>
  <c r="Q11" i="15"/>
  <c r="R11" i="15" s="1"/>
  <c r="M11" i="15"/>
  <c r="N11" i="15" s="1"/>
  <c r="G11" i="15"/>
  <c r="D11" i="15"/>
  <c r="J2" i="15" s="1"/>
  <c r="I4" i="15"/>
  <c r="D4" i="15"/>
  <c r="L1" i="15"/>
  <c r="X14" i="14"/>
  <c r="W14" i="14"/>
  <c r="W11" i="14" s="1"/>
  <c r="X11" i="14" s="1"/>
  <c r="V14" i="14"/>
  <c r="U14" i="14"/>
  <c r="T14" i="14"/>
  <c r="S14" i="14"/>
  <c r="S11" i="14" s="1"/>
  <c r="T11" i="14" s="1"/>
  <c r="R14" i="14"/>
  <c r="Q14" i="14"/>
  <c r="P14" i="14"/>
  <c r="O14" i="14"/>
  <c r="O11" i="14" s="1"/>
  <c r="P11" i="14" s="1"/>
  <c r="N14" i="14"/>
  <c r="M14" i="14"/>
  <c r="L14" i="14"/>
  <c r="K14" i="14"/>
  <c r="K11" i="14" s="1"/>
  <c r="I14" i="14"/>
  <c r="H14" i="14"/>
  <c r="F14" i="14"/>
  <c r="E14" i="14"/>
  <c r="D11" i="14" s="1"/>
  <c r="J2" i="14" s="1"/>
  <c r="U11" i="14"/>
  <c r="V11" i="14" s="1"/>
  <c r="Q11" i="14"/>
  <c r="R11" i="14" s="1"/>
  <c r="M11" i="14"/>
  <c r="N11" i="14" s="1"/>
  <c r="G11" i="14"/>
  <c r="I4" i="14"/>
  <c r="D4" i="14"/>
  <c r="L1" i="14"/>
  <c r="X14" i="13"/>
  <c r="W14" i="13"/>
  <c r="W11" i="13" s="1"/>
  <c r="X11" i="13" s="1"/>
  <c r="V14" i="13"/>
  <c r="U14" i="13"/>
  <c r="T14" i="13"/>
  <c r="S14" i="13"/>
  <c r="S11" i="13" s="1"/>
  <c r="T11" i="13" s="1"/>
  <c r="R14" i="13"/>
  <c r="Q14" i="13"/>
  <c r="P14" i="13"/>
  <c r="O14" i="13"/>
  <c r="O11" i="13" s="1"/>
  <c r="P11" i="13" s="1"/>
  <c r="N14" i="13"/>
  <c r="M14" i="13"/>
  <c r="L14" i="13"/>
  <c r="K14" i="13"/>
  <c r="K11" i="13" s="1"/>
  <c r="I14" i="13"/>
  <c r="H14" i="13"/>
  <c r="F14" i="13"/>
  <c r="E14" i="13"/>
  <c r="U11" i="13"/>
  <c r="V11" i="13" s="1"/>
  <c r="Q11" i="13"/>
  <c r="R11" i="13" s="1"/>
  <c r="M11" i="13"/>
  <c r="N11" i="13" s="1"/>
  <c r="G11" i="13"/>
  <c r="D11" i="13"/>
  <c r="J2" i="13" s="1"/>
  <c r="I4" i="13"/>
  <c r="D4" i="13"/>
  <c r="L1" i="13"/>
  <c r="O34" i="12"/>
  <c r="O33" i="12"/>
  <c r="O14" i="12" s="1"/>
  <c r="O11" i="12" s="1"/>
  <c r="P11" i="12" s="1"/>
  <c r="X14" i="12"/>
  <c r="W14" i="12"/>
  <c r="V14" i="12"/>
  <c r="U14" i="12"/>
  <c r="U11" i="12" s="1"/>
  <c r="V11" i="12" s="1"/>
  <c r="T14" i="12"/>
  <c r="S14" i="12"/>
  <c r="R14" i="12"/>
  <c r="Q14" i="12"/>
  <c r="Q11" i="12" s="1"/>
  <c r="R11" i="12" s="1"/>
  <c r="P14" i="12"/>
  <c r="N14" i="12"/>
  <c r="M14" i="12"/>
  <c r="M11" i="12" s="1"/>
  <c r="L14" i="12"/>
  <c r="K14" i="12"/>
  <c r="I14" i="12"/>
  <c r="H14" i="12"/>
  <c r="G11" i="12" s="1"/>
  <c r="J2" i="12" s="1"/>
  <c r="F14" i="12"/>
  <c r="E14" i="12"/>
  <c r="W11" i="12"/>
  <c r="X11" i="12" s="1"/>
  <c r="S11" i="12"/>
  <c r="T11" i="12" s="1"/>
  <c r="K11" i="12"/>
  <c r="L11" i="12" s="1"/>
  <c r="D11" i="12"/>
  <c r="I4" i="12"/>
  <c r="D4" i="12"/>
  <c r="L1" i="12"/>
  <c r="K7" i="12" s="1"/>
  <c r="R9" i="17" l="1"/>
  <c r="R8" i="17"/>
  <c r="N11" i="12"/>
  <c r="J3" i="12"/>
  <c r="P9" i="15"/>
  <c r="O7" i="15"/>
  <c r="P8" i="15"/>
  <c r="X8" i="12"/>
  <c r="X9" i="12"/>
  <c r="L11" i="13"/>
  <c r="J3" i="13"/>
  <c r="T8" i="13"/>
  <c r="T9" i="13"/>
  <c r="S7" i="13"/>
  <c r="T8" i="16"/>
  <c r="T9" i="16"/>
  <c r="X8" i="15"/>
  <c r="X9" i="15"/>
  <c r="Q7" i="12"/>
  <c r="R8" i="12"/>
  <c r="R9" i="12"/>
  <c r="N9" i="14"/>
  <c r="N8" i="14"/>
  <c r="M7" i="14"/>
  <c r="N8" i="13"/>
  <c r="N9" i="13"/>
  <c r="M7" i="13"/>
  <c r="T8" i="14"/>
  <c r="T9" i="14"/>
  <c r="P9" i="12"/>
  <c r="P8" i="12"/>
  <c r="R8" i="13"/>
  <c r="R9" i="13"/>
  <c r="Q7" i="13"/>
  <c r="K2" i="12"/>
  <c r="L2" i="12" s="1"/>
  <c r="V9" i="13"/>
  <c r="V8" i="13"/>
  <c r="U7" i="13"/>
  <c r="R8" i="14"/>
  <c r="R9" i="14"/>
  <c r="L11" i="15"/>
  <c r="J3" i="15"/>
  <c r="T9" i="15"/>
  <c r="S7" i="15"/>
  <c r="T8" i="15"/>
  <c r="W7" i="17"/>
  <c r="X9" i="17"/>
  <c r="X8" i="17"/>
  <c r="Q7" i="17"/>
  <c r="T8" i="17"/>
  <c r="T9" i="17"/>
  <c r="X8" i="13"/>
  <c r="X9" i="13"/>
  <c r="V8" i="14"/>
  <c r="V9" i="14"/>
  <c r="U7" i="14"/>
  <c r="N8" i="15"/>
  <c r="N9" i="15"/>
  <c r="M7" i="15"/>
  <c r="P8" i="16"/>
  <c r="P9" i="16"/>
  <c r="O7" i="16"/>
  <c r="X9" i="16"/>
  <c r="X8" i="16"/>
  <c r="W7" i="16"/>
  <c r="T8" i="12"/>
  <c r="T9" i="12"/>
  <c r="K7" i="13"/>
  <c r="X9" i="14"/>
  <c r="X8" i="14"/>
  <c r="R8" i="15"/>
  <c r="R9" i="15"/>
  <c r="Q7" i="15"/>
  <c r="R9" i="16"/>
  <c r="Q7" i="16"/>
  <c r="R8" i="16"/>
  <c r="K2" i="13"/>
  <c r="L2" i="13" s="1"/>
  <c r="L11" i="14"/>
  <c r="J3" i="14"/>
  <c r="L11" i="17"/>
  <c r="J3" i="17"/>
  <c r="K2" i="17" s="1"/>
  <c r="L2" i="17" s="1"/>
  <c r="P9" i="13"/>
  <c r="O7" i="13"/>
  <c r="P8" i="13"/>
  <c r="P8" i="14"/>
  <c r="P9" i="14"/>
  <c r="L9" i="12"/>
  <c r="L8" i="12"/>
  <c r="V8" i="12"/>
  <c r="V9" i="12"/>
  <c r="W7" i="14"/>
  <c r="V8" i="15"/>
  <c r="U7" i="15"/>
  <c r="V9" i="15"/>
  <c r="V8" i="17"/>
  <c r="M7" i="12"/>
  <c r="S7" i="16"/>
  <c r="S7" i="17"/>
  <c r="O7" i="12"/>
  <c r="K7" i="14"/>
  <c r="U7" i="16"/>
  <c r="K18" i="16"/>
  <c r="K14" i="16" s="1"/>
  <c r="K11" i="16" s="1"/>
  <c r="U7" i="17"/>
  <c r="S7" i="12"/>
  <c r="W7" i="13"/>
  <c r="O7" i="14"/>
  <c r="W7" i="15"/>
  <c r="U7" i="12"/>
  <c r="Q7" i="14"/>
  <c r="K7" i="17"/>
  <c r="W7" i="12"/>
  <c r="S7" i="14"/>
  <c r="N9" i="16"/>
  <c r="M7" i="17"/>
  <c r="N9" i="17"/>
  <c r="O7" i="17"/>
  <c r="U3" i="17" s="1"/>
  <c r="P9" i="17"/>
  <c r="O3" i="12" l="1"/>
  <c r="O3" i="13"/>
  <c r="O3" i="17"/>
  <c r="L8" i="17"/>
  <c r="L9" i="17"/>
  <c r="L8" i="15"/>
  <c r="L9" i="15"/>
  <c r="G10" i="15"/>
  <c r="H8" i="15" s="1"/>
  <c r="I7" i="15" s="1"/>
  <c r="J4" i="15"/>
  <c r="D10" i="15"/>
  <c r="E8" i="15" s="1"/>
  <c r="F7" i="15" s="1"/>
  <c r="J5" i="15"/>
  <c r="J5" i="14"/>
  <c r="G10" i="14"/>
  <c r="H8" i="14" s="1"/>
  <c r="I7" i="14" s="1"/>
  <c r="J4" i="14"/>
  <c r="D10" i="14"/>
  <c r="E8" i="14" s="1"/>
  <c r="F7" i="14" s="1"/>
  <c r="G10" i="13"/>
  <c r="H8" i="13" s="1"/>
  <c r="I7" i="13" s="1"/>
  <c r="J4" i="13"/>
  <c r="D10" i="13"/>
  <c r="E8" i="13" s="1"/>
  <c r="F7" i="13" s="1"/>
  <c r="J5" i="13"/>
  <c r="G10" i="12"/>
  <c r="H8" i="12" s="1"/>
  <c r="I7" i="12" s="1"/>
  <c r="J5" i="12"/>
  <c r="D10" i="12"/>
  <c r="E8" i="12" s="1"/>
  <c r="F7" i="12" s="1"/>
  <c r="J4" i="12"/>
  <c r="U4" i="17"/>
  <c r="V3" i="17"/>
  <c r="L8" i="14"/>
  <c r="L9" i="14"/>
  <c r="K7" i="15"/>
  <c r="O3" i="15" s="1"/>
  <c r="L8" i="13"/>
  <c r="L9" i="13"/>
  <c r="N8" i="12"/>
  <c r="N9" i="12"/>
  <c r="J3" i="16"/>
  <c r="L11" i="16"/>
  <c r="O3" i="14"/>
  <c r="K2" i="14"/>
  <c r="L2" i="14" s="1"/>
  <c r="G10" i="17"/>
  <c r="H8" i="17" s="1"/>
  <c r="I7" i="17" s="1"/>
  <c r="D10" i="17"/>
  <c r="E8" i="17" s="1"/>
  <c r="F7" i="17" s="1"/>
  <c r="J5" i="17"/>
  <c r="J4" i="17"/>
  <c r="K2" i="15"/>
  <c r="L2" i="15" s="1"/>
  <c r="G10" i="16" l="1"/>
  <c r="H8" i="16" s="1"/>
  <c r="I7" i="16" s="1"/>
  <c r="J4" i="16"/>
  <c r="D10" i="16"/>
  <c r="E8" i="16" s="1"/>
  <c r="F7" i="16" s="1"/>
  <c r="J5" i="16"/>
  <c r="K2" i="16"/>
  <c r="L2" i="16" s="1"/>
  <c r="W3" i="17"/>
  <c r="V4" i="17"/>
  <c r="W4" i="17" s="1"/>
  <c r="M4" i="17"/>
  <c r="L4" i="17"/>
  <c r="M4" i="12"/>
  <c r="L4" i="12"/>
  <c r="N4" i="12" s="1"/>
  <c r="M4" i="14"/>
  <c r="L4" i="14"/>
  <c r="N4" i="14" s="1"/>
  <c r="M4" i="13"/>
  <c r="L4" i="13"/>
  <c r="M4" i="15"/>
  <c r="L4" i="15"/>
  <c r="L8" i="16"/>
  <c r="L9" i="16"/>
  <c r="K7" i="16"/>
  <c r="O3" i="16" s="1"/>
  <c r="N4" i="13" l="1"/>
  <c r="M4" i="16"/>
  <c r="L4" i="16"/>
  <c r="N4" i="16" s="1"/>
  <c r="O5" i="12"/>
  <c r="N3" i="12"/>
  <c r="O5" i="14"/>
  <c r="N3" i="14"/>
  <c r="N4" i="15"/>
  <c r="N4" i="17"/>
  <c r="O5" i="16" l="1"/>
  <c r="N3" i="16"/>
  <c r="O5" i="15"/>
  <c r="N3" i="15"/>
  <c r="O5" i="17"/>
  <c r="N3" i="17"/>
  <c r="N3" i="13"/>
  <c r="O5" i="13"/>
  <c r="Q28" i="11" l="1"/>
  <c r="X14" i="11"/>
  <c r="W14" i="11"/>
  <c r="W11" i="11" s="1"/>
  <c r="X11" i="11" s="1"/>
  <c r="V14" i="11"/>
  <c r="U14" i="11"/>
  <c r="T14" i="11"/>
  <c r="S14" i="11"/>
  <c r="R14" i="11"/>
  <c r="Q11" i="11" s="1"/>
  <c r="R11" i="11" s="1"/>
  <c r="Q14" i="11"/>
  <c r="P14" i="11"/>
  <c r="O14" i="11"/>
  <c r="O11" i="11" s="1"/>
  <c r="N14" i="11"/>
  <c r="M14" i="11"/>
  <c r="L14" i="11"/>
  <c r="K14" i="11"/>
  <c r="I14" i="11"/>
  <c r="H14" i="11"/>
  <c r="G11" i="11" s="1"/>
  <c r="F14" i="11"/>
  <c r="E14" i="11"/>
  <c r="U11" i="11"/>
  <c r="V11" i="11" s="1"/>
  <c r="T11" i="11"/>
  <c r="T8" i="11" s="1"/>
  <c r="S11" i="11"/>
  <c r="M11" i="11"/>
  <c r="N11" i="11" s="1"/>
  <c r="K11" i="11"/>
  <c r="L11" i="11" s="1"/>
  <c r="D11" i="11"/>
  <c r="T9" i="11"/>
  <c r="V4" i="11"/>
  <c r="W4" i="11" s="1"/>
  <c r="U4" i="11"/>
  <c r="T4" i="11"/>
  <c r="I4" i="11"/>
  <c r="D4" i="11"/>
  <c r="V3" i="11"/>
  <c r="W3" i="11" s="1"/>
  <c r="W2" i="11"/>
  <c r="V2" i="11"/>
  <c r="L1" i="11"/>
  <c r="S7" i="11" s="1"/>
  <c r="N8" i="11" l="1"/>
  <c r="N9" i="11"/>
  <c r="M7" i="11"/>
  <c r="L8" i="11"/>
  <c r="L9" i="11"/>
  <c r="R9" i="11"/>
  <c r="Q7" i="11"/>
  <c r="R8" i="11"/>
  <c r="V8" i="11"/>
  <c r="V9" i="11"/>
  <c r="J2" i="11"/>
  <c r="K2" i="11" s="1"/>
  <c r="L2" i="11" s="1"/>
  <c r="P11" i="11"/>
  <c r="J3" i="11"/>
  <c r="X8" i="11"/>
  <c r="X9" i="11"/>
  <c r="U7" i="11"/>
  <c r="W7" i="11"/>
  <c r="K7" i="11"/>
  <c r="L6" i="11" l="1"/>
  <c r="G10" i="11"/>
  <c r="H8" i="11" s="1"/>
  <c r="I7" i="11" s="1"/>
  <c r="J4" i="11"/>
  <c r="D10" i="11"/>
  <c r="E8" i="11" s="1"/>
  <c r="F7" i="11" s="1"/>
  <c r="J5" i="11"/>
  <c r="P8" i="11"/>
  <c r="P9" i="11"/>
  <c r="O7" i="11"/>
  <c r="O3" i="11" s="1"/>
  <c r="L4" i="11" l="1"/>
  <c r="N4" i="11" s="1"/>
  <c r="M4" i="11"/>
  <c r="O5" i="11" l="1"/>
  <c r="N3" i="11"/>
  <c r="X14" i="10" l="1"/>
  <c r="W14" i="10"/>
  <c r="V14" i="10"/>
  <c r="U14" i="10"/>
  <c r="T14" i="10"/>
  <c r="S14" i="10"/>
  <c r="R14" i="10"/>
  <c r="Q14" i="10"/>
  <c r="Q11" i="10" s="1"/>
  <c r="R11" i="10" s="1"/>
  <c r="P14" i="10"/>
  <c r="O14" i="10"/>
  <c r="N14" i="10"/>
  <c r="M14" i="10"/>
  <c r="L14" i="10"/>
  <c r="K14" i="10"/>
  <c r="I14" i="10"/>
  <c r="H14" i="10"/>
  <c r="G11" i="10" s="1"/>
  <c r="J2" i="10" s="1"/>
  <c r="F14" i="10"/>
  <c r="E14" i="10"/>
  <c r="W11" i="10"/>
  <c r="X11" i="10" s="1"/>
  <c r="U11" i="10"/>
  <c r="V11" i="10" s="1"/>
  <c r="S11" i="10"/>
  <c r="T11" i="10" s="1"/>
  <c r="P11" i="10"/>
  <c r="O11" i="10"/>
  <c r="N11" i="10"/>
  <c r="N9" i="10" s="1"/>
  <c r="M11" i="10"/>
  <c r="K11" i="10"/>
  <c r="D11" i="10"/>
  <c r="P9" i="10"/>
  <c r="P8" i="10"/>
  <c r="N8" i="10"/>
  <c r="W4" i="10"/>
  <c r="V4" i="10"/>
  <c r="U4" i="10"/>
  <c r="T4" i="10"/>
  <c r="I4" i="10"/>
  <c r="F4" i="10"/>
  <c r="D4" i="10"/>
  <c r="AB3" i="10"/>
  <c r="Z3" i="10"/>
  <c r="V3" i="10"/>
  <c r="W3" i="10" s="1"/>
  <c r="W2" i="10"/>
  <c r="V2" i="10"/>
  <c r="L1" i="10"/>
  <c r="O7" i="10" s="1"/>
  <c r="X14" i="9"/>
  <c r="W14" i="9"/>
  <c r="W11" i="9" s="1"/>
  <c r="X11" i="9" s="1"/>
  <c r="V14" i="9"/>
  <c r="U11" i="9" s="1"/>
  <c r="V11" i="9" s="1"/>
  <c r="U14" i="9"/>
  <c r="T14" i="9"/>
  <c r="S14" i="9"/>
  <c r="R14" i="9"/>
  <c r="Q14" i="9"/>
  <c r="P14" i="9"/>
  <c r="O14" i="9"/>
  <c r="O11" i="9" s="1"/>
  <c r="P11" i="9" s="1"/>
  <c r="N14" i="9"/>
  <c r="M11" i="9" s="1"/>
  <c r="N11" i="9" s="1"/>
  <c r="M14" i="9"/>
  <c r="L14" i="9"/>
  <c r="K14" i="9"/>
  <c r="I14" i="9"/>
  <c r="H14" i="9"/>
  <c r="F14" i="9"/>
  <c r="D11" i="9" s="1"/>
  <c r="J2" i="9" s="1"/>
  <c r="E14" i="9"/>
  <c r="S11" i="9"/>
  <c r="T11" i="9" s="1"/>
  <c r="R11" i="9"/>
  <c r="R8" i="9" s="1"/>
  <c r="Q11" i="9"/>
  <c r="K11" i="9"/>
  <c r="G11" i="9"/>
  <c r="V4" i="9"/>
  <c r="W4" i="9" s="1"/>
  <c r="U4" i="9"/>
  <c r="T4" i="9"/>
  <c r="I4" i="9"/>
  <c r="D4" i="9"/>
  <c r="V3" i="9"/>
  <c r="W3" i="9" s="1"/>
  <c r="V2" i="9"/>
  <c r="W2" i="9" s="1"/>
  <c r="L1" i="9"/>
  <c r="T8" i="9" l="1"/>
  <c r="T9" i="9"/>
  <c r="T8" i="10"/>
  <c r="T9" i="10"/>
  <c r="R9" i="10"/>
  <c r="Q7" i="10"/>
  <c r="R8" i="10"/>
  <c r="O7" i="9"/>
  <c r="P8" i="9"/>
  <c r="P9" i="9"/>
  <c r="V8" i="10"/>
  <c r="V9" i="10"/>
  <c r="V8" i="9"/>
  <c r="V9" i="9"/>
  <c r="X8" i="10"/>
  <c r="X9" i="10"/>
  <c r="N9" i="9"/>
  <c r="M7" i="9"/>
  <c r="N8" i="9"/>
  <c r="W7" i="9"/>
  <c r="J3" i="10"/>
  <c r="K2" i="10" s="1"/>
  <c r="L2" i="10" s="1"/>
  <c r="X8" i="9"/>
  <c r="X9" i="9"/>
  <c r="J3" i="9"/>
  <c r="K2" i="9" s="1"/>
  <c r="L2" i="9" s="1"/>
  <c r="Q7" i="9"/>
  <c r="R9" i="9"/>
  <c r="S7" i="10"/>
  <c r="L11" i="10"/>
  <c r="K7" i="10" s="1"/>
  <c r="S7" i="9"/>
  <c r="L11" i="9"/>
  <c r="U7" i="10"/>
  <c r="U7" i="9"/>
  <c r="W7" i="10"/>
  <c r="M7" i="10"/>
  <c r="O3" i="10" l="1"/>
  <c r="L8" i="9"/>
  <c r="L9" i="9"/>
  <c r="K7" i="9"/>
  <c r="O3" i="9" s="1"/>
  <c r="G10" i="10"/>
  <c r="H8" i="10" s="1"/>
  <c r="I7" i="10" s="1"/>
  <c r="D10" i="10"/>
  <c r="E8" i="10" s="1"/>
  <c r="F7" i="10" s="1"/>
  <c r="J5" i="10"/>
  <c r="J4" i="10"/>
  <c r="L8" i="10"/>
  <c r="L9" i="10"/>
  <c r="G10" i="9"/>
  <c r="H8" i="9" s="1"/>
  <c r="I7" i="9" s="1"/>
  <c r="D10" i="9"/>
  <c r="E8" i="9" s="1"/>
  <c r="F7" i="9" s="1"/>
  <c r="J5" i="9"/>
  <c r="J4" i="9"/>
  <c r="M4" i="10" l="1"/>
  <c r="L4" i="10"/>
  <c r="N4" i="10" s="1"/>
  <c r="M4" i="9"/>
  <c r="L4" i="9"/>
  <c r="N4" i="9" s="1"/>
  <c r="N3" i="9" l="1"/>
  <c r="O5" i="9"/>
  <c r="O5" i="10"/>
  <c r="N3" i="10"/>
  <c r="X14" i="8" l="1"/>
  <c r="W14" i="8"/>
  <c r="W11" i="8" s="1"/>
  <c r="X11" i="8" s="1"/>
  <c r="V14" i="8"/>
  <c r="U14" i="8"/>
  <c r="T14" i="8"/>
  <c r="S14" i="8"/>
  <c r="R14" i="8"/>
  <c r="Q14" i="8"/>
  <c r="Q11" i="8" s="1"/>
  <c r="R11" i="8" s="1"/>
  <c r="P14" i="8"/>
  <c r="O14" i="8"/>
  <c r="O11" i="8" s="1"/>
  <c r="P11" i="8" s="1"/>
  <c r="N14" i="8"/>
  <c r="M14" i="8"/>
  <c r="L14" i="8"/>
  <c r="K14" i="8"/>
  <c r="I14" i="8"/>
  <c r="H14" i="8"/>
  <c r="G11" i="8" s="1"/>
  <c r="F14" i="8"/>
  <c r="E14" i="8"/>
  <c r="U11" i="8"/>
  <c r="V11" i="8" s="1"/>
  <c r="S11" i="8"/>
  <c r="T11" i="8" s="1"/>
  <c r="M11" i="8"/>
  <c r="N11" i="8" s="1"/>
  <c r="K11" i="8"/>
  <c r="J3" i="8" s="1"/>
  <c r="D11" i="8"/>
  <c r="I4" i="8"/>
  <c r="F4" i="8"/>
  <c r="D4" i="8"/>
  <c r="L1" i="8"/>
  <c r="O7" i="8" s="1"/>
  <c r="X14" i="7"/>
  <c r="W11" i="7" s="1"/>
  <c r="X11" i="7" s="1"/>
  <c r="W14" i="7"/>
  <c r="V14" i="7"/>
  <c r="U11" i="7" s="1"/>
  <c r="V11" i="7" s="1"/>
  <c r="U14" i="7"/>
  <c r="T14" i="7"/>
  <c r="S14" i="7"/>
  <c r="R14" i="7"/>
  <c r="Q14" i="7"/>
  <c r="Q11" i="7" s="1"/>
  <c r="R11" i="7" s="1"/>
  <c r="P14" i="7"/>
  <c r="O11" i="7" s="1"/>
  <c r="P11" i="7" s="1"/>
  <c r="O14" i="7"/>
  <c r="N14" i="7"/>
  <c r="M11" i="7" s="1"/>
  <c r="M14" i="7"/>
  <c r="L14" i="7"/>
  <c r="K14" i="7"/>
  <c r="I14" i="7"/>
  <c r="H14" i="7"/>
  <c r="F14" i="7"/>
  <c r="D11" i="7" s="1"/>
  <c r="J2" i="7" s="1"/>
  <c r="E14" i="7"/>
  <c r="S11" i="7"/>
  <c r="T11" i="7" s="1"/>
  <c r="K11" i="7"/>
  <c r="L11" i="7" s="1"/>
  <c r="G11" i="7"/>
  <c r="I4" i="7"/>
  <c r="F4" i="7"/>
  <c r="D4" i="7"/>
  <c r="L1" i="7"/>
  <c r="W7" i="7" s="1"/>
  <c r="L19" i="6"/>
  <c r="X14" i="6"/>
  <c r="W14" i="6"/>
  <c r="W11" i="6" s="1"/>
  <c r="X11" i="6" s="1"/>
  <c r="V14" i="6"/>
  <c r="U11" i="6" s="1"/>
  <c r="V11" i="6" s="1"/>
  <c r="U14" i="6"/>
  <c r="T14" i="6"/>
  <c r="S11" i="6" s="1"/>
  <c r="T11" i="6" s="1"/>
  <c r="S14" i="6"/>
  <c r="R14" i="6"/>
  <c r="Q14" i="6"/>
  <c r="P14" i="6"/>
  <c r="O14" i="6"/>
  <c r="O11" i="6" s="1"/>
  <c r="P11" i="6" s="1"/>
  <c r="N14" i="6"/>
  <c r="M11" i="6" s="1"/>
  <c r="N11" i="6" s="1"/>
  <c r="M14" i="6"/>
  <c r="L14" i="6"/>
  <c r="K11" i="6" s="1"/>
  <c r="K14" i="6"/>
  <c r="I14" i="6"/>
  <c r="H14" i="6"/>
  <c r="G11" i="6" s="1"/>
  <c r="F14" i="6"/>
  <c r="E14" i="6"/>
  <c r="Q11" i="6"/>
  <c r="R11" i="6" s="1"/>
  <c r="D11" i="6"/>
  <c r="I4" i="6"/>
  <c r="F4" i="6"/>
  <c r="D4" i="6"/>
  <c r="L1" i="6"/>
  <c r="X14" i="5"/>
  <c r="W14" i="5"/>
  <c r="V14" i="5"/>
  <c r="U14" i="5"/>
  <c r="T14" i="5"/>
  <c r="S14" i="5"/>
  <c r="R14" i="5"/>
  <c r="Q14" i="5"/>
  <c r="Q11" i="5" s="1"/>
  <c r="R11" i="5" s="1"/>
  <c r="P14" i="5"/>
  <c r="O14" i="5"/>
  <c r="N14" i="5"/>
  <c r="M14" i="5"/>
  <c r="L14" i="5"/>
  <c r="K14" i="5"/>
  <c r="I14" i="5"/>
  <c r="H14" i="5"/>
  <c r="G11" i="5" s="1"/>
  <c r="J2" i="5" s="1"/>
  <c r="F14" i="5"/>
  <c r="E14" i="5"/>
  <c r="W11" i="5"/>
  <c r="X11" i="5" s="1"/>
  <c r="U11" i="5"/>
  <c r="V11" i="5" s="1"/>
  <c r="S11" i="5"/>
  <c r="T11" i="5" s="1"/>
  <c r="O11" i="5"/>
  <c r="P11" i="5" s="1"/>
  <c r="M11" i="5"/>
  <c r="N11" i="5" s="1"/>
  <c r="K11" i="5"/>
  <c r="J3" i="5" s="1"/>
  <c r="D11" i="5"/>
  <c r="I4" i="5"/>
  <c r="F4" i="5"/>
  <c r="D4" i="5"/>
  <c r="L1" i="5"/>
  <c r="X14" i="4"/>
  <c r="W11" i="4" s="1"/>
  <c r="X11" i="4" s="1"/>
  <c r="W14" i="4"/>
  <c r="V14" i="4"/>
  <c r="U11" i="4" s="1"/>
  <c r="V11" i="4" s="1"/>
  <c r="U14" i="4"/>
  <c r="T14" i="4"/>
  <c r="S14" i="4"/>
  <c r="R14" i="4"/>
  <c r="Q14" i="4"/>
  <c r="Q11" i="4" s="1"/>
  <c r="R11" i="4" s="1"/>
  <c r="P14" i="4"/>
  <c r="O11" i="4" s="1"/>
  <c r="P11" i="4" s="1"/>
  <c r="O14" i="4"/>
  <c r="N14" i="4"/>
  <c r="M11" i="4" s="1"/>
  <c r="M14" i="4"/>
  <c r="L14" i="4"/>
  <c r="K14" i="4"/>
  <c r="I14" i="4"/>
  <c r="H14" i="4"/>
  <c r="F14" i="4"/>
  <c r="D11" i="4" s="1"/>
  <c r="J2" i="4" s="1"/>
  <c r="E14" i="4"/>
  <c r="S11" i="4"/>
  <c r="T11" i="4" s="1"/>
  <c r="K11" i="4"/>
  <c r="L11" i="4" s="1"/>
  <c r="G11" i="4"/>
  <c r="I4" i="4"/>
  <c r="F4" i="4"/>
  <c r="D4" i="4"/>
  <c r="L1" i="4"/>
  <c r="W7" i="4" s="1"/>
  <c r="N25" i="3"/>
  <c r="X14" i="3"/>
  <c r="W14" i="3"/>
  <c r="W11" i="3" s="1"/>
  <c r="X11" i="3" s="1"/>
  <c r="V14" i="3"/>
  <c r="U11" i="3" s="1"/>
  <c r="V11" i="3" s="1"/>
  <c r="U14" i="3"/>
  <c r="T14" i="3"/>
  <c r="S11" i="3" s="1"/>
  <c r="T11" i="3" s="1"/>
  <c r="S14" i="3"/>
  <c r="R14" i="3"/>
  <c r="Q14" i="3"/>
  <c r="P14" i="3"/>
  <c r="O14" i="3"/>
  <c r="O11" i="3" s="1"/>
  <c r="P11" i="3" s="1"/>
  <c r="N14" i="3"/>
  <c r="M11" i="3" s="1"/>
  <c r="N11" i="3" s="1"/>
  <c r="M14" i="3"/>
  <c r="L14" i="3"/>
  <c r="K11" i="3" s="1"/>
  <c r="K14" i="3"/>
  <c r="I14" i="3"/>
  <c r="H14" i="3"/>
  <c r="F14" i="3"/>
  <c r="E14" i="3"/>
  <c r="Q11" i="3"/>
  <c r="R11" i="3" s="1"/>
  <c r="G11" i="3"/>
  <c r="D11" i="3"/>
  <c r="J2" i="3" s="1"/>
  <c r="I4" i="3"/>
  <c r="F4" i="3"/>
  <c r="D4" i="3"/>
  <c r="L1" i="3"/>
  <c r="U7" i="3" s="1"/>
  <c r="M21" i="2"/>
  <c r="X14" i="2"/>
  <c r="W14" i="2"/>
  <c r="V14" i="2"/>
  <c r="U14" i="2"/>
  <c r="U11" i="2" s="1"/>
  <c r="V11" i="2" s="1"/>
  <c r="T14" i="2"/>
  <c r="S11" i="2" s="1"/>
  <c r="T11" i="2" s="1"/>
  <c r="S14" i="2"/>
  <c r="R14" i="2"/>
  <c r="Q11" i="2" s="1"/>
  <c r="R11" i="2" s="1"/>
  <c r="Q14" i="2"/>
  <c r="P14" i="2"/>
  <c r="O14" i="2"/>
  <c r="N14" i="2"/>
  <c r="M14" i="2"/>
  <c r="M11" i="2" s="1"/>
  <c r="N11" i="2" s="1"/>
  <c r="L14" i="2"/>
  <c r="K11" i="2" s="1"/>
  <c r="K14" i="2"/>
  <c r="I14" i="2"/>
  <c r="G11" i="2" s="1"/>
  <c r="J2" i="2" s="1"/>
  <c r="H14" i="2"/>
  <c r="F14" i="2"/>
  <c r="E14" i="2"/>
  <c r="W11" i="2"/>
  <c r="X11" i="2" s="1"/>
  <c r="O11" i="2"/>
  <c r="P11" i="2" s="1"/>
  <c r="D11" i="2"/>
  <c r="I4" i="2"/>
  <c r="F4" i="2"/>
  <c r="D4" i="2"/>
  <c r="L1" i="2"/>
  <c r="X8" i="5" l="1"/>
  <c r="X9" i="5"/>
  <c r="R8" i="6"/>
  <c r="R9" i="6"/>
  <c r="N8" i="6"/>
  <c r="N9" i="6"/>
  <c r="V9" i="6"/>
  <c r="V8" i="6"/>
  <c r="R8" i="8"/>
  <c r="R9" i="8"/>
  <c r="Q7" i="8"/>
  <c r="Q7" i="2"/>
  <c r="R8" i="3"/>
  <c r="R9" i="3"/>
  <c r="N8" i="3"/>
  <c r="N9" i="3"/>
  <c r="V9" i="3"/>
  <c r="V8" i="3"/>
  <c r="P8" i="6"/>
  <c r="P9" i="6"/>
  <c r="X9" i="6"/>
  <c r="X8" i="6"/>
  <c r="L8" i="7"/>
  <c r="L9" i="7"/>
  <c r="K7" i="7"/>
  <c r="J2" i="8"/>
  <c r="K2" i="8" s="1"/>
  <c r="L2" i="8" s="1"/>
  <c r="X9" i="3"/>
  <c r="X8" i="3"/>
  <c r="N11" i="7"/>
  <c r="J3" i="7"/>
  <c r="K2" i="2"/>
  <c r="L2" i="2" s="1"/>
  <c r="G10" i="5"/>
  <c r="H8" i="5" s="1"/>
  <c r="I7" i="5" s="1"/>
  <c r="J4" i="5"/>
  <c r="D10" i="5"/>
  <c r="E8" i="5" s="1"/>
  <c r="F7" i="5" s="1"/>
  <c r="J5" i="5"/>
  <c r="K2" i="5"/>
  <c r="L2" i="5" s="1"/>
  <c r="R9" i="5"/>
  <c r="R8" i="5"/>
  <c r="Q7" i="5"/>
  <c r="U7" i="6"/>
  <c r="N8" i="8"/>
  <c r="N9" i="8"/>
  <c r="N8" i="5"/>
  <c r="N9" i="5"/>
  <c r="P9" i="7"/>
  <c r="O7" i="7"/>
  <c r="P8" i="7"/>
  <c r="X8" i="7"/>
  <c r="X9" i="7"/>
  <c r="T8" i="8"/>
  <c r="T9" i="8"/>
  <c r="P8" i="3"/>
  <c r="P9" i="3"/>
  <c r="L9" i="4"/>
  <c r="K7" i="4"/>
  <c r="L8" i="4"/>
  <c r="T8" i="7"/>
  <c r="T9" i="7"/>
  <c r="V8" i="7"/>
  <c r="V9" i="7"/>
  <c r="T8" i="4"/>
  <c r="T9" i="4"/>
  <c r="S7" i="4"/>
  <c r="N11" i="4"/>
  <c r="J3" i="4"/>
  <c r="P9" i="4"/>
  <c r="O7" i="4"/>
  <c r="P8" i="4"/>
  <c r="P8" i="2"/>
  <c r="P9" i="2"/>
  <c r="N8" i="2"/>
  <c r="N9" i="2"/>
  <c r="V8" i="2"/>
  <c r="V9" i="2"/>
  <c r="R8" i="4"/>
  <c r="R9" i="4"/>
  <c r="Q7" i="4"/>
  <c r="O7" i="5"/>
  <c r="T8" i="5"/>
  <c r="T9" i="5"/>
  <c r="L11" i="6"/>
  <c r="J3" i="6"/>
  <c r="T8" i="6"/>
  <c r="T9" i="6"/>
  <c r="P9" i="8"/>
  <c r="P8" i="8"/>
  <c r="X8" i="8"/>
  <c r="X9" i="8"/>
  <c r="G10" i="8"/>
  <c r="H8" i="8" s="1"/>
  <c r="I7" i="8" s="1"/>
  <c r="J4" i="8"/>
  <c r="D10" i="8"/>
  <c r="E8" i="8" s="1"/>
  <c r="F7" i="8" s="1"/>
  <c r="J5" i="8"/>
  <c r="R9" i="2"/>
  <c r="R8" i="2"/>
  <c r="V8" i="4"/>
  <c r="V9" i="4"/>
  <c r="J3" i="2"/>
  <c r="L11" i="2"/>
  <c r="S7" i="2"/>
  <c r="T8" i="2"/>
  <c r="T9" i="2"/>
  <c r="K2" i="4"/>
  <c r="L2" i="4" s="1"/>
  <c r="X8" i="4"/>
  <c r="X9" i="4"/>
  <c r="P9" i="5"/>
  <c r="P8" i="5"/>
  <c r="R8" i="7"/>
  <c r="R9" i="7"/>
  <c r="Q7" i="7"/>
  <c r="V9" i="8"/>
  <c r="U7" i="8"/>
  <c r="V8" i="8"/>
  <c r="X9" i="2"/>
  <c r="X8" i="2"/>
  <c r="L11" i="3"/>
  <c r="J3" i="3"/>
  <c r="K2" i="3" s="1"/>
  <c r="L2" i="3" s="1"/>
  <c r="T8" i="3"/>
  <c r="T9" i="3"/>
  <c r="V9" i="5"/>
  <c r="V8" i="5"/>
  <c r="U7" i="5"/>
  <c r="J2" i="6"/>
  <c r="K2" i="6" s="1"/>
  <c r="L2" i="6" s="1"/>
  <c r="W7" i="6"/>
  <c r="U7" i="2"/>
  <c r="S7" i="5"/>
  <c r="L11" i="5"/>
  <c r="M7" i="7"/>
  <c r="S7" i="8"/>
  <c r="L11" i="8"/>
  <c r="M7" i="3"/>
  <c r="W7" i="5"/>
  <c r="M7" i="6"/>
  <c r="W7" i="8"/>
  <c r="W7" i="2"/>
  <c r="K7" i="2"/>
  <c r="O7" i="3"/>
  <c r="O7" i="6"/>
  <c r="S7" i="7"/>
  <c r="W7" i="3"/>
  <c r="M7" i="2"/>
  <c r="Q7" i="3"/>
  <c r="U7" i="4"/>
  <c r="Q7" i="6"/>
  <c r="U7" i="7"/>
  <c r="K7" i="8"/>
  <c r="O7" i="2"/>
  <c r="S7" i="3"/>
  <c r="M7" i="5"/>
  <c r="S7" i="6"/>
  <c r="M7" i="8"/>
  <c r="K7" i="6"/>
  <c r="L8" i="5" l="1"/>
  <c r="L9" i="5"/>
  <c r="L9" i="3"/>
  <c r="L8" i="3"/>
  <c r="O3" i="8"/>
  <c r="J5" i="3"/>
  <c r="G10" i="3"/>
  <c r="H8" i="3" s="1"/>
  <c r="I7" i="3" s="1"/>
  <c r="J4" i="3"/>
  <c r="D10" i="3"/>
  <c r="E8" i="3" s="1"/>
  <c r="F7" i="3" s="1"/>
  <c r="D10" i="7"/>
  <c r="E8" i="7" s="1"/>
  <c r="F7" i="7" s="1"/>
  <c r="J5" i="7"/>
  <c r="G10" i="7"/>
  <c r="H8" i="7" s="1"/>
  <c r="I7" i="7" s="1"/>
  <c r="J4" i="7"/>
  <c r="M4" i="8"/>
  <c r="L4" i="8"/>
  <c r="K2" i="7"/>
  <c r="L2" i="7" s="1"/>
  <c r="O3" i="6"/>
  <c r="L8" i="8"/>
  <c r="L9" i="8"/>
  <c r="L8" i="2"/>
  <c r="L9" i="2"/>
  <c r="J5" i="6"/>
  <c r="J4" i="6"/>
  <c r="G10" i="6"/>
  <c r="H8" i="6" s="1"/>
  <c r="I7" i="6" s="1"/>
  <c r="D10" i="6"/>
  <c r="E8" i="6" s="1"/>
  <c r="F7" i="6" s="1"/>
  <c r="M4" i="5"/>
  <c r="L4" i="5"/>
  <c r="N4" i="5" s="1"/>
  <c r="N8" i="7"/>
  <c r="N9" i="7"/>
  <c r="K7" i="3"/>
  <c r="O3" i="3" s="1"/>
  <c r="G10" i="2"/>
  <c r="H8" i="2" s="1"/>
  <c r="I7" i="2" s="1"/>
  <c r="J4" i="2"/>
  <c r="D10" i="2"/>
  <c r="E8" i="2" s="1"/>
  <c r="F7" i="2" s="1"/>
  <c r="J5" i="2"/>
  <c r="L9" i="6"/>
  <c r="L8" i="6"/>
  <c r="D10" i="4"/>
  <c r="E8" i="4" s="1"/>
  <c r="F7" i="4" s="1"/>
  <c r="J4" i="4"/>
  <c r="J5" i="4"/>
  <c r="G10" i="4"/>
  <c r="H8" i="4" s="1"/>
  <c r="I7" i="4" s="1"/>
  <c r="K7" i="5"/>
  <c r="O3" i="5" s="1"/>
  <c r="O3" i="2"/>
  <c r="N8" i="4"/>
  <c r="N9" i="4"/>
  <c r="M7" i="4"/>
  <c r="O3" i="4" s="1"/>
  <c r="O3" i="7"/>
  <c r="N4" i="8" l="1"/>
  <c r="M4" i="6"/>
  <c r="L4" i="6"/>
  <c r="M4" i="3"/>
  <c r="L4" i="3"/>
  <c r="N4" i="3" s="1"/>
  <c r="N3" i="5"/>
  <c r="O5" i="5"/>
  <c r="M4" i="7"/>
  <c r="L4" i="7"/>
  <c r="M4" i="4"/>
  <c r="L4" i="4"/>
  <c r="M4" i="2"/>
  <c r="L4" i="2"/>
  <c r="N4" i="2" s="1"/>
  <c r="O5" i="3" l="1"/>
  <c r="N3" i="3"/>
  <c r="N4" i="4"/>
  <c r="N4" i="6"/>
  <c r="N3" i="2"/>
  <c r="O5" i="2"/>
  <c r="N4" i="7"/>
  <c r="O5" i="8"/>
  <c r="N3" i="8"/>
  <c r="O5" i="7" l="1"/>
  <c r="N3" i="7"/>
  <c r="O5" i="6"/>
  <c r="N3" i="6"/>
  <c r="O5" i="4"/>
  <c r="N3" i="4"/>
  <c r="X14" i="1" l="1"/>
  <c r="W11" i="1" s="1"/>
  <c r="X11" i="1" s="1"/>
  <c r="W14" i="1"/>
  <c r="V14" i="1"/>
  <c r="U14" i="1"/>
  <c r="T14" i="1"/>
  <c r="S14" i="1"/>
  <c r="R14" i="1"/>
  <c r="Q14" i="1"/>
  <c r="Q11" i="1" s="1"/>
  <c r="R11" i="1" s="1"/>
  <c r="P14" i="1"/>
  <c r="O11" i="1" s="1"/>
  <c r="P11" i="1" s="1"/>
  <c r="O14" i="1"/>
  <c r="N14" i="1"/>
  <c r="M14" i="1"/>
  <c r="L14" i="1"/>
  <c r="K14" i="1"/>
  <c r="I14" i="1"/>
  <c r="H14" i="1"/>
  <c r="F14" i="1"/>
  <c r="D11" i="1" s="1"/>
  <c r="J2" i="1" s="1"/>
  <c r="E14" i="1"/>
  <c r="V11" i="1"/>
  <c r="V9" i="1" s="1"/>
  <c r="U11" i="1"/>
  <c r="S11" i="1"/>
  <c r="T11" i="1" s="1"/>
  <c r="N11" i="1"/>
  <c r="N9" i="1" s="1"/>
  <c r="M11" i="1"/>
  <c r="K11" i="1"/>
  <c r="L11" i="1" s="1"/>
  <c r="G11" i="1"/>
  <c r="V8" i="1"/>
  <c r="N8" i="1"/>
  <c r="U4" i="1"/>
  <c r="T4" i="1"/>
  <c r="I4" i="1"/>
  <c r="D4" i="1"/>
  <c r="V3" i="1"/>
  <c r="W3" i="1" s="1"/>
  <c r="V2" i="1"/>
  <c r="V4" i="1" s="1"/>
  <c r="W4" i="1" s="1"/>
  <c r="L1" i="1"/>
  <c r="M7" i="1" s="1"/>
  <c r="L8" i="1" l="1"/>
  <c r="L9" i="1"/>
  <c r="T8" i="1"/>
  <c r="T9" i="1"/>
  <c r="R8" i="1"/>
  <c r="R9" i="1"/>
  <c r="O7" i="1"/>
  <c r="P9" i="1"/>
  <c r="P8" i="1"/>
  <c r="X9" i="1"/>
  <c r="X8" i="1"/>
  <c r="J3" i="1"/>
  <c r="S7" i="1"/>
  <c r="W2" i="1"/>
  <c r="Q7" i="1"/>
  <c r="U7" i="1"/>
  <c r="W7" i="1"/>
  <c r="K7" i="1"/>
  <c r="O3" i="1" l="1"/>
  <c r="G10" i="1"/>
  <c r="H8" i="1" s="1"/>
  <c r="I7" i="1" s="1"/>
  <c r="D10" i="1"/>
  <c r="E8" i="1" s="1"/>
  <c r="F7" i="1" s="1"/>
  <c r="J5" i="1"/>
  <c r="J4" i="1"/>
  <c r="K2" i="1"/>
  <c r="L2" i="1" s="1"/>
  <c r="M6" i="1"/>
  <c r="M4" i="1" l="1"/>
  <c r="L4" i="1"/>
  <c r="N4" i="1" s="1"/>
  <c r="N3" i="1" l="1"/>
  <c r="O5" i="1"/>
</calcChain>
</file>

<file path=xl/sharedStrings.xml><?xml version="1.0" encoding="utf-8"?>
<sst xmlns="http://schemas.openxmlformats.org/spreadsheetml/2006/main" count="1599" uniqueCount="134">
  <si>
    <t>FIELD PRODUCTION RECORD</t>
  </si>
  <si>
    <t>ac</t>
  </si>
  <si>
    <t>t</t>
  </si>
  <si>
    <t>bu</t>
  </si>
  <si>
    <t>Combine Totals</t>
  </si>
  <si>
    <t xml:space="preserve">Fall </t>
  </si>
  <si>
    <t>FIELD</t>
  </si>
  <si>
    <t>F19D</t>
  </si>
  <si>
    <t>E11</t>
  </si>
  <si>
    <t>Field Total</t>
  </si>
  <si>
    <t>Cart Factor</t>
  </si>
  <si>
    <t>Moisture</t>
  </si>
  <si>
    <t>Dockage</t>
  </si>
  <si>
    <t>Spring</t>
  </si>
  <si>
    <t>CROP</t>
  </si>
  <si>
    <t>Total</t>
  </si>
  <si>
    <t>DATE</t>
  </si>
  <si>
    <t>bu/ac</t>
  </si>
  <si>
    <t xml:space="preserve">Moisture </t>
  </si>
  <si>
    <t>APEX</t>
  </si>
  <si>
    <t>Unload</t>
  </si>
  <si>
    <t>Other Fields</t>
  </si>
  <si>
    <t>TOTALS</t>
  </si>
  <si>
    <t>Cart Number</t>
  </si>
  <si>
    <t>HIS S680</t>
  </si>
  <si>
    <t>Tracks S690</t>
  </si>
  <si>
    <t>Dryer</t>
  </si>
  <si>
    <t>Bag 1</t>
  </si>
  <si>
    <t>Spring Bag</t>
  </si>
  <si>
    <t>Bin</t>
  </si>
  <si>
    <t>F</t>
  </si>
  <si>
    <t>G</t>
  </si>
  <si>
    <t>Hillsboro</t>
  </si>
  <si>
    <t>Load</t>
  </si>
  <si>
    <t>Mass</t>
  </si>
  <si>
    <t>Hills</t>
  </si>
  <si>
    <t>FENA</t>
  </si>
  <si>
    <t>Combine</t>
  </si>
  <si>
    <t>Pile</t>
  </si>
  <si>
    <t>end</t>
  </si>
  <si>
    <t>F1</t>
  </si>
  <si>
    <t>S S11</t>
  </si>
  <si>
    <t>Yard Bag</t>
  </si>
  <si>
    <t>C</t>
  </si>
  <si>
    <t>D</t>
  </si>
  <si>
    <t>E</t>
  </si>
  <si>
    <t>F2</t>
  </si>
  <si>
    <t>N S11</t>
  </si>
  <si>
    <t>B</t>
  </si>
  <si>
    <t>F9</t>
  </si>
  <si>
    <t>SE06</t>
  </si>
  <si>
    <t>RA Bag N</t>
  </si>
  <si>
    <t>F14</t>
  </si>
  <si>
    <t>SE31</t>
  </si>
  <si>
    <t>RA Bag S</t>
  </si>
  <si>
    <t xml:space="preserve">                     </t>
  </si>
  <si>
    <t>F26</t>
  </si>
  <si>
    <t>NW24</t>
  </si>
  <si>
    <t>ne</t>
  </si>
  <si>
    <t>F21</t>
  </si>
  <si>
    <t>SE08</t>
  </si>
  <si>
    <t>Bag F22</t>
  </si>
  <si>
    <t>F22</t>
  </si>
  <si>
    <t>N13</t>
  </si>
  <si>
    <t>Bag f22</t>
  </si>
  <si>
    <t>Cargill</t>
  </si>
  <si>
    <t>Truck</t>
  </si>
  <si>
    <t>F25</t>
  </si>
  <si>
    <t>E36</t>
  </si>
  <si>
    <t>Penhold Bin 3</t>
  </si>
  <si>
    <t>Bag 2</t>
  </si>
  <si>
    <t>Crossfield Bin 14</t>
  </si>
  <si>
    <t>Goodwin Bin 4</t>
  </si>
  <si>
    <t>Penhold</t>
  </si>
  <si>
    <t>Crossfield</t>
  </si>
  <si>
    <t xml:space="preserve"> 610 611</t>
  </si>
  <si>
    <t>F18</t>
  </si>
  <si>
    <t>Sec 4</t>
  </si>
  <si>
    <t>Bin 9,8</t>
  </si>
  <si>
    <t>Bag 1 NE</t>
  </si>
  <si>
    <t>Seed Bin 12</t>
  </si>
  <si>
    <t xml:space="preserve"> 655-56</t>
  </si>
  <si>
    <t>F7</t>
  </si>
  <si>
    <t>N32</t>
  </si>
  <si>
    <t>RA Bag</t>
  </si>
  <si>
    <t>F12 Bag</t>
  </si>
  <si>
    <t>Bin 23</t>
  </si>
  <si>
    <t>NE</t>
  </si>
  <si>
    <t>Load 1</t>
  </si>
  <si>
    <t>Load 2</t>
  </si>
  <si>
    <t>9400i</t>
  </si>
  <si>
    <t>Ruco</t>
  </si>
  <si>
    <t>F17</t>
  </si>
  <si>
    <t>SE26</t>
  </si>
  <si>
    <t>Bin 1</t>
  </si>
  <si>
    <t>Bag F12</t>
  </si>
  <si>
    <t>F12</t>
  </si>
  <si>
    <t>W21</t>
  </si>
  <si>
    <t>Trucks</t>
  </si>
  <si>
    <t>RuCo</t>
  </si>
  <si>
    <t>F19b</t>
  </si>
  <si>
    <t>Mid 11</t>
  </si>
  <si>
    <t>Truck, Bin 23</t>
  </si>
  <si>
    <t>F19a</t>
  </si>
  <si>
    <t>West 11</t>
  </si>
  <si>
    <t>F05</t>
  </si>
  <si>
    <t>NE05</t>
  </si>
  <si>
    <t>F10</t>
  </si>
  <si>
    <t>SW05</t>
  </si>
  <si>
    <t xml:space="preserve"> 17 18</t>
  </si>
  <si>
    <t xml:space="preserve"> 20ne</t>
  </si>
  <si>
    <t xml:space="preserve"> 513/514</t>
  </si>
  <si>
    <t>F8</t>
  </si>
  <si>
    <t>N33</t>
  </si>
  <si>
    <t xml:space="preserve"> Bag 2</t>
  </si>
  <si>
    <t>F13</t>
  </si>
  <si>
    <t>SW31</t>
  </si>
  <si>
    <t>3-sewp-2021</t>
  </si>
  <si>
    <t>est</t>
  </si>
  <si>
    <t>F4c</t>
  </si>
  <si>
    <t>S SW36</t>
  </si>
  <si>
    <t>Bag</t>
  </si>
  <si>
    <t>Bin 21</t>
  </si>
  <si>
    <t>F3b</t>
  </si>
  <si>
    <t>NW25</t>
  </si>
  <si>
    <t>F6b</t>
  </si>
  <si>
    <t>NE31</t>
  </si>
  <si>
    <t>F6a</t>
  </si>
  <si>
    <t>N31</t>
  </si>
  <si>
    <t>Bin 22.</t>
  </si>
  <si>
    <t xml:space="preserve"> 643-44</t>
  </si>
  <si>
    <t>F15</t>
  </si>
  <si>
    <t>NE24</t>
  </si>
  <si>
    <t>Truck P&amp;H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</si>
</sst>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166" fontId="0" fillId="0" borderId="0" xfId="0" applyNumberFormat="1"/>
    <xf numFmtId="166" fontId="1" fillId="0" borderId="0" xfId="0" applyNumberFormat="1" applyFont="1"/>
    <xf numFmtId="164" fontId="0" fillId="0" borderId="2" xfId="0" applyNumberFormat="1" applyBorder="1"/>
    <xf numFmtId="0" fontId="1" fillId="0" borderId="0" xfId="0" applyFont="1"/>
    <xf numFmtId="0" fontId="0" fillId="0" borderId="3" xfId="0" applyBorder="1"/>
    <xf numFmtId="1" fontId="0" fillId="0" borderId="3" xfId="0" applyNumberFormat="1" applyBorder="1"/>
    <xf numFmtId="165" fontId="0" fillId="0" borderId="3" xfId="0" applyNumberFormat="1" applyBorder="1"/>
    <xf numFmtId="15" fontId="0" fillId="0" borderId="0" xfId="0" applyNumberForma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6" fontId="2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2" borderId="4" xfId="0" applyFill="1" applyBorder="1"/>
    <xf numFmtId="0" fontId="0" fillId="0" borderId="4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6" fontId="0" fillId="0" borderId="8" xfId="0" applyNumberFormat="1" applyBorder="1"/>
    <xf numFmtId="1" fontId="0" fillId="0" borderId="8" xfId="0" applyNumberFormat="1" applyBorder="1"/>
    <xf numFmtId="0" fontId="1" fillId="0" borderId="4" xfId="0" applyFont="1" applyBorder="1"/>
    <xf numFmtId="0" fontId="3" fillId="0" borderId="4" xfId="0" applyFont="1" applyBorder="1"/>
    <xf numFmtId="0" fontId="3" fillId="0" borderId="0" xfId="0" applyFont="1"/>
    <xf numFmtId="3" fontId="0" fillId="0" borderId="0" xfId="0" applyNumberFormat="1"/>
    <xf numFmtId="3" fontId="0" fillId="0" borderId="8" xfId="0" applyNumberFormat="1" applyBorder="1"/>
    <xf numFmtId="16" fontId="0" fillId="0" borderId="0" xfId="0" applyNumberFormat="1"/>
    <xf numFmtId="0" fontId="0" fillId="0" borderId="13" xfId="0" applyBorder="1"/>
    <xf numFmtId="1" fontId="1" fillId="0" borderId="0" xfId="0" applyNumberFormat="1" applyFont="1"/>
    <xf numFmtId="0" fontId="0" fillId="3" borderId="8" xfId="0" applyFill="1" applyBorder="1"/>
    <xf numFmtId="0" fontId="0" fillId="3" borderId="0" xfId="0" applyFill="1"/>
    <xf numFmtId="0" fontId="0" fillId="3" borderId="4" xfId="0" applyFill="1" applyBorder="1"/>
    <xf numFmtId="1" fontId="0" fillId="0" borderId="11" xfId="0" applyNumberFormat="1" applyBorder="1"/>
    <xf numFmtId="0" fontId="1" fillId="0" borderId="8" xfId="0" applyFont="1" applyBorder="1"/>
    <xf numFmtId="0" fontId="0" fillId="0" borderId="0" xfId="0" quotePrefix="1"/>
    <xf numFmtId="0" fontId="1" fillId="3" borderId="0" xfId="0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Canola/Canola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Yari%20Barley%20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Yari%20Canola%20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Yari%20Pea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Peas/Peas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CWRW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CWRW%202021%20Kad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CPSR/CPS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Barley/Barley%20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CWRS/CWRS%20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Jake%20CWRW%20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21%20Crop/Production/Jason%20Canol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"/>
      <sheetName val="F2"/>
      <sheetName val="F9"/>
      <sheetName val="F14"/>
      <sheetName val="F26"/>
      <sheetName val="F21"/>
      <sheetName val="F22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6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Barley</v>
          </cell>
          <cell r="D2">
            <v>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6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5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Peas</v>
          </cell>
          <cell r="D2">
            <v>60</v>
          </cell>
          <cell r="E2">
            <v>0.16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7"/>
      <sheetName val="F17"/>
      <sheetName val="F12"/>
      <sheetName val="F19b"/>
      <sheetName val="F19a"/>
      <sheetName val="F05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Peas</v>
          </cell>
          <cell r="D2">
            <v>60</v>
          </cell>
          <cell r="E2">
            <v>0.16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8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CWRW</v>
          </cell>
          <cell r="D2">
            <v>60</v>
          </cell>
          <cell r="E2">
            <v>0.14499999999999999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0"/>
      <sheetName val="F1,2"/>
      <sheetName val="F22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CWRW</v>
          </cell>
          <cell r="D2">
            <v>60</v>
          </cell>
          <cell r="E2">
            <v>0.14499999999999999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25"/>
      <sheetName val="F18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CPSR</v>
          </cell>
          <cell r="D2">
            <v>60</v>
          </cell>
          <cell r="E2">
            <v>0.14499999999999999</v>
          </cell>
        </row>
        <row r="3">
          <cell r="C3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9d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Barley</v>
          </cell>
          <cell r="D2">
            <v>48</v>
          </cell>
          <cell r="E2">
            <v>0.13500000000000001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25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/>
      <sheetData sheetId="1">
        <row r="2">
          <cell r="C2" t="str">
            <v>CWRS</v>
          </cell>
          <cell r="D2">
            <v>60</v>
          </cell>
          <cell r="E2">
            <v>0.14499999999999999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3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CWRW</v>
          </cell>
          <cell r="D2">
            <v>60</v>
          </cell>
          <cell r="E2">
            <v>0.14499999999999999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4c"/>
      <sheetName val="F3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9442-D5E6-4853-AD03-5F827F8EC231}">
  <dimension ref="A1:X108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197840</v>
      </c>
      <c r="K2">
        <f>J2-J3</f>
        <v>-540</v>
      </c>
      <c r="L2" s="1">
        <f>K2/J2</f>
        <v>-2.7294783663566516E-3</v>
      </c>
    </row>
    <row r="3" spans="1:24" x14ac:dyDescent="0.25">
      <c r="B3" t="s">
        <v>6</v>
      </c>
      <c r="D3" s="64" t="s">
        <v>40</v>
      </c>
      <c r="E3" s="52"/>
      <c r="F3" t="s">
        <v>41</v>
      </c>
      <c r="H3" s="63" t="s">
        <v>9</v>
      </c>
      <c r="I3" s="63"/>
      <c r="J3">
        <f>K11-L10+M11-N10+O11-P10+Q11-R10+S11-T10+U11-V10+W11-X10</f>
        <v>198380</v>
      </c>
      <c r="K3" s="5" t="s">
        <v>10</v>
      </c>
      <c r="L3" s="5" t="s">
        <v>11</v>
      </c>
      <c r="M3" s="5" t="s">
        <v>12</v>
      </c>
      <c r="N3" s="6">
        <f>N4*I4/O1</f>
        <v>84.041387838353387</v>
      </c>
      <c r="O3" s="6">
        <f>K7+M7+O7+Q7+S7+U7+W7</f>
        <v>84.041387838353387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3967.6</v>
      </c>
      <c r="K4" s="8">
        <v>0.98</v>
      </c>
      <c r="L4" s="8">
        <f>IF(J5=0,L1,(L8+N8+P8+R8+T8+V8+X8)/J5/K4)</f>
        <v>0.11575158786167961</v>
      </c>
      <c r="M4" s="8">
        <f>IF(J5=0,0,(L9+N9+P9+R9+T9+V9+X9)/J5/K4)</f>
        <v>2.9999999999999995E-2</v>
      </c>
      <c r="N4" s="2">
        <f>IF(L4&gt;L1,J4*(1-L4)/(1-L1)*(1-M4)*K4,J4*K4*(1-M4))</f>
        <v>3705.5908959999997</v>
      </c>
      <c r="V4" s="6"/>
    </row>
    <row r="5" spans="1:24" x14ac:dyDescent="0.25">
      <c r="B5" t="s">
        <v>16</v>
      </c>
      <c r="D5" s="65">
        <v>44469</v>
      </c>
      <c r="E5" s="52"/>
      <c r="F5" s="13">
        <v>44471</v>
      </c>
      <c r="J5" s="6">
        <f>J3/O1</f>
        <v>89.983654360600241</v>
      </c>
      <c r="N5" s="2">
        <v>148</v>
      </c>
      <c r="O5" s="3">
        <f>N4/N5</f>
        <v>25.037776324324323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32.187090931913538</v>
      </c>
      <c r="M7" s="6">
        <f>IF(M8&gt;$L1,(N11-N10/$O1)*$K4*(1-M8)/(1-$L1)*(1-M9),(N11-N10/$O1)*$K4*(1-M9))</f>
        <v>51.854296906439849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0.14000000000000001</v>
      </c>
      <c r="L8" s="6">
        <f>(L11-L10/$O1)*$K4*K8</f>
        <v>4.8616320515716929</v>
      </c>
      <c r="M8" s="1">
        <v>0.1</v>
      </c>
      <c r="N8" s="6">
        <f>(N11-N10/$O1)*$K4*M8</f>
        <v>5.3458038047876144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1.0417782967653626</v>
      </c>
      <c r="M9" s="1">
        <v>0.03</v>
      </c>
      <c r="N9" s="6">
        <f>(N11-N10/$O1)*$K4*M9</f>
        <v>1.6037411414362841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98427.925596441579</v>
      </c>
      <c r="E10" s="55"/>
      <c r="F10" s="56"/>
      <c r="G10" s="54">
        <f>J3/J2*G11</f>
        <v>99952.074403558436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98160</v>
      </c>
      <c r="E11" s="58"/>
      <c r="F11" s="59"/>
      <c r="G11" s="57">
        <f>H14+I14</f>
        <v>99680</v>
      </c>
      <c r="H11" s="58"/>
      <c r="I11" s="58"/>
      <c r="J11" s="25"/>
      <c r="K11" s="26">
        <f>K14+L14</f>
        <v>78120</v>
      </c>
      <c r="L11" s="27">
        <f>K11/2204.62262184877</f>
        <v>35.434635944400092</v>
      </c>
      <c r="M11" s="26">
        <f>M14+N14</f>
        <v>120260</v>
      </c>
      <c r="N11" s="27">
        <f>M11/2204.62262184877</f>
        <v>54.549018416200141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42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98160</v>
      </c>
      <c r="F14" s="30">
        <f>SUM(F15:F133)</f>
        <v>0</v>
      </c>
      <c r="G14" s="29"/>
      <c r="H14" s="4">
        <f>SUM(H15:H133)</f>
        <v>99680</v>
      </c>
      <c r="I14" s="4">
        <f>SUM(I15:I133)</f>
        <v>0</v>
      </c>
      <c r="J14" s="25"/>
      <c r="K14" s="23">
        <f t="shared" ref="K14:X14" si="0">SUM(K15:K133)</f>
        <v>78120</v>
      </c>
      <c r="L14" s="24">
        <f t="shared" si="0"/>
        <v>0</v>
      </c>
      <c r="M14" s="23">
        <f t="shared" si="0"/>
        <v>120260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144</v>
      </c>
      <c r="E16">
        <v>13220</v>
      </c>
      <c r="F16" s="21"/>
      <c r="G16" s="29">
        <v>658</v>
      </c>
      <c r="H16">
        <v>14900</v>
      </c>
      <c r="J16" s="33"/>
    </row>
    <row r="17" spans="3:16" x14ac:dyDescent="0.25">
      <c r="C17" s="21"/>
      <c r="D17" s="29"/>
      <c r="F17" s="21"/>
      <c r="G17" s="29">
        <v>659</v>
      </c>
      <c r="H17">
        <v>11440</v>
      </c>
      <c r="J17" s="33"/>
      <c r="K17">
        <v>39960</v>
      </c>
    </row>
    <row r="18" spans="3:16" x14ac:dyDescent="0.25">
      <c r="C18" s="21">
        <v>2</v>
      </c>
      <c r="D18" s="29">
        <v>145</v>
      </c>
      <c r="E18">
        <v>12400</v>
      </c>
      <c r="F18" s="21"/>
      <c r="G18" s="29">
        <v>660</v>
      </c>
      <c r="H18">
        <v>17680</v>
      </c>
      <c r="J18" s="34"/>
    </row>
    <row r="19" spans="3:16" x14ac:dyDescent="0.25">
      <c r="C19" s="21"/>
      <c r="D19">
        <v>146</v>
      </c>
      <c r="E19">
        <v>5580</v>
      </c>
      <c r="F19" s="21"/>
      <c r="G19">
        <v>661</v>
      </c>
      <c r="H19">
        <v>2080</v>
      </c>
      <c r="J19" s="33"/>
      <c r="K19">
        <v>37360</v>
      </c>
    </row>
    <row r="20" spans="3:16" x14ac:dyDescent="0.25">
      <c r="C20" s="21"/>
      <c r="F20" s="21"/>
      <c r="J20" s="33"/>
    </row>
    <row r="21" spans="3:16" x14ac:dyDescent="0.25">
      <c r="C21" s="21" t="s">
        <v>40</v>
      </c>
      <c r="D21">
        <v>154</v>
      </c>
      <c r="E21">
        <v>9000</v>
      </c>
      <c r="F21" s="21"/>
      <c r="G21">
        <v>671</v>
      </c>
      <c r="H21">
        <v>7540</v>
      </c>
      <c r="J21" s="34"/>
      <c r="M21">
        <f>H21+E21</f>
        <v>16540</v>
      </c>
    </row>
    <row r="22" spans="3:16" x14ac:dyDescent="0.25">
      <c r="C22" s="21">
        <v>10</v>
      </c>
      <c r="D22">
        <v>155</v>
      </c>
      <c r="E22">
        <v>11320</v>
      </c>
      <c r="F22" s="21"/>
      <c r="G22">
        <v>672</v>
      </c>
      <c r="H22">
        <v>13860</v>
      </c>
      <c r="J22" s="33"/>
      <c r="M22">
        <v>25360</v>
      </c>
    </row>
    <row r="23" spans="3:16" x14ac:dyDescent="0.25">
      <c r="C23" s="21">
        <v>11</v>
      </c>
      <c r="D23">
        <v>156</v>
      </c>
      <c r="E23">
        <v>13960</v>
      </c>
      <c r="F23" s="21"/>
      <c r="G23">
        <v>673</v>
      </c>
      <c r="H23">
        <v>10160</v>
      </c>
      <c r="J23" s="33"/>
    </row>
    <row r="24" spans="3:16" x14ac:dyDescent="0.25">
      <c r="C24" s="21"/>
      <c r="F24" s="21"/>
      <c r="G24">
        <v>674</v>
      </c>
      <c r="H24">
        <v>6540</v>
      </c>
      <c r="J24" s="34"/>
      <c r="M24">
        <v>31180</v>
      </c>
    </row>
    <row r="25" spans="3:16" x14ac:dyDescent="0.25">
      <c r="C25" s="21">
        <v>12</v>
      </c>
      <c r="D25">
        <v>157</v>
      </c>
      <c r="E25">
        <v>11940</v>
      </c>
      <c r="F25" s="21"/>
      <c r="J25" s="34"/>
    </row>
    <row r="26" spans="3:16" x14ac:dyDescent="0.25">
      <c r="C26" s="21"/>
      <c r="D26">
        <v>158</v>
      </c>
      <c r="E26">
        <v>6800</v>
      </c>
      <c r="F26" s="21"/>
      <c r="J26" s="34"/>
      <c r="M26">
        <v>18800</v>
      </c>
    </row>
    <row r="27" spans="3:16" x14ac:dyDescent="0.25">
      <c r="C27" s="21">
        <v>13</v>
      </c>
      <c r="D27">
        <v>159</v>
      </c>
      <c r="E27">
        <v>13940</v>
      </c>
      <c r="F27" s="21"/>
      <c r="G27">
        <v>675</v>
      </c>
      <c r="H27">
        <v>14680</v>
      </c>
      <c r="J27" s="34"/>
      <c r="M27">
        <v>28380</v>
      </c>
      <c r="O27" s="9"/>
      <c r="P27" s="9"/>
    </row>
    <row r="28" spans="3:16" x14ac:dyDescent="0.25">
      <c r="C28" s="21"/>
      <c r="E28" s="9"/>
      <c r="F28" s="21"/>
      <c r="G28">
        <v>721</v>
      </c>
      <c r="H28">
        <v>800</v>
      </c>
      <c r="J28" s="34"/>
      <c r="K28">
        <v>800</v>
      </c>
      <c r="O28" s="9"/>
      <c r="P28" s="9"/>
    </row>
    <row r="29" spans="3:16" x14ac:dyDescent="0.25">
      <c r="C29" s="21"/>
      <c r="F29" s="21"/>
      <c r="J29" s="34"/>
      <c r="O29" s="9"/>
      <c r="P29" s="9"/>
    </row>
    <row r="30" spans="3:16" x14ac:dyDescent="0.25">
      <c r="C30" s="21"/>
      <c r="F30" s="21"/>
      <c r="J30" s="34"/>
      <c r="M30" s="9"/>
      <c r="O30" s="9"/>
    </row>
    <row r="31" spans="3:16" x14ac:dyDescent="0.25">
      <c r="C31" s="21"/>
      <c r="F31" s="21"/>
      <c r="J31" s="33"/>
      <c r="M31" s="9"/>
    </row>
    <row r="32" spans="3:16" x14ac:dyDescent="0.25">
      <c r="C32" s="21"/>
      <c r="F32" s="21"/>
      <c r="J32" s="34"/>
    </row>
    <row r="33" spans="1:20" s="9" customFormat="1" x14ac:dyDescent="0.25">
      <c r="A33"/>
      <c r="B33"/>
      <c r="C33" s="35"/>
      <c r="D33"/>
      <c r="E33"/>
      <c r="F33" s="21"/>
      <c r="G33"/>
      <c r="H33"/>
      <c r="I33"/>
      <c r="J33" s="34"/>
      <c r="K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/>
      <c r="H34"/>
      <c r="I34"/>
      <c r="J34" s="33"/>
      <c r="K34"/>
      <c r="Q34"/>
      <c r="R34"/>
      <c r="S34"/>
      <c r="T34"/>
    </row>
    <row r="35" spans="1:20" s="9" customFormat="1" x14ac:dyDescent="0.25">
      <c r="A35"/>
      <c r="B35"/>
      <c r="C35" s="35"/>
      <c r="D35"/>
      <c r="E35"/>
      <c r="F35" s="21"/>
      <c r="G35"/>
      <c r="H35"/>
      <c r="I35"/>
      <c r="J35" s="34"/>
      <c r="K35"/>
      <c r="M35"/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K36"/>
      <c r="M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K37"/>
      <c r="M37"/>
      <c r="O37" s="42"/>
      <c r="S37"/>
      <c r="T37"/>
    </row>
    <row r="38" spans="1:20" x14ac:dyDescent="0.25">
      <c r="C38" s="21"/>
      <c r="D38" s="29"/>
      <c r="E38" s="9"/>
      <c r="F38" s="21"/>
      <c r="J38" s="33"/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E40" s="9"/>
      <c r="F40" s="21"/>
      <c r="H40" s="9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H46" s="9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E48" s="9"/>
      <c r="F48" s="21"/>
      <c r="J48" s="33"/>
    </row>
    <row r="49" spans="3:10" x14ac:dyDescent="0.25">
      <c r="C49" s="21"/>
      <c r="D49" s="29"/>
      <c r="F49" s="21"/>
      <c r="J49" s="33"/>
    </row>
    <row r="50" spans="3:10" x14ac:dyDescent="0.25">
      <c r="C50" s="21"/>
      <c r="D50" s="29"/>
      <c r="F50" s="21"/>
      <c r="J50" s="33"/>
    </row>
    <row r="51" spans="3:10" x14ac:dyDescent="0.25">
      <c r="C51" s="21"/>
      <c r="D51" s="29"/>
      <c r="F51" s="21"/>
      <c r="J51" s="33"/>
    </row>
    <row r="52" spans="3:10" x14ac:dyDescent="0.25">
      <c r="C52" s="21"/>
      <c r="D52" s="29"/>
      <c r="F52" s="21"/>
      <c r="J52" s="33"/>
    </row>
    <row r="53" spans="3:10" x14ac:dyDescent="0.25">
      <c r="C53" s="21"/>
      <c r="D53" s="29"/>
      <c r="F53" s="21"/>
      <c r="J53" s="33"/>
    </row>
    <row r="54" spans="3:10" x14ac:dyDescent="0.25">
      <c r="C54" s="21"/>
      <c r="D54" s="29"/>
      <c r="F54" s="21"/>
      <c r="G54" s="38"/>
      <c r="J54" s="33"/>
    </row>
    <row r="55" spans="3:10" x14ac:dyDescent="0.25">
      <c r="C55" s="21"/>
      <c r="G55" s="29"/>
      <c r="J55" s="33"/>
    </row>
    <row r="56" spans="3:10" x14ac:dyDescent="0.25">
      <c r="C56" s="21"/>
      <c r="D56" s="29"/>
      <c r="F56" s="21"/>
      <c r="G56" s="29"/>
      <c r="J56" s="33"/>
    </row>
    <row r="57" spans="3:10" x14ac:dyDescent="0.25">
      <c r="C57" s="21"/>
      <c r="D57" s="29"/>
      <c r="F57" s="21"/>
      <c r="G57" s="29"/>
      <c r="J57" s="33"/>
    </row>
    <row r="58" spans="3:10" x14ac:dyDescent="0.25">
      <c r="C58" s="21"/>
      <c r="D58" s="29"/>
      <c r="F58" s="21"/>
      <c r="G58" s="29"/>
      <c r="J58" s="33"/>
    </row>
    <row r="59" spans="3:10" x14ac:dyDescent="0.25">
      <c r="C59" s="21"/>
      <c r="D59" s="39"/>
      <c r="F59" s="21"/>
      <c r="G59" s="39"/>
      <c r="J59" s="29"/>
    </row>
    <row r="60" spans="3:10" x14ac:dyDescent="0.25">
      <c r="C60" s="21"/>
      <c r="F60" s="21"/>
      <c r="J60" s="29"/>
    </row>
    <row r="61" spans="3:10" x14ac:dyDescent="0.25">
      <c r="C61" s="21"/>
      <c r="F61" s="21"/>
      <c r="J61" s="29"/>
    </row>
    <row r="62" spans="3:10" x14ac:dyDescent="0.25">
      <c r="C62" s="21"/>
      <c r="F62" s="21"/>
      <c r="J62" s="29"/>
    </row>
    <row r="63" spans="3:10" x14ac:dyDescent="0.25">
      <c r="C63" s="21"/>
      <c r="F63" s="21"/>
      <c r="J63" s="29"/>
    </row>
    <row r="64" spans="3:10" x14ac:dyDescent="0.25">
      <c r="C64" s="21"/>
      <c r="F64" s="21"/>
      <c r="J64" s="29"/>
    </row>
    <row r="65" spans="3:10" x14ac:dyDescent="0.25">
      <c r="C65" s="21"/>
      <c r="F65" s="21"/>
      <c r="J65" s="29"/>
    </row>
    <row r="66" spans="3:10" x14ac:dyDescent="0.25">
      <c r="C66" s="21"/>
      <c r="F66" s="21"/>
      <c r="J66" s="29"/>
    </row>
    <row r="67" spans="3:10" x14ac:dyDescent="0.25">
      <c r="C67" s="21"/>
      <c r="F67" s="21"/>
      <c r="J67" s="29"/>
    </row>
    <row r="68" spans="3:10" x14ac:dyDescent="0.25">
      <c r="C68" s="21"/>
      <c r="F68" s="21"/>
      <c r="J68" s="29"/>
    </row>
    <row r="69" spans="3:10" x14ac:dyDescent="0.25">
      <c r="C69" s="21"/>
      <c r="F69" s="21"/>
      <c r="J69" s="29"/>
    </row>
    <row r="70" spans="3:10" x14ac:dyDescent="0.25">
      <c r="C70" s="21"/>
      <c r="F70" s="21"/>
      <c r="J70" s="29"/>
    </row>
    <row r="71" spans="3:10" x14ac:dyDescent="0.25">
      <c r="C71" s="21"/>
      <c r="F71" s="21"/>
      <c r="J71" s="29"/>
    </row>
    <row r="72" spans="3:10" x14ac:dyDescent="0.25">
      <c r="C72" s="21"/>
      <c r="F72" s="21"/>
      <c r="J72" s="29"/>
    </row>
    <row r="73" spans="3:10" x14ac:dyDescent="0.25">
      <c r="C73" s="21"/>
      <c r="F73" s="21"/>
      <c r="J73" s="29"/>
    </row>
    <row r="74" spans="3:10" x14ac:dyDescent="0.25">
      <c r="C74" s="21"/>
      <c r="F74" s="21"/>
      <c r="J74" s="29"/>
    </row>
    <row r="75" spans="3:10" x14ac:dyDescent="0.25">
      <c r="C75" s="21"/>
      <c r="F75" s="21"/>
      <c r="J75" s="29"/>
    </row>
    <row r="76" spans="3:10" x14ac:dyDescent="0.25">
      <c r="C76" s="21"/>
      <c r="F76" s="21"/>
      <c r="J76" s="29"/>
    </row>
    <row r="77" spans="3:10" x14ac:dyDescent="0.25">
      <c r="C77" s="21"/>
      <c r="F77" s="21"/>
      <c r="J77" s="29"/>
    </row>
    <row r="78" spans="3:10" x14ac:dyDescent="0.25">
      <c r="C78" s="21"/>
      <c r="F78" s="21"/>
      <c r="J78" s="29"/>
    </row>
    <row r="79" spans="3:10" x14ac:dyDescent="0.25">
      <c r="C79" s="21"/>
      <c r="F79" s="21"/>
      <c r="J79" s="29"/>
    </row>
    <row r="80" spans="3:10" x14ac:dyDescent="0.25">
      <c r="C80" s="21"/>
      <c r="F80" s="21"/>
      <c r="J80" s="29"/>
    </row>
    <row r="81" spans="3:10" x14ac:dyDescent="0.25">
      <c r="C81" s="21"/>
      <c r="F81" s="21"/>
      <c r="J81" s="29"/>
    </row>
    <row r="82" spans="3:10" x14ac:dyDescent="0.25">
      <c r="C82" s="21"/>
      <c r="F82" s="21"/>
      <c r="J82" s="29"/>
    </row>
    <row r="83" spans="3:10" x14ac:dyDescent="0.25">
      <c r="C83" s="21"/>
      <c r="F83" s="21"/>
      <c r="J83" s="29"/>
    </row>
    <row r="84" spans="3:10" x14ac:dyDescent="0.25">
      <c r="C84" s="21"/>
      <c r="F84" s="21"/>
      <c r="J84" s="29"/>
    </row>
    <row r="85" spans="3:10" x14ac:dyDescent="0.25">
      <c r="C85" s="21"/>
      <c r="F85" s="21"/>
      <c r="J85" s="29"/>
    </row>
    <row r="86" spans="3:10" x14ac:dyDescent="0.25">
      <c r="C86" s="21"/>
      <c r="F86" s="21"/>
      <c r="J86" s="29"/>
    </row>
    <row r="87" spans="3:10" x14ac:dyDescent="0.25">
      <c r="C87" s="21"/>
      <c r="F87" s="21"/>
      <c r="J87" s="29"/>
    </row>
    <row r="88" spans="3:10" x14ac:dyDescent="0.25">
      <c r="C88" s="21"/>
      <c r="F88" s="21"/>
      <c r="J88" s="29"/>
    </row>
    <row r="89" spans="3:10" x14ac:dyDescent="0.25">
      <c r="C89" s="21"/>
      <c r="F89" s="21"/>
      <c r="J89" s="29"/>
    </row>
    <row r="90" spans="3:10" x14ac:dyDescent="0.25">
      <c r="C90" s="21"/>
      <c r="F90" s="21"/>
      <c r="J90" s="29"/>
    </row>
    <row r="91" spans="3:10" x14ac:dyDescent="0.25">
      <c r="C91" s="21"/>
      <c r="F91" s="21"/>
      <c r="J91" s="29"/>
    </row>
    <row r="92" spans="3:10" x14ac:dyDescent="0.25">
      <c r="C92" s="21"/>
      <c r="D92" s="29"/>
      <c r="F92" s="21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C52D-6289-4E1E-92B7-5BEDF0428DB7}">
  <dimension ref="A1:X133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189720</v>
      </c>
      <c r="K2">
        <f>J2-J3</f>
        <v>2580</v>
      </c>
      <c r="L2" s="1">
        <f>K2/J2</f>
        <v>1.359898798228969E-2</v>
      </c>
    </row>
    <row r="3" spans="1:24" x14ac:dyDescent="0.25">
      <c r="B3" t="s">
        <v>6</v>
      </c>
      <c r="D3" s="64" t="s">
        <v>49</v>
      </c>
      <c r="E3" s="52"/>
      <c r="F3" t="s">
        <v>50</v>
      </c>
      <c r="H3" s="63" t="s">
        <v>9</v>
      </c>
      <c r="I3" s="63"/>
      <c r="J3">
        <f>K11-L10+M11-N10+O11-P10+Q11-R10+S11-T10+U11-V10+W11-X10</f>
        <v>187140</v>
      </c>
      <c r="K3" s="5" t="s">
        <v>10</v>
      </c>
      <c r="L3" s="5" t="s">
        <v>11</v>
      </c>
      <c r="M3" s="5" t="s">
        <v>12</v>
      </c>
      <c r="N3" s="6">
        <f>N4*I4/O1</f>
        <v>78.898789181797</v>
      </c>
      <c r="O3" s="6">
        <f>K7+M7+O7+Q7+S7+U7+W7</f>
        <v>78.898789181797014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3742.8</v>
      </c>
      <c r="K4" s="8">
        <v>0.98</v>
      </c>
      <c r="L4" s="8">
        <f>IF(J5=0,L1,(L8+N8+P8+R8+T8+V8+X8)/J5/K4)</f>
        <v>0.12000000000000001</v>
      </c>
      <c r="M4" s="8">
        <f>IF(J5=0,0,(L9+N9+P9+R9+T9+V9+X9)/J5/K4)</f>
        <v>3.0000000000000002E-2</v>
      </c>
      <c r="N4" s="2">
        <f>IF(L4&gt;L1,J4*(1-L4)/(1-L1)*(1-M4)*K4,J4*K4*(1-M4))</f>
        <v>3478.8411093333334</v>
      </c>
      <c r="V4" s="6"/>
    </row>
    <row r="5" spans="1:24" x14ac:dyDescent="0.25">
      <c r="B5" t="s">
        <v>16</v>
      </c>
      <c r="D5" s="65">
        <v>44473</v>
      </c>
      <c r="E5" s="52"/>
      <c r="F5" s="13">
        <v>44473</v>
      </c>
      <c r="J5" s="6">
        <f>J3/O1</f>
        <v>84.885276121800217</v>
      </c>
      <c r="N5" s="2">
        <v>142</v>
      </c>
      <c r="O5" s="3">
        <f>N4/N5</f>
        <v>24.498881051643192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75.821087135055976</v>
      </c>
      <c r="M7" s="6">
        <f>IF(M8&gt;$L1,(N11-N10/$O1)*$K4*(1-M8)/(1-$L1)*(1-M9),(N11-N10/$O1)*$K4*(1-M9))</f>
        <v>3.077702046741039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0.12</v>
      </c>
      <c r="L8" s="6">
        <f>(L11-L10/$O1)*$K4*K8</f>
        <v>9.5931084941261062</v>
      </c>
      <c r="M8" s="1">
        <v>0.12</v>
      </c>
      <c r="N8" s="6">
        <f>(N11-N10/$O1)*$K4*M8</f>
        <v>0.38939997779760099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2.3982771235315266</v>
      </c>
      <c r="M9" s="1">
        <v>0.03</v>
      </c>
      <c r="N9" s="6">
        <f>(N11-N10/$O1)*$K4*M9</f>
        <v>9.7349994449400248E-2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74690.284629981034</v>
      </c>
      <c r="E10" s="55"/>
      <c r="F10" s="56"/>
      <c r="G10" s="54">
        <f>J3/J2*G11</f>
        <v>112449.71537001898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75720</v>
      </c>
      <c r="E11" s="58"/>
      <c r="F11" s="59"/>
      <c r="G11" s="57">
        <f>H14+I14</f>
        <v>114000</v>
      </c>
      <c r="H11" s="58"/>
      <c r="I11" s="58"/>
      <c r="J11" s="25"/>
      <c r="K11" s="26">
        <f>K14+L14</f>
        <v>179840</v>
      </c>
      <c r="L11" s="27">
        <f>K11/2204.62262184877</f>
        <v>81.574051820800221</v>
      </c>
      <c r="M11" s="26">
        <f>M14+N14</f>
        <v>7300</v>
      </c>
      <c r="N11" s="27">
        <f>M11/2204.62262184877</f>
        <v>3.3112243010000086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51</v>
      </c>
      <c r="L12" s="51"/>
      <c r="M12" s="50" t="s">
        <v>26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75720</v>
      </c>
      <c r="F14" s="30">
        <f>SUM(F15:F133)</f>
        <v>0</v>
      </c>
      <c r="G14" s="29"/>
      <c r="H14" s="4">
        <f>SUM(H15:H133)</f>
        <v>114000</v>
      </c>
      <c r="I14" s="4">
        <f>SUM(I15:I133)</f>
        <v>0</v>
      </c>
      <c r="J14" s="25"/>
      <c r="K14" s="23">
        <f t="shared" ref="K14:X14" si="0">SUM(K15:K133)</f>
        <v>179840</v>
      </c>
      <c r="L14" s="24">
        <f t="shared" si="0"/>
        <v>0</v>
      </c>
      <c r="M14" s="23">
        <f t="shared" si="0"/>
        <v>8100</v>
      </c>
      <c r="N14" s="24">
        <f t="shared" si="0"/>
        <v>-800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171</v>
      </c>
      <c r="E16">
        <v>12200</v>
      </c>
      <c r="F16" s="21"/>
      <c r="G16" s="29">
        <v>688</v>
      </c>
      <c r="H16">
        <v>17820</v>
      </c>
      <c r="J16" s="29"/>
    </row>
    <row r="17" spans="3:14" x14ac:dyDescent="0.25">
      <c r="C17" s="21"/>
      <c r="D17" s="29"/>
      <c r="F17" s="21"/>
      <c r="G17" s="29">
        <v>689</v>
      </c>
      <c r="H17">
        <v>8400</v>
      </c>
      <c r="J17" s="29"/>
      <c r="K17">
        <v>38240</v>
      </c>
    </row>
    <row r="18" spans="3:14" x14ac:dyDescent="0.25">
      <c r="C18" s="21">
        <v>2</v>
      </c>
      <c r="D18" s="29">
        <v>172</v>
      </c>
      <c r="E18">
        <v>16780</v>
      </c>
      <c r="F18" s="21"/>
      <c r="G18" s="29">
        <v>690</v>
      </c>
      <c r="H18">
        <v>16180</v>
      </c>
      <c r="J18" s="29"/>
      <c r="K18">
        <v>32100</v>
      </c>
    </row>
    <row r="19" spans="3:14" x14ac:dyDescent="0.25">
      <c r="C19" s="21">
        <v>3</v>
      </c>
      <c r="D19">
        <v>173</v>
      </c>
      <c r="E19">
        <v>11820</v>
      </c>
      <c r="F19" s="21"/>
      <c r="G19" s="29">
        <v>691</v>
      </c>
      <c r="H19">
        <v>16320</v>
      </c>
      <c r="J19" s="29"/>
      <c r="K19">
        <v>27620</v>
      </c>
    </row>
    <row r="20" spans="3:14" x14ac:dyDescent="0.25">
      <c r="C20" s="21">
        <v>4</v>
      </c>
      <c r="D20">
        <v>174</v>
      </c>
      <c r="E20">
        <v>13820</v>
      </c>
      <c r="F20" s="21"/>
      <c r="G20" s="29">
        <v>692</v>
      </c>
      <c r="H20">
        <v>17080</v>
      </c>
      <c r="J20" s="29"/>
      <c r="K20">
        <v>30200</v>
      </c>
    </row>
    <row r="21" spans="3:14" x14ac:dyDescent="0.25">
      <c r="C21" s="21">
        <v>5</v>
      </c>
      <c r="D21">
        <v>175</v>
      </c>
      <c r="E21">
        <v>9220</v>
      </c>
      <c r="F21" s="21"/>
      <c r="G21" s="29">
        <v>693</v>
      </c>
      <c r="H21">
        <v>14720</v>
      </c>
      <c r="J21" s="29"/>
      <c r="K21">
        <v>24020</v>
      </c>
    </row>
    <row r="22" spans="3:14" x14ac:dyDescent="0.25">
      <c r="C22" s="21">
        <v>6</v>
      </c>
      <c r="D22">
        <v>176</v>
      </c>
      <c r="E22">
        <v>11880</v>
      </c>
      <c r="F22" s="21"/>
      <c r="G22" s="29">
        <v>694</v>
      </c>
      <c r="H22">
        <v>16180</v>
      </c>
      <c r="J22" s="29"/>
      <c r="K22">
        <v>27660</v>
      </c>
    </row>
    <row r="23" spans="3:14" x14ac:dyDescent="0.25">
      <c r="C23" s="21"/>
      <c r="F23" s="21"/>
      <c r="G23" s="29">
        <v>721</v>
      </c>
      <c r="H23">
        <v>7300</v>
      </c>
      <c r="J23" s="29"/>
      <c r="M23">
        <v>8100</v>
      </c>
      <c r="N23">
        <v>-800</v>
      </c>
    </row>
    <row r="24" spans="3:14" x14ac:dyDescent="0.25">
      <c r="C24" s="21"/>
      <c r="F24" s="21"/>
      <c r="G24" s="29"/>
      <c r="J24" s="29"/>
    </row>
    <row r="25" spans="3:14" x14ac:dyDescent="0.25">
      <c r="C25" s="21"/>
      <c r="F25" s="21"/>
      <c r="J25" s="29"/>
    </row>
    <row r="26" spans="3:14" x14ac:dyDescent="0.25">
      <c r="C26" s="21"/>
      <c r="F26" s="21"/>
      <c r="J26" s="29"/>
    </row>
    <row r="27" spans="3:14" x14ac:dyDescent="0.25">
      <c r="C27" s="21"/>
      <c r="F27" s="21"/>
      <c r="I27" s="21"/>
      <c r="J27" s="29"/>
    </row>
    <row r="28" spans="3:14" x14ac:dyDescent="0.25">
      <c r="C28" s="21"/>
      <c r="F28" s="21"/>
      <c r="I28" s="21"/>
      <c r="J28" s="29"/>
    </row>
    <row r="29" spans="3:14" x14ac:dyDescent="0.25">
      <c r="C29" s="21"/>
      <c r="J29" s="29"/>
    </row>
    <row r="30" spans="3:14" x14ac:dyDescent="0.25">
      <c r="C30" s="21"/>
      <c r="D30" s="38"/>
      <c r="F30" s="21"/>
      <c r="J30" s="29"/>
    </row>
    <row r="31" spans="3:14" x14ac:dyDescent="0.25">
      <c r="C31" s="21"/>
      <c r="F31" s="21"/>
      <c r="J31" s="29"/>
    </row>
    <row r="32" spans="3:14" x14ac:dyDescent="0.25">
      <c r="C32" s="21"/>
      <c r="F32" s="21"/>
      <c r="J32" s="29"/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15" x14ac:dyDescent="0.25">
      <c r="C49" s="21"/>
      <c r="F49" s="21"/>
      <c r="J49" s="29"/>
    </row>
    <row r="50" spans="1:15" x14ac:dyDescent="0.25">
      <c r="C50" s="21"/>
      <c r="F50" s="21"/>
      <c r="J50" s="29"/>
    </row>
    <row r="51" spans="1:15" x14ac:dyDescent="0.25">
      <c r="C51" s="21"/>
      <c r="F51" s="21"/>
      <c r="J51" s="29"/>
    </row>
    <row r="52" spans="1:15" x14ac:dyDescent="0.25">
      <c r="C52" s="21"/>
      <c r="F52" s="21"/>
      <c r="J52" s="29"/>
    </row>
    <row r="53" spans="1:15" x14ac:dyDescent="0.25">
      <c r="C53" s="21"/>
      <c r="F53" s="21"/>
      <c r="J53" s="29"/>
    </row>
    <row r="54" spans="1:15" x14ac:dyDescent="0.25">
      <c r="C54" s="21"/>
      <c r="F54" s="21"/>
      <c r="J54" s="29"/>
    </row>
    <row r="55" spans="1:15" x14ac:dyDescent="0.25">
      <c r="C55" s="21"/>
      <c r="F55" s="21"/>
      <c r="J55" s="29"/>
      <c r="L55" s="9"/>
      <c r="M55" s="9"/>
    </row>
    <row r="56" spans="1:15" x14ac:dyDescent="0.25">
      <c r="C56" s="21"/>
      <c r="F56" s="21"/>
      <c r="J56" s="29"/>
    </row>
    <row r="57" spans="1:15" x14ac:dyDescent="0.25">
      <c r="C57" s="21"/>
      <c r="F57" s="21"/>
      <c r="J57" s="29"/>
    </row>
    <row r="58" spans="1:15" s="9" customFormat="1" x14ac:dyDescent="0.25">
      <c r="A58"/>
      <c r="C58" s="35"/>
      <c r="D58"/>
      <c r="E58"/>
      <c r="F58" s="21"/>
      <c r="G58"/>
      <c r="H58"/>
      <c r="I58"/>
      <c r="J58" s="29"/>
      <c r="K58"/>
    </row>
    <row r="59" spans="1:15" s="9" customFormat="1" x14ac:dyDescent="0.25">
      <c r="A59"/>
      <c r="C59" s="35"/>
      <c r="D59"/>
      <c r="E59"/>
      <c r="F59" s="21"/>
      <c r="G59"/>
      <c r="H59"/>
      <c r="I59"/>
      <c r="J59" s="29"/>
      <c r="K59"/>
    </row>
    <row r="60" spans="1:15" s="9" customFormat="1" x14ac:dyDescent="0.25">
      <c r="A60"/>
      <c r="C60" s="35"/>
      <c r="D60"/>
      <c r="E60"/>
      <c r="F60" s="21"/>
      <c r="G60"/>
      <c r="H60"/>
      <c r="I60"/>
      <c r="J60" s="29"/>
      <c r="K60"/>
    </row>
    <row r="61" spans="1:15" s="9" customFormat="1" x14ac:dyDescent="0.25">
      <c r="A61"/>
      <c r="C61" s="35"/>
      <c r="D61"/>
      <c r="E61"/>
      <c r="F61" s="21"/>
      <c r="G61"/>
      <c r="H61"/>
      <c r="J61" s="47"/>
      <c r="K61"/>
    </row>
    <row r="62" spans="1:15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</row>
    <row r="63" spans="1:15" x14ac:dyDescent="0.25">
      <c r="C63" s="21"/>
      <c r="D63" s="29"/>
      <c r="F63" s="21"/>
      <c r="J63" s="29"/>
      <c r="O63" s="9"/>
    </row>
    <row r="64" spans="1:15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5D71-8970-4539-B759-272E08A90572}">
  <sheetPr>
    <pageSetUpPr fitToPage="1"/>
  </sheetPr>
  <dimension ref="A1:X108"/>
  <sheetViews>
    <sheetView workbookViewId="0">
      <pane ySplit="15" topLeftCell="A16" activePane="bottomLeft" state="frozen"/>
      <selection pane="bottomLeft" activeCell="K25" sqref="K25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489540</v>
      </c>
      <c r="K2">
        <f>J2-J3</f>
        <v>800</v>
      </c>
      <c r="L2" s="1">
        <f>K2/J2</f>
        <v>1.6341871961433182E-3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107</v>
      </c>
      <c r="E3" s="52"/>
      <c r="F3" t="s">
        <v>108</v>
      </c>
      <c r="H3" s="63" t="s">
        <v>9</v>
      </c>
      <c r="I3" s="63"/>
      <c r="J3">
        <f>K11-L10+M11-N10+O11-P10+Q11-R10+S11-T10+U11-V10+W11-X10</f>
        <v>488740</v>
      </c>
      <c r="K3" s="5" t="s">
        <v>10</v>
      </c>
      <c r="L3" s="5" t="s">
        <v>11</v>
      </c>
      <c r="M3" s="5" t="s">
        <v>12</v>
      </c>
      <c r="N3" s="6">
        <f>N4*I4/O1</f>
        <v>204.93955469853336</v>
      </c>
      <c r="O3" s="7">
        <f>K7+M7+O7+Q7+S7+U7+W7</f>
        <v>204.93955469853333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[4]Summary!C2</f>
        <v>CWRW</v>
      </c>
      <c r="E4" s="52"/>
      <c r="F4" s="2">
        <v>2021</v>
      </c>
      <c r="I4" s="2">
        <f>[4]Summary!D2</f>
        <v>60</v>
      </c>
      <c r="J4" s="2">
        <f>J3/I4</f>
        <v>8145.666666666667</v>
      </c>
      <c r="K4" s="8">
        <v>0.98</v>
      </c>
      <c r="L4" s="8">
        <f>IF(J5=0,L1,(L8+N8+P8+R8+T8+V8+X8)/J5/K4)</f>
        <v>0.18532008839055533</v>
      </c>
      <c r="M4" s="8">
        <f>IF(J5=0,0,(L9+N9+P9+R9+T9+V9+X9)/J5/K4)</f>
        <v>0.01</v>
      </c>
      <c r="N4" s="2">
        <f>IF(L4&gt;L1,J4*(1-L4)/(1-L1)*(1-M4)*K4,J4*K4*(1-M4))</f>
        <v>7530.2396400000007</v>
      </c>
      <c r="O4" s="9"/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4" x14ac:dyDescent="0.25">
      <c r="B5" t="s">
        <v>16</v>
      </c>
      <c r="D5" s="65">
        <v>44421</v>
      </c>
      <c r="E5" s="52"/>
      <c r="F5" s="13">
        <v>44429</v>
      </c>
      <c r="J5" s="6">
        <f>J3/O1</f>
        <v>221.68873491380057</v>
      </c>
      <c r="N5" s="2">
        <v>158</v>
      </c>
      <c r="O5" s="14">
        <f>N4/N5</f>
        <v>47.659744556962032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32.731752102012187</v>
      </c>
      <c r="L7" s="9"/>
      <c r="M7" s="7">
        <f>IF(M8&gt;$L1,(N11-N10/$O1)*$K4*(1-M8)/(1-$L1)*(1-M9),(N11-N10/$O1)*$K4*(1-M9))</f>
        <v>172.20780259652113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0.187</v>
      </c>
      <c r="L8" s="6">
        <f>(L11-L10/$O1)*$K4*K8</f>
        <v>6.5020639169433805</v>
      </c>
      <c r="M8" s="1">
        <v>0.185</v>
      </c>
      <c r="N8" s="6">
        <f>(N11-N10/$O1)*$K4*M8</f>
        <v>33.759644513484211</v>
      </c>
      <c r="O8" s="1">
        <v>0.18</v>
      </c>
      <c r="P8" s="6">
        <f>(P11-P10/$O1)*$K4*O8</f>
        <v>0</v>
      </c>
      <c r="Q8" s="1">
        <v>0.15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0.34770395277772087</v>
      </c>
      <c r="M9" s="1">
        <v>0.01</v>
      </c>
      <c r="N9" s="6">
        <f>(N11-N10/$O1)*$K4*M9</f>
        <v>1.8248456493775249</v>
      </c>
      <c r="O9" s="1">
        <v>0.02</v>
      </c>
      <c r="P9" s="6">
        <f>(P11-P10/$O1)*$K4*O9</f>
        <v>0</v>
      </c>
      <c r="Q9" s="1">
        <v>0.02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199593.29329574705</v>
      </c>
      <c r="E10" s="55"/>
      <c r="F10" s="56"/>
      <c r="G10" s="54">
        <f>J3/J2*G11</f>
        <v>289146.70670425298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199920</v>
      </c>
      <c r="E11" s="58"/>
      <c r="F11" s="59"/>
      <c r="G11" s="57">
        <f>H14+I14</f>
        <v>289620</v>
      </c>
      <c r="H11" s="58"/>
      <c r="I11" s="58"/>
      <c r="J11" s="25"/>
      <c r="K11" s="26">
        <f>K14+L14</f>
        <v>78220</v>
      </c>
      <c r="L11" s="27">
        <f>K11/2204.62262184877</f>
        <v>35.479995181400092</v>
      </c>
      <c r="M11" s="26">
        <f>M14+N14</f>
        <v>410520</v>
      </c>
      <c r="N11" s="27">
        <f>M11/2204.62262184877</f>
        <v>186.20873973240049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26</v>
      </c>
      <c r="N12" s="51"/>
      <c r="O12" s="50" t="s">
        <v>84</v>
      </c>
      <c r="P12" s="51"/>
      <c r="Q12" s="50" t="s">
        <v>28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199920</v>
      </c>
      <c r="F14" s="30">
        <f>SUM(F15:F133)</f>
        <v>0</v>
      </c>
      <c r="G14" s="29"/>
      <c r="H14" s="4">
        <f>SUM(H15:H133)</f>
        <v>289620</v>
      </c>
      <c r="I14" s="4">
        <f>SUM(I15:I133)</f>
        <v>0</v>
      </c>
      <c r="J14" s="25"/>
      <c r="K14" s="23">
        <f t="shared" ref="K14:X14" si="1">SUM(K15:K133)</f>
        <v>78220</v>
      </c>
      <c r="L14" s="24">
        <f t="shared" si="1"/>
        <v>0</v>
      </c>
      <c r="M14" s="23">
        <f t="shared" si="1"/>
        <v>410520</v>
      </c>
      <c r="N14" s="24">
        <f t="shared" si="1"/>
        <v>0</v>
      </c>
      <c r="O14" s="23">
        <f t="shared" si="1"/>
        <v>0</v>
      </c>
      <c r="P14" s="24">
        <f t="shared" si="1"/>
        <v>0</v>
      </c>
      <c r="Q14" s="23">
        <f t="shared" si="1"/>
        <v>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/>
      <c r="D16" s="29"/>
      <c r="F16" s="21"/>
      <c r="G16" s="29">
        <v>500</v>
      </c>
      <c r="H16">
        <v>3500</v>
      </c>
      <c r="J16" s="33"/>
      <c r="K16">
        <v>3500</v>
      </c>
    </row>
    <row r="17" spans="3:16" x14ac:dyDescent="0.25">
      <c r="C17" s="21"/>
      <c r="D17" s="29"/>
      <c r="F17" s="21"/>
      <c r="G17" s="29"/>
      <c r="H17">
        <v>17000</v>
      </c>
      <c r="J17" s="33"/>
    </row>
    <row r="18" spans="3:16" x14ac:dyDescent="0.25">
      <c r="C18" s="21"/>
      <c r="D18" s="29"/>
      <c r="F18" s="21"/>
      <c r="G18" s="29">
        <v>503</v>
      </c>
      <c r="H18">
        <v>18100</v>
      </c>
      <c r="J18" s="33"/>
      <c r="K18">
        <v>34020</v>
      </c>
    </row>
    <row r="19" spans="3:16" x14ac:dyDescent="0.25">
      <c r="C19" s="21"/>
      <c r="F19" s="21"/>
      <c r="G19">
        <v>504</v>
      </c>
      <c r="H19">
        <v>24220</v>
      </c>
      <c r="J19" s="33"/>
    </row>
    <row r="20" spans="3:16" x14ac:dyDescent="0.25">
      <c r="C20" s="21"/>
      <c r="F20" s="21"/>
      <c r="G20">
        <v>505</v>
      </c>
      <c r="H20">
        <v>15660</v>
      </c>
      <c r="J20" s="33"/>
      <c r="K20">
        <v>40700</v>
      </c>
    </row>
    <row r="21" spans="3:16" x14ac:dyDescent="0.25">
      <c r="C21" s="21"/>
      <c r="D21">
        <v>16</v>
      </c>
      <c r="E21">
        <v>15260</v>
      </c>
      <c r="F21" s="21"/>
      <c r="G21">
        <v>507</v>
      </c>
      <c r="H21">
        <v>22680</v>
      </c>
      <c r="J21" s="34"/>
      <c r="M21">
        <v>37740</v>
      </c>
    </row>
    <row r="22" spans="3:16" x14ac:dyDescent="0.25">
      <c r="C22" s="21"/>
      <c r="D22" t="s">
        <v>109</v>
      </c>
      <c r="E22">
        <v>20860</v>
      </c>
      <c r="F22" s="21"/>
      <c r="G22">
        <v>508</v>
      </c>
      <c r="H22">
        <v>19100</v>
      </c>
      <c r="J22" s="33"/>
      <c r="M22">
        <v>37220</v>
      </c>
    </row>
    <row r="23" spans="3:16" x14ac:dyDescent="0.25">
      <c r="C23" s="21"/>
      <c r="D23">
        <v>19</v>
      </c>
      <c r="E23">
        <v>22900</v>
      </c>
      <c r="F23" s="21"/>
      <c r="G23">
        <v>509</v>
      </c>
      <c r="H23">
        <v>26220</v>
      </c>
      <c r="J23" s="33"/>
      <c r="M23">
        <v>52660</v>
      </c>
    </row>
    <row r="24" spans="3:16" x14ac:dyDescent="0.25">
      <c r="C24" s="21"/>
      <c r="D24" t="s">
        <v>110</v>
      </c>
      <c r="E24">
        <v>15920</v>
      </c>
      <c r="F24" s="21"/>
      <c r="G24">
        <v>510</v>
      </c>
      <c r="H24">
        <v>23420</v>
      </c>
      <c r="J24" s="33"/>
      <c r="M24">
        <v>26460</v>
      </c>
    </row>
    <row r="25" spans="3:16" x14ac:dyDescent="0.25">
      <c r="C25" s="21"/>
      <c r="D25">
        <v>21</v>
      </c>
      <c r="E25">
        <v>24760</v>
      </c>
      <c r="F25" s="21"/>
      <c r="G25">
        <v>511</v>
      </c>
      <c r="H25">
        <v>13280</v>
      </c>
      <c r="J25" s="33"/>
      <c r="M25">
        <v>49440</v>
      </c>
    </row>
    <row r="26" spans="3:16" x14ac:dyDescent="0.25">
      <c r="C26" s="21"/>
      <c r="D26">
        <v>22</v>
      </c>
      <c r="E26">
        <v>15020</v>
      </c>
      <c r="F26" s="21"/>
      <c r="G26">
        <v>512</v>
      </c>
      <c r="H26">
        <v>13780</v>
      </c>
      <c r="J26" s="33"/>
      <c r="M26">
        <v>27460</v>
      </c>
    </row>
    <row r="27" spans="3:16" x14ac:dyDescent="0.25">
      <c r="C27" s="21"/>
      <c r="D27">
        <v>23</v>
      </c>
      <c r="E27">
        <v>25340</v>
      </c>
      <c r="F27" s="21"/>
      <c r="G27" t="s">
        <v>111</v>
      </c>
      <c r="H27">
        <v>23400</v>
      </c>
      <c r="J27" s="33"/>
      <c r="M27">
        <v>49960</v>
      </c>
      <c r="O27" s="9"/>
      <c r="P27" s="9"/>
    </row>
    <row r="28" spans="3:16" x14ac:dyDescent="0.25">
      <c r="C28" s="21"/>
      <c r="D28">
        <v>24</v>
      </c>
      <c r="E28">
        <v>16560</v>
      </c>
      <c r="F28" s="21"/>
      <c r="G28">
        <v>515</v>
      </c>
      <c r="H28">
        <v>19060</v>
      </c>
      <c r="J28" s="33"/>
      <c r="M28">
        <v>28740</v>
      </c>
      <c r="P28" s="9"/>
    </row>
    <row r="29" spans="3:16" x14ac:dyDescent="0.25">
      <c r="C29" s="21"/>
      <c r="D29">
        <v>25</v>
      </c>
      <c r="E29">
        <v>18000</v>
      </c>
      <c r="F29" s="21"/>
      <c r="G29">
        <v>516</v>
      </c>
      <c r="H29">
        <v>20160</v>
      </c>
      <c r="J29" s="33"/>
      <c r="P29" s="9"/>
    </row>
    <row r="30" spans="3:16" x14ac:dyDescent="0.25">
      <c r="C30" s="21"/>
      <c r="F30" s="21"/>
      <c r="G30">
        <v>517</v>
      </c>
      <c r="H30">
        <v>6780</v>
      </c>
      <c r="J30" s="33"/>
      <c r="M30">
        <v>52280</v>
      </c>
    </row>
    <row r="31" spans="3:16" x14ac:dyDescent="0.25">
      <c r="C31" s="21"/>
      <c r="D31">
        <v>26</v>
      </c>
      <c r="E31">
        <v>25300</v>
      </c>
      <c r="F31" s="21"/>
      <c r="G31">
        <v>518</v>
      </c>
      <c r="H31">
        <v>23260</v>
      </c>
      <c r="J31" s="33"/>
      <c r="M31">
        <v>18340</v>
      </c>
    </row>
    <row r="32" spans="3:16" x14ac:dyDescent="0.25">
      <c r="C32" s="21"/>
      <c r="F32" s="21"/>
      <c r="J32" s="33"/>
      <c r="M32">
        <v>30220</v>
      </c>
    </row>
    <row r="33" spans="1:20" s="9" customFormat="1" x14ac:dyDescent="0.25">
      <c r="A33"/>
      <c r="B33"/>
      <c r="C33" s="35"/>
      <c r="D33"/>
      <c r="E33"/>
      <c r="F33" s="21"/>
      <c r="G33"/>
      <c r="H33"/>
      <c r="I33"/>
      <c r="J33" s="33"/>
      <c r="K33"/>
      <c r="M33"/>
      <c r="N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/>
      <c r="H34"/>
      <c r="I34"/>
      <c r="J34" s="33"/>
      <c r="K34"/>
      <c r="M34"/>
      <c r="N34"/>
      <c r="Q34"/>
      <c r="R34"/>
      <c r="S34"/>
      <c r="T34"/>
    </row>
    <row r="35" spans="1:20" s="9" customFormat="1" x14ac:dyDescent="0.25">
      <c r="A35"/>
      <c r="B35"/>
      <c r="C35" s="35"/>
      <c r="D35"/>
      <c r="E35"/>
      <c r="F35" s="21"/>
      <c r="G35"/>
      <c r="H35"/>
      <c r="I35"/>
      <c r="J35" s="33"/>
      <c r="K35"/>
      <c r="L35"/>
      <c r="M35"/>
      <c r="N35"/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K36"/>
      <c r="L36"/>
      <c r="M36"/>
      <c r="N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K37"/>
      <c r="L37"/>
      <c r="M37"/>
      <c r="N37"/>
      <c r="O37" s="42"/>
      <c r="S37"/>
      <c r="T37"/>
    </row>
    <row r="38" spans="1:20" x14ac:dyDescent="0.25">
      <c r="C38" s="21"/>
      <c r="D38" s="29"/>
      <c r="F38" s="21"/>
      <c r="J38" s="33"/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F40" s="21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scale="31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099-4966-44A9-A016-757EAA1FD236}">
  <dimension ref="A1:X42"/>
  <sheetViews>
    <sheetView workbookViewId="0">
      <pane ySplit="15" topLeftCell="A16" activePane="bottomLeft" state="frozen"/>
      <selection activeCell="F4" sqref="F4"/>
      <selection pane="bottomLeft" activeCell="F4" sqref="F4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495760</v>
      </c>
      <c r="K2">
        <f>J2-J3</f>
        <v>4200</v>
      </c>
      <c r="L2" s="1">
        <f>K2/J2</f>
        <v>8.471841213490398E-3</v>
      </c>
    </row>
    <row r="3" spans="1:24" x14ac:dyDescent="0.25">
      <c r="B3" t="s">
        <v>6</v>
      </c>
      <c r="D3" s="64" t="s">
        <v>96</v>
      </c>
      <c r="E3" s="52"/>
      <c r="F3" t="s">
        <v>97</v>
      </c>
      <c r="H3" s="63" t="s">
        <v>9</v>
      </c>
      <c r="I3" s="63"/>
      <c r="J3">
        <f>K11-L10+M11-N10+O11-P10+Q11-R10+S11-T10+U11-V10+W11-X10</f>
        <v>491560</v>
      </c>
      <c r="K3" s="5" t="s">
        <v>10</v>
      </c>
      <c r="L3" s="5" t="s">
        <v>11</v>
      </c>
      <c r="M3" s="5" t="s">
        <v>12</v>
      </c>
      <c r="N3" s="6">
        <f>N4*I4/O1</f>
        <v>216.32342300836399</v>
      </c>
      <c r="O3" s="6">
        <f>K7+M7+O7+Q7+S7+U7+W7</f>
        <v>216.32342300836399</v>
      </c>
    </row>
    <row r="4" spans="1:24" x14ac:dyDescent="0.25">
      <c r="B4" t="s">
        <v>14</v>
      </c>
      <c r="D4" s="65" t="str">
        <f>[2]Summary!C2</f>
        <v>Peas</v>
      </c>
      <c r="E4" s="52"/>
      <c r="F4" s="2">
        <v>2021</v>
      </c>
      <c r="I4" s="2">
        <f>[2]Summary!D2</f>
        <v>60</v>
      </c>
      <c r="J4" s="2">
        <f>J3/I4</f>
        <v>8192.6666666666661</v>
      </c>
      <c r="K4" s="8">
        <v>0.98</v>
      </c>
      <c r="L4" s="8">
        <f>IF(J5=0,L1,(L8+N8+P8+R8+T8+V8+X8)/J5/K4)</f>
        <v>0.16</v>
      </c>
      <c r="M4" s="8">
        <f>IF(J5=0,0,(L9+N9+P9+R9+T9+V9+X9)/J5/K4)</f>
        <v>0.01</v>
      </c>
      <c r="N4" s="2">
        <f>IF(L4&gt;L1,J4*(1-L4)/(1-L1)*(1-M4)*K4,J4*K4*(1-M4))</f>
        <v>7948.5251999999991</v>
      </c>
      <c r="V4" s="6"/>
    </row>
    <row r="5" spans="1:24" x14ac:dyDescent="0.25">
      <c r="B5" t="s">
        <v>16</v>
      </c>
      <c r="D5" s="65">
        <v>44433</v>
      </c>
      <c r="E5" s="52"/>
      <c r="F5" s="13">
        <v>44434</v>
      </c>
      <c r="J5" s="6">
        <f>J3/O1</f>
        <v>222.9678653972006</v>
      </c>
      <c r="N5" s="2">
        <v>317</v>
      </c>
      <c r="O5" s="3">
        <f>N4/N5</f>
        <v>25.074211987381702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65.958488568015284</v>
      </c>
      <c r="M7" s="6">
        <f>IF(M8&gt;$L1,(N11-N10/$O1)*$K4*(1-M8)/(1-$L1)*(1-M9),(N11-N10/$O1)*$K4*(1-M9))</f>
        <v>150.36493444034872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</v>
      </c>
      <c r="L8" s="6">
        <f>(L11-L10/$O1)*$K4*K8</f>
        <v>10.659957748366107</v>
      </c>
      <c r="M8" s="1">
        <v>0.16</v>
      </c>
      <c r="N8" s="6">
        <f>(N11-N10/$O1)*$K4*M8</f>
        <v>24.301403545914948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0.6662473592728817</v>
      </c>
      <c r="M9" s="1">
        <v>0.01</v>
      </c>
      <c r="N9" s="6">
        <f>(N11-N10/$O1)*$K4*M9</f>
        <v>1.5188377216196842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213654.48765531709</v>
      </c>
      <c r="E10" s="55"/>
      <c r="F10" s="56"/>
      <c r="G10" s="54">
        <f>J3/J2*G11</f>
        <v>277905.51234468288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215480</v>
      </c>
      <c r="E11" s="58"/>
      <c r="F11" s="59"/>
      <c r="G11" s="57">
        <f>H14+I14</f>
        <v>280280</v>
      </c>
      <c r="H11" s="58"/>
      <c r="I11" s="58"/>
      <c r="J11" s="25"/>
      <c r="K11" s="26">
        <f>K14+L14</f>
        <v>149880</v>
      </c>
      <c r="L11" s="27">
        <f>K11/2204.62262184877</f>
        <v>67.984424415600174</v>
      </c>
      <c r="M11" s="26">
        <f>M14+N14</f>
        <v>341680</v>
      </c>
      <c r="N11" s="27">
        <f>M11/2204.62262184877</f>
        <v>154.98344098160041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95</v>
      </c>
      <c r="L12" s="51"/>
      <c r="M12" s="50" t="s">
        <v>98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SUM(E15:E42)</f>
        <v>215480</v>
      </c>
      <c r="F14" s="30">
        <f>SUM(F15:F42)</f>
        <v>0</v>
      </c>
      <c r="G14" s="29"/>
      <c r="H14" s="4">
        <f>SUM(H15:H42)</f>
        <v>280280</v>
      </c>
      <c r="I14" s="4">
        <f>SUM(I15:I42)</f>
        <v>0</v>
      </c>
      <c r="J14" s="25"/>
      <c r="K14" s="23">
        <f t="shared" ref="K14:X14" si="0">SUM(K15:K42)</f>
        <v>149880</v>
      </c>
      <c r="L14" s="24">
        <f t="shared" si="0"/>
        <v>0</v>
      </c>
      <c r="M14" s="23">
        <f t="shared" si="0"/>
        <v>142800</v>
      </c>
      <c r="N14" s="24">
        <f t="shared" si="0"/>
        <v>198880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90</v>
      </c>
      <c r="N15" s="32" t="s">
        <v>99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15</v>
      </c>
      <c r="C16" s="21"/>
      <c r="F16" s="21"/>
      <c r="G16" s="34">
        <v>536</v>
      </c>
      <c r="H16">
        <v>24860</v>
      </c>
      <c r="I16" s="21"/>
      <c r="J16" s="7"/>
      <c r="K16">
        <v>24860</v>
      </c>
    </row>
    <row r="17" spans="2:14" x14ac:dyDescent="0.25">
      <c r="B17">
        <v>16</v>
      </c>
      <c r="C17" s="21"/>
      <c r="F17" s="21"/>
      <c r="G17" s="34">
        <v>537</v>
      </c>
      <c r="H17">
        <v>21480</v>
      </c>
      <c r="I17" s="21"/>
      <c r="J17" s="6"/>
      <c r="K17">
        <v>21480</v>
      </c>
    </row>
    <row r="18" spans="2:14" x14ac:dyDescent="0.25">
      <c r="B18">
        <v>17</v>
      </c>
      <c r="C18" s="21"/>
      <c r="D18">
        <v>20</v>
      </c>
      <c r="E18">
        <v>23840</v>
      </c>
      <c r="F18" s="21"/>
      <c r="G18" s="34">
        <v>538</v>
      </c>
      <c r="H18">
        <v>22560</v>
      </c>
      <c r="I18" s="21"/>
      <c r="J18" s="6"/>
      <c r="M18">
        <v>45080</v>
      </c>
    </row>
    <row r="19" spans="2:14" x14ac:dyDescent="0.25">
      <c r="B19">
        <v>18</v>
      </c>
      <c r="C19" s="21"/>
      <c r="D19">
        <v>21</v>
      </c>
      <c r="E19">
        <v>10780</v>
      </c>
      <c r="F19" s="21"/>
      <c r="G19" s="34">
        <v>539</v>
      </c>
      <c r="H19">
        <v>22480</v>
      </c>
      <c r="I19" s="21"/>
      <c r="J19" s="6"/>
      <c r="M19">
        <v>29540</v>
      </c>
    </row>
    <row r="20" spans="2:14" x14ac:dyDescent="0.25">
      <c r="B20">
        <v>19</v>
      </c>
      <c r="C20" s="21"/>
      <c r="D20">
        <v>22</v>
      </c>
      <c r="E20">
        <v>24400</v>
      </c>
      <c r="F20" s="21"/>
      <c r="G20" s="34">
        <v>540</v>
      </c>
      <c r="H20">
        <v>25340</v>
      </c>
      <c r="I20" s="21"/>
      <c r="J20" s="6"/>
      <c r="N20">
        <v>52260</v>
      </c>
    </row>
    <row r="21" spans="2:14" x14ac:dyDescent="0.25">
      <c r="B21">
        <v>20</v>
      </c>
      <c r="C21" s="21"/>
      <c r="D21">
        <v>23</v>
      </c>
      <c r="E21">
        <v>20340</v>
      </c>
      <c r="F21" s="21"/>
      <c r="G21" s="34">
        <v>541</v>
      </c>
      <c r="H21">
        <v>23860</v>
      </c>
      <c r="I21" s="21"/>
      <c r="J21" s="7"/>
      <c r="N21">
        <v>45600</v>
      </c>
    </row>
    <row r="22" spans="2:14" x14ac:dyDescent="0.25">
      <c r="B22">
        <v>21</v>
      </c>
      <c r="C22" s="21"/>
      <c r="D22">
        <v>24</v>
      </c>
      <c r="E22">
        <v>24900</v>
      </c>
      <c r="F22" s="21"/>
      <c r="G22" s="34">
        <v>542</v>
      </c>
      <c r="H22">
        <v>20080</v>
      </c>
      <c r="I22" s="21"/>
      <c r="J22" s="6"/>
      <c r="K22">
        <v>43900</v>
      </c>
    </row>
    <row r="23" spans="2:14" x14ac:dyDescent="0.25">
      <c r="B23">
        <v>22</v>
      </c>
      <c r="C23" s="21"/>
      <c r="D23">
        <v>25</v>
      </c>
      <c r="E23">
        <v>26680</v>
      </c>
      <c r="F23" s="21"/>
      <c r="G23" s="34">
        <v>543</v>
      </c>
      <c r="H23">
        <v>23400</v>
      </c>
      <c r="I23" s="21"/>
      <c r="J23" s="6"/>
      <c r="K23">
        <v>47860</v>
      </c>
    </row>
    <row r="24" spans="2:14" x14ac:dyDescent="0.25">
      <c r="B24">
        <v>23</v>
      </c>
      <c r="C24" s="21"/>
      <c r="D24">
        <v>26</v>
      </c>
      <c r="E24">
        <v>23440</v>
      </c>
      <c r="F24" s="21"/>
      <c r="G24" s="34">
        <v>544</v>
      </c>
      <c r="H24">
        <v>21520</v>
      </c>
      <c r="I24" s="21"/>
      <c r="J24" s="6"/>
      <c r="M24">
        <v>45000</v>
      </c>
    </row>
    <row r="25" spans="2:14" x14ac:dyDescent="0.25">
      <c r="B25">
        <v>24</v>
      </c>
      <c r="C25" s="21"/>
      <c r="D25">
        <v>27</v>
      </c>
      <c r="E25">
        <v>21480</v>
      </c>
      <c r="F25" s="21"/>
      <c r="G25" s="34">
        <v>545</v>
      </c>
      <c r="H25">
        <v>25260</v>
      </c>
      <c r="I25" s="21"/>
      <c r="J25" s="6"/>
      <c r="M25">
        <v>23180</v>
      </c>
    </row>
    <row r="26" spans="2:14" x14ac:dyDescent="0.25">
      <c r="B26">
        <v>25</v>
      </c>
      <c r="C26" s="21"/>
      <c r="D26">
        <v>28</v>
      </c>
      <c r="E26">
        <v>11220</v>
      </c>
      <c r="F26" s="21"/>
      <c r="G26" s="34">
        <v>546</v>
      </c>
      <c r="H26">
        <v>18460</v>
      </c>
      <c r="I26" s="21"/>
      <c r="J26" s="7"/>
      <c r="N26">
        <v>54120</v>
      </c>
    </row>
    <row r="27" spans="2:14" x14ac:dyDescent="0.25">
      <c r="B27">
        <v>26</v>
      </c>
      <c r="C27" s="21"/>
      <c r="D27">
        <v>29</v>
      </c>
      <c r="E27">
        <v>25700</v>
      </c>
      <c r="F27" s="21"/>
      <c r="G27" s="34">
        <v>547</v>
      </c>
      <c r="H27">
        <v>24640</v>
      </c>
      <c r="I27" s="21"/>
      <c r="J27" s="6"/>
      <c r="N27">
        <v>46900</v>
      </c>
    </row>
    <row r="28" spans="2:14" x14ac:dyDescent="0.25">
      <c r="B28">
        <v>27</v>
      </c>
      <c r="C28" s="21"/>
      <c r="D28">
        <v>30</v>
      </c>
      <c r="E28">
        <v>2700</v>
      </c>
      <c r="F28" s="21"/>
      <c r="G28" s="34">
        <v>548</v>
      </c>
      <c r="H28">
        <v>6340</v>
      </c>
      <c r="I28" s="21"/>
      <c r="J28" s="7"/>
      <c r="K28">
        <v>11780</v>
      </c>
    </row>
    <row r="29" spans="2:14" x14ac:dyDescent="0.25">
      <c r="C29" s="21"/>
      <c r="F29" s="21"/>
      <c r="G29" s="34"/>
      <c r="I29" s="21"/>
      <c r="J29" s="7"/>
    </row>
    <row r="30" spans="2:14" x14ac:dyDescent="0.25">
      <c r="C30" s="21"/>
      <c r="F30" s="21"/>
      <c r="G30" s="34"/>
      <c r="I30" s="21"/>
      <c r="J30" s="7"/>
    </row>
    <row r="31" spans="2:14" x14ac:dyDescent="0.25">
      <c r="C31" s="21"/>
      <c r="F31" s="21"/>
      <c r="G31" s="34"/>
      <c r="I31" s="21"/>
      <c r="J31" s="6"/>
    </row>
    <row r="32" spans="2:14" x14ac:dyDescent="0.25">
      <c r="C32" s="21"/>
      <c r="D32" s="29"/>
      <c r="F32" s="21"/>
      <c r="G32" s="29"/>
      <c r="J32" s="29"/>
    </row>
    <row r="33" spans="3:10" x14ac:dyDescent="0.25">
      <c r="C33" s="21"/>
      <c r="D33" s="29"/>
      <c r="F33" s="21"/>
      <c r="G33" s="29"/>
      <c r="J33" s="29"/>
    </row>
    <row r="34" spans="3:10" x14ac:dyDescent="0.25">
      <c r="C34" s="21"/>
      <c r="D34" s="29"/>
      <c r="F34" s="21"/>
      <c r="G34" s="29"/>
      <c r="J34" s="29"/>
    </row>
    <row r="35" spans="3:10" x14ac:dyDescent="0.25">
      <c r="C35" s="21"/>
      <c r="D35" s="29"/>
      <c r="F35" s="21"/>
      <c r="G35" s="29"/>
      <c r="J35" s="29"/>
    </row>
    <row r="36" spans="3:10" x14ac:dyDescent="0.25">
      <c r="D36" s="29"/>
      <c r="F36" s="21"/>
      <c r="G36" s="29"/>
      <c r="J36" s="29"/>
    </row>
    <row r="37" spans="3:10" x14ac:dyDescent="0.25">
      <c r="D37" s="29"/>
      <c r="F37" s="21"/>
      <c r="G37" s="29"/>
      <c r="J37" s="29"/>
    </row>
    <row r="38" spans="3:10" x14ac:dyDescent="0.25">
      <c r="D38" s="29"/>
      <c r="F38" s="21"/>
      <c r="G38" s="29"/>
      <c r="J38" s="29"/>
    </row>
    <row r="39" spans="3:10" x14ac:dyDescent="0.25">
      <c r="D39" s="29"/>
      <c r="F39" s="21"/>
      <c r="G39" s="29"/>
      <c r="J39" s="29"/>
    </row>
    <row r="40" spans="3:10" x14ac:dyDescent="0.25">
      <c r="D40" s="29"/>
      <c r="F40" s="21"/>
      <c r="G40" s="29"/>
      <c r="J40" s="29"/>
    </row>
    <row r="41" spans="3:10" x14ac:dyDescent="0.25">
      <c r="D41" s="29"/>
      <c r="F41" s="21"/>
      <c r="G41" s="29"/>
      <c r="J41" s="29"/>
    </row>
    <row r="42" spans="3:10" x14ac:dyDescent="0.25">
      <c r="D42" s="31"/>
      <c r="E42" s="41" t="s">
        <v>39</v>
      </c>
      <c r="F42" s="32"/>
      <c r="G42" s="31"/>
      <c r="H42" s="41" t="s">
        <v>39</v>
      </c>
      <c r="I42" s="41"/>
      <c r="J42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5506-2925-4A68-B85D-59633B45AFAF}">
  <sheetPr>
    <pageSetUpPr fitToPage="1"/>
  </sheetPr>
  <dimension ref="A1:X108"/>
  <sheetViews>
    <sheetView workbookViewId="0">
      <pane ySplit="15" topLeftCell="A16" activePane="bottomLeft" state="frozen"/>
      <selection pane="bottomLeft" activeCell="E21" sqref="E21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[8]Summary!E2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186940</v>
      </c>
      <c r="K2">
        <f>J2-J3</f>
        <v>1340</v>
      </c>
      <c r="L2" s="1">
        <f>K2/J2</f>
        <v>7.1680753182839412E-3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115</v>
      </c>
      <c r="E3" s="52"/>
      <c r="F3" t="s">
        <v>116</v>
      </c>
      <c r="H3" s="63" t="s">
        <v>9</v>
      </c>
      <c r="I3" s="63"/>
      <c r="J3">
        <f>K11-L10+M11-N10+O11-P10+Q11-R10+S11-T10+U11-V10+W11-X10</f>
        <v>185600</v>
      </c>
      <c r="K3" s="5" t="s">
        <v>10</v>
      </c>
      <c r="L3" s="5" t="s">
        <v>11</v>
      </c>
      <c r="M3" s="5" t="s">
        <v>12</v>
      </c>
      <c r="N3" s="6">
        <f>N4*I4/O1</f>
        <v>81.677978904614619</v>
      </c>
      <c r="O3" s="7">
        <f>K7+M7+O7+Q7+S7+U7+W7</f>
        <v>81.677978904614619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[8]Summary!C2</f>
        <v>CWRW</v>
      </c>
      <c r="E4" s="52"/>
      <c r="F4" s="2">
        <v>2021</v>
      </c>
      <c r="I4" s="2">
        <f>[8]Summary!D2</f>
        <v>60</v>
      </c>
      <c r="J4" s="2">
        <f>J3/I4</f>
        <v>3093.3333333333335</v>
      </c>
      <c r="K4" s="8">
        <v>0.98</v>
      </c>
      <c r="L4" s="8">
        <f>IF(J5=0,L1,(L8+N8+P8+R8+T8+V8+X8)/J5/K4)</f>
        <v>0.13500000000000001</v>
      </c>
      <c r="M4" s="8">
        <f>IF(J5=0,0,(L9+N9+P9+R9+T9+V9+X9)/J5/K4)</f>
        <v>1.0000000000000002E-2</v>
      </c>
      <c r="N4" s="2">
        <f>IF(L4&gt;L1,J4*(1-L4)/(1-L1)*(1-M4)*K4,J4*K4*(1-M4))</f>
        <v>3001.152</v>
      </c>
      <c r="O4" s="9"/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4" x14ac:dyDescent="0.25">
      <c r="B5" t="s">
        <v>16</v>
      </c>
      <c r="D5" s="65" t="s">
        <v>117</v>
      </c>
      <c r="E5" s="52"/>
      <c r="F5" s="13">
        <v>44442</v>
      </c>
      <c r="J5" s="6">
        <f>J3/O1</f>
        <v>84.186743872000221</v>
      </c>
      <c r="N5" s="2">
        <v>117</v>
      </c>
      <c r="O5" s="14">
        <f>N4/N5</f>
        <v>25.650871794871794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81.677978904614619</v>
      </c>
      <c r="L7" s="9"/>
      <c r="M7" s="7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0.13500000000000001</v>
      </c>
      <c r="L8" s="6">
        <f>(L11-L10/$O1)*$K4*K8</f>
        <v>11.13790621426563</v>
      </c>
      <c r="M8" s="1">
        <v>0.15</v>
      </c>
      <c r="N8" s="6">
        <f>(N11-N10/$O1)*$K4*M8</f>
        <v>0</v>
      </c>
      <c r="O8" s="1">
        <v>0.14000000000000001</v>
      </c>
      <c r="P8" s="6">
        <f>(P11-P10/$O1)*$K4*O8</f>
        <v>0</v>
      </c>
      <c r="Q8" s="1">
        <v>0.15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0.82503008994560223</v>
      </c>
      <c r="M9" s="1">
        <v>0.01</v>
      </c>
      <c r="N9" s="6">
        <f>(N11-N10/$O1)*$K4*M9</f>
        <v>0</v>
      </c>
      <c r="O9" s="1">
        <v>0.01</v>
      </c>
      <c r="P9" s="6">
        <f>(P11-P10/$O1)*$K4*O9</f>
        <v>0</v>
      </c>
      <c r="Q9" s="1">
        <v>0.02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94914.731999572061</v>
      </c>
      <c r="E10" s="55"/>
      <c r="F10" s="56"/>
      <c r="G10" s="54">
        <f>J3/J2*G11</f>
        <v>90685.268000427954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95600</v>
      </c>
      <c r="E11" s="58"/>
      <c r="F11" s="59"/>
      <c r="G11" s="57">
        <f>H14+I14</f>
        <v>91340</v>
      </c>
      <c r="H11" s="58"/>
      <c r="I11" s="58"/>
      <c r="J11" s="25"/>
      <c r="K11" s="26">
        <f>K14+L14</f>
        <v>185600</v>
      </c>
      <c r="L11" s="27">
        <f>K11/2204.62262184877</f>
        <v>84.186743872000221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27</v>
      </c>
      <c r="N12" s="51"/>
      <c r="O12" s="50" t="s">
        <v>70</v>
      </c>
      <c r="P12" s="51"/>
      <c r="Q12" s="50" t="s">
        <v>28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95600</v>
      </c>
      <c r="F14" s="30">
        <f>SUM(F15:F133)</f>
        <v>0</v>
      </c>
      <c r="G14" s="29"/>
      <c r="H14" s="4">
        <f>SUM(H15:H133)</f>
        <v>91340</v>
      </c>
      <c r="I14" s="4">
        <f>SUM(I15:I133)</f>
        <v>0</v>
      </c>
      <c r="J14" s="25"/>
      <c r="K14" s="23">
        <f t="shared" ref="K14:X14" si="1">SUM(K15:K133)</f>
        <v>185600</v>
      </c>
      <c r="L14" s="24">
        <f t="shared" si="1"/>
        <v>0</v>
      </c>
      <c r="M14" s="23">
        <f t="shared" si="1"/>
        <v>0</v>
      </c>
      <c r="N14" s="24">
        <f t="shared" si="1"/>
        <v>0</v>
      </c>
      <c r="O14" s="23">
        <f t="shared" si="1"/>
        <v>0</v>
      </c>
      <c r="P14" s="24">
        <f t="shared" si="1"/>
        <v>0</v>
      </c>
      <c r="Q14" s="23">
        <f t="shared" si="1"/>
        <v>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109</v>
      </c>
      <c r="E16">
        <v>25160</v>
      </c>
      <c r="F16" s="21"/>
      <c r="G16" s="29">
        <v>539</v>
      </c>
      <c r="H16">
        <v>21860</v>
      </c>
      <c r="J16" s="33"/>
      <c r="K16">
        <v>45680</v>
      </c>
    </row>
    <row r="17" spans="3:16" x14ac:dyDescent="0.25">
      <c r="C17" s="21">
        <v>2</v>
      </c>
      <c r="D17" s="29">
        <v>110</v>
      </c>
      <c r="E17">
        <v>18260</v>
      </c>
      <c r="F17" s="21"/>
      <c r="G17" s="29">
        <v>540</v>
      </c>
      <c r="H17">
        <v>17700</v>
      </c>
      <c r="J17" s="33"/>
      <c r="K17">
        <f>E17+H17</f>
        <v>35960</v>
      </c>
      <c r="L17" t="s">
        <v>118</v>
      </c>
    </row>
    <row r="18" spans="3:16" x14ac:dyDescent="0.25">
      <c r="C18" s="21">
        <v>3</v>
      </c>
      <c r="D18" s="29">
        <v>111</v>
      </c>
      <c r="E18">
        <v>17900</v>
      </c>
      <c r="F18" s="21" t="s">
        <v>118</v>
      </c>
      <c r="G18" s="29">
        <v>541</v>
      </c>
      <c r="H18">
        <v>17700</v>
      </c>
      <c r="I18" t="s">
        <v>118</v>
      </c>
      <c r="J18" s="33"/>
      <c r="K18">
        <f t="shared" ref="K18:K19" si="2">E18+H18</f>
        <v>35600</v>
      </c>
      <c r="L18" t="s">
        <v>118</v>
      </c>
    </row>
    <row r="19" spans="3:16" x14ac:dyDescent="0.25">
      <c r="C19" s="21">
        <v>4</v>
      </c>
      <c r="D19">
        <v>112</v>
      </c>
      <c r="E19">
        <v>17900</v>
      </c>
      <c r="F19" s="21" t="s">
        <v>118</v>
      </c>
      <c r="G19">
        <v>542</v>
      </c>
      <c r="H19">
        <v>17700</v>
      </c>
      <c r="I19" t="s">
        <v>118</v>
      </c>
      <c r="J19" s="33"/>
      <c r="K19">
        <f t="shared" si="2"/>
        <v>35600</v>
      </c>
      <c r="L19" t="s">
        <v>118</v>
      </c>
    </row>
    <row r="20" spans="3:16" x14ac:dyDescent="0.25">
      <c r="C20" s="21">
        <v>5</v>
      </c>
      <c r="D20">
        <v>113</v>
      </c>
      <c r="E20">
        <f>H20</f>
        <v>16380</v>
      </c>
      <c r="F20" s="21" t="s">
        <v>118</v>
      </c>
      <c r="G20">
        <v>543</v>
      </c>
      <c r="H20">
        <f>K20/2</f>
        <v>16380</v>
      </c>
      <c r="I20" t="s">
        <v>118</v>
      </c>
      <c r="J20" s="33"/>
      <c r="K20">
        <v>32760</v>
      </c>
      <c r="L20" t="s">
        <v>118</v>
      </c>
    </row>
    <row r="21" spans="3:16" x14ac:dyDescent="0.25">
      <c r="C21" s="21"/>
      <c r="F21" s="21"/>
      <c r="J21" s="34"/>
    </row>
    <row r="22" spans="3:16" x14ac:dyDescent="0.25">
      <c r="C22" s="21"/>
      <c r="F22" s="21"/>
      <c r="J22" s="33"/>
    </row>
    <row r="23" spans="3:16" x14ac:dyDescent="0.25">
      <c r="C23" s="21"/>
      <c r="F23" s="21"/>
      <c r="J23" s="33"/>
    </row>
    <row r="24" spans="3:16" x14ac:dyDescent="0.25">
      <c r="C24" s="21"/>
      <c r="F24" s="21"/>
      <c r="J24" s="33"/>
    </row>
    <row r="25" spans="3:16" x14ac:dyDescent="0.25">
      <c r="C25" s="21"/>
      <c r="F25" s="21"/>
      <c r="J25" s="33"/>
    </row>
    <row r="26" spans="3:16" x14ac:dyDescent="0.25">
      <c r="C26" s="21"/>
      <c r="F26" s="21"/>
      <c r="J26" s="33"/>
    </row>
    <row r="27" spans="3:16" x14ac:dyDescent="0.25">
      <c r="C27" s="21"/>
      <c r="F27" s="21"/>
      <c r="J27" s="33"/>
      <c r="P27" s="9"/>
    </row>
    <row r="28" spans="3:16" x14ac:dyDescent="0.25">
      <c r="C28" s="21"/>
      <c r="F28" s="21"/>
      <c r="J28" s="33"/>
      <c r="P28" s="9"/>
    </row>
    <row r="29" spans="3:16" x14ac:dyDescent="0.25">
      <c r="C29" s="21"/>
      <c r="F29" s="21"/>
      <c r="J29" s="33"/>
      <c r="P29" s="9"/>
    </row>
    <row r="30" spans="3:16" x14ac:dyDescent="0.25">
      <c r="C30" s="21"/>
      <c r="F30" s="21"/>
      <c r="J30" s="33"/>
    </row>
    <row r="31" spans="3:16" x14ac:dyDescent="0.25">
      <c r="C31" s="21"/>
      <c r="F31" s="21"/>
      <c r="J31" s="33"/>
    </row>
    <row r="32" spans="3:16" x14ac:dyDescent="0.25">
      <c r="C32" s="21"/>
      <c r="F32" s="21"/>
      <c r="J32" s="33"/>
    </row>
    <row r="33" spans="1:20" s="9" customFormat="1" x14ac:dyDescent="0.25">
      <c r="A33"/>
      <c r="B33"/>
      <c r="C33" s="35"/>
      <c r="D33"/>
      <c r="E33"/>
      <c r="F33" s="21"/>
      <c r="G33"/>
      <c r="H33"/>
      <c r="I33"/>
      <c r="J33" s="33"/>
      <c r="M33"/>
      <c r="N33"/>
      <c r="O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/>
      <c r="H34"/>
      <c r="I34"/>
      <c r="J34" s="33"/>
      <c r="M34"/>
      <c r="N34"/>
      <c r="O34"/>
      <c r="Q34"/>
      <c r="R34"/>
      <c r="S34"/>
      <c r="T34"/>
    </row>
    <row r="35" spans="1:20" s="9" customFormat="1" x14ac:dyDescent="0.25">
      <c r="A35"/>
      <c r="B35"/>
      <c r="C35" s="35"/>
      <c r="D35"/>
      <c r="E35"/>
      <c r="F35" s="21"/>
      <c r="G35"/>
      <c r="H35"/>
      <c r="I35"/>
      <c r="J35" s="33"/>
      <c r="L35"/>
      <c r="M35"/>
      <c r="N35"/>
      <c r="O35"/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L36"/>
      <c r="M36"/>
      <c r="N36"/>
      <c r="O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L37"/>
      <c r="M37"/>
      <c r="N37"/>
      <c r="O37"/>
      <c r="S37"/>
      <c r="T37"/>
    </row>
    <row r="38" spans="1:20" x14ac:dyDescent="0.25">
      <c r="C38" s="21"/>
      <c r="D38" s="29"/>
      <c r="F38" s="21"/>
      <c r="J38" s="33"/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F40" s="21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D9D2-70A4-4182-84AD-8BCA4DB16569}">
  <dimension ref="A1:X133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147820</v>
      </c>
      <c r="K2">
        <f>J2-J3</f>
        <v>340</v>
      </c>
      <c r="L2" s="1">
        <f>K2/J2</f>
        <v>2.3000947097821674E-3</v>
      </c>
    </row>
    <row r="3" spans="1:24" x14ac:dyDescent="0.25">
      <c r="B3" t="s">
        <v>6</v>
      </c>
      <c r="D3" s="64" t="s">
        <v>52</v>
      </c>
      <c r="E3" s="52"/>
      <c r="F3" t="s">
        <v>53</v>
      </c>
      <c r="H3" s="63" t="s">
        <v>9</v>
      </c>
      <c r="I3" s="63"/>
      <c r="J3">
        <f>K11-L10+M11-N10+O11-P10+Q11-R10+S11-T10+U11-V10+W11-X10</f>
        <v>147480</v>
      </c>
      <c r="K3" s="5" t="s">
        <v>10</v>
      </c>
      <c r="L3" s="5" t="s">
        <v>11</v>
      </c>
      <c r="M3" s="5" t="s">
        <v>12</v>
      </c>
      <c r="N3" s="6">
        <f>N4*I4/O1</f>
        <v>62.53129757164244</v>
      </c>
      <c r="O3" s="6">
        <f>K7+M7+O7+Q7+S7+U7+W7</f>
        <v>62.531297571642433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2949.6</v>
      </c>
      <c r="K4" s="8">
        <v>0.98</v>
      </c>
      <c r="L4" s="8">
        <f>IF(J5=0,L1,(L8+N8+P8+R8+T8+V8+X8)/J5/K4)</f>
        <v>0.11499999999999999</v>
      </c>
      <c r="M4" s="8">
        <f>IF(J5=0,0,(L9+N9+P9+R9+T9+V9+X9)/J5/K4)</f>
        <v>2.9999999999999995E-2</v>
      </c>
      <c r="N4" s="2">
        <f>IF(L4&gt;L1,J4*(1-L4)/(1-L1)*(1-M4)*K4,J4*K4*(1-M4))</f>
        <v>2757.1582639999997</v>
      </c>
      <c r="V4" s="6"/>
    </row>
    <row r="5" spans="1:24" x14ac:dyDescent="0.25">
      <c r="B5" t="s">
        <v>16</v>
      </c>
      <c r="D5" s="65">
        <v>44471</v>
      </c>
      <c r="E5" s="52"/>
      <c r="F5" s="13">
        <v>44471</v>
      </c>
      <c r="J5" s="6">
        <f>J3/O1</f>
        <v>66.89580272760017</v>
      </c>
      <c r="N5" s="2">
        <v>157</v>
      </c>
      <c r="O5" s="3">
        <f>N4/N5</f>
        <v>17.561517605095538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62.531297571642433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0.115</v>
      </c>
      <c r="L8" s="6">
        <f>(L11-L10/$O1)*$K4*K8</f>
        <v>7.5391569674005385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1.9667366001914448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65708.51576241375</v>
      </c>
      <c r="E10" s="55"/>
      <c r="F10" s="56"/>
      <c r="G10" s="54">
        <f>J3/J2*G11</f>
        <v>81771.48423758625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65860</v>
      </c>
      <c r="E11" s="58"/>
      <c r="F11" s="59"/>
      <c r="G11" s="57">
        <f>H14+I14</f>
        <v>81960</v>
      </c>
      <c r="H11" s="58"/>
      <c r="I11" s="58"/>
      <c r="J11" s="25"/>
      <c r="K11" s="26">
        <f>K14+L14</f>
        <v>147480</v>
      </c>
      <c r="L11" s="27">
        <f>K11/2204.62262184877</f>
        <v>66.89580272760017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54</v>
      </c>
      <c r="L12" s="51"/>
      <c r="M12" s="50" t="s">
        <v>48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65860</v>
      </c>
      <c r="F14" s="30">
        <f>SUM(F15:F133)</f>
        <v>0</v>
      </c>
      <c r="G14" s="29"/>
      <c r="H14" s="4">
        <f>SUM(H15:H133)</f>
        <v>81960</v>
      </c>
      <c r="I14" s="4">
        <f>SUM(I15:I133)</f>
        <v>0</v>
      </c>
      <c r="J14" s="25"/>
      <c r="K14" s="23">
        <f t="shared" ref="K14:X14" si="0">SUM(K15:K133)</f>
        <v>147480</v>
      </c>
      <c r="L14" s="24">
        <f t="shared" si="0"/>
        <v>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160</v>
      </c>
      <c r="E16">
        <v>9020</v>
      </c>
      <c r="F16" s="21"/>
      <c r="G16" s="29">
        <v>677</v>
      </c>
      <c r="H16">
        <v>13540</v>
      </c>
      <c r="J16" s="29"/>
      <c r="K16">
        <v>22320</v>
      </c>
    </row>
    <row r="17" spans="3:21" x14ac:dyDescent="0.25">
      <c r="C17" s="21">
        <v>2</v>
      </c>
      <c r="D17" s="29">
        <v>161</v>
      </c>
      <c r="E17">
        <v>16860</v>
      </c>
      <c r="F17" s="21"/>
      <c r="G17" s="29">
        <v>678</v>
      </c>
      <c r="H17">
        <v>19060</v>
      </c>
      <c r="J17" s="29"/>
      <c r="K17">
        <v>36180</v>
      </c>
    </row>
    <row r="18" spans="3:21" x14ac:dyDescent="0.25">
      <c r="C18" s="21">
        <v>3</v>
      </c>
      <c r="D18" s="29">
        <v>162</v>
      </c>
      <c r="E18">
        <v>14520</v>
      </c>
      <c r="F18" s="21"/>
      <c r="G18" s="29">
        <v>679</v>
      </c>
      <c r="H18">
        <v>15800</v>
      </c>
      <c r="J18" s="29"/>
      <c r="K18">
        <v>30320</v>
      </c>
    </row>
    <row r="19" spans="3:21" x14ac:dyDescent="0.25">
      <c r="C19" s="21">
        <v>4</v>
      </c>
      <c r="D19">
        <v>163</v>
      </c>
      <c r="E19">
        <v>10260</v>
      </c>
      <c r="F19" s="21"/>
      <c r="G19">
        <v>680</v>
      </c>
      <c r="H19">
        <v>16000</v>
      </c>
      <c r="J19" s="29"/>
    </row>
    <row r="20" spans="3:21" x14ac:dyDescent="0.25">
      <c r="C20" s="21"/>
      <c r="D20">
        <v>164</v>
      </c>
      <c r="E20">
        <v>4400</v>
      </c>
      <c r="F20" s="21"/>
      <c r="G20">
        <v>681</v>
      </c>
      <c r="H20">
        <v>6040</v>
      </c>
      <c r="J20" s="29"/>
      <c r="K20">
        <v>36800</v>
      </c>
    </row>
    <row r="21" spans="3:21" x14ac:dyDescent="0.25">
      <c r="C21" s="21">
        <v>5</v>
      </c>
      <c r="D21">
        <v>165</v>
      </c>
      <c r="E21">
        <v>10800</v>
      </c>
      <c r="F21" s="21"/>
      <c r="G21">
        <v>682</v>
      </c>
      <c r="H21">
        <v>11520</v>
      </c>
      <c r="J21" s="29"/>
      <c r="K21">
        <v>21860</v>
      </c>
    </row>
    <row r="22" spans="3:21" x14ac:dyDescent="0.25">
      <c r="C22" s="21"/>
      <c r="F22" s="21"/>
      <c r="J22" s="29"/>
    </row>
    <row r="23" spans="3:21" x14ac:dyDescent="0.25">
      <c r="C23" s="21"/>
      <c r="F23" s="21"/>
      <c r="J23" s="29"/>
    </row>
    <row r="24" spans="3:21" x14ac:dyDescent="0.25">
      <c r="C24" s="21"/>
      <c r="F24" s="21"/>
      <c r="J24" s="29"/>
    </row>
    <row r="25" spans="3:21" x14ac:dyDescent="0.25">
      <c r="C25" s="21"/>
      <c r="F25" s="21"/>
      <c r="J25" s="29"/>
    </row>
    <row r="26" spans="3:21" x14ac:dyDescent="0.25">
      <c r="C26" s="21"/>
      <c r="F26" s="21"/>
      <c r="J26" s="29"/>
    </row>
    <row r="27" spans="3:21" x14ac:dyDescent="0.25">
      <c r="C27" s="21"/>
      <c r="F27" s="21"/>
      <c r="I27" s="21"/>
      <c r="J27" s="29"/>
    </row>
    <row r="28" spans="3:21" x14ac:dyDescent="0.25">
      <c r="C28" s="21"/>
      <c r="F28" s="21"/>
      <c r="I28" s="21"/>
      <c r="J28" s="29"/>
    </row>
    <row r="29" spans="3:21" x14ac:dyDescent="0.25">
      <c r="C29" s="21"/>
      <c r="J29" s="29"/>
    </row>
    <row r="30" spans="3:21" x14ac:dyDescent="0.25">
      <c r="C30" s="21"/>
      <c r="D30" s="38"/>
      <c r="F30" s="21"/>
      <c r="J30" s="29"/>
    </row>
    <row r="31" spans="3:21" x14ac:dyDescent="0.25">
      <c r="C31" s="21"/>
      <c r="F31" s="21"/>
      <c r="J31" s="29"/>
    </row>
    <row r="32" spans="3:21" x14ac:dyDescent="0.25">
      <c r="C32" s="21"/>
      <c r="F32" s="21"/>
      <c r="J32" s="29"/>
      <c r="U32" t="s">
        <v>55</v>
      </c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20" x14ac:dyDescent="0.25">
      <c r="C49" s="21"/>
      <c r="F49" s="21"/>
      <c r="J49" s="29"/>
    </row>
    <row r="50" spans="1:20" x14ac:dyDescent="0.25">
      <c r="C50" s="21"/>
      <c r="F50" s="21"/>
      <c r="J50" s="29"/>
    </row>
    <row r="51" spans="1:20" x14ac:dyDescent="0.25">
      <c r="C51" s="21"/>
      <c r="F51" s="21"/>
      <c r="J51" s="29"/>
    </row>
    <row r="52" spans="1:20" x14ac:dyDescent="0.25">
      <c r="C52" s="21"/>
      <c r="F52" s="21"/>
      <c r="J52" s="29"/>
    </row>
    <row r="53" spans="1:20" x14ac:dyDescent="0.25">
      <c r="C53" s="21"/>
      <c r="F53" s="21"/>
      <c r="J53" s="29"/>
    </row>
    <row r="54" spans="1:20" x14ac:dyDescent="0.25">
      <c r="C54" s="21"/>
      <c r="F54" s="21"/>
      <c r="J54" s="29"/>
    </row>
    <row r="55" spans="1:20" x14ac:dyDescent="0.25">
      <c r="C55" s="21"/>
      <c r="F55" s="21"/>
      <c r="J55" s="29"/>
      <c r="L55" s="9"/>
      <c r="M55" s="9"/>
    </row>
    <row r="56" spans="1:20" x14ac:dyDescent="0.25">
      <c r="C56" s="21"/>
      <c r="F56" s="21"/>
      <c r="J56" s="29"/>
    </row>
    <row r="57" spans="1:20" x14ac:dyDescent="0.25">
      <c r="C57" s="21"/>
      <c r="F57" s="21"/>
      <c r="J57" s="29"/>
    </row>
    <row r="58" spans="1:20" s="9" customFormat="1" x14ac:dyDescent="0.25">
      <c r="A58"/>
      <c r="C58" s="35"/>
      <c r="D58"/>
      <c r="E58"/>
      <c r="F58" s="21"/>
      <c r="G58"/>
      <c r="H58"/>
      <c r="I58"/>
      <c r="J58" s="29"/>
      <c r="K58"/>
      <c r="S58"/>
      <c r="T58"/>
    </row>
    <row r="59" spans="1:20" s="9" customFormat="1" x14ac:dyDescent="0.25">
      <c r="A59"/>
      <c r="C59" s="35"/>
      <c r="D59"/>
      <c r="E59"/>
      <c r="F59" s="21"/>
      <c r="G59"/>
      <c r="H59"/>
      <c r="I59"/>
      <c r="J59" s="29"/>
      <c r="K59"/>
      <c r="S59"/>
      <c r="T59"/>
    </row>
    <row r="60" spans="1:20" s="9" customFormat="1" x14ac:dyDescent="0.25">
      <c r="A60"/>
      <c r="C60" s="35"/>
      <c r="D60"/>
      <c r="E60"/>
      <c r="F60" s="21"/>
      <c r="G60"/>
      <c r="H60"/>
      <c r="I60"/>
      <c r="J60" s="29"/>
      <c r="K60"/>
      <c r="S60"/>
      <c r="T60"/>
    </row>
    <row r="61" spans="1:20" s="9" customFormat="1" x14ac:dyDescent="0.25">
      <c r="A61"/>
      <c r="C61" s="35"/>
      <c r="D61"/>
      <c r="E61"/>
      <c r="F61" s="21"/>
      <c r="G61"/>
      <c r="H61"/>
      <c r="J61" s="47"/>
      <c r="K61"/>
      <c r="S61"/>
      <c r="T61"/>
    </row>
    <row r="62" spans="1:20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  <c r="S62"/>
      <c r="T62"/>
    </row>
    <row r="63" spans="1:20" x14ac:dyDescent="0.25">
      <c r="C63" s="21"/>
      <c r="D63" s="29"/>
      <c r="F63" s="21"/>
      <c r="J63" s="29"/>
      <c r="O63" s="9"/>
    </row>
    <row r="64" spans="1:20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45D3-6577-43A4-B81C-5BE47FFAB461}">
  <sheetPr>
    <pageSetUpPr fitToPage="1"/>
  </sheetPr>
  <dimension ref="A1:X52"/>
  <sheetViews>
    <sheetView tabSelected="1" workbookViewId="0">
      <pane ySplit="15" topLeftCell="A16" activePane="bottomLeft" state="frozen"/>
      <selection pane="bottomLeft" activeCell="N6" sqref="N6"/>
    </sheetView>
  </sheetViews>
  <sheetFormatPr defaultRowHeight="15" x14ac:dyDescent="0.25"/>
  <cols>
    <col min="1" max="1" width="4" customWidth="1"/>
    <col min="2" max="2" width="9.7109375" bestFit="1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[12]Summary!E2</f>
        <v>0.16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275700</v>
      </c>
      <c r="K2">
        <f>J2-J3</f>
        <v>2100</v>
      </c>
      <c r="L2" s="1">
        <f>K2/J2</f>
        <v>7.6169749727965181E-3</v>
      </c>
    </row>
    <row r="3" spans="1:24" x14ac:dyDescent="0.25">
      <c r="B3" t="s">
        <v>6</v>
      </c>
      <c r="D3" s="64" t="s">
        <v>131</v>
      </c>
      <c r="E3" s="52"/>
      <c r="F3" t="s">
        <v>132</v>
      </c>
      <c r="H3" s="63" t="s">
        <v>9</v>
      </c>
      <c r="I3" s="63"/>
      <c r="J3">
        <f>K11-L10+M11-N10+O11-P10+Q11-R10+S11-T10+U11-V10+W11-X10</f>
        <v>273600</v>
      </c>
      <c r="K3" s="5" t="s">
        <v>10</v>
      </c>
      <c r="L3" s="5" t="s">
        <v>11</v>
      </c>
      <c r="M3" s="5" t="s">
        <v>12</v>
      </c>
      <c r="N3" s="6">
        <f>N4*I4/O1</f>
        <v>119.06603325147513</v>
      </c>
      <c r="O3" s="7">
        <f>K7+M7+O7+Q7+S7+U7+W7</f>
        <v>119.06603325147515</v>
      </c>
    </row>
    <row r="4" spans="1:24" x14ac:dyDescent="0.25">
      <c r="B4" t="s">
        <v>14</v>
      </c>
      <c r="D4" s="65" t="str">
        <f>[12]Summary!C2</f>
        <v>Peas</v>
      </c>
      <c r="E4" s="52"/>
      <c r="F4" s="2">
        <v>2021</v>
      </c>
      <c r="I4" s="2">
        <f>[12]Summary!D2</f>
        <v>60</v>
      </c>
      <c r="J4" s="2">
        <f>J3/I4</f>
        <v>4560</v>
      </c>
      <c r="K4" s="8">
        <v>0.97699999999999998</v>
      </c>
      <c r="L4" s="8">
        <f>IF(J5=0,L1,(L8+N8+P8+R8+T8+V8+X8)/J5/K4)</f>
        <v>0.151</v>
      </c>
      <c r="M4" s="8">
        <f>IF(J5=0,0,(L9+N9+P9+R9+T9+V9+X9)/J5/K4)</f>
        <v>1.7999999999999999E-2</v>
      </c>
      <c r="N4" s="2">
        <f>IF(L4&gt;L1,J4*(1-L4)/(1-L1)*(1-M4)*K4,J4*K4*(1-M4))</f>
        <v>4374.9278399999994</v>
      </c>
      <c r="V4" s="6"/>
    </row>
    <row r="5" spans="1:24" x14ac:dyDescent="0.25">
      <c r="B5" t="s">
        <v>16</v>
      </c>
      <c r="D5" s="65">
        <v>44435</v>
      </c>
      <c r="E5" s="52"/>
      <c r="F5" s="13">
        <v>44436</v>
      </c>
      <c r="J5" s="6">
        <f>J3/O1</f>
        <v>124.10287243200032</v>
      </c>
      <c r="N5" s="2">
        <v>154</v>
      </c>
      <c r="O5" s="14">
        <f>N4/N5</f>
        <v>28.408622337662333</v>
      </c>
      <c r="P5" s="9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62.109299216558966</v>
      </c>
      <c r="L7" s="9"/>
      <c r="M7" s="7">
        <f>IF(M8&gt;$L1,(N11-N10/$O1)*$K4*(1-M8)/(1-$L1)*(1-M9),(N11-N10/$O1)*$K4*(1-M9))</f>
        <v>56.956734034916188</v>
      </c>
      <c r="N7" s="9"/>
      <c r="O7" s="7">
        <f>IF(O8&gt;$L1,(P11-P10/$O1)*$K4*(1-O8)/(1-$L1)*(1-O9),(P11-P10/$O1)*$K4*(1-O9))</f>
        <v>0</v>
      </c>
      <c r="P7" s="9"/>
      <c r="Q7" s="7">
        <f>IF(Q8&gt;$L1,(R11-R10/$O1)*$K4*(1-Q8)/(1-$L1)*(1-Q9),(R11-R10/$O1)*$K4*(1-Q9))</f>
        <v>0</v>
      </c>
      <c r="R7" s="9"/>
      <c r="S7" s="7">
        <f>IF(S8&gt;$L1,(T11-T10/$O1)*$K4*(1-S8)/(1-$L1)*(1-S9),(T11-T10/$O1)*$K4*(1-S9))</f>
        <v>0</v>
      </c>
      <c r="T7" s="9"/>
      <c r="U7" s="7">
        <f>IF(U8&gt;$L1,(V11-V10/$O1)*$K4*(1-U8)/(1-$L1)*(1-U9),(V11-V10/$O1)*$K4*(1-U9))</f>
        <v>0</v>
      </c>
      <c r="V7" s="9"/>
      <c r="W7" s="7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0.151</v>
      </c>
      <c r="L8" s="6">
        <f>(L11-L10/$O1)*$K4*K8</f>
        <v>9.5504115903262772</v>
      </c>
      <c r="M8" s="1">
        <v>0.151</v>
      </c>
      <c r="N8" s="6">
        <f>(N11-N10/$O1)*$K4*M8</f>
        <v>8.758112870949434</v>
      </c>
      <c r="O8" s="1">
        <v>0.18</v>
      </c>
      <c r="P8" s="6">
        <f>(P11-P10/$O1)*$K4*O8</f>
        <v>0</v>
      </c>
      <c r="Q8" s="1">
        <v>0.16</v>
      </c>
      <c r="R8" s="6">
        <f>(R11-R10/$O1)*$K4*Q8</f>
        <v>0</v>
      </c>
      <c r="S8" s="1">
        <v>0.16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1.7999999999999999E-2</v>
      </c>
      <c r="L9" s="6">
        <f>(L11-L10/$O1)*$K4*K9</f>
        <v>1.1384596597739931</v>
      </c>
      <c r="M9" s="1">
        <v>1.7999999999999999E-2</v>
      </c>
      <c r="N9" s="6">
        <f>(N11-N10/$O1)*$K4*M9</f>
        <v>1.0440134548151643</v>
      </c>
      <c r="O9" s="1">
        <v>0.01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0.01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130498.36779107725</v>
      </c>
      <c r="E10" s="55"/>
      <c r="F10" s="56"/>
      <c r="G10" s="54">
        <f>J3/J2*G11</f>
        <v>143101.63220892273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131500</v>
      </c>
      <c r="E11" s="58"/>
      <c r="F11" s="59"/>
      <c r="G11" s="57">
        <f>H14+I14</f>
        <v>144200</v>
      </c>
      <c r="H11" s="58"/>
      <c r="I11" s="58"/>
      <c r="J11" s="25"/>
      <c r="K11" s="26">
        <f>K14+L14</f>
        <v>142720</v>
      </c>
      <c r="L11" s="27">
        <f>K11/2204.62262184877</f>
        <v>64.736703046400166</v>
      </c>
      <c r="M11" s="26">
        <f>M14+N14</f>
        <v>130880</v>
      </c>
      <c r="N11" s="27">
        <f>M11/2204.62262184877</f>
        <v>59.366169385600159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133</v>
      </c>
      <c r="L12" s="51"/>
      <c r="M12" s="50" t="s">
        <v>85</v>
      </c>
      <c r="N12" s="51"/>
      <c r="O12" s="50" t="s">
        <v>90</v>
      </c>
      <c r="P12" s="51"/>
      <c r="Q12" s="50" t="s">
        <v>86</v>
      </c>
      <c r="R12" s="51"/>
      <c r="S12" s="50" t="s">
        <v>87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SUM(E15:E77)</f>
        <v>131500</v>
      </c>
      <c r="F14" s="30">
        <f>SUM(F15:F77)</f>
        <v>0</v>
      </c>
      <c r="G14" s="29"/>
      <c r="H14" s="4">
        <f>SUM(H15:H77)</f>
        <v>144200</v>
      </c>
      <c r="I14" s="4">
        <f>SUM(I15:I77)</f>
        <v>0</v>
      </c>
      <c r="J14" s="25"/>
      <c r="K14" s="23">
        <f t="shared" ref="K14:X14" si="0">SUM(K15:K77)</f>
        <v>0</v>
      </c>
      <c r="L14" s="24">
        <f t="shared" si="0"/>
        <v>142720</v>
      </c>
      <c r="M14" s="23">
        <f t="shared" si="0"/>
        <v>130880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/>
      <c r="N15" s="32"/>
      <c r="O15" s="31" t="s">
        <v>88</v>
      </c>
      <c r="P15" s="32" t="s">
        <v>89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D16">
        <v>44</v>
      </c>
      <c r="E16">
        <v>25460</v>
      </c>
      <c r="F16" s="21"/>
      <c r="G16">
        <v>561</v>
      </c>
      <c r="H16">
        <v>23200</v>
      </c>
      <c r="J16" s="29"/>
      <c r="M16">
        <v>48240</v>
      </c>
    </row>
    <row r="17" spans="2:13" x14ac:dyDescent="0.25">
      <c r="B17">
        <v>2</v>
      </c>
      <c r="C17" s="21"/>
      <c r="D17">
        <v>45</v>
      </c>
      <c r="E17">
        <v>22160</v>
      </c>
      <c r="F17" s="21"/>
      <c r="G17">
        <v>562</v>
      </c>
      <c r="H17">
        <v>21820</v>
      </c>
      <c r="J17" s="29"/>
      <c r="L17">
        <v>43380</v>
      </c>
    </row>
    <row r="18" spans="2:13" x14ac:dyDescent="0.25">
      <c r="B18">
        <v>3</v>
      </c>
      <c r="C18" s="21"/>
      <c r="D18">
        <v>46</v>
      </c>
      <c r="E18">
        <v>19860</v>
      </c>
      <c r="F18" s="21"/>
      <c r="G18">
        <v>563</v>
      </c>
      <c r="H18">
        <v>20620</v>
      </c>
      <c r="J18" s="29" t="s">
        <v>58</v>
      </c>
      <c r="L18">
        <v>26720</v>
      </c>
    </row>
    <row r="19" spans="2:13" x14ac:dyDescent="0.25">
      <c r="B19">
        <v>4</v>
      </c>
      <c r="C19" s="21"/>
      <c r="D19">
        <v>47</v>
      </c>
      <c r="E19">
        <v>16980</v>
      </c>
      <c r="F19" s="21"/>
      <c r="G19">
        <v>564</v>
      </c>
      <c r="H19">
        <v>19700</v>
      </c>
      <c r="J19" s="29"/>
      <c r="M19">
        <v>50580</v>
      </c>
    </row>
    <row r="20" spans="2:13" x14ac:dyDescent="0.25">
      <c r="B20">
        <v>5</v>
      </c>
      <c r="C20" s="21"/>
      <c r="D20">
        <v>48</v>
      </c>
      <c r="E20">
        <v>24280</v>
      </c>
      <c r="F20" s="21"/>
      <c r="G20">
        <v>565</v>
      </c>
      <c r="H20">
        <v>26240</v>
      </c>
      <c r="J20" s="29"/>
      <c r="L20">
        <v>49440</v>
      </c>
    </row>
    <row r="21" spans="2:13" x14ac:dyDescent="0.25">
      <c r="B21">
        <v>6</v>
      </c>
      <c r="C21" s="21"/>
      <c r="D21">
        <v>49</v>
      </c>
      <c r="E21">
        <v>8680</v>
      </c>
      <c r="F21" s="21"/>
      <c r="G21">
        <v>566</v>
      </c>
      <c r="H21">
        <v>14580</v>
      </c>
      <c r="J21" s="29"/>
      <c r="L21">
        <v>23180</v>
      </c>
    </row>
    <row r="22" spans="2:13" x14ac:dyDescent="0.25">
      <c r="B22">
        <v>7</v>
      </c>
      <c r="C22" s="21"/>
      <c r="D22">
        <v>50</v>
      </c>
      <c r="E22">
        <v>14080</v>
      </c>
      <c r="F22" s="21"/>
      <c r="G22">
        <v>567</v>
      </c>
      <c r="H22">
        <v>18040</v>
      </c>
      <c r="J22" s="29"/>
      <c r="M22">
        <v>32060</v>
      </c>
    </row>
    <row r="23" spans="2:13" x14ac:dyDescent="0.25">
      <c r="C23" s="21"/>
      <c r="F23" s="21"/>
      <c r="J23" s="29"/>
    </row>
    <row r="24" spans="2:13" x14ac:dyDescent="0.25">
      <c r="C24" s="21"/>
      <c r="F24" s="21"/>
      <c r="J24" s="29"/>
    </row>
    <row r="25" spans="2:13" x14ac:dyDescent="0.25">
      <c r="C25" s="21"/>
      <c r="F25" s="21"/>
      <c r="J25" s="29"/>
    </row>
    <row r="26" spans="2:13" x14ac:dyDescent="0.25">
      <c r="C26" s="21"/>
      <c r="F26" s="21"/>
      <c r="J26" s="29"/>
    </row>
    <row r="27" spans="2:13" x14ac:dyDescent="0.25">
      <c r="C27" s="21"/>
      <c r="F27" s="21"/>
      <c r="J27" s="29"/>
    </row>
    <row r="28" spans="2:13" x14ac:dyDescent="0.25">
      <c r="C28" s="21"/>
      <c r="F28" s="21"/>
      <c r="J28" s="29"/>
    </row>
    <row r="29" spans="2:13" x14ac:dyDescent="0.25">
      <c r="C29" s="21"/>
      <c r="F29" s="21"/>
      <c r="J29" s="29"/>
    </row>
    <row r="30" spans="2:13" x14ac:dyDescent="0.25">
      <c r="C30" s="21"/>
      <c r="F30" s="21"/>
      <c r="J30" s="29"/>
    </row>
    <row r="31" spans="2:13" x14ac:dyDescent="0.25">
      <c r="C31" s="21"/>
      <c r="F31" s="21"/>
      <c r="J31" s="29"/>
    </row>
    <row r="32" spans="2:13" x14ac:dyDescent="0.25">
      <c r="C32" s="21"/>
      <c r="F32" s="21"/>
      <c r="J32" s="29"/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D36" s="29"/>
      <c r="F36" s="21"/>
      <c r="J36" s="29"/>
    </row>
    <row r="37" spans="3:10" x14ac:dyDescent="0.25">
      <c r="C37" s="21"/>
      <c r="D37" s="29"/>
      <c r="F37" s="21"/>
      <c r="G37" s="29"/>
      <c r="J37" s="29"/>
    </row>
    <row r="38" spans="3:10" x14ac:dyDescent="0.25">
      <c r="C38" s="21"/>
      <c r="D38" s="29"/>
      <c r="F38" s="21"/>
      <c r="G38" s="29"/>
      <c r="J38" s="29"/>
    </row>
    <row r="39" spans="3:10" x14ac:dyDescent="0.25">
      <c r="C39" s="21"/>
      <c r="D39" s="29"/>
      <c r="F39" s="21"/>
      <c r="G39" s="29"/>
      <c r="J39" s="29"/>
    </row>
    <row r="40" spans="3:10" x14ac:dyDescent="0.25">
      <c r="C40" s="21"/>
      <c r="D40" s="29"/>
      <c r="F40" s="21"/>
      <c r="G40" s="29"/>
      <c r="J40" s="29"/>
    </row>
    <row r="41" spans="3:10" x14ac:dyDescent="0.25">
      <c r="C41" s="21"/>
      <c r="D41" s="29"/>
      <c r="F41" s="21"/>
      <c r="G41" s="29"/>
      <c r="J41" s="29"/>
    </row>
    <row r="42" spans="3:10" x14ac:dyDescent="0.25">
      <c r="C42" s="21"/>
      <c r="D42" s="29"/>
      <c r="F42" s="21"/>
      <c r="G42" s="29"/>
      <c r="J42" s="29"/>
    </row>
    <row r="43" spans="3:10" x14ac:dyDescent="0.25">
      <c r="C43" s="21"/>
      <c r="D43" s="29"/>
      <c r="F43" s="21"/>
      <c r="G43" s="29"/>
      <c r="J43" s="29"/>
    </row>
    <row r="44" spans="3:10" x14ac:dyDescent="0.25">
      <c r="C44" s="21"/>
      <c r="D44" s="29"/>
      <c r="F44" s="21"/>
      <c r="G44" s="29"/>
      <c r="J44" s="29"/>
    </row>
    <row r="45" spans="3:10" x14ac:dyDescent="0.25">
      <c r="C45" s="21"/>
      <c r="D45" s="29"/>
      <c r="F45" s="21"/>
      <c r="G45" s="29"/>
      <c r="J45" s="29"/>
    </row>
    <row r="46" spans="3:10" x14ac:dyDescent="0.25">
      <c r="D46" s="29"/>
      <c r="F46" s="21"/>
      <c r="G46" s="29"/>
      <c r="J46" s="29"/>
    </row>
    <row r="47" spans="3:10" x14ac:dyDescent="0.25">
      <c r="D47" s="29"/>
      <c r="F47" s="21"/>
      <c r="G47" s="29"/>
      <c r="J47" s="29"/>
    </row>
    <row r="48" spans="3:10" x14ac:dyDescent="0.25">
      <c r="D48" s="29"/>
      <c r="F48" s="21"/>
      <c r="G48" s="29"/>
      <c r="J48" s="29"/>
    </row>
    <row r="49" spans="4:10" x14ac:dyDescent="0.25">
      <c r="D49" s="29"/>
      <c r="F49" s="21"/>
      <c r="G49" s="29"/>
      <c r="J49" s="29"/>
    </row>
    <row r="50" spans="4:10" x14ac:dyDescent="0.25">
      <c r="D50" s="29"/>
      <c r="F50" s="21"/>
      <c r="G50" s="29"/>
      <c r="J50" s="29"/>
    </row>
    <row r="51" spans="4:10" x14ac:dyDescent="0.25">
      <c r="D51" s="29"/>
      <c r="F51" s="21"/>
      <c r="G51" s="29"/>
      <c r="J51" s="29"/>
    </row>
    <row r="52" spans="4:10" x14ac:dyDescent="0.25">
      <c r="D52" s="31"/>
      <c r="E52" s="41" t="s">
        <v>39</v>
      </c>
      <c r="F52" s="32"/>
      <c r="G52" s="31"/>
      <c r="H52" s="41" t="s">
        <v>39</v>
      </c>
      <c r="I52" s="41"/>
      <c r="J52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5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833C-BEDA-4BE1-BC9A-32DBBC7DBA9D}">
  <dimension ref="A1:AC83"/>
  <sheetViews>
    <sheetView workbookViewId="0">
      <pane ySplit="15" topLeftCell="A16" activePane="bottomLeft" state="frozen"/>
      <selection activeCell="F4" sqref="F4"/>
      <selection pane="bottomLeft" activeCell="F4" sqref="F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style="2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[2]Summary!E2</f>
        <v>0.16</v>
      </c>
      <c r="O1">
        <v>2204.62262184877</v>
      </c>
    </row>
    <row r="2" spans="1:27" x14ac:dyDescent="0.25">
      <c r="G2"/>
      <c r="H2" s="63" t="s">
        <v>4</v>
      </c>
      <c r="I2" s="63" t="s">
        <v>4</v>
      </c>
      <c r="J2">
        <f>+D11+G11</f>
        <v>246375</v>
      </c>
      <c r="K2">
        <f>J2-J3</f>
        <v>815</v>
      </c>
      <c r="L2" s="1">
        <f>K2/J2</f>
        <v>3.3079654997463215E-3</v>
      </c>
    </row>
    <row r="3" spans="1:27" x14ac:dyDescent="0.25">
      <c r="B3" t="s">
        <v>6</v>
      </c>
      <c r="D3" s="64" t="s">
        <v>92</v>
      </c>
      <c r="E3" s="52"/>
      <c r="F3" t="s">
        <v>93</v>
      </c>
      <c r="G3"/>
      <c r="H3" s="63" t="s">
        <v>9</v>
      </c>
      <c r="I3" s="63"/>
      <c r="J3">
        <f>K11-L10+M11-N10+O11-P10+Q11-R10+S11-T10+U11-V10+W11-X10</f>
        <v>245560</v>
      </c>
      <c r="K3" s="5" t="s">
        <v>10</v>
      </c>
      <c r="L3" s="5" t="s">
        <v>11</v>
      </c>
      <c r="M3" s="5" t="s">
        <v>12</v>
      </c>
      <c r="N3" s="6">
        <f>N4*I4/O1</f>
        <v>108.06489493435973</v>
      </c>
      <c r="O3" s="6">
        <f>K7+M7+O7+Q7+S7+U7+W7</f>
        <v>108.06489493435973</v>
      </c>
    </row>
    <row r="4" spans="1:27" x14ac:dyDescent="0.25">
      <c r="B4" t="s">
        <v>14</v>
      </c>
      <c r="D4" s="65" t="str">
        <f>[2]Summary!C2</f>
        <v>Peas</v>
      </c>
      <c r="E4" s="52"/>
      <c r="F4" s="2">
        <v>2021</v>
      </c>
      <c r="G4"/>
      <c r="I4" s="2">
        <f>[2]Summary!D2</f>
        <v>60</v>
      </c>
      <c r="J4" s="2">
        <f>J3/I4</f>
        <v>4092.6666666666665</v>
      </c>
      <c r="K4" s="8">
        <v>0.98</v>
      </c>
      <c r="L4" s="8">
        <f>IF(J5=0,L1,(L8+N8+P8+R8+T8+V8+X8)/J5/K4)</f>
        <v>0.15999999999999998</v>
      </c>
      <c r="M4" s="8">
        <f>IF(J5=0,0,(L9+N9+P9+R9+T9+V9+X9)/J5/K4)</f>
        <v>9.9999999999999985E-3</v>
      </c>
      <c r="N4" s="2">
        <f>IF(L4&gt;L1,J4*(1-L4)/(1-L1)*(1-M4)*K4,J4*K4*(1-M4))</f>
        <v>3970.7051999999999</v>
      </c>
      <c r="V4" s="6"/>
    </row>
    <row r="5" spans="1:27" x14ac:dyDescent="0.25">
      <c r="B5" t="s">
        <v>16</v>
      </c>
      <c r="D5" s="65">
        <v>44427</v>
      </c>
      <c r="E5" s="52"/>
      <c r="F5" s="13">
        <v>44434</v>
      </c>
      <c r="G5"/>
      <c r="J5" s="6">
        <f>J3/O1</f>
        <v>111.38414237720029</v>
      </c>
      <c r="N5" s="2">
        <v>153</v>
      </c>
      <c r="O5" s="3">
        <f>N4/N5</f>
        <v>25.95232156862745</v>
      </c>
      <c r="P5" t="s">
        <v>17</v>
      </c>
      <c r="V5" s="6"/>
    </row>
    <row r="6" spans="1:27" x14ac:dyDescent="0.25">
      <c r="D6" s="9"/>
      <c r="G6"/>
      <c r="J6" s="6"/>
      <c r="K6" s="15"/>
      <c r="L6" s="16"/>
      <c r="M6" s="15"/>
      <c r="N6" s="2"/>
      <c r="O6" s="3"/>
    </row>
    <row r="7" spans="1:27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25.550772926734506</v>
      </c>
      <c r="M7" s="6">
        <f>IF(M8&gt;$L1,(N11-N10/$O1)*$K4*(1-M8)/(1-$L1)*(1-M9),(N11-N10/$O1)*$K4*(1-M9))</f>
        <v>0.800937077620682</v>
      </c>
      <c r="O7" s="6">
        <f>IF(O8&gt;$L1,(P11-P10/$O1)*$K4*(1-O8)/(1-$L1)*(1-O9),(P11-P10/$O1)*$K4*(1-O9))</f>
        <v>41.270263263333824</v>
      </c>
      <c r="Q7" s="6">
        <f>IF(Q8&gt;$L1,(R11-R10/$O1)*$K4*(1-Q8)/(1-$L1)*(1-Q9),(R11-R10/$O1)*$K4*(1-Q9))</f>
        <v>40.442921666670706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7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</v>
      </c>
      <c r="L8" s="6">
        <f>(L11-L10/$O1)*$K4*K8</f>
        <v>4.1294178467449703</v>
      </c>
      <c r="M8" s="1">
        <v>0.16</v>
      </c>
      <c r="N8" s="6">
        <f>(N11-N10/$O1)*$K4*M8</f>
        <v>0.12944437618112034</v>
      </c>
      <c r="O8" s="1">
        <v>0.16</v>
      </c>
      <c r="P8" s="6">
        <f>(P11-P10/$O1)*$K4*O8</f>
        <v>6.6699415375084969</v>
      </c>
      <c r="Q8" s="1">
        <v>0.16</v>
      </c>
      <c r="R8" s="6">
        <f>(R11-R10/$O1)*$K4*Q8</f>
        <v>6.5362297643104172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7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0.25808861542156064</v>
      </c>
      <c r="M9" s="1">
        <v>0.01</v>
      </c>
      <c r="N9" s="6">
        <f>(N11-N10/$O1)*$K4*M9</f>
        <v>8.0902735113200213E-3</v>
      </c>
      <c r="O9" s="1">
        <v>0.01</v>
      </c>
      <c r="P9" s="6">
        <f>(P11-P10/$O1)*$K4*O9</f>
        <v>0.41687134609428106</v>
      </c>
      <c r="Q9" s="1">
        <v>0.01</v>
      </c>
      <c r="R9" s="6">
        <f>(R11-R10/$O1)*$K4*Q9</f>
        <v>0.40851436026940108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7" x14ac:dyDescent="0.25">
      <c r="B10" t="s">
        <v>20</v>
      </c>
      <c r="C10" s="21"/>
      <c r="D10" s="54">
        <f>J3/J2*D11</f>
        <v>92512.954642313547</v>
      </c>
      <c r="E10" s="55"/>
      <c r="F10" s="56"/>
      <c r="G10" s="54">
        <f>J3/J2*G11</f>
        <v>153047.04535768647</v>
      </c>
      <c r="H10" s="55"/>
      <c r="I10" s="56"/>
      <c r="J10" t="s">
        <v>21</v>
      </c>
      <c r="L10" s="22"/>
      <c r="N10" s="22">
        <v>0</v>
      </c>
      <c r="P10" s="22"/>
      <c r="R10" s="22"/>
      <c r="T10" s="22"/>
      <c r="V10" s="22"/>
      <c r="X10" s="22"/>
    </row>
    <row r="11" spans="1:27" x14ac:dyDescent="0.25">
      <c r="B11" t="s">
        <v>22</v>
      </c>
      <c r="C11" s="21"/>
      <c r="D11" s="57">
        <f>E14+F14</f>
        <v>92820</v>
      </c>
      <c r="E11" s="58"/>
      <c r="F11" s="59"/>
      <c r="G11" s="57">
        <f>H14+I14</f>
        <v>153555</v>
      </c>
      <c r="H11" s="58"/>
      <c r="I11" s="58"/>
      <c r="J11" s="25"/>
      <c r="K11" s="26">
        <f>K14+L14</f>
        <v>58060</v>
      </c>
      <c r="L11" s="27">
        <f>K11/2204.62262184877</f>
        <v>26.335573002200068</v>
      </c>
      <c r="M11" s="26">
        <f>M14+N14</f>
        <v>1820</v>
      </c>
      <c r="N11" s="27">
        <f>M11/2204.62262184877</f>
        <v>0.82553811340000216</v>
      </c>
      <c r="O11" s="26">
        <f>O14+P14</f>
        <v>93780</v>
      </c>
      <c r="P11" s="27">
        <f>O11/2204.62262184877</f>
        <v>42.537892458600112</v>
      </c>
      <c r="Q11" s="26">
        <f>Q14+R14</f>
        <v>91900</v>
      </c>
      <c r="R11" s="27">
        <f>Q11/2204.62262184877</f>
        <v>41.685138803000108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7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66</v>
      </c>
      <c r="L12" s="51"/>
      <c r="M12" s="50" t="s">
        <v>94</v>
      </c>
      <c r="N12" s="51"/>
      <c r="O12" s="50" t="s">
        <v>95</v>
      </c>
      <c r="P12" s="51"/>
      <c r="Q12" s="50" t="s">
        <v>86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7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7" x14ac:dyDescent="0.25">
      <c r="C14" s="21"/>
      <c r="D14" s="29"/>
      <c r="E14" s="4">
        <f>SUM(E15:E116)</f>
        <v>92820</v>
      </c>
      <c r="F14" s="30">
        <f>SUM(F15:F116)</f>
        <v>0</v>
      </c>
      <c r="G14" s="29"/>
      <c r="H14" s="4">
        <f>SUM(H15:H116)</f>
        <v>153555</v>
      </c>
      <c r="I14" s="4">
        <f>SUM(I15:I116)</f>
        <v>0</v>
      </c>
      <c r="J14" s="25"/>
      <c r="K14" s="23">
        <f t="shared" ref="K14:X14" si="0">SUM(K15:K116)</f>
        <v>58060</v>
      </c>
      <c r="L14" s="24">
        <f t="shared" si="0"/>
        <v>0</v>
      </c>
      <c r="M14" s="23">
        <f t="shared" si="0"/>
        <v>1820</v>
      </c>
      <c r="N14" s="24">
        <f t="shared" si="0"/>
        <v>0</v>
      </c>
      <c r="O14" s="23">
        <f t="shared" si="0"/>
        <v>93780</v>
      </c>
      <c r="P14" s="24">
        <f t="shared" si="0"/>
        <v>0</v>
      </c>
      <c r="Q14" s="23">
        <f t="shared" si="0"/>
        <v>91900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7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7" x14ac:dyDescent="0.25">
      <c r="B16">
        <v>1</v>
      </c>
      <c r="C16" s="21"/>
      <c r="F16" s="21"/>
      <c r="G16" s="34">
        <v>523</v>
      </c>
      <c r="H16">
        <v>23540</v>
      </c>
      <c r="I16" s="21"/>
      <c r="J16" s="7"/>
      <c r="N16" s="9"/>
      <c r="AA16" s="6"/>
    </row>
    <row r="17" spans="2:28" x14ac:dyDescent="0.25">
      <c r="C17" s="21"/>
      <c r="F17" s="21"/>
      <c r="G17" s="34">
        <v>524</v>
      </c>
      <c r="H17">
        <v>13700</v>
      </c>
      <c r="I17" s="21"/>
      <c r="J17" s="6"/>
      <c r="K17">
        <v>36720</v>
      </c>
      <c r="N17" s="9"/>
      <c r="Z17" s="2"/>
      <c r="AB17" s="2"/>
    </row>
    <row r="18" spans="2:28" x14ac:dyDescent="0.25">
      <c r="C18" s="21"/>
      <c r="F18" s="21"/>
      <c r="G18" s="34"/>
      <c r="H18" s="37">
        <v>21340</v>
      </c>
      <c r="I18" s="21"/>
      <c r="J18" s="7"/>
      <c r="K18">
        <v>21340</v>
      </c>
      <c r="N18" s="9"/>
      <c r="AA18" s="6"/>
    </row>
    <row r="19" spans="2:28" x14ac:dyDescent="0.25">
      <c r="C19" s="21"/>
      <c r="F19" s="21"/>
      <c r="G19" s="34"/>
      <c r="H19">
        <v>1855</v>
      </c>
      <c r="I19" s="21"/>
      <c r="J19" s="6"/>
      <c r="M19">
        <v>1820</v>
      </c>
    </row>
    <row r="20" spans="2:28" x14ac:dyDescent="0.25">
      <c r="B20">
        <v>2</v>
      </c>
      <c r="C20" s="21"/>
      <c r="D20">
        <v>31</v>
      </c>
      <c r="E20">
        <v>23080</v>
      </c>
      <c r="F20" s="21"/>
      <c r="G20" s="34">
        <v>549</v>
      </c>
      <c r="H20">
        <v>23700</v>
      </c>
      <c r="I20" s="21"/>
      <c r="J20" s="7"/>
      <c r="O20">
        <v>46140</v>
      </c>
      <c r="P20" s="9"/>
      <c r="Z20" s="2"/>
      <c r="AB20" s="2"/>
    </row>
    <row r="21" spans="2:28" x14ac:dyDescent="0.25">
      <c r="B21">
        <v>3</v>
      </c>
      <c r="C21" s="21"/>
      <c r="D21">
        <v>32</v>
      </c>
      <c r="E21">
        <v>24040</v>
      </c>
      <c r="F21" s="21"/>
      <c r="G21" s="34">
        <v>550</v>
      </c>
      <c r="H21">
        <v>23460</v>
      </c>
      <c r="I21" s="21"/>
      <c r="J21" s="7"/>
      <c r="O21">
        <v>47640</v>
      </c>
      <c r="P21" s="9"/>
      <c r="AA21" s="6"/>
    </row>
    <row r="22" spans="2:28" x14ac:dyDescent="0.25">
      <c r="B22">
        <v>4</v>
      </c>
      <c r="C22" s="21"/>
      <c r="D22">
        <v>33</v>
      </c>
      <c r="E22">
        <v>23360</v>
      </c>
      <c r="F22" s="21"/>
      <c r="G22" s="34">
        <v>551</v>
      </c>
      <c r="H22">
        <v>22040</v>
      </c>
      <c r="I22" s="21"/>
      <c r="J22" s="7"/>
      <c r="Q22">
        <v>45900</v>
      </c>
      <c r="Z22" s="2"/>
      <c r="AB22" s="2"/>
    </row>
    <row r="23" spans="2:28" x14ac:dyDescent="0.25">
      <c r="B23">
        <v>5</v>
      </c>
      <c r="C23" s="21"/>
      <c r="D23" s="29">
        <v>34</v>
      </c>
      <c r="E23">
        <v>13620</v>
      </c>
      <c r="F23" s="21"/>
      <c r="G23" s="34">
        <v>552</v>
      </c>
      <c r="H23">
        <v>13400</v>
      </c>
      <c r="I23" s="21"/>
      <c r="J23" s="7"/>
      <c r="Q23">
        <v>26920</v>
      </c>
    </row>
    <row r="24" spans="2:28" x14ac:dyDescent="0.25">
      <c r="B24">
        <v>6</v>
      </c>
      <c r="C24" s="21"/>
      <c r="D24" s="29">
        <v>35</v>
      </c>
      <c r="E24">
        <v>8720</v>
      </c>
      <c r="F24" s="21"/>
      <c r="G24" s="34">
        <v>553</v>
      </c>
      <c r="H24">
        <v>10520</v>
      </c>
      <c r="I24" s="21"/>
      <c r="J24" s="7"/>
      <c r="Q24">
        <v>19080</v>
      </c>
    </row>
    <row r="25" spans="2:28" x14ac:dyDescent="0.25">
      <c r="C25" s="21"/>
      <c r="D25" s="29"/>
      <c r="F25" s="21"/>
      <c r="G25" s="34"/>
      <c r="I25" s="21"/>
      <c r="J25" s="7"/>
    </row>
    <row r="26" spans="2:28" x14ac:dyDescent="0.25">
      <c r="C26" s="21"/>
      <c r="D26" s="29"/>
      <c r="F26" s="21"/>
      <c r="G26" s="34"/>
      <c r="I26" s="21"/>
      <c r="J26" s="7"/>
    </row>
    <row r="27" spans="2:28" x14ac:dyDescent="0.25">
      <c r="C27" s="21"/>
      <c r="D27" s="29"/>
      <c r="F27" s="21"/>
      <c r="G27" s="34"/>
      <c r="I27" s="21"/>
      <c r="J27" s="7"/>
    </row>
    <row r="28" spans="2:28" x14ac:dyDescent="0.25">
      <c r="C28" s="21"/>
      <c r="D28" s="29"/>
      <c r="F28" s="21"/>
      <c r="G28" s="34"/>
      <c r="I28" s="21"/>
      <c r="J28" s="7"/>
    </row>
    <row r="29" spans="2:28" x14ac:dyDescent="0.25">
      <c r="C29" s="21"/>
      <c r="D29" s="29"/>
      <c r="E29" s="9"/>
      <c r="F29" s="21"/>
      <c r="G29" s="34"/>
      <c r="H29" s="9"/>
      <c r="I29" s="21"/>
      <c r="J29" s="7"/>
    </row>
    <row r="30" spans="2:28" x14ac:dyDescent="0.25">
      <c r="C30" s="21"/>
      <c r="E30" s="9"/>
      <c r="F30" s="21"/>
      <c r="G30" s="34"/>
      <c r="H30" s="9"/>
      <c r="I30" s="21"/>
      <c r="J30" s="7"/>
    </row>
    <row r="31" spans="2:28" x14ac:dyDescent="0.25">
      <c r="C31" s="21"/>
      <c r="D31" s="29"/>
      <c r="E31" s="9"/>
      <c r="F31" s="21"/>
      <c r="G31" s="34"/>
      <c r="H31" s="9"/>
      <c r="I31" s="21"/>
      <c r="J31" s="7"/>
    </row>
    <row r="32" spans="2:28" x14ac:dyDescent="0.25">
      <c r="C32" s="21"/>
      <c r="D32" s="43"/>
      <c r="E32" s="49"/>
      <c r="F32" s="45"/>
      <c r="G32" s="34"/>
      <c r="H32" s="9"/>
      <c r="I32" s="21"/>
      <c r="J32" s="7"/>
    </row>
    <row r="33" spans="3:10" x14ac:dyDescent="0.25">
      <c r="C33" s="21"/>
      <c r="D33" s="29"/>
      <c r="E33" s="9"/>
      <c r="F33" s="21"/>
      <c r="G33" s="34"/>
      <c r="H33" s="9"/>
      <c r="I33" s="21"/>
      <c r="J33" s="7"/>
    </row>
    <row r="34" spans="3:10" x14ac:dyDescent="0.25">
      <c r="C34" s="21"/>
      <c r="D34" s="39"/>
      <c r="E34" s="9"/>
      <c r="F34" s="21"/>
      <c r="G34" s="34"/>
      <c r="H34" s="9"/>
      <c r="I34" s="21"/>
      <c r="J34" s="7"/>
    </row>
    <row r="35" spans="3:10" x14ac:dyDescent="0.25">
      <c r="C35" s="21"/>
      <c r="D35" s="29"/>
      <c r="E35" s="9"/>
      <c r="F35" s="21"/>
      <c r="G35" s="34"/>
      <c r="H35" s="9"/>
      <c r="I35" s="21"/>
      <c r="J35" s="7"/>
    </row>
    <row r="36" spans="3:10" x14ac:dyDescent="0.25">
      <c r="C36" s="21"/>
      <c r="D36" s="29"/>
      <c r="F36" s="21"/>
      <c r="G36" s="34"/>
      <c r="H36" s="9"/>
      <c r="I36" s="21"/>
      <c r="J36" s="7"/>
    </row>
    <row r="37" spans="3:10" x14ac:dyDescent="0.25">
      <c r="C37" s="21"/>
      <c r="D37" s="29"/>
      <c r="E37" s="9"/>
      <c r="F37" s="21"/>
      <c r="G37" s="34"/>
      <c r="H37" s="9"/>
      <c r="I37" s="21"/>
      <c r="J37" s="7"/>
    </row>
    <row r="38" spans="3:10" x14ac:dyDescent="0.25">
      <c r="C38" s="21"/>
      <c r="D38" s="39"/>
      <c r="E38" s="9"/>
      <c r="F38" s="21"/>
      <c r="G38" s="34"/>
      <c r="H38" s="9"/>
      <c r="I38" s="21"/>
      <c r="J38" s="7"/>
    </row>
    <row r="39" spans="3:10" x14ac:dyDescent="0.25">
      <c r="C39" s="21"/>
      <c r="D39" s="39"/>
      <c r="E39" s="9"/>
      <c r="F39" s="21"/>
      <c r="G39" s="34"/>
      <c r="H39" s="9"/>
      <c r="I39" s="21"/>
      <c r="J39" s="7"/>
    </row>
    <row r="40" spans="3:10" x14ac:dyDescent="0.25">
      <c r="C40" s="21"/>
      <c r="D40" s="29"/>
      <c r="E40" s="9"/>
      <c r="F40" s="21"/>
      <c r="G40" s="34"/>
      <c r="H40" s="9"/>
      <c r="I40" s="21"/>
      <c r="J40" s="7"/>
    </row>
    <row r="41" spans="3:10" x14ac:dyDescent="0.25">
      <c r="C41" s="21"/>
      <c r="D41" s="29"/>
      <c r="E41" s="9"/>
      <c r="F41" s="21"/>
      <c r="G41" s="34"/>
      <c r="H41" s="9"/>
      <c r="I41" s="21"/>
      <c r="J41" s="7"/>
    </row>
    <row r="42" spans="3:10" x14ac:dyDescent="0.25">
      <c r="C42" s="21"/>
      <c r="D42" s="39"/>
      <c r="E42" s="9"/>
      <c r="F42" s="21"/>
      <c r="G42" s="34"/>
      <c r="H42" s="9"/>
      <c r="I42" s="21"/>
      <c r="J42" s="7"/>
    </row>
    <row r="43" spans="3:10" x14ac:dyDescent="0.25">
      <c r="C43" s="21"/>
      <c r="D43" s="29"/>
      <c r="E43" s="9"/>
      <c r="F43" s="21"/>
      <c r="G43" s="34"/>
      <c r="H43" s="9"/>
      <c r="I43" s="21"/>
      <c r="J43" s="7"/>
    </row>
    <row r="44" spans="3:10" x14ac:dyDescent="0.25">
      <c r="C44" s="21"/>
      <c r="D44" s="29"/>
      <c r="E44" s="9"/>
      <c r="F44" s="21"/>
      <c r="G44" s="34"/>
      <c r="H44" s="9"/>
      <c r="I44" s="21"/>
      <c r="J44" s="7"/>
    </row>
    <row r="45" spans="3:10" x14ac:dyDescent="0.25">
      <c r="C45" s="21"/>
      <c r="D45" s="29"/>
      <c r="E45" s="9"/>
      <c r="F45" s="21"/>
      <c r="G45" s="34"/>
      <c r="H45" s="9"/>
      <c r="I45" s="21"/>
      <c r="J45" s="7"/>
    </row>
    <row r="46" spans="3:10" x14ac:dyDescent="0.25">
      <c r="C46" s="21"/>
      <c r="D46" s="29"/>
      <c r="E46" s="9"/>
      <c r="F46" s="21"/>
      <c r="G46" s="34"/>
      <c r="H46" s="9"/>
      <c r="I46" s="21"/>
      <c r="J46" s="7"/>
    </row>
    <row r="47" spans="3:10" x14ac:dyDescent="0.25">
      <c r="C47" s="21"/>
      <c r="D47" s="29"/>
      <c r="E47" s="9"/>
      <c r="F47" s="21"/>
      <c r="G47" s="34"/>
      <c r="H47" s="9"/>
      <c r="I47" s="21"/>
      <c r="J47" s="7"/>
    </row>
    <row r="48" spans="3:10" x14ac:dyDescent="0.25">
      <c r="C48" s="21"/>
      <c r="D48" s="29"/>
      <c r="E48" s="9"/>
      <c r="F48" s="21"/>
      <c r="G48" s="34"/>
      <c r="H48" s="9"/>
      <c r="I48" s="21"/>
      <c r="J48" s="7"/>
    </row>
    <row r="49" spans="3:10" x14ac:dyDescent="0.25">
      <c r="C49" s="21"/>
      <c r="D49" s="29"/>
      <c r="E49" s="9"/>
      <c r="F49" s="21"/>
      <c r="G49" s="34"/>
      <c r="H49" s="9"/>
      <c r="I49" s="21"/>
      <c r="J49" s="7"/>
    </row>
    <row r="50" spans="3:10" x14ac:dyDescent="0.25">
      <c r="C50" s="21"/>
      <c r="D50" s="29"/>
      <c r="F50" s="21"/>
      <c r="G50" s="34"/>
      <c r="J50" s="33"/>
    </row>
    <row r="51" spans="3:10" x14ac:dyDescent="0.25">
      <c r="C51" s="21"/>
      <c r="D51" s="29"/>
      <c r="F51" s="21"/>
      <c r="G51" s="34"/>
      <c r="J51" s="33"/>
    </row>
    <row r="52" spans="3:10" x14ac:dyDescent="0.25">
      <c r="C52" s="21"/>
      <c r="D52" s="29"/>
      <c r="F52" s="21"/>
      <c r="G52" s="34"/>
      <c r="J52" s="33"/>
    </row>
    <row r="53" spans="3:10" x14ac:dyDescent="0.25">
      <c r="C53" s="21"/>
      <c r="D53" s="29"/>
      <c r="F53" s="21"/>
      <c r="G53" s="34"/>
      <c r="J53" s="33"/>
    </row>
    <row r="54" spans="3:10" x14ac:dyDescent="0.25">
      <c r="C54" s="21"/>
      <c r="D54" s="29"/>
      <c r="F54" s="21"/>
      <c r="G54" s="34"/>
      <c r="J54" s="33"/>
    </row>
    <row r="55" spans="3:10" x14ac:dyDescent="0.25">
      <c r="C55" s="21"/>
      <c r="D55" s="29"/>
      <c r="F55" s="21"/>
      <c r="G55" s="34"/>
      <c r="J55" s="33"/>
    </row>
    <row r="56" spans="3:10" x14ac:dyDescent="0.25">
      <c r="C56" s="21"/>
      <c r="D56" s="29"/>
      <c r="F56" s="21"/>
      <c r="G56" s="34"/>
      <c r="J56" s="33"/>
    </row>
    <row r="57" spans="3:10" x14ac:dyDescent="0.25">
      <c r="C57" s="21"/>
      <c r="D57" s="29"/>
      <c r="F57" s="21"/>
      <c r="G57" s="34"/>
      <c r="J57" s="33"/>
    </row>
    <row r="58" spans="3:10" x14ac:dyDescent="0.25">
      <c r="C58" s="21"/>
      <c r="D58" s="29"/>
      <c r="F58" s="21"/>
      <c r="G58" s="34"/>
      <c r="J58" s="33"/>
    </row>
    <row r="59" spans="3:10" x14ac:dyDescent="0.25">
      <c r="C59" s="21"/>
      <c r="D59" s="29"/>
      <c r="F59" s="21"/>
      <c r="G59" s="34"/>
      <c r="J59" s="33"/>
    </row>
    <row r="60" spans="3:10" x14ac:dyDescent="0.25">
      <c r="C60" s="21"/>
      <c r="D60" s="29"/>
      <c r="F60" s="21"/>
      <c r="G60" s="34"/>
      <c r="J60" s="33"/>
    </row>
    <row r="61" spans="3:10" x14ac:dyDescent="0.25">
      <c r="C61" s="21"/>
      <c r="D61" s="29"/>
      <c r="F61" s="21"/>
      <c r="G61" s="34"/>
      <c r="J61" s="33"/>
    </row>
    <row r="62" spans="3:10" x14ac:dyDescent="0.25">
      <c r="C62" s="21"/>
      <c r="D62" s="29"/>
      <c r="F62" s="21"/>
      <c r="G62" s="34"/>
      <c r="J62" s="33"/>
    </row>
    <row r="63" spans="3:10" x14ac:dyDescent="0.25">
      <c r="C63" s="21"/>
      <c r="D63" s="29"/>
      <c r="F63" s="21"/>
      <c r="G63" s="34"/>
      <c r="J63" s="33"/>
    </row>
    <row r="64" spans="3:10" x14ac:dyDescent="0.25">
      <c r="C64" s="21"/>
      <c r="D64" s="29"/>
      <c r="F64" s="21"/>
      <c r="G64" s="34"/>
      <c r="J64" s="33"/>
    </row>
    <row r="65" spans="3:29" x14ac:dyDescent="0.25">
      <c r="C65" s="21"/>
      <c r="D65" s="29"/>
      <c r="F65" s="21"/>
      <c r="G65" s="34"/>
      <c r="J65" s="33"/>
    </row>
    <row r="66" spans="3:29" x14ac:dyDescent="0.25">
      <c r="C66" s="21"/>
      <c r="D66" s="29"/>
      <c r="F66" s="21"/>
      <c r="G66" s="34"/>
      <c r="J66" s="33"/>
    </row>
    <row r="67" spans="3:29" x14ac:dyDescent="0.25">
      <c r="C67" s="21"/>
      <c r="D67" s="29"/>
      <c r="F67" s="21"/>
      <c r="G67" s="34"/>
      <c r="J67" s="33"/>
      <c r="AA67" s="6"/>
      <c r="AC67" s="2"/>
    </row>
    <row r="68" spans="3:29" x14ac:dyDescent="0.25">
      <c r="C68" s="21"/>
      <c r="D68" s="29"/>
      <c r="F68" s="21"/>
      <c r="G68" s="34"/>
      <c r="J68" s="29"/>
    </row>
    <row r="69" spans="3:29" x14ac:dyDescent="0.25">
      <c r="C69" s="21"/>
      <c r="D69" s="29"/>
      <c r="F69" s="21"/>
      <c r="G69" s="34"/>
      <c r="J69" s="29"/>
    </row>
    <row r="70" spans="3:29" x14ac:dyDescent="0.25">
      <c r="C70" s="21"/>
      <c r="D70" s="29"/>
      <c r="F70" s="21"/>
      <c r="G70" s="34"/>
      <c r="J70" s="29"/>
    </row>
    <row r="71" spans="3:29" x14ac:dyDescent="0.25">
      <c r="C71" s="21"/>
      <c r="D71" s="29"/>
      <c r="F71" s="21"/>
      <c r="G71" s="34"/>
      <c r="J71" s="29"/>
    </row>
    <row r="72" spans="3:29" x14ac:dyDescent="0.25">
      <c r="C72" s="21"/>
      <c r="D72" s="29"/>
      <c r="F72" s="21"/>
      <c r="G72" s="34"/>
      <c r="J72" s="29"/>
    </row>
    <row r="73" spans="3:29" x14ac:dyDescent="0.25">
      <c r="C73" s="21"/>
      <c r="D73" s="29"/>
      <c r="F73" s="21"/>
      <c r="G73" s="34"/>
      <c r="J73" s="29"/>
    </row>
    <row r="74" spans="3:29" x14ac:dyDescent="0.25">
      <c r="C74" s="21"/>
      <c r="D74" s="29"/>
      <c r="F74" s="21"/>
      <c r="G74" s="34"/>
      <c r="J74" s="29"/>
    </row>
    <row r="75" spans="3:29" x14ac:dyDescent="0.25">
      <c r="C75" s="21"/>
      <c r="D75" s="29"/>
      <c r="F75" s="21"/>
      <c r="G75" s="34"/>
      <c r="J75" s="29"/>
    </row>
    <row r="76" spans="3:29" x14ac:dyDescent="0.25">
      <c r="C76" s="21"/>
      <c r="D76" s="29"/>
      <c r="F76" s="21"/>
      <c r="G76" s="34"/>
      <c r="J76" s="29"/>
    </row>
    <row r="77" spans="3:29" x14ac:dyDescent="0.25">
      <c r="D77" s="29"/>
      <c r="F77" s="21"/>
      <c r="G77" s="34"/>
      <c r="J77" s="29"/>
    </row>
    <row r="78" spans="3:29" x14ac:dyDescent="0.25">
      <c r="D78" s="29"/>
      <c r="F78" s="21"/>
      <c r="G78" s="34"/>
      <c r="J78" s="29"/>
    </row>
    <row r="79" spans="3:29" x14ac:dyDescent="0.25">
      <c r="D79" s="29"/>
      <c r="F79" s="21"/>
      <c r="G79" s="34"/>
      <c r="J79" s="29"/>
    </row>
    <row r="80" spans="3:29" x14ac:dyDescent="0.25">
      <c r="D80" s="29"/>
      <c r="F80" s="21"/>
      <c r="G80" s="34"/>
      <c r="J80" s="29"/>
    </row>
    <row r="81" spans="4:10" x14ac:dyDescent="0.25">
      <c r="D81" s="29"/>
      <c r="F81" s="21"/>
      <c r="G81" s="34"/>
      <c r="J81" s="29"/>
    </row>
    <row r="82" spans="4:10" x14ac:dyDescent="0.25">
      <c r="D82" s="29"/>
      <c r="F82" s="21"/>
      <c r="G82" s="34"/>
      <c r="J82" s="29"/>
    </row>
    <row r="83" spans="4:10" x14ac:dyDescent="0.25">
      <c r="D83" s="31"/>
      <c r="E83" s="41" t="s">
        <v>39</v>
      </c>
      <c r="F83" s="32"/>
      <c r="G83" s="46"/>
      <c r="H83" s="41" t="s">
        <v>39</v>
      </c>
      <c r="I83" s="41"/>
      <c r="J8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0D87-DA37-4986-BF6C-1FEA660EB972}">
  <dimension ref="A1:AC110"/>
  <sheetViews>
    <sheetView workbookViewId="0">
      <pane ySplit="15" topLeftCell="A40" activePane="bottomLeft" state="frozen"/>
      <selection activeCell="K13" sqref="K13:L13"/>
      <selection pane="bottomLeft" activeCell="L57" sqref="L57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7109375" bestFit="1" customWidth="1"/>
    <col min="7" max="7" width="7.42578125" style="2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[5]Summary!E2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9" x14ac:dyDescent="0.25">
      <c r="G2"/>
      <c r="H2" s="63" t="s">
        <v>4</v>
      </c>
      <c r="I2" s="63" t="s">
        <v>4</v>
      </c>
      <c r="J2">
        <f>+D11+G11</f>
        <v>1785940</v>
      </c>
      <c r="K2">
        <f>J2-J3</f>
        <v>21280</v>
      </c>
      <c r="L2" s="1">
        <f>K2/J2</f>
        <v>1.1915293906850173E-2</v>
      </c>
      <c r="S2" t="s">
        <v>5</v>
      </c>
      <c r="V2" s="2">
        <f>U2*2204.622/60</f>
        <v>0</v>
      </c>
      <c r="W2" s="3" t="e">
        <f>V2/T2</f>
        <v>#DIV/0!</v>
      </c>
    </row>
    <row r="3" spans="1:29" x14ac:dyDescent="0.25">
      <c r="B3" t="s">
        <v>6</v>
      </c>
      <c r="D3" s="64" t="s">
        <v>76</v>
      </c>
      <c r="E3" s="52"/>
      <c r="F3" t="s">
        <v>77</v>
      </c>
      <c r="G3"/>
      <c r="H3" s="63" t="s">
        <v>9</v>
      </c>
      <c r="I3" s="63"/>
      <c r="J3">
        <f>K11-L10+M11-N10+O11-P10+Q11-R10+S11-T10+U11-V10+W11-X10</f>
        <v>1764660</v>
      </c>
      <c r="K3" s="5" t="s">
        <v>10</v>
      </c>
      <c r="L3" s="5" t="s">
        <v>11</v>
      </c>
      <c r="M3" s="5" t="s">
        <v>12</v>
      </c>
      <c r="N3" s="6">
        <f>N4*I4/O1</f>
        <v>763.27697608373569</v>
      </c>
      <c r="O3" s="6">
        <f>K7+M7+O7+Q7+S7+U7+W7</f>
        <v>763.27697608373569</v>
      </c>
      <c r="S3" t="s">
        <v>13</v>
      </c>
      <c r="U3" s="6"/>
      <c r="V3" s="2">
        <f>U3*2204.622/60</f>
        <v>0</v>
      </c>
      <c r="W3" s="3" t="e">
        <f>V3/T3</f>
        <v>#DIV/0!</v>
      </c>
      <c r="Y3">
        <v>134</v>
      </c>
      <c r="Z3">
        <f>U3/Y3*1000</f>
        <v>0</v>
      </c>
      <c r="AA3">
        <v>1320</v>
      </c>
      <c r="AB3">
        <f>AA3*Y3</f>
        <v>176880</v>
      </c>
    </row>
    <row r="4" spans="1:29" x14ac:dyDescent="0.25">
      <c r="B4" t="s">
        <v>14</v>
      </c>
      <c r="D4" s="65" t="str">
        <f>[5]Summary!C2</f>
        <v>CPSR</v>
      </c>
      <c r="E4" s="52"/>
      <c r="F4" s="2">
        <f>[5]Summary!C3</f>
        <v>2021</v>
      </c>
      <c r="G4"/>
      <c r="I4" s="2">
        <f>[5]Summary!D2</f>
        <v>60</v>
      </c>
      <c r="J4" s="2">
        <f>J3/I4</f>
        <v>29411</v>
      </c>
      <c r="K4" s="8">
        <v>0.98</v>
      </c>
      <c r="L4" s="8">
        <f>IF(J5=0,L1,(L8+N8+P8+R8+T8+V8+X8)/J5/K4)</f>
        <v>0.1596499608989834</v>
      </c>
      <c r="M4" s="8">
        <f>IF(J5=0,0,(L9+N9+P9+R9+T9+V9+X9)/J5/K4)</f>
        <v>0.01</v>
      </c>
      <c r="N4" s="2">
        <f>IF(L4&gt;L1,J4*(1-L4)/(1-L1)*(1-M4)*K4,J4*K4*(1-M4))</f>
        <v>28045.628136842104</v>
      </c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9" x14ac:dyDescent="0.25">
      <c r="B5" t="s">
        <v>16</v>
      </c>
      <c r="D5" s="65">
        <v>44436</v>
      </c>
      <c r="E5" s="52"/>
      <c r="F5" s="13">
        <v>44463</v>
      </c>
      <c r="G5"/>
      <c r="J5" s="6">
        <f>J3/O1</f>
        <v>800.43631164420208</v>
      </c>
      <c r="N5" s="2">
        <v>624</v>
      </c>
      <c r="O5" s="3">
        <f>N4/N5</f>
        <v>44.944916885964908</v>
      </c>
      <c r="P5" t="s">
        <v>17</v>
      </c>
      <c r="V5" s="6"/>
    </row>
    <row r="6" spans="1:29" x14ac:dyDescent="0.25">
      <c r="D6" s="9"/>
      <c r="G6"/>
      <c r="J6" s="6"/>
      <c r="K6" s="15"/>
      <c r="L6" s="16"/>
      <c r="M6" s="15"/>
      <c r="N6" s="2"/>
      <c r="O6" s="3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206.76771506726044</v>
      </c>
      <c r="M7" s="6">
        <f>IF(M8&gt;$L1,(N11-N10/$O1)*$K4*(1-M8)/(1-$L1)*(1-M9),(N11-N10/$O1)*$K4*(1-M9))</f>
        <v>424.2437236407655</v>
      </c>
      <c r="O7" s="6">
        <f>IF(O8&gt;$L1,(P11-P10/$O1)*$K4*(1-O8)/(1-$L1)*(1-O9),(P11-P10/$O1)*$K4*(1-O9))</f>
        <v>132.26553737570975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0.16500000000000001</v>
      </c>
      <c r="L8" s="6">
        <f>(L11-L10/$O1)*$K4*K8</f>
        <v>35.286705864771996</v>
      </c>
      <c r="M8" s="1">
        <v>0.16</v>
      </c>
      <c r="N8" s="6">
        <f>(N11-N10/$O1)*$K4*M8</f>
        <v>69.789010815364023</v>
      </c>
      <c r="O8" s="1">
        <v>0.15</v>
      </c>
      <c r="P8" s="6">
        <f>(P11-P10/$O1)*$K4*O8</f>
        <v>20.158116658864856</v>
      </c>
      <c r="Q8" s="1">
        <v>0.26</v>
      </c>
      <c r="R8" s="6">
        <f>(R11-R10/$O1)*$K4*Q8</f>
        <v>0</v>
      </c>
      <c r="S8" s="1">
        <v>0.13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2.1385882342286058</v>
      </c>
      <c r="M9" s="1">
        <v>0.01</v>
      </c>
      <c r="N9" s="6">
        <f>(N11-N10/$O1)*$K4*M9</f>
        <v>4.3618131759602514</v>
      </c>
      <c r="O9" s="1">
        <v>0.01</v>
      </c>
      <c r="P9" s="6">
        <f>(P11-P10/$O1)*$K4*O9</f>
        <v>1.3438744439243238</v>
      </c>
      <c r="Q9" s="1">
        <v>1.7000000000000001E-2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20</v>
      </c>
      <c r="C10" s="21"/>
      <c r="D10" s="54">
        <f>J3/J2*D11</f>
        <v>877597.07425781374</v>
      </c>
      <c r="E10" s="55"/>
      <c r="F10" s="56"/>
      <c r="G10" s="54">
        <f>J3/J2*G11</f>
        <v>887062.92574218614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9" x14ac:dyDescent="0.25">
      <c r="B11" t="s">
        <v>22</v>
      </c>
      <c r="C11" s="21"/>
      <c r="D11" s="57">
        <f>E14</f>
        <v>888180</v>
      </c>
      <c r="E11" s="58"/>
      <c r="F11" s="59"/>
      <c r="G11" s="57">
        <f>H14</f>
        <v>897760</v>
      </c>
      <c r="H11" s="58"/>
      <c r="I11" s="58"/>
      <c r="J11" s="25"/>
      <c r="K11" s="26">
        <f>K14+L14</f>
        <v>481100</v>
      </c>
      <c r="L11" s="27">
        <f>K11/2204.62262184877</f>
        <v>218.22328920700056</v>
      </c>
      <c r="M11" s="26">
        <f>M14+N14</f>
        <v>981240</v>
      </c>
      <c r="N11" s="27">
        <f>M11/2204.62262184877</f>
        <v>445.0829771388012</v>
      </c>
      <c r="O11" s="26">
        <f>O14+P14</f>
        <v>302320</v>
      </c>
      <c r="P11" s="27">
        <f>O11/2204.62262184877</f>
        <v>137.13004529840038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9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27</v>
      </c>
      <c r="L12" s="51"/>
      <c r="M12" s="50" t="s">
        <v>70</v>
      </c>
      <c r="N12" s="51"/>
      <c r="O12" s="50" t="s">
        <v>78</v>
      </c>
      <c r="P12" s="51"/>
      <c r="Q12" s="50" t="s">
        <v>26</v>
      </c>
      <c r="R12" s="51"/>
      <c r="S12" s="50" t="s">
        <v>28</v>
      </c>
      <c r="T12" s="51"/>
      <c r="U12" s="50" t="s">
        <v>30</v>
      </c>
      <c r="V12" s="51"/>
      <c r="W12" s="50" t="s">
        <v>31</v>
      </c>
      <c r="X12" s="51"/>
    </row>
    <row r="13" spans="1:29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9" x14ac:dyDescent="0.25">
      <c r="C14" s="21"/>
      <c r="D14" s="29"/>
      <c r="E14" s="4">
        <f>SUM(E15:E143)</f>
        <v>888180</v>
      </c>
      <c r="F14" s="30">
        <f>SUM(F15:F143)</f>
        <v>0</v>
      </c>
      <c r="G14" s="29"/>
      <c r="H14" s="4">
        <f>SUM(H15:H143)</f>
        <v>897760</v>
      </c>
      <c r="I14" s="4">
        <f>SUM(I15:I143)</f>
        <v>0</v>
      </c>
      <c r="J14" s="25"/>
      <c r="K14" s="23">
        <f t="shared" ref="K14:X14" si="1">SUM(K15:K143)</f>
        <v>481100</v>
      </c>
      <c r="L14" s="24">
        <f t="shared" si="1"/>
        <v>0</v>
      </c>
      <c r="M14" s="23">
        <f t="shared" si="1"/>
        <v>981240</v>
      </c>
      <c r="N14" s="24">
        <f t="shared" si="1"/>
        <v>0</v>
      </c>
      <c r="O14" s="23">
        <f t="shared" si="1"/>
        <v>302320</v>
      </c>
      <c r="P14" s="24">
        <f t="shared" si="1"/>
        <v>0</v>
      </c>
      <c r="Q14" s="23">
        <f t="shared" si="1"/>
        <v>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9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9" x14ac:dyDescent="0.25">
      <c r="C16" s="21">
        <v>1</v>
      </c>
      <c r="D16">
        <v>54</v>
      </c>
      <c r="E16">
        <v>25420</v>
      </c>
      <c r="F16" s="21"/>
      <c r="G16" s="34"/>
      <c r="I16" s="21"/>
      <c r="J16" s="7"/>
      <c r="O16" s="9"/>
      <c r="AA16" s="6"/>
      <c r="AC16" s="2"/>
    </row>
    <row r="17" spans="3:27" x14ac:dyDescent="0.25">
      <c r="C17" s="21"/>
      <c r="D17">
        <v>55</v>
      </c>
      <c r="E17">
        <v>22900</v>
      </c>
      <c r="F17" s="21"/>
      <c r="G17" s="34"/>
      <c r="I17" s="21"/>
      <c r="J17" s="6"/>
      <c r="K17">
        <v>46860</v>
      </c>
    </row>
    <row r="18" spans="3:27" x14ac:dyDescent="0.25">
      <c r="C18" s="21">
        <v>2</v>
      </c>
      <c r="D18">
        <v>56</v>
      </c>
      <c r="E18">
        <v>20020</v>
      </c>
      <c r="F18" s="21"/>
      <c r="G18" s="34">
        <v>524</v>
      </c>
      <c r="H18">
        <v>27520</v>
      </c>
      <c r="I18" s="21"/>
      <c r="J18" s="6"/>
      <c r="K18">
        <v>46340</v>
      </c>
    </row>
    <row r="19" spans="3:27" x14ac:dyDescent="0.25">
      <c r="C19" s="21">
        <v>3</v>
      </c>
      <c r="D19">
        <v>57</v>
      </c>
      <c r="E19">
        <v>23820</v>
      </c>
      <c r="F19" s="21"/>
      <c r="G19" s="34">
        <v>525</v>
      </c>
      <c r="H19">
        <v>23620</v>
      </c>
      <c r="I19" s="21"/>
      <c r="J19" s="6"/>
      <c r="K19">
        <v>46660</v>
      </c>
    </row>
    <row r="20" spans="3:27" x14ac:dyDescent="0.25">
      <c r="C20" s="21">
        <v>4</v>
      </c>
      <c r="D20">
        <v>58</v>
      </c>
      <c r="E20">
        <v>26380</v>
      </c>
      <c r="F20" s="21"/>
      <c r="G20" s="34">
        <v>526</v>
      </c>
      <c r="H20">
        <v>25820</v>
      </c>
      <c r="I20" s="21"/>
      <c r="J20" s="6"/>
      <c r="K20">
        <v>51520</v>
      </c>
    </row>
    <row r="21" spans="3:27" x14ac:dyDescent="0.25">
      <c r="C21" s="21">
        <v>5</v>
      </c>
      <c r="D21">
        <v>59</v>
      </c>
      <c r="E21">
        <v>3960</v>
      </c>
      <c r="F21" s="21"/>
      <c r="G21" s="34"/>
      <c r="I21" s="21"/>
      <c r="J21" s="6"/>
      <c r="K21">
        <v>4280</v>
      </c>
    </row>
    <row r="22" spans="3:27" x14ac:dyDescent="0.25">
      <c r="C22" s="21">
        <v>6</v>
      </c>
      <c r="D22">
        <v>60</v>
      </c>
      <c r="E22">
        <v>25800</v>
      </c>
      <c r="F22" s="21"/>
      <c r="G22" s="34">
        <v>527</v>
      </c>
      <c r="H22">
        <v>24500</v>
      </c>
      <c r="I22" s="21"/>
      <c r="J22" s="6"/>
      <c r="K22">
        <v>49320</v>
      </c>
    </row>
    <row r="23" spans="3:27" x14ac:dyDescent="0.25">
      <c r="C23" s="21">
        <v>7</v>
      </c>
      <c r="D23">
        <v>61</v>
      </c>
      <c r="E23">
        <v>23120</v>
      </c>
      <c r="F23" s="21"/>
      <c r="G23" s="34">
        <v>528</v>
      </c>
      <c r="H23">
        <v>23220</v>
      </c>
      <c r="I23" s="21"/>
      <c r="J23" s="6"/>
      <c r="K23">
        <v>46320</v>
      </c>
    </row>
    <row r="24" spans="3:27" x14ac:dyDescent="0.25">
      <c r="C24" s="21">
        <v>8</v>
      </c>
      <c r="D24">
        <v>62</v>
      </c>
      <c r="E24">
        <v>21100</v>
      </c>
      <c r="F24" s="21"/>
      <c r="G24" s="34">
        <v>529</v>
      </c>
      <c r="H24">
        <v>25600</v>
      </c>
      <c r="I24" s="21"/>
      <c r="J24" s="6"/>
      <c r="K24">
        <v>46520</v>
      </c>
    </row>
    <row r="25" spans="3:27" x14ac:dyDescent="0.25">
      <c r="C25" s="21">
        <v>9</v>
      </c>
      <c r="D25">
        <v>63</v>
      </c>
      <c r="E25">
        <v>25780</v>
      </c>
      <c r="F25" s="21"/>
      <c r="G25" s="34">
        <v>530</v>
      </c>
      <c r="H25">
        <v>27800</v>
      </c>
      <c r="I25" s="21"/>
      <c r="J25" s="6"/>
      <c r="K25">
        <v>53740</v>
      </c>
    </row>
    <row r="26" spans="3:27" x14ac:dyDescent="0.25">
      <c r="C26" s="21">
        <v>10</v>
      </c>
      <c r="D26">
        <v>64</v>
      </c>
      <c r="E26">
        <v>25980</v>
      </c>
      <c r="F26" s="21"/>
      <c r="G26" s="34">
        <v>531</v>
      </c>
      <c r="H26">
        <v>25360</v>
      </c>
      <c r="I26" s="21"/>
      <c r="J26" s="7"/>
      <c r="K26">
        <v>52540</v>
      </c>
      <c r="P26" s="9"/>
      <c r="Z26" s="2"/>
    </row>
    <row r="27" spans="3:27" x14ac:dyDescent="0.25">
      <c r="C27" s="21">
        <v>11</v>
      </c>
      <c r="D27">
        <v>65</v>
      </c>
      <c r="E27">
        <v>21580</v>
      </c>
      <c r="F27" s="21"/>
      <c r="G27" s="34">
        <v>532</v>
      </c>
      <c r="H27">
        <v>15660</v>
      </c>
      <c r="I27" s="21"/>
      <c r="J27" s="6"/>
      <c r="K27">
        <v>37000</v>
      </c>
      <c r="Z27" s="2"/>
    </row>
    <row r="28" spans="3:27" x14ac:dyDescent="0.25">
      <c r="C28" s="21">
        <v>12</v>
      </c>
      <c r="D28">
        <v>66</v>
      </c>
      <c r="E28">
        <v>20480</v>
      </c>
      <c r="F28" s="21"/>
      <c r="G28" s="34">
        <v>533</v>
      </c>
      <c r="H28">
        <v>18720</v>
      </c>
      <c r="I28" s="21"/>
      <c r="J28" s="6"/>
      <c r="M28">
        <v>38340</v>
      </c>
      <c r="S28" s="9"/>
      <c r="AA28" s="6"/>
    </row>
    <row r="29" spans="3:27" x14ac:dyDescent="0.25">
      <c r="C29" s="21">
        <v>13</v>
      </c>
      <c r="D29">
        <v>67</v>
      </c>
      <c r="E29">
        <v>15300</v>
      </c>
      <c r="F29" s="21"/>
      <c r="G29" s="34">
        <v>534</v>
      </c>
      <c r="H29">
        <v>26320</v>
      </c>
      <c r="I29" s="21"/>
      <c r="J29" s="6"/>
      <c r="M29">
        <v>40580</v>
      </c>
      <c r="S29" s="9"/>
    </row>
    <row r="30" spans="3:27" x14ac:dyDescent="0.25">
      <c r="C30" s="21">
        <v>14</v>
      </c>
      <c r="D30">
        <v>68</v>
      </c>
      <c r="E30">
        <v>18060</v>
      </c>
      <c r="F30" s="21"/>
      <c r="G30" s="34">
        <v>535</v>
      </c>
      <c r="H30">
        <v>21000</v>
      </c>
      <c r="I30" s="21"/>
      <c r="J30" s="6"/>
      <c r="M30">
        <v>39380</v>
      </c>
      <c r="S30" s="9"/>
    </row>
    <row r="31" spans="3:27" x14ac:dyDescent="0.25">
      <c r="C31" s="21">
        <v>15</v>
      </c>
      <c r="D31">
        <v>69</v>
      </c>
      <c r="E31">
        <v>24840</v>
      </c>
      <c r="F31" s="21"/>
      <c r="G31" s="34">
        <v>536</v>
      </c>
      <c r="H31">
        <v>23620</v>
      </c>
      <c r="I31" s="21"/>
      <c r="J31" s="7"/>
      <c r="M31">
        <v>47280</v>
      </c>
    </row>
    <row r="32" spans="3:27" x14ac:dyDescent="0.25">
      <c r="C32" s="21">
        <v>16</v>
      </c>
      <c r="D32">
        <v>70</v>
      </c>
      <c r="E32">
        <v>16580</v>
      </c>
      <c r="F32" s="21"/>
      <c r="G32" s="34">
        <v>537</v>
      </c>
      <c r="H32">
        <v>14540</v>
      </c>
      <c r="I32" s="21"/>
      <c r="J32" s="6"/>
      <c r="M32">
        <v>30360</v>
      </c>
    </row>
    <row r="33" spans="3:29" x14ac:dyDescent="0.25">
      <c r="C33" s="21">
        <v>17</v>
      </c>
      <c r="D33">
        <v>71</v>
      </c>
      <c r="E33">
        <v>22780</v>
      </c>
      <c r="F33" s="21"/>
      <c r="G33" s="34">
        <v>538</v>
      </c>
      <c r="H33">
        <v>23240</v>
      </c>
      <c r="I33" s="21"/>
      <c r="J33" s="7"/>
      <c r="M33">
        <v>45660</v>
      </c>
    </row>
    <row r="34" spans="3:29" x14ac:dyDescent="0.25">
      <c r="C34" s="21">
        <v>18</v>
      </c>
      <c r="D34">
        <v>72</v>
      </c>
      <c r="E34">
        <v>20340</v>
      </c>
      <c r="F34" s="21"/>
      <c r="G34" s="34">
        <v>539</v>
      </c>
      <c r="H34">
        <v>20360</v>
      </c>
      <c r="I34" s="21"/>
      <c r="J34" s="7"/>
      <c r="M34">
        <v>39540</v>
      </c>
      <c r="O34" s="9"/>
      <c r="P34" s="9"/>
      <c r="AA34" s="6"/>
      <c r="AC34" s="2"/>
    </row>
    <row r="35" spans="3:29" x14ac:dyDescent="0.25">
      <c r="C35" s="21">
        <v>19</v>
      </c>
      <c r="D35">
        <v>73</v>
      </c>
      <c r="E35">
        <v>21340</v>
      </c>
      <c r="F35" s="21"/>
      <c r="G35" s="34">
        <v>540</v>
      </c>
      <c r="H35">
        <v>22220</v>
      </c>
      <c r="I35" s="21"/>
      <c r="J35" s="7"/>
      <c r="M35">
        <v>43660</v>
      </c>
      <c r="Z35" s="2"/>
      <c r="AB35" s="2"/>
    </row>
    <row r="36" spans="3:29" x14ac:dyDescent="0.25">
      <c r="C36" s="21">
        <v>20</v>
      </c>
      <c r="D36">
        <v>74</v>
      </c>
      <c r="E36">
        <v>21700</v>
      </c>
      <c r="F36" s="21"/>
      <c r="G36" s="34">
        <v>541</v>
      </c>
      <c r="H36">
        <v>20940</v>
      </c>
      <c r="I36" s="21"/>
      <c r="J36" s="6"/>
      <c r="M36">
        <v>42120</v>
      </c>
      <c r="P36" s="9"/>
      <c r="AA36" s="6"/>
    </row>
    <row r="37" spans="3:29" x14ac:dyDescent="0.25">
      <c r="C37" s="21">
        <v>21</v>
      </c>
      <c r="D37">
        <v>75</v>
      </c>
      <c r="E37">
        <v>14180</v>
      </c>
      <c r="F37" s="21"/>
      <c r="G37" s="34">
        <v>542</v>
      </c>
      <c r="H37">
        <v>11560</v>
      </c>
      <c r="I37" s="21"/>
      <c r="J37" s="7"/>
      <c r="M37">
        <v>24960</v>
      </c>
      <c r="Z37" s="2"/>
      <c r="AB37" s="2"/>
    </row>
    <row r="38" spans="3:29" x14ac:dyDescent="0.25">
      <c r="C38" s="21">
        <v>22</v>
      </c>
      <c r="D38">
        <v>76</v>
      </c>
      <c r="E38">
        <v>27000</v>
      </c>
      <c r="F38" s="21"/>
      <c r="G38" s="34">
        <v>543</v>
      </c>
      <c r="H38">
        <v>24440</v>
      </c>
      <c r="I38" s="21"/>
      <c r="J38" s="7"/>
      <c r="M38">
        <v>50380</v>
      </c>
      <c r="N38" s="9"/>
      <c r="AA38" s="6"/>
    </row>
    <row r="39" spans="3:29" x14ac:dyDescent="0.25">
      <c r="C39" s="21">
        <v>23</v>
      </c>
      <c r="D39">
        <v>77</v>
      </c>
      <c r="E39">
        <v>25200</v>
      </c>
      <c r="F39" s="21"/>
      <c r="G39" s="34">
        <v>544</v>
      </c>
      <c r="H39">
        <v>25720</v>
      </c>
      <c r="I39" s="21"/>
      <c r="J39" s="6"/>
      <c r="M39">
        <v>50540</v>
      </c>
      <c r="N39" s="9"/>
      <c r="Z39" s="2"/>
      <c r="AB39" s="2"/>
    </row>
    <row r="40" spans="3:29" x14ac:dyDescent="0.25">
      <c r="C40" s="21">
        <v>24</v>
      </c>
      <c r="D40">
        <v>78</v>
      </c>
      <c r="E40">
        <v>27120</v>
      </c>
      <c r="F40" s="21"/>
      <c r="G40" s="34">
        <v>545</v>
      </c>
      <c r="H40">
        <v>21300</v>
      </c>
      <c r="I40" s="21"/>
      <c r="J40" s="7"/>
      <c r="M40">
        <v>47140</v>
      </c>
      <c r="N40" s="9"/>
      <c r="AA40" s="6"/>
    </row>
    <row r="41" spans="3:29" x14ac:dyDescent="0.25">
      <c r="C41" s="21">
        <v>25</v>
      </c>
      <c r="D41">
        <v>79</v>
      </c>
      <c r="E41">
        <v>23960</v>
      </c>
      <c r="F41" s="21"/>
      <c r="G41" s="34">
        <v>546</v>
      </c>
      <c r="H41">
        <v>22540</v>
      </c>
      <c r="I41" s="21"/>
      <c r="J41" s="6"/>
      <c r="M41">
        <v>45660</v>
      </c>
    </row>
    <row r="42" spans="3:29" x14ac:dyDescent="0.25">
      <c r="C42" s="21">
        <v>26</v>
      </c>
      <c r="D42">
        <v>80</v>
      </c>
      <c r="E42">
        <v>22260</v>
      </c>
      <c r="F42" s="21"/>
      <c r="G42" s="34">
        <v>547</v>
      </c>
      <c r="H42">
        <v>24280</v>
      </c>
      <c r="I42" s="21"/>
      <c r="J42" s="7"/>
      <c r="M42">
        <v>46540</v>
      </c>
      <c r="P42" s="9"/>
      <c r="Z42" s="2"/>
      <c r="AB42" s="2"/>
    </row>
    <row r="43" spans="3:29" x14ac:dyDescent="0.25">
      <c r="C43" s="21">
        <v>27</v>
      </c>
      <c r="D43">
        <v>81</v>
      </c>
      <c r="E43">
        <v>24560</v>
      </c>
      <c r="F43" s="21"/>
      <c r="G43" s="34">
        <v>548</v>
      </c>
      <c r="H43">
        <v>23960</v>
      </c>
      <c r="I43" s="21"/>
      <c r="J43" s="7"/>
      <c r="M43">
        <v>46860</v>
      </c>
      <c r="P43" s="9"/>
      <c r="AA43" s="6"/>
    </row>
    <row r="44" spans="3:29" x14ac:dyDescent="0.25">
      <c r="C44" s="21">
        <v>28</v>
      </c>
      <c r="D44">
        <v>82</v>
      </c>
      <c r="E44">
        <v>22820</v>
      </c>
      <c r="F44" s="21"/>
      <c r="G44" s="34">
        <v>549</v>
      </c>
      <c r="H44">
        <v>19680</v>
      </c>
      <c r="I44" s="21"/>
      <c r="J44" s="7"/>
      <c r="M44">
        <v>41700</v>
      </c>
      <c r="Z44" s="2"/>
      <c r="AB44" s="2"/>
    </row>
    <row r="45" spans="3:29" x14ac:dyDescent="0.25">
      <c r="C45" s="21">
        <v>29</v>
      </c>
      <c r="D45" s="29">
        <v>83</v>
      </c>
      <c r="E45">
        <v>24480</v>
      </c>
      <c r="F45" s="21"/>
      <c r="G45" s="34">
        <v>550</v>
      </c>
      <c r="H45">
        <v>25100</v>
      </c>
      <c r="I45" s="21"/>
      <c r="J45" s="7"/>
      <c r="M45">
        <v>49480</v>
      </c>
    </row>
    <row r="46" spans="3:29" x14ac:dyDescent="0.25">
      <c r="C46" s="21">
        <v>30</v>
      </c>
      <c r="D46" s="29">
        <v>84</v>
      </c>
      <c r="E46">
        <v>24040</v>
      </c>
      <c r="F46" s="21"/>
      <c r="G46" s="34">
        <v>551</v>
      </c>
      <c r="H46">
        <v>25120</v>
      </c>
      <c r="I46" s="21"/>
      <c r="J46" s="7"/>
      <c r="M46">
        <v>48900</v>
      </c>
    </row>
    <row r="47" spans="3:29" x14ac:dyDescent="0.25">
      <c r="C47" s="21">
        <v>31</v>
      </c>
      <c r="D47" s="29">
        <v>85</v>
      </c>
      <c r="E47">
        <v>21340</v>
      </c>
      <c r="F47" s="21"/>
      <c r="G47" s="34">
        <v>552</v>
      </c>
      <c r="H47">
        <v>21860</v>
      </c>
      <c r="I47" s="21"/>
      <c r="J47" s="7"/>
      <c r="M47">
        <v>42200</v>
      </c>
    </row>
    <row r="48" spans="3:29" x14ac:dyDescent="0.25">
      <c r="C48" s="21">
        <v>32</v>
      </c>
      <c r="D48" s="29">
        <v>86</v>
      </c>
      <c r="E48">
        <v>23580</v>
      </c>
      <c r="F48" s="21"/>
      <c r="G48" s="34">
        <v>553</v>
      </c>
      <c r="H48">
        <v>21240</v>
      </c>
      <c r="I48" s="21"/>
      <c r="J48" s="7"/>
      <c r="M48">
        <v>44400</v>
      </c>
    </row>
    <row r="49" spans="2:15" x14ac:dyDescent="0.25">
      <c r="C49" s="21">
        <v>33</v>
      </c>
      <c r="D49" s="29">
        <v>87</v>
      </c>
      <c r="E49">
        <v>14400</v>
      </c>
      <c r="F49" s="21"/>
      <c r="G49" s="34">
        <v>554</v>
      </c>
      <c r="H49">
        <v>21620</v>
      </c>
      <c r="I49" s="21"/>
      <c r="J49" s="7"/>
      <c r="M49">
        <v>35080</v>
      </c>
    </row>
    <row r="50" spans="2:15" x14ac:dyDescent="0.25">
      <c r="C50" s="21">
        <v>34</v>
      </c>
      <c r="D50" s="29"/>
      <c r="F50" s="21"/>
      <c r="G50" s="34">
        <v>555</v>
      </c>
      <c r="H50">
        <v>25980</v>
      </c>
      <c r="I50" s="21"/>
      <c r="J50" s="7"/>
    </row>
    <row r="51" spans="2:15" x14ac:dyDescent="0.25">
      <c r="C51" s="21"/>
      <c r="D51" s="29"/>
      <c r="F51" s="21"/>
      <c r="G51" s="34">
        <v>556</v>
      </c>
      <c r="H51">
        <v>14380</v>
      </c>
      <c r="I51" s="21"/>
      <c r="J51" s="7"/>
      <c r="M51">
        <v>40480</v>
      </c>
    </row>
    <row r="52" spans="2:15" x14ac:dyDescent="0.25">
      <c r="C52" s="21">
        <v>35</v>
      </c>
      <c r="D52">
        <v>128</v>
      </c>
      <c r="E52">
        <v>19120</v>
      </c>
      <c r="F52" s="21"/>
      <c r="G52" s="34">
        <v>628</v>
      </c>
      <c r="H52">
        <v>21880</v>
      </c>
      <c r="I52" s="21"/>
      <c r="J52" s="7"/>
      <c r="O52">
        <v>40660</v>
      </c>
    </row>
    <row r="53" spans="2:15" x14ac:dyDescent="0.25">
      <c r="C53" s="21">
        <v>36</v>
      </c>
      <c r="D53" s="29">
        <v>129</v>
      </c>
      <c r="E53">
        <v>10220</v>
      </c>
      <c r="F53" s="21"/>
      <c r="G53" s="34">
        <v>629</v>
      </c>
      <c r="H53">
        <v>15800</v>
      </c>
      <c r="I53" s="21"/>
      <c r="J53" s="7"/>
      <c r="O53">
        <v>25800</v>
      </c>
    </row>
    <row r="54" spans="2:15" x14ac:dyDescent="0.25">
      <c r="C54" s="21">
        <v>37</v>
      </c>
      <c r="D54" s="29">
        <v>130</v>
      </c>
      <c r="E54">
        <v>23500</v>
      </c>
      <c r="F54" s="21"/>
      <c r="G54" s="34">
        <v>630</v>
      </c>
      <c r="H54">
        <v>24720</v>
      </c>
      <c r="I54" s="21"/>
      <c r="J54" s="7"/>
      <c r="O54">
        <v>48580</v>
      </c>
    </row>
    <row r="55" spans="2:15" x14ac:dyDescent="0.25">
      <c r="C55" s="21">
        <v>38</v>
      </c>
      <c r="D55" s="29">
        <v>131</v>
      </c>
      <c r="E55">
        <v>11680</v>
      </c>
      <c r="F55" s="21"/>
      <c r="G55" s="34">
        <v>631</v>
      </c>
      <c r="H55">
        <v>16300</v>
      </c>
      <c r="I55" s="21"/>
      <c r="J55" s="7"/>
      <c r="O55">
        <v>26420</v>
      </c>
    </row>
    <row r="56" spans="2:15" x14ac:dyDescent="0.25">
      <c r="C56" s="21">
        <v>39</v>
      </c>
      <c r="D56" s="39">
        <v>132</v>
      </c>
      <c r="E56">
        <v>19740</v>
      </c>
      <c r="F56" s="21"/>
      <c r="G56" s="34">
        <v>632</v>
      </c>
      <c r="H56">
        <v>22060</v>
      </c>
      <c r="I56" s="21"/>
      <c r="J56" s="7"/>
      <c r="O56">
        <v>41160</v>
      </c>
    </row>
    <row r="57" spans="2:15" x14ac:dyDescent="0.25">
      <c r="C57" s="21">
        <v>40</v>
      </c>
      <c r="D57" s="29">
        <v>133</v>
      </c>
      <c r="E57">
        <v>22440</v>
      </c>
      <c r="F57" s="21"/>
      <c r="G57" s="34">
        <v>633</v>
      </c>
      <c r="H57">
        <v>19340</v>
      </c>
      <c r="I57" s="21"/>
      <c r="J57" s="7"/>
      <c r="O57">
        <v>41200</v>
      </c>
    </row>
    <row r="58" spans="2:15" x14ac:dyDescent="0.25">
      <c r="B58" s="40"/>
      <c r="C58" s="21">
        <v>41</v>
      </c>
      <c r="D58" s="29">
        <v>134</v>
      </c>
      <c r="E58">
        <v>26340</v>
      </c>
      <c r="F58" s="21"/>
      <c r="G58" s="34">
        <v>634</v>
      </c>
      <c r="H58">
        <v>23820</v>
      </c>
      <c r="I58" s="21"/>
      <c r="J58" s="7"/>
      <c r="O58">
        <v>50480</v>
      </c>
    </row>
    <row r="59" spans="2:15" x14ac:dyDescent="0.25">
      <c r="C59" s="21">
        <v>42</v>
      </c>
      <c r="D59" s="29">
        <v>135</v>
      </c>
      <c r="E59">
        <v>12920</v>
      </c>
      <c r="F59" s="21"/>
      <c r="G59" s="34">
        <v>635</v>
      </c>
      <c r="H59">
        <v>15000</v>
      </c>
      <c r="I59" s="21"/>
      <c r="J59" s="7"/>
      <c r="O59">
        <v>28020</v>
      </c>
    </row>
    <row r="60" spans="2:15" x14ac:dyDescent="0.25">
      <c r="C60" s="21"/>
      <c r="D60" s="29"/>
      <c r="E60" s="9"/>
      <c r="F60" s="21"/>
      <c r="G60" s="34"/>
      <c r="H60" s="9"/>
      <c r="I60" s="21"/>
      <c r="J60" s="7"/>
    </row>
    <row r="61" spans="2:15" x14ac:dyDescent="0.25">
      <c r="C61" s="21"/>
      <c r="D61" s="29"/>
      <c r="E61" s="9"/>
      <c r="F61" s="21"/>
      <c r="G61" s="34"/>
      <c r="H61" s="9"/>
      <c r="I61" s="21"/>
      <c r="J61" s="7"/>
    </row>
    <row r="62" spans="2:15" x14ac:dyDescent="0.25">
      <c r="C62" s="21"/>
      <c r="D62" s="29"/>
      <c r="E62" s="9"/>
      <c r="F62" s="21"/>
      <c r="G62" s="34"/>
      <c r="H62" s="9"/>
      <c r="I62" s="21"/>
      <c r="J62" s="7"/>
    </row>
    <row r="63" spans="2:15" x14ac:dyDescent="0.25">
      <c r="C63" s="21"/>
      <c r="D63" s="29"/>
      <c r="F63" s="21"/>
      <c r="G63" s="34"/>
      <c r="H63" s="9"/>
      <c r="I63" s="21"/>
      <c r="J63" s="7"/>
    </row>
    <row r="64" spans="2:15" x14ac:dyDescent="0.25">
      <c r="C64" s="21"/>
      <c r="D64" s="29"/>
      <c r="F64" s="21"/>
      <c r="G64" s="34"/>
      <c r="I64" s="21"/>
      <c r="J64" s="7"/>
    </row>
    <row r="65" spans="3:19" x14ac:dyDescent="0.25">
      <c r="C65" s="21"/>
      <c r="D65" s="39"/>
      <c r="F65" s="21"/>
      <c r="G65" s="34"/>
      <c r="I65" s="21"/>
      <c r="J65" s="7"/>
      <c r="S65" s="37"/>
    </row>
    <row r="66" spans="3:19" x14ac:dyDescent="0.25">
      <c r="C66" s="21"/>
      <c r="D66" s="39"/>
      <c r="F66" s="21"/>
      <c r="G66" s="34"/>
      <c r="I66" s="21"/>
      <c r="J66" s="7"/>
    </row>
    <row r="67" spans="3:19" x14ac:dyDescent="0.25">
      <c r="C67" s="21"/>
      <c r="D67" s="29"/>
      <c r="F67" s="21"/>
      <c r="G67" s="34"/>
      <c r="I67" s="21"/>
      <c r="J67" s="7"/>
    </row>
    <row r="68" spans="3:19" x14ac:dyDescent="0.25">
      <c r="C68" s="21"/>
      <c r="D68" s="29"/>
      <c r="F68" s="21"/>
      <c r="G68" s="34"/>
      <c r="I68" s="21"/>
      <c r="J68" s="7"/>
    </row>
    <row r="69" spans="3:19" x14ac:dyDescent="0.25">
      <c r="C69" s="21"/>
      <c r="D69" s="39"/>
      <c r="F69" s="21"/>
      <c r="G69" s="34"/>
      <c r="I69" s="21"/>
      <c r="J69" s="7"/>
    </row>
    <row r="70" spans="3:19" x14ac:dyDescent="0.25">
      <c r="C70" s="21"/>
      <c r="D70" s="29"/>
      <c r="F70" s="21"/>
      <c r="G70" s="34"/>
      <c r="I70" s="21"/>
      <c r="J70" s="7"/>
    </row>
    <row r="71" spans="3:19" x14ac:dyDescent="0.25">
      <c r="C71" s="21"/>
      <c r="D71" s="29"/>
      <c r="F71" s="21"/>
      <c r="G71" s="34"/>
      <c r="I71" s="21"/>
      <c r="J71" s="7"/>
    </row>
    <row r="72" spans="3:19" x14ac:dyDescent="0.25">
      <c r="C72" s="21"/>
      <c r="D72" s="29"/>
      <c r="F72" s="21"/>
      <c r="G72" s="34"/>
      <c r="I72" s="21"/>
      <c r="J72" s="7"/>
    </row>
    <row r="73" spans="3:19" x14ac:dyDescent="0.25">
      <c r="C73" s="21"/>
      <c r="D73" s="29"/>
      <c r="F73" s="21"/>
      <c r="G73" s="34"/>
      <c r="I73" s="21"/>
      <c r="J73" s="7"/>
    </row>
    <row r="74" spans="3:19" x14ac:dyDescent="0.25">
      <c r="C74" s="21"/>
      <c r="D74" s="29"/>
      <c r="F74" s="21"/>
      <c r="G74" s="34"/>
      <c r="I74" s="21"/>
      <c r="J74" s="7"/>
    </row>
    <row r="75" spans="3:19" x14ac:dyDescent="0.25">
      <c r="C75" s="21"/>
      <c r="D75" s="29"/>
      <c r="F75" s="21"/>
      <c r="G75" s="34"/>
      <c r="I75" s="21"/>
      <c r="J75" s="7"/>
    </row>
    <row r="76" spans="3:19" x14ac:dyDescent="0.25">
      <c r="C76" s="21"/>
      <c r="D76" s="29"/>
      <c r="F76" s="21"/>
      <c r="G76" s="34"/>
      <c r="I76" s="21"/>
      <c r="J76" s="7"/>
    </row>
    <row r="77" spans="3:19" x14ac:dyDescent="0.25">
      <c r="C77" s="21"/>
      <c r="D77" s="29"/>
      <c r="F77" s="21"/>
      <c r="G77" s="34"/>
      <c r="J77" s="33"/>
    </row>
    <row r="78" spans="3:19" x14ac:dyDescent="0.25">
      <c r="C78" s="21"/>
      <c r="D78" s="29"/>
      <c r="F78" s="21"/>
      <c r="G78" s="34"/>
      <c r="J78" s="33"/>
    </row>
    <row r="79" spans="3:19" x14ac:dyDescent="0.25">
      <c r="C79" s="21"/>
      <c r="D79" s="29"/>
      <c r="F79" s="21"/>
      <c r="G79" s="34"/>
      <c r="J79" s="33"/>
    </row>
    <row r="80" spans="3:19" x14ac:dyDescent="0.25">
      <c r="C80" s="21"/>
      <c r="D80" s="29"/>
      <c r="F80" s="21"/>
      <c r="G80" s="34"/>
      <c r="J80" s="33"/>
    </row>
    <row r="81" spans="3:29" x14ac:dyDescent="0.25">
      <c r="C81" s="21"/>
      <c r="D81" s="29"/>
      <c r="F81" s="21"/>
      <c r="G81" s="34"/>
      <c r="J81" s="33"/>
    </row>
    <row r="82" spans="3:29" x14ac:dyDescent="0.25">
      <c r="C82" s="21"/>
      <c r="D82" s="29"/>
      <c r="F82" s="21"/>
      <c r="G82" s="34"/>
      <c r="J82" s="33"/>
    </row>
    <row r="83" spans="3:29" x14ac:dyDescent="0.25">
      <c r="C83" s="21"/>
      <c r="D83" s="29"/>
      <c r="F83" s="21"/>
      <c r="G83" s="34"/>
      <c r="J83" s="33"/>
    </row>
    <row r="84" spans="3:29" x14ac:dyDescent="0.25">
      <c r="C84" s="21"/>
      <c r="D84" s="29"/>
      <c r="F84" s="21"/>
      <c r="G84" s="34"/>
      <c r="J84" s="33"/>
    </row>
    <row r="85" spans="3:29" x14ac:dyDescent="0.25">
      <c r="C85" s="21"/>
      <c r="D85" s="29"/>
      <c r="F85" s="21"/>
      <c r="G85" s="34"/>
      <c r="J85" s="33"/>
    </row>
    <row r="86" spans="3:29" x14ac:dyDescent="0.25">
      <c r="C86" s="21"/>
      <c r="D86" s="29"/>
      <c r="F86" s="21"/>
      <c r="G86" s="34"/>
      <c r="J86" s="33"/>
    </row>
    <row r="87" spans="3:29" x14ac:dyDescent="0.25">
      <c r="C87" s="21"/>
      <c r="D87" s="29"/>
      <c r="F87" s="21"/>
      <c r="G87" s="34"/>
      <c r="J87" s="33"/>
    </row>
    <row r="88" spans="3:29" x14ac:dyDescent="0.25">
      <c r="C88" s="21"/>
      <c r="D88" s="29"/>
      <c r="F88" s="21"/>
      <c r="G88" s="34"/>
      <c r="J88" s="33"/>
    </row>
    <row r="89" spans="3:29" x14ac:dyDescent="0.25">
      <c r="C89" s="21"/>
      <c r="D89" s="29"/>
      <c r="F89" s="21"/>
      <c r="G89" s="34"/>
      <c r="J89" s="33"/>
    </row>
    <row r="90" spans="3:29" x14ac:dyDescent="0.25">
      <c r="C90" s="21"/>
      <c r="D90" s="29"/>
      <c r="F90" s="21"/>
      <c r="G90" s="34"/>
      <c r="J90" s="33"/>
    </row>
    <row r="91" spans="3:29" x14ac:dyDescent="0.25">
      <c r="C91" s="21"/>
      <c r="D91" s="29"/>
      <c r="F91" s="21"/>
      <c r="G91" s="34"/>
      <c r="J91" s="33"/>
    </row>
    <row r="92" spans="3:29" x14ac:dyDescent="0.25">
      <c r="C92" s="21"/>
      <c r="D92" s="29"/>
      <c r="F92" s="21"/>
      <c r="G92" s="34"/>
      <c r="J92" s="33"/>
    </row>
    <row r="93" spans="3:29" x14ac:dyDescent="0.25">
      <c r="C93" s="21"/>
      <c r="D93" s="29"/>
      <c r="F93" s="21"/>
      <c r="G93" s="34"/>
      <c r="J93" s="33"/>
    </row>
    <row r="94" spans="3:29" x14ac:dyDescent="0.25">
      <c r="C94" s="21"/>
      <c r="D94" s="29"/>
      <c r="F94" s="21"/>
      <c r="G94" s="34"/>
      <c r="J94" s="33"/>
      <c r="AA94" s="6"/>
      <c r="AC94" s="2"/>
    </row>
    <row r="95" spans="3:29" x14ac:dyDescent="0.25">
      <c r="C95" s="21"/>
      <c r="D95" s="29"/>
      <c r="F95" s="21"/>
      <c r="G95" s="34"/>
      <c r="J95" s="29"/>
    </row>
    <row r="96" spans="3:29" x14ac:dyDescent="0.25">
      <c r="C96" s="21"/>
      <c r="D96" s="29"/>
      <c r="F96" s="21"/>
      <c r="G96" s="34"/>
      <c r="J96" s="29"/>
    </row>
    <row r="97" spans="3:10" x14ac:dyDescent="0.25">
      <c r="C97" s="21"/>
      <c r="D97" s="29"/>
      <c r="F97" s="21"/>
      <c r="G97" s="34"/>
      <c r="J97" s="29"/>
    </row>
    <row r="98" spans="3:10" x14ac:dyDescent="0.25">
      <c r="C98" s="21"/>
      <c r="D98" s="29"/>
      <c r="F98" s="21"/>
      <c r="G98" s="34"/>
      <c r="J98" s="29"/>
    </row>
    <row r="99" spans="3:10" x14ac:dyDescent="0.25">
      <c r="C99" s="21"/>
      <c r="D99" s="29"/>
      <c r="F99" s="21"/>
      <c r="G99" s="34"/>
      <c r="J99" s="29"/>
    </row>
    <row r="100" spans="3:10" x14ac:dyDescent="0.25">
      <c r="C100" s="21"/>
      <c r="D100" s="29"/>
      <c r="F100" s="21"/>
      <c r="G100" s="34"/>
      <c r="J100" s="29"/>
    </row>
    <row r="101" spans="3:10" x14ac:dyDescent="0.25">
      <c r="C101" s="21"/>
      <c r="D101" s="29"/>
      <c r="F101" s="21"/>
      <c r="G101" s="34"/>
      <c r="J101" s="29"/>
    </row>
    <row r="102" spans="3:10" x14ac:dyDescent="0.25">
      <c r="C102" s="21"/>
      <c r="D102" s="29"/>
      <c r="F102" s="21"/>
      <c r="G102" s="34"/>
      <c r="J102" s="29"/>
    </row>
    <row r="103" spans="3:10" x14ac:dyDescent="0.25">
      <c r="C103" s="21"/>
      <c r="D103" s="29"/>
      <c r="F103" s="21"/>
      <c r="G103" s="34"/>
      <c r="J103" s="29"/>
    </row>
    <row r="104" spans="3:10" x14ac:dyDescent="0.25">
      <c r="D104" s="29"/>
      <c r="F104" s="21"/>
      <c r="G104" s="34"/>
      <c r="J104" s="29"/>
    </row>
    <row r="105" spans="3:10" x14ac:dyDescent="0.25">
      <c r="D105" s="29"/>
      <c r="F105" s="21"/>
      <c r="G105" s="34"/>
      <c r="J105" s="29"/>
    </row>
    <row r="106" spans="3:10" x14ac:dyDescent="0.25">
      <c r="D106" s="29"/>
      <c r="F106" s="21"/>
      <c r="G106" s="34"/>
      <c r="J106" s="29"/>
    </row>
    <row r="107" spans="3:10" x14ac:dyDescent="0.25">
      <c r="D107" s="29"/>
      <c r="F107" s="21"/>
      <c r="G107" s="34"/>
      <c r="J107" s="29"/>
    </row>
    <row r="108" spans="3:10" x14ac:dyDescent="0.25">
      <c r="D108" s="29"/>
      <c r="F108" s="21"/>
      <c r="G108" s="34"/>
      <c r="J108" s="29"/>
    </row>
    <row r="109" spans="3:10" x14ac:dyDescent="0.25">
      <c r="D109" s="29"/>
      <c r="F109" s="21"/>
      <c r="G109" s="34"/>
      <c r="J109" s="29"/>
    </row>
    <row r="110" spans="3:10" x14ac:dyDescent="0.25">
      <c r="D110" s="31"/>
      <c r="E110" s="41" t="s">
        <v>39</v>
      </c>
      <c r="F110" s="32"/>
      <c r="G110" s="46"/>
      <c r="H110" s="41" t="s">
        <v>39</v>
      </c>
      <c r="I110" s="41"/>
      <c r="J110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514B-1DB2-4A54-859F-FCB798D4CFC3}">
  <dimension ref="A1:X133"/>
  <sheetViews>
    <sheetView workbookViewId="0">
      <pane ySplit="15" topLeftCell="A16" activePane="bottomLeft" state="frozen"/>
      <selection activeCell="F4" sqref="F4"/>
      <selection pane="bottomLeft" activeCell="L30" sqref="L30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124701</v>
      </c>
      <c r="K2">
        <f>J2-J3</f>
        <v>136</v>
      </c>
      <c r="L2" s="1">
        <f>K2/J2</f>
        <v>1.0906087360967433E-3</v>
      </c>
    </row>
    <row r="3" spans="1:24" x14ac:dyDescent="0.25">
      <c r="B3" t="s">
        <v>6</v>
      </c>
      <c r="D3" s="64" t="s">
        <v>103</v>
      </c>
      <c r="E3" s="52"/>
      <c r="F3" t="s">
        <v>104</v>
      </c>
      <c r="H3" s="63" t="s">
        <v>9</v>
      </c>
      <c r="I3" s="63"/>
      <c r="J3">
        <f>K11-L10+M11-N10+O11-P10+Q11-R10+S11-T10+U11-V10+W11-X10</f>
        <v>124565</v>
      </c>
      <c r="K3" s="5" t="s">
        <v>10</v>
      </c>
      <c r="L3" s="5" t="s">
        <v>11</v>
      </c>
      <c r="M3" s="5" t="s">
        <v>12</v>
      </c>
      <c r="N3" s="6">
        <f>N4*I4/O1</f>
        <v>54.81798190869246</v>
      </c>
      <c r="O3" s="6">
        <f>K7+M7+O7+Q7+S7+U7+W7</f>
        <v>54.817981908692452</v>
      </c>
    </row>
    <row r="4" spans="1:24" x14ac:dyDescent="0.25">
      <c r="B4" t="s">
        <v>14</v>
      </c>
      <c r="D4" s="65" t="str">
        <f>[2]Summary!C2</f>
        <v>Peas</v>
      </c>
      <c r="E4" s="52"/>
      <c r="F4" s="2">
        <v>2021</v>
      </c>
      <c r="I4" s="2">
        <f>[2]Summary!D2</f>
        <v>60</v>
      </c>
      <c r="J4" s="2">
        <f>J3/I4</f>
        <v>2076.0833333333335</v>
      </c>
      <c r="K4" s="8">
        <v>0.98</v>
      </c>
      <c r="L4" s="8">
        <f>IF(J5=0,L1,(L8+N8+P8+R8+T8+V8+X8)/J5/K4)</f>
        <v>0.16</v>
      </c>
      <c r="M4" s="8">
        <f>IF(J5=0,0,(L9+N9+P9+R9+T9+V9+X9)/J5/K4)</f>
        <v>0.01</v>
      </c>
      <c r="N4" s="2">
        <f>IF(L4&gt;L1,J4*(1-L4)/(1-L1)*(1-M4)*K4,J4*K4*(1-M4))</f>
        <v>2014.21605</v>
      </c>
      <c r="V4" s="6"/>
    </row>
    <row r="5" spans="1:24" x14ac:dyDescent="0.25">
      <c r="B5" t="s">
        <v>16</v>
      </c>
      <c r="D5" s="65">
        <v>44425</v>
      </c>
      <c r="E5" s="52"/>
      <c r="F5" s="13">
        <v>44425</v>
      </c>
      <c r="J5" s="6">
        <f>J3/O1</f>
        <v>56.501733569050145</v>
      </c>
      <c r="N5" s="2">
        <v>92</v>
      </c>
      <c r="O5" s="3">
        <f>N4/N5</f>
        <v>21.893652717391305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54.817981908692452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</v>
      </c>
      <c r="L8" s="6">
        <f>(L11-L10/$O1)*$K4*K8</f>
        <v>8.8594718236270626</v>
      </c>
      <c r="M8" s="1">
        <v>0.16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0.55371698897669142</v>
      </c>
      <c r="M9" s="1">
        <v>0.01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56207.63253702857</v>
      </c>
      <c r="E10" s="55"/>
      <c r="F10" s="56"/>
      <c r="G10" s="54">
        <f>J3/J2*G11</f>
        <v>68357.367462971422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56269</v>
      </c>
      <c r="E11" s="58"/>
      <c r="F11" s="59"/>
      <c r="G11" s="57">
        <f>H14+I14</f>
        <v>68432</v>
      </c>
      <c r="H11" s="58"/>
      <c r="I11" s="58"/>
      <c r="J11" s="25"/>
      <c r="K11" s="26">
        <f>K14+L14</f>
        <v>124565</v>
      </c>
      <c r="L11" s="27">
        <f>K11/2204.62262184877</f>
        <v>56.501733569050145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94</v>
      </c>
      <c r="L12" s="51"/>
      <c r="M12" s="50" t="s">
        <v>102</v>
      </c>
      <c r="N12" s="51"/>
      <c r="O12" s="50" t="s">
        <v>86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56269</v>
      </c>
      <c r="F14" s="30">
        <f>SUM(F15:F133)</f>
        <v>0</v>
      </c>
      <c r="G14" s="29"/>
      <c r="H14" s="4">
        <f>SUM(H15:H133)</f>
        <v>68432</v>
      </c>
      <c r="I14" s="4">
        <f>SUM(I15:I133)</f>
        <v>0</v>
      </c>
      <c r="J14" s="25"/>
      <c r="K14" s="23">
        <f t="shared" ref="K14:X14" si="0">SUM(K15:K133)</f>
        <v>124565</v>
      </c>
      <c r="L14" s="24">
        <f t="shared" si="0"/>
        <v>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/>
      <c r="D16" s="29"/>
      <c r="F16" s="21"/>
      <c r="G16" s="29"/>
      <c r="J16" s="29"/>
    </row>
    <row r="17" spans="2:19" x14ac:dyDescent="0.25">
      <c r="C17" s="21"/>
      <c r="D17" s="29"/>
      <c r="F17" s="21"/>
      <c r="G17" s="29"/>
      <c r="J17" s="29"/>
    </row>
    <row r="18" spans="2:19" x14ac:dyDescent="0.25">
      <c r="B18">
        <v>3</v>
      </c>
      <c r="C18" s="21"/>
      <c r="D18" s="29">
        <v>3</v>
      </c>
      <c r="E18">
        <f>18600-16031</f>
        <v>2569</v>
      </c>
      <c r="F18" s="21"/>
      <c r="G18" s="29">
        <v>508</v>
      </c>
      <c r="H18">
        <f>18800-9448</f>
        <v>9352</v>
      </c>
      <c r="J18" s="29"/>
      <c r="K18">
        <f>ROUND(37160*(E18+H18)/(18600+18800),0)</f>
        <v>11845</v>
      </c>
    </row>
    <row r="19" spans="2:19" x14ac:dyDescent="0.25">
      <c r="B19">
        <v>4</v>
      </c>
      <c r="C19" s="21"/>
      <c r="D19">
        <v>4</v>
      </c>
      <c r="E19">
        <v>20840</v>
      </c>
      <c r="F19" s="21"/>
      <c r="G19">
        <v>509</v>
      </c>
      <c r="H19">
        <v>23740</v>
      </c>
      <c r="J19" s="29"/>
      <c r="K19">
        <v>44820</v>
      </c>
    </row>
    <row r="20" spans="2:19" x14ac:dyDescent="0.25">
      <c r="B20">
        <v>5</v>
      </c>
      <c r="C20" s="21"/>
      <c r="D20">
        <v>5</v>
      </c>
      <c r="E20">
        <v>19340</v>
      </c>
      <c r="F20" s="21"/>
      <c r="G20">
        <v>510</v>
      </c>
      <c r="H20">
        <v>21640</v>
      </c>
      <c r="J20" s="29"/>
      <c r="K20">
        <v>41040</v>
      </c>
    </row>
    <row r="21" spans="2:19" x14ac:dyDescent="0.25">
      <c r="B21">
        <v>6</v>
      </c>
      <c r="C21" s="21"/>
      <c r="D21">
        <v>6</v>
      </c>
      <c r="E21">
        <v>13520</v>
      </c>
      <c r="F21" s="21"/>
      <c r="G21">
        <v>511</v>
      </c>
      <c r="H21">
        <v>13700</v>
      </c>
      <c r="J21" s="29"/>
      <c r="K21">
        <v>26860</v>
      </c>
    </row>
    <row r="22" spans="2:19" x14ac:dyDescent="0.25">
      <c r="C22" s="21"/>
      <c r="F22" s="21"/>
      <c r="J22" s="29"/>
    </row>
    <row r="23" spans="2:19" x14ac:dyDescent="0.25">
      <c r="C23" s="21"/>
      <c r="F23" s="21"/>
      <c r="J23" s="29"/>
    </row>
    <row r="24" spans="2:19" x14ac:dyDescent="0.25">
      <c r="C24" s="21"/>
      <c r="F24" s="21"/>
      <c r="J24" s="29"/>
    </row>
    <row r="25" spans="2:19" x14ac:dyDescent="0.25">
      <c r="C25" s="21"/>
      <c r="F25" s="21"/>
      <c r="J25" s="29"/>
    </row>
    <row r="26" spans="2:19" x14ac:dyDescent="0.25">
      <c r="C26" s="21"/>
      <c r="F26" s="21"/>
      <c r="J26" s="29"/>
    </row>
    <row r="27" spans="2:19" x14ac:dyDescent="0.25">
      <c r="C27" s="21"/>
      <c r="F27" s="21"/>
      <c r="I27" s="21"/>
      <c r="J27" s="29"/>
    </row>
    <row r="28" spans="2:19" x14ac:dyDescent="0.25">
      <c r="C28" s="21"/>
      <c r="F28" s="21"/>
      <c r="I28" s="21"/>
      <c r="J28" s="29"/>
    </row>
    <row r="29" spans="2:19" x14ac:dyDescent="0.25">
      <c r="C29" s="21"/>
      <c r="J29" s="29"/>
    </row>
    <row r="30" spans="2:19" x14ac:dyDescent="0.25">
      <c r="C30" s="21"/>
      <c r="D30" s="38"/>
      <c r="F30" s="21"/>
      <c r="H30" s="37"/>
      <c r="J30" s="29"/>
    </row>
    <row r="31" spans="2:19" x14ac:dyDescent="0.25">
      <c r="C31" s="21"/>
      <c r="F31" s="21"/>
      <c r="H31" s="37"/>
      <c r="J31" s="29"/>
    </row>
    <row r="32" spans="2:19" x14ac:dyDescent="0.25">
      <c r="C32" s="21"/>
      <c r="F32" s="21"/>
      <c r="H32" s="37"/>
      <c r="J32" s="29"/>
      <c r="S32" t="s">
        <v>55</v>
      </c>
    </row>
    <row r="33" spans="3:13" x14ac:dyDescent="0.25">
      <c r="C33" s="21"/>
      <c r="F33" s="21"/>
      <c r="H33" s="37"/>
      <c r="J33" s="29"/>
    </row>
    <row r="34" spans="3:13" x14ac:dyDescent="0.25">
      <c r="C34" s="21"/>
      <c r="F34" s="21"/>
      <c r="H34" s="37"/>
      <c r="J34" s="29"/>
    </row>
    <row r="35" spans="3:13" x14ac:dyDescent="0.25">
      <c r="C35" s="21"/>
      <c r="F35" s="21"/>
      <c r="H35" s="37"/>
      <c r="J35" s="29"/>
    </row>
    <row r="36" spans="3:13" x14ac:dyDescent="0.25">
      <c r="C36" s="21"/>
      <c r="F36" s="21"/>
      <c r="H36" s="37"/>
      <c r="J36" s="29"/>
    </row>
    <row r="37" spans="3:13" x14ac:dyDescent="0.25">
      <c r="C37" s="21"/>
      <c r="F37" s="21"/>
      <c r="H37" s="37"/>
      <c r="J37" s="29"/>
    </row>
    <row r="38" spans="3:13" x14ac:dyDescent="0.25">
      <c r="C38" s="21"/>
      <c r="F38" s="21"/>
      <c r="H38" s="37"/>
      <c r="J38" s="29"/>
    </row>
    <row r="39" spans="3:13" x14ac:dyDescent="0.25">
      <c r="C39" s="21"/>
      <c r="F39" s="21"/>
      <c r="H39" s="37"/>
      <c r="J39" s="29"/>
    </row>
    <row r="40" spans="3:13" x14ac:dyDescent="0.25">
      <c r="C40" s="21"/>
      <c r="F40" s="21"/>
      <c r="H40" s="37"/>
      <c r="J40" s="29"/>
    </row>
    <row r="41" spans="3:13" x14ac:dyDescent="0.25">
      <c r="C41" s="21"/>
      <c r="F41" s="21"/>
      <c r="H41" s="37"/>
      <c r="J41" s="29"/>
      <c r="M41" s="37"/>
    </row>
    <row r="42" spans="3:13" x14ac:dyDescent="0.25">
      <c r="C42" s="21"/>
      <c r="F42" s="21"/>
      <c r="J42" s="29"/>
    </row>
    <row r="43" spans="3:13" x14ac:dyDescent="0.25">
      <c r="C43" s="21"/>
      <c r="F43" s="21"/>
      <c r="J43" s="29"/>
    </row>
    <row r="44" spans="3:13" x14ac:dyDescent="0.25">
      <c r="C44" s="21"/>
      <c r="F44" s="21"/>
      <c r="J44" s="29"/>
    </row>
    <row r="45" spans="3:13" x14ac:dyDescent="0.25">
      <c r="C45" s="21"/>
      <c r="F45" s="21"/>
      <c r="J45" s="29"/>
    </row>
    <row r="46" spans="3:13" x14ac:dyDescent="0.25">
      <c r="C46" s="21"/>
      <c r="F46" s="21"/>
      <c r="J46" s="29"/>
    </row>
    <row r="47" spans="3:13" x14ac:dyDescent="0.25">
      <c r="C47" s="21"/>
      <c r="F47" s="21"/>
      <c r="J47" s="29"/>
    </row>
    <row r="48" spans="3:13" x14ac:dyDescent="0.25">
      <c r="C48" s="21"/>
      <c r="F48" s="21"/>
      <c r="J48" s="29"/>
    </row>
    <row r="49" spans="1:15" x14ac:dyDescent="0.25">
      <c r="C49" s="21"/>
      <c r="F49" s="21"/>
      <c r="J49" s="29"/>
    </row>
    <row r="50" spans="1:15" x14ac:dyDescent="0.25">
      <c r="C50" s="21"/>
      <c r="F50" s="21"/>
      <c r="J50" s="29"/>
    </row>
    <row r="51" spans="1:15" x14ac:dyDescent="0.25">
      <c r="C51" s="21"/>
      <c r="F51" s="21"/>
      <c r="J51" s="29"/>
    </row>
    <row r="52" spans="1:15" x14ac:dyDescent="0.25">
      <c r="C52" s="21"/>
      <c r="F52" s="21"/>
      <c r="J52" s="29"/>
    </row>
    <row r="53" spans="1:15" x14ac:dyDescent="0.25">
      <c r="C53" s="21"/>
      <c r="F53" s="21"/>
      <c r="J53" s="29"/>
    </row>
    <row r="54" spans="1:15" x14ac:dyDescent="0.25">
      <c r="C54" s="21"/>
      <c r="F54" s="21"/>
      <c r="J54" s="29"/>
    </row>
    <row r="55" spans="1:15" x14ac:dyDescent="0.25">
      <c r="C55" s="21"/>
      <c r="F55" s="21"/>
      <c r="J55" s="29"/>
      <c r="L55" s="9"/>
      <c r="M55" s="9"/>
    </row>
    <row r="56" spans="1:15" x14ac:dyDescent="0.25">
      <c r="C56" s="21"/>
      <c r="F56" s="21"/>
      <c r="J56" s="29"/>
    </row>
    <row r="57" spans="1:15" x14ac:dyDescent="0.25">
      <c r="C57" s="21"/>
      <c r="F57" s="21"/>
      <c r="J57" s="29"/>
    </row>
    <row r="58" spans="1:15" s="9" customFormat="1" x14ac:dyDescent="0.25">
      <c r="A58"/>
      <c r="C58" s="35"/>
      <c r="D58"/>
      <c r="E58"/>
      <c r="F58" s="21"/>
      <c r="G58"/>
      <c r="H58"/>
      <c r="I58"/>
      <c r="J58" s="29"/>
      <c r="K58"/>
    </row>
    <row r="59" spans="1:15" s="9" customFormat="1" x14ac:dyDescent="0.25">
      <c r="A59"/>
      <c r="C59" s="35"/>
      <c r="D59"/>
      <c r="E59"/>
      <c r="F59" s="21"/>
      <c r="G59"/>
      <c r="H59"/>
      <c r="I59"/>
      <c r="J59" s="29"/>
      <c r="K59"/>
    </row>
    <row r="60" spans="1:15" s="9" customFormat="1" x14ac:dyDescent="0.25">
      <c r="A60"/>
      <c r="C60" s="35"/>
      <c r="D60"/>
      <c r="E60"/>
      <c r="F60" s="21"/>
      <c r="G60"/>
      <c r="H60"/>
      <c r="I60"/>
      <c r="J60" s="29"/>
      <c r="K60"/>
    </row>
    <row r="61" spans="1:15" s="9" customFormat="1" x14ac:dyDescent="0.25">
      <c r="A61"/>
      <c r="C61" s="35"/>
      <c r="D61"/>
      <c r="E61"/>
      <c r="F61" s="21"/>
      <c r="G61"/>
      <c r="H61"/>
      <c r="J61" s="47"/>
      <c r="K61"/>
    </row>
    <row r="62" spans="1:15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</row>
    <row r="63" spans="1:15" x14ac:dyDescent="0.25">
      <c r="C63" s="21"/>
      <c r="D63" s="29"/>
      <c r="F63" s="21"/>
      <c r="J63" s="29"/>
      <c r="O63" s="9"/>
    </row>
    <row r="64" spans="1:15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235-922F-40F0-A101-0157492D3CAB}">
  <dimension ref="A1:X133"/>
  <sheetViews>
    <sheetView workbookViewId="0">
      <pane ySplit="15" topLeftCell="A16" activePane="bottomLeft" state="frozen"/>
      <selection activeCell="F4" sqref="F4"/>
      <selection pane="bottomLeft" activeCell="F4" sqref="F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381779</v>
      </c>
      <c r="K2">
        <f>J2-J3</f>
        <v>-616</v>
      </c>
      <c r="L2" s="1">
        <f>K2/J2</f>
        <v>-1.6134989090547149E-3</v>
      </c>
    </row>
    <row r="3" spans="1:24" x14ac:dyDescent="0.25">
      <c r="B3" t="s">
        <v>6</v>
      </c>
      <c r="D3" s="64" t="s">
        <v>100</v>
      </c>
      <c r="E3" s="52"/>
      <c r="F3" t="s">
        <v>101</v>
      </c>
      <c r="H3" s="63" t="s">
        <v>9</v>
      </c>
      <c r="I3" s="63"/>
      <c r="J3">
        <f>K11-L10+M11-N10+O11-P10+Q11-R10+S11-T10+U11-V10+W11-X10</f>
        <v>382395</v>
      </c>
      <c r="K3" s="5" t="s">
        <v>10</v>
      </c>
      <c r="L3" s="5" t="s">
        <v>11</v>
      </c>
      <c r="M3" s="5" t="s">
        <v>12</v>
      </c>
      <c r="N3" s="6">
        <f>N4*I4/O1</f>
        <v>167.9801670838537</v>
      </c>
      <c r="O3" s="6">
        <f>K7+M7+O7+Q7+S7+U7+W7</f>
        <v>167.9801670838537</v>
      </c>
    </row>
    <row r="4" spans="1:24" x14ac:dyDescent="0.25">
      <c r="B4" t="s">
        <v>14</v>
      </c>
      <c r="D4" s="65" t="str">
        <f>[2]Summary!C2</f>
        <v>Peas</v>
      </c>
      <c r="E4" s="52"/>
      <c r="F4" s="2">
        <v>2021</v>
      </c>
      <c r="I4" s="2">
        <f>[2]Summary!D2</f>
        <v>60</v>
      </c>
      <c r="J4" s="2">
        <f>J3/I4</f>
        <v>6373.25</v>
      </c>
      <c r="K4" s="8">
        <v>0.98</v>
      </c>
      <c r="L4" s="8">
        <f>IF(J5=0,L1,(L8+N8+P8+R8+T8+V8+X8)/J5/K4)</f>
        <v>0.16150963009453573</v>
      </c>
      <c r="M4" s="8">
        <f>IF(J5=0,0,(L9+N9+P9+R9+T9+V9+X9)/J5/K4)</f>
        <v>0.01</v>
      </c>
      <c r="N4" s="2">
        <f>IF(L4&gt;L1,J4*(1-L4)/(1-L1)*(1-M4)*K4,J4*K4*(1-M4))</f>
        <v>6172.2146062499996</v>
      </c>
      <c r="V4" s="6"/>
    </row>
    <row r="5" spans="1:24" x14ac:dyDescent="0.25">
      <c r="B5" t="s">
        <v>16</v>
      </c>
      <c r="D5" s="65">
        <v>44425</v>
      </c>
      <c r="E5" s="52"/>
      <c r="F5" s="13">
        <v>44435</v>
      </c>
      <c r="J5" s="6">
        <f>J3/O1</f>
        <v>173.45145432615047</v>
      </c>
      <c r="N5" s="2">
        <v>187</v>
      </c>
      <c r="O5" s="3">
        <f>N4/N5</f>
        <v>33.006495220588235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50.506461864037831</v>
      </c>
      <c r="M7" s="6">
        <f>IF(M8&gt;$L1,(N11-N10/$O1)*$K4*(1-M8)/(1-$L1)*(1-M9),(N11-N10/$O1)*$K4*(1-M9))</f>
        <v>117.47370521981586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0.16500000000000001</v>
      </c>
      <c r="L8" s="6">
        <f>(L11-L10/$O1)*$K4*K8</f>
        <v>8.4681492945692174</v>
      </c>
      <c r="M8" s="1">
        <v>0.16</v>
      </c>
      <c r="N8" s="6">
        <f>(N11-N10/$O1)*$K4*M8</f>
        <v>18.985649328455089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0.51322116936783135</v>
      </c>
      <c r="M9" s="1">
        <v>0.01</v>
      </c>
      <c r="N9" s="6">
        <f>(N11-N10/$O1)*$K4*M9</f>
        <v>1.1866030830284431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213635.14479581121</v>
      </c>
      <c r="E10" s="55"/>
      <c r="F10" s="56"/>
      <c r="G10" s="54">
        <f>J3/J2*G11</f>
        <v>168759.85520418882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213291</v>
      </c>
      <c r="E11" s="58"/>
      <c r="F11" s="59"/>
      <c r="G11" s="57">
        <f>H14+I14</f>
        <v>168488</v>
      </c>
      <c r="H11" s="58"/>
      <c r="I11" s="58"/>
      <c r="J11" s="25"/>
      <c r="K11" s="26">
        <f>K14+L14</f>
        <v>115455</v>
      </c>
      <c r="L11" s="27">
        <f>K11/2204.62262184877</f>
        <v>52.369507078350139</v>
      </c>
      <c r="M11" s="26">
        <f>M14+N14</f>
        <v>266940</v>
      </c>
      <c r="N11" s="27">
        <f>M11/2204.62262184877</f>
        <v>121.08194724780031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94</v>
      </c>
      <c r="L12" s="51"/>
      <c r="M12" s="50" t="s">
        <v>102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213291</v>
      </c>
      <c r="F14" s="30">
        <f>SUM(F15:F133)</f>
        <v>0</v>
      </c>
      <c r="G14" s="29"/>
      <c r="H14" s="4">
        <f>SUM(H15:H133)</f>
        <v>168488</v>
      </c>
      <c r="I14" s="4">
        <f>SUM(I15:I133)</f>
        <v>0</v>
      </c>
      <c r="J14" s="25"/>
      <c r="K14" s="23">
        <f t="shared" ref="K14:X14" si="0">SUM(K15:K133)</f>
        <v>115455</v>
      </c>
      <c r="L14" s="24">
        <f t="shared" si="0"/>
        <v>0</v>
      </c>
      <c r="M14" s="23">
        <f t="shared" si="0"/>
        <v>70640</v>
      </c>
      <c r="N14" s="24">
        <f t="shared" si="0"/>
        <v>196300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D16" s="29">
        <v>1</v>
      </c>
      <c r="E16">
        <v>19720</v>
      </c>
      <c r="F16" s="21"/>
      <c r="G16" s="29">
        <v>506</v>
      </c>
      <c r="H16">
        <v>22560</v>
      </c>
      <c r="J16" s="29"/>
      <c r="K16">
        <v>43120</v>
      </c>
    </row>
    <row r="17" spans="2:21" x14ac:dyDescent="0.25">
      <c r="B17">
        <v>2</v>
      </c>
      <c r="C17" s="21"/>
      <c r="D17" s="29">
        <v>2</v>
      </c>
      <c r="E17">
        <v>25620</v>
      </c>
      <c r="F17" s="21"/>
      <c r="G17" s="29">
        <v>507</v>
      </c>
      <c r="H17">
        <v>21880</v>
      </c>
      <c r="J17" s="29"/>
      <c r="K17">
        <v>47020</v>
      </c>
    </row>
    <row r="18" spans="2:21" x14ac:dyDescent="0.25">
      <c r="B18">
        <v>3</v>
      </c>
      <c r="C18" s="21"/>
      <c r="D18" s="29">
        <v>3</v>
      </c>
      <c r="E18">
        <f>ROUND(18600*13134/(13134+2105),0)</f>
        <v>16031</v>
      </c>
      <c r="F18" s="21"/>
      <c r="G18" s="29">
        <v>508</v>
      </c>
      <c r="H18">
        <f>ROUND(18800*8073/(8073+7991),0)</f>
        <v>9448</v>
      </c>
      <c r="J18" s="29"/>
      <c r="K18">
        <f>37160-11845</f>
        <v>25315</v>
      </c>
    </row>
    <row r="19" spans="2:21" x14ac:dyDescent="0.25">
      <c r="C19" s="21"/>
      <c r="F19" s="21"/>
      <c r="J19" s="29"/>
    </row>
    <row r="20" spans="2:21" x14ac:dyDescent="0.25">
      <c r="B20">
        <v>7</v>
      </c>
      <c r="C20" s="21"/>
      <c r="D20">
        <v>36</v>
      </c>
      <c r="E20">
        <v>20940</v>
      </c>
      <c r="F20" s="21"/>
      <c r="G20">
        <v>554</v>
      </c>
      <c r="H20">
        <v>24200</v>
      </c>
      <c r="J20" s="29"/>
      <c r="M20">
        <v>36380</v>
      </c>
      <c r="N20">
        <v>9140</v>
      </c>
    </row>
    <row r="21" spans="2:21" x14ac:dyDescent="0.25">
      <c r="B21">
        <v>8</v>
      </c>
      <c r="C21" s="21"/>
      <c r="D21">
        <v>37</v>
      </c>
      <c r="E21">
        <v>21700</v>
      </c>
      <c r="F21" s="21"/>
      <c r="G21">
        <v>555</v>
      </c>
      <c r="H21">
        <v>19160</v>
      </c>
      <c r="J21" s="29"/>
      <c r="M21">
        <v>34260</v>
      </c>
    </row>
    <row r="22" spans="2:21" x14ac:dyDescent="0.25">
      <c r="B22">
        <v>9</v>
      </c>
      <c r="C22" s="21"/>
      <c r="D22">
        <v>38</v>
      </c>
      <c r="E22">
        <v>16660</v>
      </c>
      <c r="F22" s="21"/>
      <c r="G22">
        <v>556</v>
      </c>
      <c r="H22">
        <v>4940</v>
      </c>
      <c r="J22" s="29"/>
      <c r="N22">
        <v>28020</v>
      </c>
    </row>
    <row r="23" spans="2:21" x14ac:dyDescent="0.25">
      <c r="B23">
        <v>10</v>
      </c>
      <c r="C23" s="21"/>
      <c r="D23">
        <v>39</v>
      </c>
      <c r="E23">
        <v>20400</v>
      </c>
      <c r="F23" s="21"/>
      <c r="J23" s="29"/>
    </row>
    <row r="24" spans="2:21" x14ac:dyDescent="0.25">
      <c r="C24" s="21"/>
      <c r="D24">
        <v>40</v>
      </c>
      <c r="E24">
        <v>17520</v>
      </c>
      <c r="F24" s="21"/>
      <c r="G24">
        <v>557</v>
      </c>
      <c r="H24">
        <v>13300</v>
      </c>
      <c r="J24" s="29"/>
      <c r="N24">
        <v>52280</v>
      </c>
    </row>
    <row r="25" spans="2:21" x14ac:dyDescent="0.25">
      <c r="B25">
        <v>11</v>
      </c>
      <c r="C25" s="21"/>
      <c r="D25">
        <v>41</v>
      </c>
      <c r="E25">
        <v>25020</v>
      </c>
      <c r="F25" s="21"/>
      <c r="G25">
        <v>558</v>
      </c>
      <c r="H25">
        <v>24400</v>
      </c>
      <c r="I25" s="21"/>
      <c r="J25" s="29"/>
      <c r="N25">
        <v>49540</v>
      </c>
    </row>
    <row r="26" spans="2:21" x14ac:dyDescent="0.25">
      <c r="B26">
        <v>12</v>
      </c>
      <c r="C26" s="21"/>
      <c r="D26">
        <v>42</v>
      </c>
      <c r="E26">
        <v>22860</v>
      </c>
      <c r="F26" s="21"/>
      <c r="G26">
        <v>559</v>
      </c>
      <c r="H26">
        <v>24960</v>
      </c>
      <c r="I26" s="21"/>
      <c r="J26" s="29"/>
      <c r="N26">
        <v>39720</v>
      </c>
    </row>
    <row r="27" spans="2:21" x14ac:dyDescent="0.25">
      <c r="B27">
        <v>13</v>
      </c>
      <c r="C27" s="21"/>
      <c r="D27">
        <v>43</v>
      </c>
      <c r="E27">
        <v>6820</v>
      </c>
      <c r="G27">
        <v>560</v>
      </c>
      <c r="H27">
        <v>3640</v>
      </c>
      <c r="J27" s="29"/>
      <c r="N27">
        <v>17600</v>
      </c>
    </row>
    <row r="28" spans="2:21" x14ac:dyDescent="0.25">
      <c r="C28" s="21"/>
      <c r="F28" s="21"/>
      <c r="I28" s="21"/>
      <c r="J28" s="29"/>
    </row>
    <row r="29" spans="2:21" x14ac:dyDescent="0.25">
      <c r="C29" s="21"/>
      <c r="J29" s="29"/>
    </row>
    <row r="30" spans="2:21" x14ac:dyDescent="0.25">
      <c r="C30" s="21"/>
      <c r="D30" s="38"/>
      <c r="F30" s="21"/>
      <c r="J30" s="29"/>
    </row>
    <row r="31" spans="2:21" x14ac:dyDescent="0.25">
      <c r="C31" s="21"/>
      <c r="F31" s="21"/>
      <c r="J31" s="29"/>
    </row>
    <row r="32" spans="2:21" x14ac:dyDescent="0.25">
      <c r="C32" s="21"/>
      <c r="F32" s="21"/>
      <c r="J32" s="29"/>
      <c r="U32" t="s">
        <v>55</v>
      </c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20" x14ac:dyDescent="0.25">
      <c r="C49" s="21"/>
      <c r="F49" s="21"/>
      <c r="J49" s="29"/>
    </row>
    <row r="50" spans="1:20" x14ac:dyDescent="0.25">
      <c r="C50" s="21"/>
      <c r="F50" s="21"/>
      <c r="J50" s="29"/>
    </row>
    <row r="51" spans="1:20" x14ac:dyDescent="0.25">
      <c r="C51" s="21"/>
      <c r="F51" s="21"/>
      <c r="J51" s="29"/>
    </row>
    <row r="52" spans="1:20" x14ac:dyDescent="0.25">
      <c r="C52" s="21"/>
      <c r="F52" s="21"/>
      <c r="J52" s="29"/>
    </row>
    <row r="53" spans="1:20" x14ac:dyDescent="0.25">
      <c r="C53" s="21"/>
      <c r="F53" s="21"/>
      <c r="J53" s="29"/>
    </row>
    <row r="54" spans="1:20" x14ac:dyDescent="0.25">
      <c r="C54" s="21"/>
      <c r="F54" s="21"/>
      <c r="J54" s="29"/>
    </row>
    <row r="55" spans="1:20" x14ac:dyDescent="0.25">
      <c r="C55" s="21"/>
      <c r="F55" s="21"/>
      <c r="J55" s="29"/>
      <c r="L55" s="9"/>
      <c r="M55" s="9"/>
    </row>
    <row r="56" spans="1:20" x14ac:dyDescent="0.25">
      <c r="C56" s="21"/>
      <c r="F56" s="21"/>
      <c r="J56" s="29"/>
    </row>
    <row r="57" spans="1:20" x14ac:dyDescent="0.25">
      <c r="C57" s="21"/>
      <c r="F57" s="21"/>
      <c r="J57" s="29"/>
    </row>
    <row r="58" spans="1:20" s="9" customFormat="1" x14ac:dyDescent="0.25">
      <c r="A58"/>
      <c r="C58" s="35"/>
      <c r="D58"/>
      <c r="E58"/>
      <c r="F58" s="21"/>
      <c r="G58"/>
      <c r="H58"/>
      <c r="I58"/>
      <c r="J58" s="29"/>
      <c r="K58"/>
      <c r="S58"/>
      <c r="T58"/>
    </row>
    <row r="59" spans="1:20" s="9" customFormat="1" x14ac:dyDescent="0.25">
      <c r="A59"/>
      <c r="C59" s="35"/>
      <c r="D59"/>
      <c r="E59"/>
      <c r="F59" s="21"/>
      <c r="G59"/>
      <c r="H59"/>
      <c r="I59"/>
      <c r="J59" s="29"/>
      <c r="K59"/>
      <c r="S59"/>
      <c r="T59"/>
    </row>
    <row r="60" spans="1:20" s="9" customFormat="1" x14ac:dyDescent="0.25">
      <c r="A60"/>
      <c r="C60" s="35"/>
      <c r="D60"/>
      <c r="E60"/>
      <c r="F60" s="21"/>
      <c r="G60"/>
      <c r="H60"/>
      <c r="I60"/>
      <c r="J60" s="29"/>
      <c r="K60"/>
      <c r="S60"/>
      <c r="T60"/>
    </row>
    <row r="61" spans="1:20" s="9" customFormat="1" x14ac:dyDescent="0.25">
      <c r="A61"/>
      <c r="C61" s="35"/>
      <c r="D61"/>
      <c r="E61"/>
      <c r="F61" s="21"/>
      <c r="G61"/>
      <c r="H61"/>
      <c r="J61" s="47"/>
      <c r="K61"/>
      <c r="S61"/>
      <c r="T61"/>
    </row>
    <row r="62" spans="1:20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  <c r="S62"/>
      <c r="T62"/>
    </row>
    <row r="63" spans="1:20" x14ac:dyDescent="0.25">
      <c r="C63" s="21"/>
      <c r="D63" s="29"/>
      <c r="F63" s="21"/>
      <c r="J63" s="29"/>
      <c r="O63" s="9"/>
    </row>
    <row r="64" spans="1:20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D201-D6CD-4EA3-87D7-7664170B82D7}">
  <dimension ref="A1:AC85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2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[1]Summary!E2</f>
        <v>0.1</v>
      </c>
      <c r="O1">
        <v>2204.62262184877</v>
      </c>
    </row>
    <row r="2" spans="1:27" x14ac:dyDescent="0.25">
      <c r="G2"/>
      <c r="H2" s="63" t="s">
        <v>4</v>
      </c>
      <c r="I2" s="63" t="s">
        <v>4</v>
      </c>
      <c r="J2">
        <f>+D11+G11</f>
        <v>205300</v>
      </c>
      <c r="K2">
        <f>J2-J3</f>
        <v>-6480</v>
      </c>
      <c r="L2" s="1">
        <f>K2/J2</f>
        <v>-3.1563565513882126E-2</v>
      </c>
    </row>
    <row r="3" spans="1:27" x14ac:dyDescent="0.25">
      <c r="B3" t="s">
        <v>6</v>
      </c>
      <c r="D3" s="64" t="s">
        <v>46</v>
      </c>
      <c r="E3" s="52"/>
      <c r="F3" t="s">
        <v>47</v>
      </c>
      <c r="G3"/>
      <c r="H3" s="63" t="s">
        <v>9</v>
      </c>
      <c r="I3" s="63"/>
      <c r="J3">
        <f>K11-L10+M11-N10+O11-P10+Q11-R10+S11-T10+U11-V10+W11-X10</f>
        <v>211780</v>
      </c>
      <c r="K3" s="5" t="s">
        <v>10</v>
      </c>
      <c r="L3" s="5" t="s">
        <v>11</v>
      </c>
      <c r="M3" s="5" t="s">
        <v>12</v>
      </c>
      <c r="N3" s="6">
        <f>N4*I4/O1</f>
        <v>91.030224447481615</v>
      </c>
      <c r="O3" s="6">
        <f>K7+M7+O7+Q7+S7+U7+W7</f>
        <v>91.030224447481601</v>
      </c>
    </row>
    <row r="4" spans="1:27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G4"/>
      <c r="I4" s="2">
        <f>[1]Summary!D2</f>
        <v>50</v>
      </c>
      <c r="J4" s="2">
        <f>J3/I4</f>
        <v>4235.6000000000004</v>
      </c>
      <c r="K4" s="8">
        <v>0.98</v>
      </c>
      <c r="L4" s="8">
        <f>IF(J5=0,L1,(L8+N8+P8+R8+T8+V8+X8)/J5/K4)</f>
        <v>0.10281990745112853</v>
      </c>
      <c r="M4" s="8">
        <f>IF(J5=0,0,(L9+N9+P9+R9+T9+V9+X9)/J5/K4)</f>
        <v>2.9999999999999995E-2</v>
      </c>
      <c r="N4" s="2">
        <f>IF(L4&gt;L1,J4*(1-L4)/(1-L1)*(1-M4)*K4,J4*K4*(1-M4))</f>
        <v>4013.745841777778</v>
      </c>
      <c r="V4" s="6"/>
    </row>
    <row r="5" spans="1:27" x14ac:dyDescent="0.25">
      <c r="B5" t="s">
        <v>16</v>
      </c>
      <c r="D5" s="65">
        <v>44470</v>
      </c>
      <c r="E5" s="52"/>
      <c r="F5" s="13">
        <v>44470</v>
      </c>
      <c r="G5"/>
      <c r="J5" s="6">
        <f>J3/O1</f>
        <v>96.061792118600252</v>
      </c>
      <c r="N5" s="2">
        <v>159</v>
      </c>
      <c r="O5" s="3">
        <f>N4/N5</f>
        <v>25.243684539482881</v>
      </c>
      <c r="P5" t="s">
        <v>17</v>
      </c>
      <c r="V5" s="6"/>
    </row>
    <row r="6" spans="1:27" x14ac:dyDescent="0.25">
      <c r="D6" s="9"/>
      <c r="G6"/>
      <c r="J6" s="6"/>
      <c r="K6" s="15"/>
      <c r="L6" s="16"/>
      <c r="M6" s="15"/>
      <c r="N6" s="2"/>
      <c r="O6" s="3"/>
    </row>
    <row r="7" spans="1:27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25.464247500922106</v>
      </c>
      <c r="M7" s="6">
        <f>IF(M8&gt;$L1,(N11-N10/$O1)*$K4*(1-M8)/(1-$L1)*(1-M9),(N11-N10/$O1)*$K4*(1-M9))</f>
        <v>65.565976946559488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7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0.11</v>
      </c>
      <c r="L8" s="6">
        <f>(L11-L10/$O1)*$K4*K8</f>
        <v>2.9201442170639273</v>
      </c>
      <c r="M8" s="1">
        <v>0.1</v>
      </c>
      <c r="N8" s="6">
        <f>(N11-N10/$O1)*$K4*M8</f>
        <v>6.7593790666556179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7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0.79640296829016199</v>
      </c>
      <c r="M9" s="1">
        <v>0.03</v>
      </c>
      <c r="N9" s="6">
        <f>(N11-N10/$O1)*$K4*M9</f>
        <v>2.027813719996685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7" x14ac:dyDescent="0.25">
      <c r="B10" t="s">
        <v>20</v>
      </c>
      <c r="C10" s="21"/>
      <c r="D10" s="54">
        <f>J3/J2*D11</f>
        <v>89457.192401363864</v>
      </c>
      <c r="E10" s="55"/>
      <c r="F10" s="56"/>
      <c r="G10" s="54">
        <f>J3/J2*G11</f>
        <v>122322.80759863615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7" x14ac:dyDescent="0.25">
      <c r="B11" t="s">
        <v>22</v>
      </c>
      <c r="C11" s="21"/>
      <c r="D11" s="57">
        <f>E14+F14</f>
        <v>86720</v>
      </c>
      <c r="E11" s="58"/>
      <c r="F11" s="59"/>
      <c r="G11" s="57">
        <f>H14+I14</f>
        <v>118580</v>
      </c>
      <c r="H11" s="58"/>
      <c r="I11" s="58"/>
      <c r="J11" s="25"/>
      <c r="K11" s="26">
        <f>K14+L14</f>
        <v>59720</v>
      </c>
      <c r="L11" s="27">
        <f>K11/2204.62262184877</f>
        <v>27.088536336400072</v>
      </c>
      <c r="M11" s="26">
        <f>M14+N14</f>
        <v>152060</v>
      </c>
      <c r="N11" s="27">
        <f>M11/2204.62262184877</f>
        <v>68.973255782200184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7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48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7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7" x14ac:dyDescent="0.25">
      <c r="C14" s="21"/>
      <c r="D14" s="29"/>
      <c r="E14" s="4">
        <f>SUM(E15:E118)</f>
        <v>86720</v>
      </c>
      <c r="F14" s="30">
        <f>SUM(F15:F118)</f>
        <v>0</v>
      </c>
      <c r="G14" s="29"/>
      <c r="H14" s="4">
        <f>SUM(H15:H118)</f>
        <v>118580</v>
      </c>
      <c r="I14" s="4">
        <f>SUM(I15:I118)</f>
        <v>0</v>
      </c>
      <c r="J14" s="25"/>
      <c r="K14" s="23">
        <f t="shared" ref="K14:X14" si="0">SUM(K15:K118)</f>
        <v>59720</v>
      </c>
      <c r="L14" s="24">
        <f t="shared" si="0"/>
        <v>0</v>
      </c>
      <c r="M14" s="23">
        <f t="shared" si="0"/>
        <v>168600</v>
      </c>
      <c r="N14" s="24">
        <f t="shared" si="0"/>
        <v>-16540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7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s="21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7" x14ac:dyDescent="0.25">
      <c r="C16" s="21">
        <v>3</v>
      </c>
      <c r="D16">
        <v>147</v>
      </c>
      <c r="E16">
        <v>12900</v>
      </c>
      <c r="F16" s="21"/>
      <c r="G16" s="34">
        <v>662</v>
      </c>
      <c r="H16">
        <v>12800</v>
      </c>
      <c r="I16" s="21"/>
      <c r="J16" s="6"/>
      <c r="K16">
        <v>26280</v>
      </c>
      <c r="P16" s="9"/>
      <c r="AA16" s="6"/>
    </row>
    <row r="17" spans="3:28" x14ac:dyDescent="0.25">
      <c r="C17" s="21">
        <v>4</v>
      </c>
      <c r="D17">
        <v>148</v>
      </c>
      <c r="E17">
        <v>9440</v>
      </c>
      <c r="F17" s="21"/>
      <c r="G17" s="34">
        <v>663</v>
      </c>
      <c r="H17">
        <v>13660</v>
      </c>
      <c r="I17" s="21"/>
      <c r="J17" s="7"/>
      <c r="Z17" s="2"/>
      <c r="AB17" s="2"/>
    </row>
    <row r="18" spans="3:28" x14ac:dyDescent="0.25">
      <c r="C18" s="21"/>
      <c r="F18" s="21"/>
      <c r="G18" s="34">
        <v>664</v>
      </c>
      <c r="H18">
        <v>9640</v>
      </c>
      <c r="I18" s="21"/>
      <c r="J18" s="7"/>
      <c r="K18">
        <v>33440</v>
      </c>
      <c r="M18" s="9"/>
      <c r="N18" s="9"/>
      <c r="AA18" s="6"/>
    </row>
    <row r="19" spans="3:28" x14ac:dyDescent="0.25">
      <c r="C19" s="21">
        <v>5</v>
      </c>
      <c r="D19">
        <v>149</v>
      </c>
      <c r="E19">
        <v>15860</v>
      </c>
      <c r="F19" s="21"/>
      <c r="G19" s="34">
        <v>665</v>
      </c>
      <c r="H19">
        <v>14560</v>
      </c>
      <c r="I19" s="21"/>
      <c r="J19" s="6"/>
      <c r="M19">
        <v>31520</v>
      </c>
      <c r="N19" s="9"/>
      <c r="Z19" s="2"/>
      <c r="AB19" s="2"/>
    </row>
    <row r="20" spans="3:28" x14ac:dyDescent="0.25">
      <c r="C20" s="21">
        <v>6</v>
      </c>
      <c r="D20">
        <v>150</v>
      </c>
      <c r="E20">
        <v>10640</v>
      </c>
      <c r="F20" s="21"/>
      <c r="G20" s="34">
        <v>666</v>
      </c>
      <c r="H20">
        <v>13600</v>
      </c>
      <c r="I20" s="21"/>
      <c r="J20" s="7"/>
      <c r="M20">
        <v>25140</v>
      </c>
      <c r="N20" s="9"/>
      <c r="AA20" s="6"/>
    </row>
    <row r="21" spans="3:28" x14ac:dyDescent="0.25">
      <c r="C21" s="21">
        <v>7</v>
      </c>
      <c r="D21">
        <v>151</v>
      </c>
      <c r="E21">
        <v>13040</v>
      </c>
      <c r="F21" s="21"/>
      <c r="G21" s="34">
        <v>667</v>
      </c>
      <c r="H21">
        <v>11520</v>
      </c>
      <c r="I21" s="21"/>
      <c r="J21" s="6"/>
    </row>
    <row r="22" spans="3:28" x14ac:dyDescent="0.25">
      <c r="C22" s="21"/>
      <c r="F22" s="21"/>
      <c r="G22" s="34">
        <v>668</v>
      </c>
      <c r="H22">
        <v>11160</v>
      </c>
      <c r="I22" s="21"/>
      <c r="J22" s="7"/>
      <c r="M22">
        <v>36520</v>
      </c>
      <c r="P22" s="9"/>
      <c r="Z22" s="2"/>
      <c r="AB22" s="2"/>
    </row>
    <row r="23" spans="3:28" x14ac:dyDescent="0.25">
      <c r="C23" s="21">
        <v>8</v>
      </c>
      <c r="D23">
        <v>152</v>
      </c>
      <c r="E23">
        <v>16120</v>
      </c>
      <c r="F23" s="21"/>
      <c r="G23" s="34">
        <v>669</v>
      </c>
      <c r="H23">
        <v>15640</v>
      </c>
      <c r="I23" s="21"/>
      <c r="J23" s="7"/>
      <c r="M23">
        <v>32480</v>
      </c>
      <c r="P23" s="9"/>
      <c r="AA23" s="6"/>
    </row>
    <row r="24" spans="3:28" x14ac:dyDescent="0.25">
      <c r="C24" s="21">
        <v>9</v>
      </c>
      <c r="D24">
        <v>153</v>
      </c>
      <c r="E24">
        <v>8720</v>
      </c>
      <c r="F24" s="21"/>
      <c r="G24" s="34">
        <v>670</v>
      </c>
      <c r="H24">
        <v>16000</v>
      </c>
      <c r="I24" s="21"/>
      <c r="J24" s="7"/>
      <c r="Z24" s="2"/>
      <c r="AB24" s="2"/>
    </row>
    <row r="25" spans="3:28" x14ac:dyDescent="0.25">
      <c r="C25" s="21"/>
      <c r="D25" s="29"/>
      <c r="F25" s="21"/>
      <c r="G25" s="34"/>
      <c r="I25" s="21"/>
      <c r="J25" s="7"/>
      <c r="M25">
        <v>42940</v>
      </c>
      <c r="N25">
        <f>-7540-9000</f>
        <v>-16540</v>
      </c>
    </row>
    <row r="26" spans="3:28" x14ac:dyDescent="0.25">
      <c r="C26" s="21"/>
      <c r="D26" s="29"/>
      <c r="F26" s="21"/>
      <c r="G26" s="34"/>
      <c r="I26" s="21"/>
      <c r="J26" s="7"/>
    </row>
    <row r="27" spans="3:28" x14ac:dyDescent="0.25">
      <c r="C27" s="21"/>
      <c r="D27" s="29"/>
      <c r="F27" s="21"/>
      <c r="G27" s="34"/>
      <c r="I27" s="21"/>
      <c r="J27" s="7"/>
    </row>
    <row r="28" spans="3:28" x14ac:dyDescent="0.25">
      <c r="C28" s="21"/>
      <c r="D28" s="29"/>
      <c r="F28" s="21"/>
      <c r="G28" s="34"/>
      <c r="I28" s="21"/>
      <c r="J28" s="7"/>
    </row>
    <row r="29" spans="3:28" x14ac:dyDescent="0.25">
      <c r="C29" s="21"/>
      <c r="D29" s="29"/>
      <c r="F29" s="21"/>
      <c r="G29" s="34"/>
      <c r="I29" s="21"/>
      <c r="J29" s="7"/>
    </row>
    <row r="30" spans="3:28" x14ac:dyDescent="0.25">
      <c r="C30" s="21"/>
      <c r="D30" s="29"/>
      <c r="F30" s="21"/>
      <c r="G30" s="34"/>
      <c r="I30" s="21"/>
      <c r="J30" s="7"/>
    </row>
    <row r="31" spans="3:28" x14ac:dyDescent="0.25">
      <c r="C31" s="21"/>
      <c r="D31" s="29"/>
      <c r="F31" s="21"/>
      <c r="G31" s="34"/>
      <c r="I31" s="21"/>
      <c r="J31" s="7"/>
    </row>
    <row r="32" spans="3:28" x14ac:dyDescent="0.25">
      <c r="C32" s="21"/>
      <c r="F32" s="21"/>
      <c r="G32" s="34"/>
      <c r="I32" s="21"/>
      <c r="J32" s="7"/>
    </row>
    <row r="33" spans="3:10" x14ac:dyDescent="0.25">
      <c r="C33" s="21"/>
      <c r="D33" s="29"/>
      <c r="F33" s="21"/>
      <c r="G33" s="34"/>
      <c r="I33" s="21"/>
      <c r="J33" s="7"/>
    </row>
    <row r="34" spans="3:10" x14ac:dyDescent="0.25">
      <c r="C34" s="21"/>
      <c r="D34" s="43"/>
      <c r="E34" s="44"/>
      <c r="F34" s="45"/>
      <c r="G34" s="34"/>
      <c r="I34" s="21"/>
      <c r="J34" s="7"/>
    </row>
    <row r="35" spans="3:10" x14ac:dyDescent="0.25">
      <c r="C35" s="21"/>
      <c r="D35" s="29"/>
      <c r="F35" s="21"/>
      <c r="G35" s="34"/>
      <c r="I35" s="21"/>
      <c r="J35" s="7"/>
    </row>
    <row r="36" spans="3:10" x14ac:dyDescent="0.25">
      <c r="C36" s="21"/>
      <c r="D36" s="39"/>
      <c r="F36" s="21"/>
      <c r="G36" s="34"/>
      <c r="I36" s="21"/>
      <c r="J36" s="7"/>
    </row>
    <row r="37" spans="3:10" x14ac:dyDescent="0.25">
      <c r="C37" s="21"/>
      <c r="D37" s="29"/>
      <c r="F37" s="21"/>
      <c r="G37" s="34"/>
      <c r="I37" s="21"/>
      <c r="J37" s="7"/>
    </row>
    <row r="38" spans="3:10" x14ac:dyDescent="0.25">
      <c r="C38" s="21"/>
      <c r="D38" s="29"/>
      <c r="F38" s="21"/>
      <c r="G38" s="34"/>
      <c r="I38" s="21"/>
      <c r="J38" s="7"/>
    </row>
    <row r="39" spans="3:10" x14ac:dyDescent="0.25">
      <c r="C39" s="21"/>
      <c r="D39" s="29"/>
      <c r="F39" s="21"/>
      <c r="G39" s="34"/>
      <c r="I39" s="21"/>
      <c r="J39" s="7"/>
    </row>
    <row r="40" spans="3:10" x14ac:dyDescent="0.25">
      <c r="C40" s="21"/>
      <c r="D40" s="39"/>
      <c r="F40" s="21"/>
      <c r="G40" s="34"/>
      <c r="I40" s="21"/>
      <c r="J40" s="7"/>
    </row>
    <row r="41" spans="3:10" x14ac:dyDescent="0.25">
      <c r="C41" s="21"/>
      <c r="D41" s="39"/>
      <c r="F41" s="21"/>
      <c r="G41" s="34"/>
      <c r="I41" s="21"/>
      <c r="J41" s="7"/>
    </row>
    <row r="42" spans="3:10" x14ac:dyDescent="0.25">
      <c r="C42" s="21"/>
      <c r="D42" s="29"/>
      <c r="F42" s="21"/>
      <c r="G42" s="34"/>
      <c r="I42" s="21"/>
      <c r="J42" s="7"/>
    </row>
    <row r="43" spans="3:10" x14ac:dyDescent="0.25">
      <c r="C43" s="21"/>
      <c r="D43" s="29"/>
      <c r="F43" s="21"/>
      <c r="G43" s="34"/>
      <c r="I43" s="21"/>
      <c r="J43" s="7"/>
    </row>
    <row r="44" spans="3:10" x14ac:dyDescent="0.25">
      <c r="C44" s="21"/>
      <c r="D44" s="39"/>
      <c r="F44" s="21"/>
      <c r="G44" s="34"/>
      <c r="I44" s="21"/>
      <c r="J44" s="7"/>
    </row>
    <row r="45" spans="3:10" x14ac:dyDescent="0.25">
      <c r="C45" s="21"/>
      <c r="D45" s="29"/>
      <c r="F45" s="21"/>
      <c r="G45" s="34"/>
      <c r="I45" s="21"/>
      <c r="J45" s="7"/>
    </row>
    <row r="46" spans="3:10" x14ac:dyDescent="0.25">
      <c r="C46" s="21"/>
      <c r="D46" s="29"/>
      <c r="F46" s="21"/>
      <c r="G46" s="34"/>
      <c r="I46" s="21"/>
      <c r="J46" s="7"/>
    </row>
    <row r="47" spans="3:10" x14ac:dyDescent="0.25">
      <c r="C47" s="21"/>
      <c r="D47" s="29"/>
      <c r="F47" s="21"/>
      <c r="G47" s="34"/>
      <c r="I47" s="21"/>
      <c r="J47" s="7"/>
    </row>
    <row r="48" spans="3:10" x14ac:dyDescent="0.25">
      <c r="C48" s="21"/>
      <c r="D48" s="29"/>
      <c r="F48" s="21"/>
      <c r="G48" s="34"/>
      <c r="I48" s="21"/>
      <c r="J48" s="7"/>
    </row>
    <row r="49" spans="3:10" x14ac:dyDescent="0.25">
      <c r="C49" s="21"/>
      <c r="D49" s="29"/>
      <c r="F49" s="21"/>
      <c r="G49" s="34"/>
      <c r="I49" s="21"/>
      <c r="J49" s="7"/>
    </row>
    <row r="50" spans="3:10" x14ac:dyDescent="0.25">
      <c r="C50" s="21"/>
      <c r="D50" s="29"/>
      <c r="F50" s="21"/>
      <c r="G50" s="34"/>
      <c r="I50" s="21"/>
      <c r="J50" s="7"/>
    </row>
    <row r="51" spans="3:10" x14ac:dyDescent="0.25">
      <c r="C51" s="21"/>
      <c r="D51" s="29"/>
      <c r="F51" s="21"/>
      <c r="G51" s="34"/>
      <c r="I51" s="21"/>
      <c r="J51" s="7"/>
    </row>
    <row r="52" spans="3:10" x14ac:dyDescent="0.25">
      <c r="C52" s="21"/>
      <c r="D52" s="29"/>
      <c r="F52" s="21"/>
      <c r="G52" s="34"/>
      <c r="J52" s="33"/>
    </row>
    <row r="53" spans="3:10" x14ac:dyDescent="0.25">
      <c r="C53" s="21"/>
      <c r="D53" s="29"/>
      <c r="F53" s="21"/>
      <c r="G53" s="34"/>
      <c r="J53" s="33"/>
    </row>
    <row r="54" spans="3:10" x14ac:dyDescent="0.25">
      <c r="C54" s="21"/>
      <c r="D54" s="29"/>
      <c r="F54" s="21"/>
      <c r="G54" s="34"/>
      <c r="J54" s="33"/>
    </row>
    <row r="55" spans="3:10" x14ac:dyDescent="0.25">
      <c r="C55" s="21"/>
      <c r="D55" s="29"/>
      <c r="F55" s="21"/>
      <c r="G55" s="34"/>
      <c r="J55" s="33"/>
    </row>
    <row r="56" spans="3:10" x14ac:dyDescent="0.25">
      <c r="C56" s="21"/>
      <c r="D56" s="29"/>
      <c r="F56" s="21"/>
      <c r="G56" s="34"/>
      <c r="J56" s="33"/>
    </row>
    <row r="57" spans="3:10" x14ac:dyDescent="0.25">
      <c r="C57" s="21"/>
      <c r="D57" s="29"/>
      <c r="F57" s="21"/>
      <c r="G57" s="34"/>
      <c r="J57" s="33"/>
    </row>
    <row r="58" spans="3:10" x14ac:dyDescent="0.25">
      <c r="C58" s="21"/>
      <c r="D58" s="29"/>
      <c r="F58" s="21"/>
      <c r="G58" s="34"/>
      <c r="J58" s="33"/>
    </row>
    <row r="59" spans="3:10" x14ac:dyDescent="0.25">
      <c r="C59" s="21"/>
      <c r="D59" s="29"/>
      <c r="F59" s="21"/>
      <c r="G59" s="34"/>
      <c r="J59" s="33"/>
    </row>
    <row r="60" spans="3:10" x14ac:dyDescent="0.25">
      <c r="C60" s="21"/>
      <c r="D60" s="29"/>
      <c r="F60" s="21"/>
      <c r="G60" s="34"/>
      <c r="J60" s="33"/>
    </row>
    <row r="61" spans="3:10" x14ac:dyDescent="0.25">
      <c r="C61" s="21"/>
      <c r="D61" s="29"/>
      <c r="F61" s="21"/>
      <c r="G61" s="34"/>
      <c r="J61" s="33"/>
    </row>
    <row r="62" spans="3:10" x14ac:dyDescent="0.25">
      <c r="C62" s="21"/>
      <c r="D62" s="29"/>
      <c r="F62" s="21"/>
      <c r="G62" s="34"/>
      <c r="J62" s="33"/>
    </row>
    <row r="63" spans="3:10" x14ac:dyDescent="0.25">
      <c r="C63" s="21"/>
      <c r="D63" s="29"/>
      <c r="F63" s="21"/>
      <c r="G63" s="34"/>
      <c r="J63" s="33"/>
    </row>
    <row r="64" spans="3:10" x14ac:dyDescent="0.25">
      <c r="C64" s="21"/>
      <c r="D64" s="29"/>
      <c r="F64" s="21"/>
      <c r="G64" s="34"/>
      <c r="J64" s="33"/>
    </row>
    <row r="65" spans="3:29" x14ac:dyDescent="0.25">
      <c r="C65" s="21"/>
      <c r="D65" s="29"/>
      <c r="F65" s="21"/>
      <c r="G65" s="34"/>
      <c r="J65" s="33"/>
    </row>
    <row r="66" spans="3:29" x14ac:dyDescent="0.25">
      <c r="C66" s="21"/>
      <c r="D66" s="29"/>
      <c r="F66" s="21"/>
      <c r="G66" s="34"/>
      <c r="J66" s="33"/>
    </row>
    <row r="67" spans="3:29" x14ac:dyDescent="0.25">
      <c r="C67" s="21"/>
      <c r="D67" s="29"/>
      <c r="F67" s="21"/>
      <c r="G67" s="34"/>
      <c r="J67" s="33"/>
    </row>
    <row r="68" spans="3:29" x14ac:dyDescent="0.25">
      <c r="C68" s="21"/>
      <c r="D68" s="29"/>
      <c r="F68" s="21"/>
      <c r="G68" s="34"/>
      <c r="J68" s="33"/>
    </row>
    <row r="69" spans="3:29" x14ac:dyDescent="0.25">
      <c r="C69" s="21"/>
      <c r="D69" s="29"/>
      <c r="F69" s="21"/>
      <c r="G69" s="34"/>
      <c r="J69" s="33"/>
      <c r="AA69" s="6"/>
      <c r="AC69" s="2"/>
    </row>
    <row r="70" spans="3:29" x14ac:dyDescent="0.25">
      <c r="C70" s="21"/>
      <c r="D70" s="29"/>
      <c r="F70" s="21"/>
      <c r="G70" s="34"/>
      <c r="J70" s="29"/>
    </row>
    <row r="71" spans="3:29" x14ac:dyDescent="0.25">
      <c r="C71" s="21"/>
      <c r="D71" s="29"/>
      <c r="F71" s="21"/>
      <c r="G71" s="34"/>
      <c r="J71" s="29"/>
    </row>
    <row r="72" spans="3:29" x14ac:dyDescent="0.25">
      <c r="C72" s="21"/>
      <c r="D72" s="29"/>
      <c r="F72" s="21"/>
      <c r="G72" s="34"/>
      <c r="J72" s="29"/>
    </row>
    <row r="73" spans="3:29" x14ac:dyDescent="0.25">
      <c r="C73" s="21"/>
      <c r="D73" s="29"/>
      <c r="F73" s="21"/>
      <c r="G73" s="34"/>
      <c r="J73" s="29"/>
    </row>
    <row r="74" spans="3:29" x14ac:dyDescent="0.25">
      <c r="C74" s="21"/>
      <c r="D74" s="29"/>
      <c r="F74" s="21"/>
      <c r="G74" s="34"/>
      <c r="J74" s="29"/>
    </row>
    <row r="75" spans="3:29" x14ac:dyDescent="0.25">
      <c r="C75" s="21"/>
      <c r="D75" s="29"/>
      <c r="F75" s="21"/>
      <c r="G75" s="34"/>
      <c r="J75" s="29"/>
    </row>
    <row r="76" spans="3:29" x14ac:dyDescent="0.25">
      <c r="C76" s="21"/>
      <c r="D76" s="29"/>
      <c r="F76" s="21"/>
      <c r="G76" s="34"/>
      <c r="J76" s="29"/>
    </row>
    <row r="77" spans="3:29" x14ac:dyDescent="0.25">
      <c r="C77" s="21"/>
      <c r="D77" s="29"/>
      <c r="F77" s="21"/>
      <c r="G77" s="34"/>
      <c r="J77" s="29"/>
    </row>
    <row r="78" spans="3:29" x14ac:dyDescent="0.25">
      <c r="C78" s="21"/>
      <c r="D78" s="29"/>
      <c r="F78" s="21"/>
      <c r="G78" s="34"/>
      <c r="J78" s="29"/>
    </row>
    <row r="79" spans="3:29" x14ac:dyDescent="0.25">
      <c r="D79" s="29"/>
      <c r="F79" s="21"/>
      <c r="G79" s="34"/>
      <c r="J79" s="29"/>
    </row>
    <row r="80" spans="3:29" x14ac:dyDescent="0.25">
      <c r="D80" s="29"/>
      <c r="F80" s="21"/>
      <c r="G80" s="34"/>
      <c r="J80" s="29"/>
    </row>
    <row r="81" spans="4:10" x14ac:dyDescent="0.25">
      <c r="D81" s="29"/>
      <c r="F81" s="21"/>
      <c r="G81" s="34"/>
      <c r="J81" s="29"/>
    </row>
    <row r="82" spans="4:10" x14ac:dyDescent="0.25">
      <c r="D82" s="29"/>
      <c r="F82" s="21"/>
      <c r="G82" s="34"/>
      <c r="J82" s="29"/>
    </row>
    <row r="83" spans="4:10" x14ac:dyDescent="0.25">
      <c r="D83" s="29"/>
      <c r="F83" s="21"/>
      <c r="G83" s="34"/>
      <c r="J83" s="29"/>
    </row>
    <row r="84" spans="4:10" x14ac:dyDescent="0.25">
      <c r="D84" s="29"/>
      <c r="F84" s="21"/>
      <c r="G84" s="34"/>
      <c r="J84" s="29"/>
    </row>
    <row r="85" spans="4:10" x14ac:dyDescent="0.25">
      <c r="D85" s="31"/>
      <c r="E85" s="41" t="s">
        <v>39</v>
      </c>
      <c r="F85" s="32"/>
      <c r="G85" s="46"/>
      <c r="H85" s="41" t="s">
        <v>39</v>
      </c>
      <c r="I85" s="41"/>
      <c r="J85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895E-8D5A-4E06-8F05-2D7A3C432A43}">
  <sheetPr>
    <pageSetUpPr fitToPage="1"/>
  </sheetPr>
  <dimension ref="A1:X108"/>
  <sheetViews>
    <sheetView workbookViewId="0">
      <pane ySplit="15" topLeftCell="A28" activePane="bottomLeft" state="frozen"/>
      <selection pane="bottomLeft" activeCell="K41" sqref="K41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[6]Summary!E2</f>
        <v>0.13500000000000001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964000</v>
      </c>
      <c r="K2">
        <f>J2-J3</f>
        <v>1360</v>
      </c>
      <c r="L2" s="1">
        <f>K2/J2</f>
        <v>1.4107883817427386E-3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7</v>
      </c>
      <c r="E3" s="52"/>
      <c r="F3" t="s">
        <v>8</v>
      </c>
      <c r="H3" s="63" t="s">
        <v>9</v>
      </c>
      <c r="I3" s="63"/>
      <c r="J3">
        <f>K11-L10+M11-N10+O11-P10+Q11-R10+S11-T10+U11-V10+W11-X10</f>
        <v>962640</v>
      </c>
      <c r="K3" s="5" t="s">
        <v>10</v>
      </c>
      <c r="L3" s="5" t="s">
        <v>11</v>
      </c>
      <c r="M3" s="5" t="s">
        <v>12</v>
      </c>
      <c r="N3" s="6">
        <f>N4*I4/O1</f>
        <v>419.25492166508366</v>
      </c>
      <c r="O3" s="7">
        <f>K7+M7+O7+Q7+S7+U7+W7</f>
        <v>419.25492166508366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[6]Summary!C2</f>
        <v>Barley</v>
      </c>
      <c r="E4" s="52"/>
      <c r="F4" s="2">
        <v>2021</v>
      </c>
      <c r="I4" s="2">
        <f>[6]Summary!D2</f>
        <v>48</v>
      </c>
      <c r="J4" s="2">
        <f>J3/I4</f>
        <v>20055</v>
      </c>
      <c r="K4" s="8">
        <v>0.98</v>
      </c>
      <c r="L4" s="8">
        <f>IF(J5=0,L1,(L8+N8+P8+R8+T8+V8+X8)/J5/K4)</f>
        <v>0.14394166043380707</v>
      </c>
      <c r="M4" s="8">
        <f>IF(J5=0,0,(L9+N9+P9+R9+T9+V9+X9)/J5/K4)</f>
        <v>1.0000000000000002E-2</v>
      </c>
      <c r="N4" s="2">
        <f>IF(L4&gt;L1,J4*(1-L4)/(1-L1)*(1-M4)*K4,J4*K4*(1-M4))</f>
        <v>19256.22676300578</v>
      </c>
      <c r="O4" s="9"/>
      <c r="S4" t="s">
        <v>15</v>
      </c>
      <c r="T4" s="10">
        <f>T2+T3</f>
        <v>0</v>
      </c>
      <c r="U4" s="10">
        <f>U2+U3</f>
        <v>0</v>
      </c>
      <c r="V4" s="11">
        <f>V2+V3</f>
        <v>0</v>
      </c>
      <c r="W4" s="12" t="e">
        <f>V4/T4</f>
        <v>#DIV/0!</v>
      </c>
    </row>
    <row r="5" spans="1:24" x14ac:dyDescent="0.25">
      <c r="B5" t="s">
        <v>16</v>
      </c>
      <c r="D5" s="65">
        <v>44436</v>
      </c>
      <c r="E5" s="52"/>
      <c r="F5" s="13">
        <v>44445</v>
      </c>
      <c r="J5" s="6">
        <f>J3/O1</f>
        <v>436.64615905680114</v>
      </c>
      <c r="N5" s="2">
        <v>308</v>
      </c>
      <c r="O5" s="14">
        <f>N4/N5</f>
        <v>62.520216763005777</v>
      </c>
      <c r="P5" t="s">
        <v>17</v>
      </c>
      <c r="V5" s="6"/>
    </row>
    <row r="6" spans="1:24" x14ac:dyDescent="0.25">
      <c r="D6" s="9"/>
      <c r="J6" s="6"/>
      <c r="K6" s="15"/>
      <c r="L6" s="16"/>
      <c r="M6" s="17">
        <f>M7+K7</f>
        <v>105.24729363646297</v>
      </c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13.854588506118237</v>
      </c>
      <c r="L7" s="9"/>
      <c r="M7" s="7">
        <f>IF(M8&gt;$L1,(N11-N10/$O1)*$K4*(1-M8)/(1-$L1)*(1-M9),(N11-N10/$O1)*$K4*(1-M9))</f>
        <v>91.392705130344737</v>
      </c>
      <c r="O7" s="6">
        <f>IF(O8&gt;$L1,(P11-P10/$O1)*$K4*(1-O8)/(1-$L1)*(1-O9),(P11-P10/$O1)*$K4*(1-O9))</f>
        <v>84.137313105985626</v>
      </c>
      <c r="Q7" s="6">
        <f>IF(Q8&gt;$L1,(R11-R10/$O1)*$K4*(1-Q8)/(1-$L1)*(1-Q9),(R11-R10/$O1)*$K4*(1-Q9))</f>
        <v>229.87031492263503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0.19</v>
      </c>
      <c r="L8" s="6">
        <f>(L11-L10/$O1)*$K4*K8</f>
        <v>2.8395081942642877</v>
      </c>
      <c r="M8" s="1">
        <v>0.15</v>
      </c>
      <c r="N8" s="6">
        <f>(N11-N10/$O1)*$K4*M8</f>
        <v>14.091745086942637</v>
      </c>
      <c r="O8" s="1">
        <v>0.14000000000000001</v>
      </c>
      <c r="P8" s="6">
        <f>(P11-P10/$O1)*$K4*O8</f>
        <v>11.967381509437233</v>
      </c>
      <c r="Q8" s="1">
        <v>0.14000000000000001</v>
      </c>
      <c r="R8" s="6">
        <f>(R11-R10/$O1)*$K4*Q8</f>
        <v>32.695906902902408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0.14944779969812039</v>
      </c>
      <c r="M9" s="1">
        <v>0.01</v>
      </c>
      <c r="N9" s="6">
        <f>(N11-N10/$O1)*$K4*M9</f>
        <v>0.9394496724628425</v>
      </c>
      <c r="O9" s="1">
        <v>0.01</v>
      </c>
      <c r="P9" s="6">
        <f>(P11-P10/$O1)*$K4*O9</f>
        <v>0.8548129649598023</v>
      </c>
      <c r="Q9" s="1">
        <v>0.01</v>
      </c>
      <c r="R9" s="6">
        <f>(R11-R10/$O1)*$K4*Q9</f>
        <v>2.335421921635886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476466.85643153527</v>
      </c>
      <c r="E10" s="55"/>
      <c r="F10" s="56"/>
      <c r="G10" s="54">
        <f>J3/J2*G11</f>
        <v>486173.14356846473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477140</v>
      </c>
      <c r="E11" s="58"/>
      <c r="F11" s="59"/>
      <c r="G11" s="57">
        <f>H14+I14</f>
        <v>486860</v>
      </c>
      <c r="H11" s="58"/>
      <c r="I11" s="58"/>
      <c r="J11" s="25"/>
      <c r="K11" s="26">
        <f>K14+L14</f>
        <v>33620</v>
      </c>
      <c r="L11" s="27">
        <f>K11/2204.62262184877</f>
        <v>15.249775479400041</v>
      </c>
      <c r="M11" s="26">
        <f>M14+N14</f>
        <v>211340</v>
      </c>
      <c r="N11" s="27">
        <f>M11/2204.62262184877</f>
        <v>95.862211475800251</v>
      </c>
      <c r="O11" s="26">
        <f>O14+P14</f>
        <v>192300</v>
      </c>
      <c r="P11" s="27">
        <f>O11/2204.62262184877</f>
        <v>87.225812751000234</v>
      </c>
      <c r="Q11" s="26">
        <f>Q14+R14</f>
        <v>525380</v>
      </c>
      <c r="R11" s="27">
        <f>Q11/2204.62262184877</f>
        <v>238.30835935060063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26</v>
      </c>
      <c r="N12" s="51"/>
      <c r="O12" s="50" t="s">
        <v>27</v>
      </c>
      <c r="P12" s="51"/>
      <c r="Q12" s="50" t="s">
        <v>28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477140</v>
      </c>
      <c r="F14" s="30">
        <f>SUM(F15:F133)</f>
        <v>0</v>
      </c>
      <c r="G14" s="29"/>
      <c r="H14" s="4">
        <f>SUM(H15:H133)</f>
        <v>486860</v>
      </c>
      <c r="I14" s="4">
        <f>SUM(I15:I133)</f>
        <v>0</v>
      </c>
      <c r="J14" s="25"/>
      <c r="K14" s="23">
        <f t="shared" ref="K14:X14" si="0">SUM(K15:K133)</f>
        <v>33620</v>
      </c>
      <c r="L14" s="24">
        <f t="shared" si="0"/>
        <v>0</v>
      </c>
      <c r="M14" s="23">
        <f t="shared" si="0"/>
        <v>211340</v>
      </c>
      <c r="N14" s="24">
        <f t="shared" si="0"/>
        <v>0</v>
      </c>
      <c r="O14" s="23">
        <f t="shared" si="0"/>
        <v>192300</v>
      </c>
      <c r="P14" s="24">
        <f t="shared" si="0"/>
        <v>0</v>
      </c>
      <c r="Q14" s="23">
        <f t="shared" si="0"/>
        <v>525380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D16" s="29"/>
      <c r="F16" s="21"/>
      <c r="G16" s="29">
        <v>521</v>
      </c>
      <c r="H16">
        <v>22360</v>
      </c>
      <c r="J16" s="33"/>
    </row>
    <row r="17" spans="2:17" x14ac:dyDescent="0.25">
      <c r="C17" s="21"/>
      <c r="D17" s="29"/>
      <c r="F17" s="21"/>
      <c r="G17" s="29">
        <v>522</v>
      </c>
      <c r="H17">
        <v>11260</v>
      </c>
      <c r="J17" s="33"/>
      <c r="K17">
        <v>33620</v>
      </c>
    </row>
    <row r="18" spans="2:17" x14ac:dyDescent="0.25">
      <c r="B18">
        <v>2</v>
      </c>
      <c r="C18" s="21"/>
      <c r="D18" s="29">
        <v>115</v>
      </c>
      <c r="E18">
        <v>20440</v>
      </c>
      <c r="F18" s="21"/>
      <c r="G18" s="29">
        <v>524</v>
      </c>
      <c r="H18">
        <v>18800</v>
      </c>
      <c r="J18" s="33"/>
      <c r="M18">
        <v>38780</v>
      </c>
    </row>
    <row r="19" spans="2:17" x14ac:dyDescent="0.25">
      <c r="B19">
        <v>3</v>
      </c>
      <c r="C19" s="21"/>
      <c r="D19">
        <v>116</v>
      </c>
      <c r="E19">
        <v>22440</v>
      </c>
      <c r="F19" s="21"/>
      <c r="G19">
        <v>525</v>
      </c>
      <c r="H19">
        <v>19980</v>
      </c>
      <c r="J19" s="33"/>
      <c r="M19">
        <v>42720</v>
      </c>
    </row>
    <row r="20" spans="2:17" x14ac:dyDescent="0.25">
      <c r="B20">
        <v>4</v>
      </c>
      <c r="C20" s="21"/>
      <c r="D20">
        <v>117</v>
      </c>
      <c r="E20">
        <v>20900</v>
      </c>
      <c r="F20" s="21"/>
      <c r="G20">
        <v>526</v>
      </c>
      <c r="H20">
        <v>20680</v>
      </c>
      <c r="J20" s="33"/>
      <c r="M20">
        <v>41600</v>
      </c>
    </row>
    <row r="21" spans="2:17" x14ac:dyDescent="0.25">
      <c r="B21">
        <v>5</v>
      </c>
      <c r="C21" s="21"/>
      <c r="D21">
        <v>118</v>
      </c>
      <c r="E21">
        <v>21720</v>
      </c>
      <c r="F21" s="21"/>
      <c r="G21">
        <v>527</v>
      </c>
      <c r="H21">
        <v>23600</v>
      </c>
      <c r="J21" s="34"/>
      <c r="M21">
        <v>44860</v>
      </c>
    </row>
    <row r="22" spans="2:17" x14ac:dyDescent="0.25">
      <c r="B22">
        <v>6</v>
      </c>
      <c r="C22" s="21"/>
      <c r="D22">
        <v>119</v>
      </c>
      <c r="E22">
        <v>23880</v>
      </c>
      <c r="F22" s="21"/>
      <c r="G22">
        <v>528</v>
      </c>
      <c r="H22">
        <v>11220</v>
      </c>
      <c r="J22" s="33"/>
      <c r="M22">
        <v>43380</v>
      </c>
    </row>
    <row r="23" spans="2:17" x14ac:dyDescent="0.25">
      <c r="C23" s="21"/>
      <c r="D23">
        <v>120</v>
      </c>
      <c r="E23">
        <v>9020</v>
      </c>
      <c r="F23" s="21"/>
      <c r="J23" s="33"/>
    </row>
    <row r="24" spans="2:17" x14ac:dyDescent="0.25">
      <c r="B24">
        <v>7</v>
      </c>
      <c r="C24" s="21"/>
      <c r="D24">
        <v>121</v>
      </c>
      <c r="E24">
        <v>21920</v>
      </c>
      <c r="F24" s="21"/>
      <c r="G24">
        <v>529</v>
      </c>
      <c r="H24">
        <v>22400</v>
      </c>
      <c r="J24" s="33"/>
      <c r="O24">
        <v>44220</v>
      </c>
    </row>
    <row r="25" spans="2:17" x14ac:dyDescent="0.25">
      <c r="B25">
        <v>8</v>
      </c>
      <c r="C25" s="21"/>
      <c r="D25">
        <v>122</v>
      </c>
      <c r="E25">
        <v>20080</v>
      </c>
      <c r="F25" s="21"/>
      <c r="G25">
        <v>530</v>
      </c>
      <c r="H25">
        <v>23020</v>
      </c>
      <c r="J25" s="33"/>
      <c r="O25">
        <v>43720</v>
      </c>
    </row>
    <row r="26" spans="2:17" x14ac:dyDescent="0.25">
      <c r="B26">
        <v>9</v>
      </c>
      <c r="C26" s="21"/>
      <c r="D26">
        <v>123</v>
      </c>
      <c r="E26">
        <v>21700</v>
      </c>
      <c r="F26" s="21"/>
      <c r="G26">
        <v>531</v>
      </c>
      <c r="H26">
        <v>16200</v>
      </c>
      <c r="J26" s="33"/>
      <c r="O26">
        <v>38220</v>
      </c>
    </row>
    <row r="27" spans="2:17" x14ac:dyDescent="0.25">
      <c r="B27">
        <v>10</v>
      </c>
      <c r="C27" s="21"/>
      <c r="D27">
        <v>124</v>
      </c>
      <c r="E27">
        <v>22520</v>
      </c>
      <c r="F27" s="21"/>
      <c r="G27">
        <v>532</v>
      </c>
      <c r="H27">
        <v>22240</v>
      </c>
      <c r="J27" s="33"/>
      <c r="O27">
        <v>45700</v>
      </c>
      <c r="P27" s="9"/>
    </row>
    <row r="28" spans="2:17" x14ac:dyDescent="0.25">
      <c r="B28">
        <v>11</v>
      </c>
      <c r="C28" s="21"/>
      <c r="D28">
        <v>125</v>
      </c>
      <c r="E28">
        <v>22340</v>
      </c>
      <c r="F28" s="21"/>
      <c r="G28">
        <v>533</v>
      </c>
      <c r="H28">
        <v>21380</v>
      </c>
      <c r="J28" s="33"/>
      <c r="O28">
        <v>20440</v>
      </c>
      <c r="Q28">
        <v>22640</v>
      </c>
    </row>
    <row r="29" spans="2:17" x14ac:dyDescent="0.25">
      <c r="B29">
        <v>12</v>
      </c>
      <c r="C29" s="21"/>
      <c r="D29">
        <v>126</v>
      </c>
      <c r="E29">
        <v>20020</v>
      </c>
      <c r="F29" s="21"/>
      <c r="G29">
        <v>534</v>
      </c>
      <c r="H29">
        <v>20940</v>
      </c>
      <c r="J29" s="33"/>
      <c r="Q29">
        <v>42240</v>
      </c>
    </row>
    <row r="30" spans="2:17" x14ac:dyDescent="0.25">
      <c r="B30">
        <v>13</v>
      </c>
      <c r="C30" s="21"/>
      <c r="D30">
        <v>127</v>
      </c>
      <c r="E30">
        <v>22180</v>
      </c>
      <c r="F30" s="21"/>
      <c r="G30">
        <v>535</v>
      </c>
      <c r="H30">
        <v>19440</v>
      </c>
      <c r="J30" s="33"/>
      <c r="Q30">
        <v>42060</v>
      </c>
    </row>
    <row r="31" spans="2:17" x14ac:dyDescent="0.25">
      <c r="B31">
        <v>14</v>
      </c>
      <c r="C31" s="21"/>
      <c r="D31">
        <v>128</v>
      </c>
      <c r="E31">
        <v>20240</v>
      </c>
      <c r="F31" s="21"/>
      <c r="G31">
        <v>536</v>
      </c>
      <c r="H31">
        <v>18340</v>
      </c>
      <c r="J31" s="33"/>
      <c r="Q31">
        <v>38120</v>
      </c>
    </row>
    <row r="32" spans="2:17" x14ac:dyDescent="0.25">
      <c r="B32">
        <v>15</v>
      </c>
      <c r="C32" s="21"/>
      <c r="D32">
        <v>129</v>
      </c>
      <c r="E32">
        <v>20840</v>
      </c>
      <c r="F32" s="21"/>
      <c r="G32">
        <v>537</v>
      </c>
      <c r="H32">
        <v>22460</v>
      </c>
      <c r="J32" s="33"/>
      <c r="Q32">
        <v>43100</v>
      </c>
    </row>
    <row r="33" spans="1:20" s="9" customFormat="1" x14ac:dyDescent="0.25">
      <c r="A33"/>
      <c r="B33">
        <v>16</v>
      </c>
      <c r="C33" s="35"/>
      <c r="D33">
        <v>130</v>
      </c>
      <c r="E33">
        <v>16560</v>
      </c>
      <c r="F33" s="21"/>
      <c r="G33">
        <v>538</v>
      </c>
      <c r="H33">
        <v>21260</v>
      </c>
      <c r="I33"/>
      <c r="J33" s="33"/>
      <c r="M33"/>
      <c r="N33"/>
      <c r="O33"/>
      <c r="Q33">
        <v>36820</v>
      </c>
      <c r="R33"/>
      <c r="S33"/>
      <c r="T33"/>
    </row>
    <row r="34" spans="1:20" s="9" customFormat="1" x14ac:dyDescent="0.25">
      <c r="A34"/>
      <c r="B34">
        <v>17</v>
      </c>
      <c r="C34" s="35"/>
      <c r="D34">
        <v>131</v>
      </c>
      <c r="E34">
        <v>22240</v>
      </c>
      <c r="F34" s="21"/>
      <c r="G34">
        <v>539</v>
      </c>
      <c r="H34">
        <v>23740</v>
      </c>
      <c r="I34"/>
      <c r="J34" s="33"/>
      <c r="M34"/>
      <c r="N34"/>
      <c r="O34"/>
      <c r="Q34">
        <v>45540</v>
      </c>
      <c r="R34"/>
      <c r="S34"/>
      <c r="T34"/>
    </row>
    <row r="35" spans="1:20" s="9" customFormat="1" x14ac:dyDescent="0.25">
      <c r="A35"/>
      <c r="B35">
        <v>18</v>
      </c>
      <c r="C35" s="35"/>
      <c r="D35">
        <v>132</v>
      </c>
      <c r="E35">
        <v>21600</v>
      </c>
      <c r="F35" s="21"/>
      <c r="G35">
        <v>540</v>
      </c>
      <c r="H35">
        <v>21040</v>
      </c>
      <c r="I35"/>
      <c r="J35" s="33"/>
      <c r="M35"/>
      <c r="N35"/>
      <c r="O35"/>
      <c r="Q35">
        <v>43160</v>
      </c>
      <c r="S35"/>
      <c r="T35"/>
    </row>
    <row r="36" spans="1:20" s="9" customFormat="1" x14ac:dyDescent="0.25">
      <c r="A36"/>
      <c r="B36">
        <v>19</v>
      </c>
      <c r="C36" s="35"/>
      <c r="D36">
        <v>133</v>
      </c>
      <c r="E36">
        <v>23080</v>
      </c>
      <c r="F36" s="21"/>
      <c r="G36">
        <v>541</v>
      </c>
      <c r="H36">
        <v>18680</v>
      </c>
      <c r="I36"/>
      <c r="J36" s="33"/>
      <c r="M36"/>
      <c r="N36"/>
      <c r="O36"/>
      <c r="Q36">
        <v>41720</v>
      </c>
      <c r="S36"/>
      <c r="T36"/>
    </row>
    <row r="37" spans="1:20" s="9" customFormat="1" x14ac:dyDescent="0.25">
      <c r="A37"/>
      <c r="B37">
        <v>20</v>
      </c>
      <c r="C37" s="35"/>
      <c r="D37" s="29">
        <v>134</v>
      </c>
      <c r="E37" s="2">
        <v>19280</v>
      </c>
      <c r="F37" s="21"/>
      <c r="G37">
        <v>542</v>
      </c>
      <c r="H37" s="2">
        <v>22000</v>
      </c>
      <c r="I37"/>
      <c r="J37" s="33"/>
      <c r="M37"/>
      <c r="N37"/>
      <c r="O37"/>
      <c r="Q37">
        <v>40840</v>
      </c>
      <c r="S37"/>
      <c r="T37"/>
    </row>
    <row r="38" spans="1:20" x14ac:dyDescent="0.25">
      <c r="B38">
        <v>21</v>
      </c>
      <c r="C38" s="21"/>
      <c r="D38" s="29">
        <v>135</v>
      </c>
      <c r="E38">
        <v>23280</v>
      </c>
      <c r="F38" s="21"/>
      <c r="G38">
        <v>543</v>
      </c>
      <c r="H38">
        <v>21600</v>
      </c>
      <c r="J38" s="33"/>
      <c r="Q38">
        <v>44080</v>
      </c>
    </row>
    <row r="39" spans="1:20" x14ac:dyDescent="0.25">
      <c r="B39">
        <v>22</v>
      </c>
      <c r="C39" s="21"/>
      <c r="D39" s="29">
        <v>136</v>
      </c>
      <c r="E39" s="2">
        <v>21640</v>
      </c>
      <c r="F39" s="21"/>
      <c r="G39">
        <v>544</v>
      </c>
      <c r="H39" s="2">
        <v>19480</v>
      </c>
      <c r="J39" s="33"/>
      <c r="Q39">
        <v>41620</v>
      </c>
    </row>
    <row r="40" spans="1:20" x14ac:dyDescent="0.25">
      <c r="B40">
        <v>23</v>
      </c>
      <c r="C40" s="21"/>
      <c r="D40" s="29">
        <v>137</v>
      </c>
      <c r="E40">
        <v>19220</v>
      </c>
      <c r="F40" s="21"/>
      <c r="G40">
        <v>545</v>
      </c>
      <c r="H40">
        <v>20160</v>
      </c>
      <c r="J40" s="33"/>
    </row>
    <row r="41" spans="1:20" x14ac:dyDescent="0.25">
      <c r="C41" s="21"/>
      <c r="D41" s="29"/>
      <c r="F41" s="21"/>
      <c r="G41">
        <v>546</v>
      </c>
      <c r="H41">
        <v>4580</v>
      </c>
      <c r="J41" s="33"/>
      <c r="Q41">
        <v>43440</v>
      </c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scale="31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2BD2-8D76-4B36-9708-55FEBF853F2E}">
  <dimension ref="A1:X133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247460</v>
      </c>
      <c r="K2">
        <f>J2-J3</f>
        <v>1160</v>
      </c>
      <c r="L2" s="1">
        <f>K2/J2</f>
        <v>4.6876262830356421E-3</v>
      </c>
    </row>
    <row r="3" spans="1:24" x14ac:dyDescent="0.25">
      <c r="B3" t="s">
        <v>6</v>
      </c>
      <c r="D3" s="64" t="s">
        <v>59</v>
      </c>
      <c r="E3" s="52"/>
      <c r="F3" t="s">
        <v>60</v>
      </c>
      <c r="H3" s="63" t="s">
        <v>9</v>
      </c>
      <c r="I3" s="63"/>
      <c r="J3">
        <f>K11-L10+M11-N10+O11-P10+Q11-R10+S11-T10+U11-V10+W11-X10</f>
        <v>246300</v>
      </c>
      <c r="K3" s="5" t="s">
        <v>10</v>
      </c>
      <c r="L3" s="5" t="s">
        <v>11</v>
      </c>
      <c r="M3" s="5" t="s">
        <v>12</v>
      </c>
      <c r="N3" s="6">
        <f>N4*I4/O1</f>
        <v>103.25081917003087</v>
      </c>
      <c r="O3" s="6">
        <f>K7+M7+O7+Q7+S7+U7+W7</f>
        <v>103.25081917003087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4926</v>
      </c>
      <c r="K4" s="8">
        <v>0.98</v>
      </c>
      <c r="L4" s="8">
        <f>IF(J5=0,L1,(L8+N8+P8+R8+T8+V8+X8)/J5/K4)</f>
        <v>0.12500000000000003</v>
      </c>
      <c r="M4" s="8">
        <f>IF(J5=0,0,(L9+N9+P9+R9+T9+V9+X9)/J5/K4)</f>
        <v>0.03</v>
      </c>
      <c r="N4" s="2">
        <f>IF(L4&gt;L1,J4*(1-L4)/(1-L1)*(1-M4)*K4,J4*K4*(1-M4))</f>
        <v>4552.5818333333336</v>
      </c>
      <c r="V4" s="6"/>
    </row>
    <row r="5" spans="1:24" x14ac:dyDescent="0.25">
      <c r="B5" t="s">
        <v>16</v>
      </c>
      <c r="D5" s="65">
        <v>44478</v>
      </c>
      <c r="E5" s="52"/>
      <c r="F5" s="13">
        <v>44482</v>
      </c>
      <c r="J5" s="6">
        <f>J3/O1</f>
        <v>111.71980073100029</v>
      </c>
      <c r="N5" s="2">
        <v>158</v>
      </c>
      <c r="O5" s="3">
        <f>N4/N5</f>
        <v>28.81380907172996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90.28892177361449</v>
      </c>
      <c r="M7" s="6">
        <f>IF(M8&gt;$L1,(N11-N10/$O1)*$K4*(1-M8)/(1-$L1)*(1-M9),(N11-N10/$O1)*$K4*(1-M9))</f>
        <v>12.961897396416379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0.125</v>
      </c>
      <c r="L8" s="6">
        <f>(L11-L10/$O1)*$K4*K8</f>
        <v>11.967603769698533</v>
      </c>
      <c r="M8" s="1">
        <v>0.125</v>
      </c>
      <c r="N8" s="6">
        <f>(N11-N10/$O1)*$K4*M8</f>
        <v>1.7180718198490046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2.8722249047276476</v>
      </c>
      <c r="M9" s="1">
        <v>0.03</v>
      </c>
      <c r="N9" s="6">
        <f>(N11-N10/$O1)*$K4*M9</f>
        <v>0.41233723676376111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114620.17295724561</v>
      </c>
      <c r="E10" s="55"/>
      <c r="F10" s="56"/>
      <c r="G10" s="54">
        <f>J3/J2*G11</f>
        <v>131679.82704275439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115160</v>
      </c>
      <c r="E11" s="58"/>
      <c r="F11" s="59"/>
      <c r="G11" s="57">
        <f>H14+I14</f>
        <v>132300</v>
      </c>
      <c r="H11" s="58"/>
      <c r="I11" s="58"/>
      <c r="J11" s="25"/>
      <c r="K11" s="26">
        <f>K14+L14</f>
        <v>215380</v>
      </c>
      <c r="L11" s="27">
        <f>K11/2204.62262184877</f>
        <v>97.694724650600264</v>
      </c>
      <c r="M11" s="26">
        <f>M14+N14</f>
        <v>30920</v>
      </c>
      <c r="N11" s="27">
        <f>M11/2204.62262184877</f>
        <v>14.025076080400037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61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115160</v>
      </c>
      <c r="F14" s="30">
        <f>SUM(F15:F133)</f>
        <v>0</v>
      </c>
      <c r="G14" s="29"/>
      <c r="H14" s="4">
        <f>SUM(H15:H133)</f>
        <v>132300</v>
      </c>
      <c r="I14" s="4">
        <f>SUM(I15:I133)</f>
        <v>0</v>
      </c>
      <c r="J14" s="25"/>
      <c r="K14" s="23">
        <f t="shared" ref="K14:X14" si="0">SUM(K15:K133)</f>
        <v>215380</v>
      </c>
      <c r="L14" s="24">
        <f t="shared" si="0"/>
        <v>0</v>
      </c>
      <c r="M14" s="23">
        <f t="shared" si="0"/>
        <v>30920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/>
      <c r="F16" s="21"/>
      <c r="G16" s="29">
        <v>698</v>
      </c>
      <c r="H16">
        <v>10840</v>
      </c>
      <c r="J16" s="29"/>
    </row>
    <row r="17" spans="3:13" x14ac:dyDescent="0.25">
      <c r="C17" s="21"/>
      <c r="D17" s="29"/>
      <c r="F17" s="21"/>
      <c r="G17" s="29">
        <v>699</v>
      </c>
      <c r="H17">
        <v>15580</v>
      </c>
      <c r="J17" s="29"/>
    </row>
    <row r="18" spans="3:13" x14ac:dyDescent="0.25">
      <c r="C18" s="21"/>
      <c r="D18" s="29"/>
      <c r="F18" s="21"/>
      <c r="G18" s="29">
        <v>700</v>
      </c>
      <c r="H18">
        <v>14260</v>
      </c>
      <c r="J18" s="29"/>
      <c r="K18">
        <v>40500</v>
      </c>
    </row>
    <row r="19" spans="3:13" x14ac:dyDescent="0.25">
      <c r="C19" s="21"/>
      <c r="D19">
        <v>180</v>
      </c>
      <c r="E19">
        <v>14460</v>
      </c>
      <c r="F19" s="21"/>
      <c r="G19">
        <v>701</v>
      </c>
      <c r="H19">
        <v>14020</v>
      </c>
      <c r="J19" s="29"/>
      <c r="K19">
        <v>28400</v>
      </c>
    </row>
    <row r="20" spans="3:13" x14ac:dyDescent="0.25">
      <c r="C20" s="21"/>
      <c r="D20">
        <v>181</v>
      </c>
      <c r="E20">
        <v>13720</v>
      </c>
      <c r="F20" s="21"/>
      <c r="J20" s="29"/>
    </row>
    <row r="21" spans="3:13" x14ac:dyDescent="0.25">
      <c r="C21" s="21"/>
      <c r="D21">
        <v>182</v>
      </c>
      <c r="E21">
        <v>19480</v>
      </c>
      <c r="F21" s="21"/>
      <c r="G21">
        <v>702</v>
      </c>
      <c r="H21">
        <v>7660</v>
      </c>
      <c r="J21" s="29"/>
      <c r="K21">
        <v>41020</v>
      </c>
    </row>
    <row r="22" spans="3:13" x14ac:dyDescent="0.25">
      <c r="C22" s="21"/>
      <c r="D22">
        <v>183</v>
      </c>
      <c r="E22">
        <v>13860</v>
      </c>
      <c r="F22" s="21"/>
      <c r="G22">
        <v>703</v>
      </c>
      <c r="H22">
        <v>17860</v>
      </c>
      <c r="J22" s="29"/>
      <c r="K22">
        <v>31240</v>
      </c>
    </row>
    <row r="23" spans="3:13" x14ac:dyDescent="0.25">
      <c r="C23" s="21"/>
      <c r="D23">
        <v>184</v>
      </c>
      <c r="E23">
        <v>7420</v>
      </c>
      <c r="F23" s="21"/>
      <c r="G23">
        <v>704</v>
      </c>
      <c r="H23">
        <v>15860</v>
      </c>
      <c r="J23" s="29"/>
      <c r="K23">
        <v>23120</v>
      </c>
    </row>
    <row r="24" spans="3:13" x14ac:dyDescent="0.25">
      <c r="C24" s="21">
        <v>7</v>
      </c>
      <c r="D24">
        <v>199</v>
      </c>
      <c r="E24">
        <v>14200</v>
      </c>
      <c r="F24" s="21"/>
      <c r="G24">
        <v>718</v>
      </c>
      <c r="H24">
        <v>17220</v>
      </c>
      <c r="J24" s="29"/>
      <c r="M24">
        <v>30920</v>
      </c>
    </row>
    <row r="25" spans="3:13" x14ac:dyDescent="0.25">
      <c r="C25" s="21">
        <v>8</v>
      </c>
      <c r="D25">
        <v>200</v>
      </c>
      <c r="E25">
        <v>17300</v>
      </c>
      <c r="F25" s="21"/>
      <c r="G25">
        <v>719</v>
      </c>
      <c r="H25">
        <v>19000</v>
      </c>
      <c r="J25" s="29"/>
      <c r="K25">
        <v>36180</v>
      </c>
    </row>
    <row r="26" spans="3:13" x14ac:dyDescent="0.25">
      <c r="C26" s="21">
        <v>8</v>
      </c>
      <c r="D26">
        <v>201</v>
      </c>
      <c r="E26">
        <v>14720</v>
      </c>
      <c r="F26" s="21"/>
      <c r="J26" s="29"/>
      <c r="K26">
        <v>14920</v>
      </c>
    </row>
    <row r="27" spans="3:13" x14ac:dyDescent="0.25">
      <c r="C27" s="21"/>
      <c r="F27" s="21"/>
      <c r="I27" s="21"/>
      <c r="J27" s="29"/>
    </row>
    <row r="28" spans="3:13" x14ac:dyDescent="0.25">
      <c r="C28" s="21"/>
      <c r="F28" s="21"/>
      <c r="I28" s="21"/>
      <c r="J28" s="29"/>
    </row>
    <row r="29" spans="3:13" x14ac:dyDescent="0.25">
      <c r="C29" s="21"/>
      <c r="J29" s="29"/>
    </row>
    <row r="30" spans="3:13" x14ac:dyDescent="0.25">
      <c r="C30" s="21"/>
      <c r="D30" s="38"/>
      <c r="F30" s="21"/>
      <c r="J30" s="29"/>
    </row>
    <row r="31" spans="3:13" x14ac:dyDescent="0.25">
      <c r="C31" s="21"/>
      <c r="F31" s="21"/>
      <c r="J31" s="29"/>
    </row>
    <row r="32" spans="3:13" x14ac:dyDescent="0.25">
      <c r="C32" s="21"/>
      <c r="F32" s="21"/>
      <c r="J32" s="29"/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20" x14ac:dyDescent="0.25">
      <c r="C49" s="21"/>
      <c r="F49" s="21"/>
      <c r="J49" s="29"/>
    </row>
    <row r="50" spans="1:20" x14ac:dyDescent="0.25">
      <c r="C50" s="21"/>
      <c r="F50" s="21"/>
      <c r="J50" s="29"/>
    </row>
    <row r="51" spans="1:20" x14ac:dyDescent="0.25">
      <c r="C51" s="21"/>
      <c r="F51" s="21"/>
      <c r="J51" s="29"/>
    </row>
    <row r="52" spans="1:20" x14ac:dyDescent="0.25">
      <c r="C52" s="21"/>
      <c r="F52" s="21"/>
      <c r="J52" s="29"/>
    </row>
    <row r="53" spans="1:20" x14ac:dyDescent="0.25">
      <c r="C53" s="21"/>
      <c r="F53" s="21"/>
      <c r="J53" s="29"/>
    </row>
    <row r="54" spans="1:20" x14ac:dyDescent="0.25">
      <c r="C54" s="21"/>
      <c r="F54" s="21"/>
      <c r="J54" s="29"/>
    </row>
    <row r="55" spans="1:20" x14ac:dyDescent="0.25">
      <c r="C55" s="21"/>
      <c r="F55" s="21"/>
      <c r="J55" s="29"/>
      <c r="L55" s="9"/>
      <c r="M55" s="9"/>
    </row>
    <row r="56" spans="1:20" x14ac:dyDescent="0.25">
      <c r="C56" s="21"/>
      <c r="F56" s="21"/>
      <c r="J56" s="29"/>
    </row>
    <row r="57" spans="1:20" x14ac:dyDescent="0.25">
      <c r="C57" s="21"/>
      <c r="F57" s="21"/>
      <c r="J57" s="29"/>
    </row>
    <row r="58" spans="1:20" s="9" customFormat="1" x14ac:dyDescent="0.25">
      <c r="A58"/>
      <c r="C58" s="35"/>
      <c r="D58"/>
      <c r="E58"/>
      <c r="F58" s="21"/>
      <c r="G58"/>
      <c r="H58"/>
      <c r="I58"/>
      <c r="J58" s="29"/>
      <c r="K58"/>
      <c r="S58"/>
      <c r="T58"/>
    </row>
    <row r="59" spans="1:20" s="9" customFormat="1" x14ac:dyDescent="0.25">
      <c r="A59"/>
      <c r="C59" s="35"/>
      <c r="D59"/>
      <c r="E59"/>
      <c r="F59" s="21"/>
      <c r="G59"/>
      <c r="H59"/>
      <c r="I59"/>
      <c r="J59" s="29"/>
      <c r="K59"/>
      <c r="S59"/>
      <c r="T59"/>
    </row>
    <row r="60" spans="1:20" s="9" customFormat="1" x14ac:dyDescent="0.25">
      <c r="A60"/>
      <c r="C60" s="35"/>
      <c r="D60"/>
      <c r="E60"/>
      <c r="F60" s="21"/>
      <c r="G60"/>
      <c r="H60"/>
      <c r="I60"/>
      <c r="J60" s="29"/>
      <c r="K60"/>
      <c r="S60"/>
      <c r="T60"/>
    </row>
    <row r="61" spans="1:20" s="9" customFormat="1" x14ac:dyDescent="0.25">
      <c r="A61"/>
      <c r="C61" s="35"/>
      <c r="D61"/>
      <c r="E61"/>
      <c r="F61" s="21"/>
      <c r="G61"/>
      <c r="H61"/>
      <c r="J61" s="47"/>
      <c r="K61"/>
      <c r="S61"/>
      <c r="T61"/>
    </row>
    <row r="62" spans="1:20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  <c r="S62"/>
      <c r="T62"/>
    </row>
    <row r="63" spans="1:20" x14ac:dyDescent="0.25">
      <c r="C63" s="21"/>
      <c r="D63" s="29"/>
      <c r="F63" s="21"/>
      <c r="J63" s="29"/>
      <c r="O63" s="9"/>
    </row>
    <row r="64" spans="1:20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/>
      <c r="F133" s="32"/>
      <c r="G133" s="31"/>
      <c r="H133" s="41"/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7813-E8CD-492C-97C7-29021502EC8C}">
  <dimension ref="A1:X133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395480</v>
      </c>
      <c r="K2">
        <f>J2-J3</f>
        <v>588</v>
      </c>
      <c r="L2" s="1">
        <f>K2/J2</f>
        <v>1.4868008496004856E-3</v>
      </c>
    </row>
    <row r="3" spans="1:24" x14ac:dyDescent="0.25">
      <c r="B3" t="s">
        <v>6</v>
      </c>
      <c r="D3" s="64" t="s">
        <v>62</v>
      </c>
      <c r="E3" s="52"/>
      <c r="F3" t="s">
        <v>63</v>
      </c>
      <c r="H3" s="63" t="s">
        <v>9</v>
      </c>
      <c r="I3" s="63"/>
      <c r="J3">
        <f>K11-L10+M11-N10+O11-P10+Q11-R10+S11-T10+U11-V10+W11-X10</f>
        <v>394892</v>
      </c>
      <c r="K3" s="5" t="s">
        <v>10</v>
      </c>
      <c r="L3" s="5" t="s">
        <v>11</v>
      </c>
      <c r="M3" s="5" t="s">
        <v>12</v>
      </c>
      <c r="N3" s="6">
        <f>N4*I4/O1</f>
        <v>168.12376563718246</v>
      </c>
      <c r="O3" s="6">
        <f>K7+M7+O7+Q7+S7+U7+W7</f>
        <v>168.12376563718246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7897.84</v>
      </c>
      <c r="K4" s="8">
        <v>0.98</v>
      </c>
      <c r="L4" s="8">
        <f>IF(J5=0,L1,(L8+N8+P8+R8+T8+V8+X8)/J5/K4)</f>
        <v>0.11200000000000003</v>
      </c>
      <c r="M4" s="8">
        <f>IF(J5=0,0,(L9+N9+P9+R9+T9+V9+X9)/J5/K4)</f>
        <v>2.9292241929438936E-2</v>
      </c>
      <c r="N4" s="2">
        <f>IF(L4&gt;L1,J4*(1-L4)/(1-L1)*(1-M4)*K4,J4*K4*(1-M4))</f>
        <v>7412.9891398826667</v>
      </c>
      <c r="V4" s="6"/>
    </row>
    <row r="5" spans="1:24" x14ac:dyDescent="0.25">
      <c r="B5" t="s">
        <v>16</v>
      </c>
      <c r="D5" s="65">
        <v>44471</v>
      </c>
      <c r="E5" s="52"/>
      <c r="F5" s="13">
        <v>44482</v>
      </c>
      <c r="J5" s="6">
        <f>J3/O1</f>
        <v>179.11999817404046</v>
      </c>
      <c r="N5" s="2">
        <v>276</v>
      </c>
      <c r="O5" s="3">
        <f>N4/N5</f>
        <v>26.858656303922704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135.40769841279939</v>
      </c>
      <c r="M7" s="6">
        <f>IF(M8&gt;$L1,(N11-N10/$O1)*$K4*(1-M8)/(1-$L1)*(1-M9),(N11-N10/$O1)*$K4*(1-M9))</f>
        <v>29.848630102030832</v>
      </c>
      <c r="O7" s="6">
        <f>IF(O8&gt;$L1,(P11-P10/$O1)*$K4*(1-O8)/(1-$L1)*(1-O9),(P11-P10/$O1)*$K4*(1-O9))</f>
        <v>2.8674371223522308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0.112</v>
      </c>
      <c r="L8" s="6">
        <f>(L11-L10/$O1)*$K4*K8</f>
        <v>15.845983096510377</v>
      </c>
      <c r="M8" s="1">
        <v>0.112</v>
      </c>
      <c r="N8" s="6">
        <f>(N11-N10/$O1)*$K4*M8</f>
        <v>3.4786682509720155</v>
      </c>
      <c r="O8" s="1">
        <v>0.112</v>
      </c>
      <c r="P8" s="6">
        <f>(P11-P10/$O1)*$K4*O8</f>
        <v>0.33555965210028893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4.2444597579938508</v>
      </c>
      <c r="M9" s="1">
        <v>2.5999999999999999E-2</v>
      </c>
      <c r="N9" s="6">
        <f>(N11-N10/$O1)*$K4*M9</f>
        <v>0.80754798683278928</v>
      </c>
      <c r="O9" s="1">
        <v>0.03</v>
      </c>
      <c r="P9" s="6">
        <f>(P11-P10/$O1)*$K4*O9</f>
        <v>8.9882049669720243E-2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200761.06382117933</v>
      </c>
      <c r="E10" s="55"/>
      <c r="F10" s="56"/>
      <c r="G10" s="54">
        <f>J3/J2*G11</f>
        <v>194130.93617882067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201060</v>
      </c>
      <c r="E11" s="58"/>
      <c r="F11" s="59"/>
      <c r="G11" s="57">
        <f>H14+I14</f>
        <v>194420</v>
      </c>
      <c r="H11" s="58"/>
      <c r="I11" s="58"/>
      <c r="J11" s="25"/>
      <c r="K11" s="26">
        <f>K14+L14</f>
        <v>318280</v>
      </c>
      <c r="L11" s="27">
        <f>K11/2204.62262184877</f>
        <v>144.36937952360037</v>
      </c>
      <c r="M11" s="26">
        <f>M14+N14</f>
        <v>69872</v>
      </c>
      <c r="N11" s="27">
        <f>M11/2204.62262184877</f>
        <v>31.693406076640084</v>
      </c>
      <c r="O11" s="26">
        <f>O14+P14</f>
        <v>6740</v>
      </c>
      <c r="P11" s="27">
        <f>O11/2204.62262184877</f>
        <v>3.0572125738000082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64</v>
      </c>
      <c r="L12" s="51"/>
      <c r="M12" s="50" t="s">
        <v>65</v>
      </c>
      <c r="N12" s="51"/>
      <c r="O12" s="50" t="s">
        <v>26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201060</v>
      </c>
      <c r="F14" s="30">
        <f>SUM(F15:F133)</f>
        <v>0</v>
      </c>
      <c r="G14" s="29"/>
      <c r="H14" s="4">
        <f>SUM(H15:H133)</f>
        <v>194420</v>
      </c>
      <c r="I14" s="4">
        <f>SUM(I15:I133)</f>
        <v>0</v>
      </c>
      <c r="J14" s="25"/>
      <c r="K14" s="23">
        <f t="shared" ref="K14:X14" si="0">SUM(K15:K133)</f>
        <v>0</v>
      </c>
      <c r="L14" s="24">
        <f t="shared" si="0"/>
        <v>318280</v>
      </c>
      <c r="M14" s="23">
        <f t="shared" si="0"/>
        <v>70060</v>
      </c>
      <c r="N14" s="24">
        <f t="shared" si="0"/>
        <v>-188</v>
      </c>
      <c r="O14" s="23">
        <f t="shared" si="0"/>
        <v>6740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/>
      <c r="F16" s="21"/>
      <c r="G16" s="29">
        <v>676</v>
      </c>
      <c r="H16">
        <v>6740</v>
      </c>
      <c r="J16" s="29"/>
      <c r="O16">
        <v>6740</v>
      </c>
    </row>
    <row r="17" spans="3:14" x14ac:dyDescent="0.25">
      <c r="C17" s="21"/>
      <c r="D17" s="29"/>
      <c r="F17" s="21"/>
      <c r="G17" s="29"/>
      <c r="J17" s="29"/>
    </row>
    <row r="18" spans="3:14" x14ac:dyDescent="0.25">
      <c r="C18" s="21">
        <v>2</v>
      </c>
      <c r="D18" s="29">
        <v>185</v>
      </c>
      <c r="E18">
        <v>15980</v>
      </c>
      <c r="F18" s="21"/>
      <c r="G18" s="29"/>
      <c r="J18" s="29"/>
    </row>
    <row r="19" spans="3:14" x14ac:dyDescent="0.25">
      <c r="C19" s="21"/>
      <c r="D19">
        <v>186</v>
      </c>
      <c r="E19">
        <v>16860</v>
      </c>
      <c r="F19" s="21"/>
      <c r="J19" s="29"/>
      <c r="L19">
        <v>33560</v>
      </c>
    </row>
    <row r="20" spans="3:14" x14ac:dyDescent="0.25">
      <c r="C20" s="21">
        <v>3</v>
      </c>
      <c r="D20">
        <v>187</v>
      </c>
      <c r="E20">
        <v>15080</v>
      </c>
      <c r="F20" s="21"/>
      <c r="G20">
        <v>705</v>
      </c>
      <c r="H20">
        <v>16280</v>
      </c>
      <c r="J20" s="29"/>
      <c r="L20">
        <v>31700</v>
      </c>
    </row>
    <row r="21" spans="3:14" x14ac:dyDescent="0.25">
      <c r="C21" s="21">
        <v>4</v>
      </c>
      <c r="D21">
        <v>188</v>
      </c>
      <c r="E21">
        <v>14820</v>
      </c>
      <c r="F21" s="21"/>
      <c r="G21">
        <v>706</v>
      </c>
      <c r="H21">
        <v>17420</v>
      </c>
      <c r="J21" s="29"/>
      <c r="L21">
        <v>30800</v>
      </c>
    </row>
    <row r="22" spans="3:14" x14ac:dyDescent="0.25">
      <c r="C22" s="21">
        <v>5</v>
      </c>
      <c r="D22">
        <v>189</v>
      </c>
      <c r="E22">
        <v>14620</v>
      </c>
      <c r="F22" s="21"/>
      <c r="G22">
        <v>707</v>
      </c>
      <c r="H22">
        <v>13640</v>
      </c>
      <c r="J22" s="29"/>
      <c r="L22">
        <v>27900</v>
      </c>
    </row>
    <row r="23" spans="3:14" x14ac:dyDescent="0.25">
      <c r="C23" s="21">
        <v>6</v>
      </c>
      <c r="D23">
        <v>190</v>
      </c>
      <c r="E23">
        <v>13740</v>
      </c>
      <c r="F23" s="21"/>
      <c r="G23">
        <v>708</v>
      </c>
      <c r="H23">
        <v>15500</v>
      </c>
      <c r="J23" s="29"/>
      <c r="L23">
        <v>29620</v>
      </c>
    </row>
    <row r="24" spans="3:14" x14ac:dyDescent="0.25">
      <c r="C24" s="21">
        <v>7</v>
      </c>
      <c r="D24">
        <v>191</v>
      </c>
      <c r="E24">
        <v>16020</v>
      </c>
      <c r="F24" s="21"/>
      <c r="G24">
        <v>709</v>
      </c>
      <c r="H24">
        <v>14420</v>
      </c>
      <c r="J24" s="29"/>
      <c r="L24">
        <v>30260</v>
      </c>
    </row>
    <row r="25" spans="3:14" x14ac:dyDescent="0.25">
      <c r="C25" s="21">
        <v>8</v>
      </c>
      <c r="D25">
        <v>192</v>
      </c>
      <c r="E25">
        <v>9800</v>
      </c>
      <c r="F25" s="21"/>
      <c r="G25">
        <v>710</v>
      </c>
      <c r="H25">
        <v>13660</v>
      </c>
      <c r="J25" s="29"/>
      <c r="L25">
        <v>24040</v>
      </c>
    </row>
    <row r="26" spans="3:14" x14ac:dyDescent="0.25">
      <c r="C26" s="21">
        <v>9</v>
      </c>
      <c r="D26">
        <v>193</v>
      </c>
      <c r="E26">
        <v>9000</v>
      </c>
      <c r="F26" s="21"/>
      <c r="G26">
        <v>711</v>
      </c>
      <c r="H26">
        <v>14840</v>
      </c>
      <c r="J26" s="29"/>
      <c r="L26">
        <v>23520</v>
      </c>
    </row>
    <row r="27" spans="3:14" x14ac:dyDescent="0.25">
      <c r="C27" s="21">
        <v>10</v>
      </c>
      <c r="D27">
        <v>194</v>
      </c>
      <c r="E27">
        <v>15240</v>
      </c>
      <c r="F27" s="21"/>
      <c r="G27">
        <v>712</v>
      </c>
      <c r="H27">
        <v>14540</v>
      </c>
      <c r="I27" s="21"/>
      <c r="J27" s="29"/>
      <c r="L27">
        <v>29860</v>
      </c>
    </row>
    <row r="28" spans="3:14" x14ac:dyDescent="0.25">
      <c r="C28" s="21">
        <v>11</v>
      </c>
      <c r="D28">
        <v>195</v>
      </c>
      <c r="E28">
        <v>16020</v>
      </c>
      <c r="F28" s="21"/>
      <c r="G28">
        <v>713</v>
      </c>
      <c r="H28">
        <v>10300</v>
      </c>
      <c r="I28" s="21"/>
      <c r="J28" s="29"/>
      <c r="M28" t="s">
        <v>66</v>
      </c>
    </row>
    <row r="29" spans="3:14" x14ac:dyDescent="0.25">
      <c r="C29" s="21"/>
      <c r="G29">
        <v>714</v>
      </c>
      <c r="H29">
        <v>7420</v>
      </c>
      <c r="J29" s="29"/>
      <c r="M29">
        <v>33800</v>
      </c>
    </row>
    <row r="30" spans="3:14" x14ac:dyDescent="0.25">
      <c r="C30" s="21">
        <v>12</v>
      </c>
      <c r="D30" s="38">
        <v>196</v>
      </c>
      <c r="E30">
        <v>18140</v>
      </c>
      <c r="F30" s="21"/>
      <c r="G30">
        <v>715</v>
      </c>
      <c r="H30">
        <v>18140</v>
      </c>
      <c r="J30" s="29"/>
      <c r="M30">
        <v>36260</v>
      </c>
      <c r="N30">
        <v>-188</v>
      </c>
    </row>
    <row r="31" spans="3:14" x14ac:dyDescent="0.25">
      <c r="C31" s="21">
        <v>13</v>
      </c>
      <c r="D31">
        <v>197</v>
      </c>
      <c r="E31">
        <v>16420</v>
      </c>
      <c r="F31" s="21"/>
      <c r="G31">
        <v>716</v>
      </c>
      <c r="H31">
        <v>17320</v>
      </c>
      <c r="J31" s="29"/>
      <c r="L31">
        <v>33980</v>
      </c>
    </row>
    <row r="32" spans="3:14" x14ac:dyDescent="0.25">
      <c r="C32" s="21">
        <v>14</v>
      </c>
      <c r="D32">
        <v>198</v>
      </c>
      <c r="E32">
        <v>9320</v>
      </c>
      <c r="F32" s="21"/>
      <c r="G32">
        <v>717</v>
      </c>
      <c r="H32">
        <v>14200</v>
      </c>
      <c r="J32" s="29"/>
      <c r="L32">
        <v>23040</v>
      </c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20" x14ac:dyDescent="0.25">
      <c r="C49" s="21"/>
      <c r="F49" s="21"/>
      <c r="J49" s="29"/>
    </row>
    <row r="50" spans="1:20" x14ac:dyDescent="0.25">
      <c r="C50" s="21"/>
      <c r="F50" s="21"/>
      <c r="J50" s="29"/>
    </row>
    <row r="51" spans="1:20" x14ac:dyDescent="0.25">
      <c r="C51" s="21"/>
      <c r="F51" s="21"/>
      <c r="J51" s="29"/>
    </row>
    <row r="52" spans="1:20" x14ac:dyDescent="0.25">
      <c r="C52" s="21"/>
      <c r="F52" s="21"/>
      <c r="J52" s="29"/>
    </row>
    <row r="53" spans="1:20" x14ac:dyDescent="0.25">
      <c r="C53" s="21"/>
      <c r="F53" s="21"/>
      <c r="J53" s="29"/>
    </row>
    <row r="54" spans="1:20" x14ac:dyDescent="0.25">
      <c r="C54" s="21"/>
      <c r="F54" s="21"/>
      <c r="J54" s="29"/>
    </row>
    <row r="55" spans="1:20" x14ac:dyDescent="0.25">
      <c r="C55" s="21"/>
      <c r="F55" s="21"/>
      <c r="J55" s="29"/>
      <c r="L55" s="9"/>
      <c r="M55" s="9"/>
    </row>
    <row r="56" spans="1:20" x14ac:dyDescent="0.25">
      <c r="C56" s="21"/>
      <c r="F56" s="21"/>
      <c r="J56" s="29"/>
    </row>
    <row r="57" spans="1:20" x14ac:dyDescent="0.25">
      <c r="C57" s="21"/>
      <c r="F57" s="21"/>
      <c r="J57" s="29"/>
    </row>
    <row r="58" spans="1:20" s="9" customFormat="1" x14ac:dyDescent="0.25">
      <c r="A58"/>
      <c r="C58" s="35"/>
      <c r="D58"/>
      <c r="E58"/>
      <c r="F58" s="21"/>
      <c r="G58"/>
      <c r="H58"/>
      <c r="I58"/>
      <c r="J58" s="29"/>
      <c r="K58"/>
      <c r="S58"/>
      <c r="T58"/>
    </row>
    <row r="59" spans="1:20" s="9" customFormat="1" x14ac:dyDescent="0.25">
      <c r="A59"/>
      <c r="C59" s="35"/>
      <c r="D59"/>
      <c r="E59"/>
      <c r="F59" s="21"/>
      <c r="G59"/>
      <c r="H59"/>
      <c r="I59"/>
      <c r="J59" s="29"/>
      <c r="K59"/>
      <c r="S59"/>
      <c r="T59"/>
    </row>
    <row r="60" spans="1:20" s="9" customFormat="1" x14ac:dyDescent="0.25">
      <c r="A60"/>
      <c r="C60" s="35"/>
      <c r="D60"/>
      <c r="E60"/>
      <c r="F60" s="21"/>
      <c r="G60"/>
      <c r="H60"/>
      <c r="I60"/>
      <c r="J60" s="29"/>
      <c r="K60"/>
      <c r="S60"/>
      <c r="T60"/>
    </row>
    <row r="61" spans="1:20" s="9" customFormat="1" x14ac:dyDescent="0.25">
      <c r="A61"/>
      <c r="C61" s="35"/>
      <c r="D61"/>
      <c r="E61"/>
      <c r="F61" s="21"/>
      <c r="G61"/>
      <c r="H61"/>
      <c r="J61" s="47"/>
      <c r="K61"/>
      <c r="S61"/>
      <c r="T61"/>
    </row>
    <row r="62" spans="1:20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  <c r="S62"/>
      <c r="T62"/>
    </row>
    <row r="63" spans="1:20" x14ac:dyDescent="0.25">
      <c r="C63" s="21"/>
      <c r="D63" s="29"/>
      <c r="F63" s="21"/>
      <c r="J63" s="29"/>
      <c r="O63" s="9"/>
    </row>
    <row r="64" spans="1:20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EC74-9FBF-424B-87AC-DB58693D07FD}">
  <sheetPr>
    <pageSetUpPr fitToPage="1"/>
  </sheetPr>
  <dimension ref="A1:X108"/>
  <sheetViews>
    <sheetView workbookViewId="0">
      <pane ySplit="15" topLeftCell="A16" activePane="bottomLeft" state="frozen"/>
      <selection activeCell="K13" sqref="K13:L13"/>
      <selection pane="bottomLeft" activeCell="K13" sqref="K13:L1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[5]Summary!E2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1522160</v>
      </c>
      <c r="K2">
        <f>J2-J3</f>
        <v>4620</v>
      </c>
      <c r="L2" s="1">
        <f>K2/J2</f>
        <v>3.0351605613076157E-3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67</v>
      </c>
      <c r="E3" s="52"/>
      <c r="F3" t="s">
        <v>68</v>
      </c>
      <c r="H3" s="63" t="s">
        <v>9</v>
      </c>
      <c r="I3" s="63"/>
      <c r="J3">
        <f>K11-L10+M11-N10+O11-P10+Q11-R10+S11-T10+U11-V10+W11-X10</f>
        <v>1517540</v>
      </c>
      <c r="K3" s="5" t="s">
        <v>10</v>
      </c>
      <c r="L3" s="5" t="s">
        <v>11</v>
      </c>
      <c r="M3" s="5" t="s">
        <v>12</v>
      </c>
      <c r="N3" s="6">
        <f>N4*I4/O1</f>
        <v>664.13711741050474</v>
      </c>
      <c r="O3" s="7">
        <f>K7+M7+O7+Q7+S7+U7+W7</f>
        <v>664.13711741050486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[5]Summary!C2</f>
        <v>CPSR</v>
      </c>
      <c r="E4" s="52"/>
      <c r="F4" s="2">
        <v>2021</v>
      </c>
      <c r="I4" s="2">
        <f>[5]Summary!D2</f>
        <v>60</v>
      </c>
      <c r="J4" s="2">
        <f>J3/I4</f>
        <v>25292.333333333332</v>
      </c>
      <c r="K4" s="8">
        <v>0.98</v>
      </c>
      <c r="L4" s="8">
        <f>IF(J5=0,L1,(L8+N8+P8+R8+T8+V8+X8)/J5/K4)</f>
        <v>0.14973028717529685</v>
      </c>
      <c r="M4" s="8">
        <f>IF(J5=0,0,(L9+N9+P9+R9+T9+V9+X9)/J5/K4)</f>
        <v>9.9999999999999985E-3</v>
      </c>
      <c r="N4" s="2">
        <f>IF(L4&gt;L1,J4*(1-L4)/(1-L1)*(1-M4)*K4,J4*K4*(1-M4))</f>
        <v>24402.861884210524</v>
      </c>
      <c r="O4" s="9"/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4" x14ac:dyDescent="0.25">
      <c r="B5" t="s">
        <v>16</v>
      </c>
      <c r="D5" s="65">
        <v>44450</v>
      </c>
      <c r="E5" s="52"/>
      <c r="F5" s="13"/>
      <c r="J5" s="6">
        <f>J3/O1</f>
        <v>688.34456516980185</v>
      </c>
      <c r="N5" s="2">
        <v>590</v>
      </c>
      <c r="O5" s="14">
        <f>N4/N5</f>
        <v>41.360782854594106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98.752901218725853</v>
      </c>
      <c r="L7" s="9"/>
      <c r="M7" s="7">
        <f>IF(M8&gt;$L1,(N11-N10/$O1)*$K4*(1-M8)/(1-$L1)*(1-M9),(N11-N10/$O1)*$K4*(1-M9))</f>
        <v>461.10062338500762</v>
      </c>
      <c r="O7" s="6">
        <f>IF(O8&gt;$L1,(P11-P10/$O1)*$K4*(1-O8)/(1-$L1)*(1-O9),(P11-P10/$O1)*$K4*(1-O9))</f>
        <v>36.024565480235736</v>
      </c>
      <c r="Q7" s="6">
        <f>IF(Q8&gt;$L1,(R11-R10/$O1)*$K4*(1-Q8)/(1-$L1)*(1-Q9),(R11-R10/$O1)*$K4*(1-Q9))</f>
        <v>68.259027326535573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0.15</v>
      </c>
      <c r="L8" s="6">
        <f>(L11-L10/$O1)*$K4*K8</f>
        <v>15.050575854190837</v>
      </c>
      <c r="M8" s="1">
        <v>0.15</v>
      </c>
      <c r="N8" s="6">
        <f>(N11-N10/$O1)*$K4*M8</f>
        <v>70.274693938356776</v>
      </c>
      <c r="O8" s="1">
        <v>0.14499999999999999</v>
      </c>
      <c r="P8" s="6">
        <f>(P11-P10/$O1)*$K4*O8</f>
        <v>5.276325247105234</v>
      </c>
      <c r="Q8" s="1">
        <v>0.15</v>
      </c>
      <c r="R8" s="6">
        <f>(R11-R10/$O1)*$K4*Q8</f>
        <v>10.403113790407827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1.0033717236127226</v>
      </c>
      <c r="M9" s="1">
        <v>0.01</v>
      </c>
      <c r="N9" s="6">
        <f>(N11-N10/$O1)*$K4*M9</f>
        <v>4.6849795958904519</v>
      </c>
      <c r="O9" s="1">
        <v>0.01</v>
      </c>
      <c r="P9" s="6">
        <f>(P11-P10/$O1)*$K4*O9</f>
        <v>0.36388449980036103</v>
      </c>
      <c r="Q9" s="1">
        <v>0.01</v>
      </c>
      <c r="R9" s="6">
        <f>(R11-R10/$O1)*$K4*Q9</f>
        <v>0.69354091936052187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716438.87291743315</v>
      </c>
      <c r="E10" s="55"/>
      <c r="F10" s="56"/>
      <c r="G10" s="54">
        <f>J3/J2*G11</f>
        <v>801101.12708256685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718620</v>
      </c>
      <c r="E11" s="58"/>
      <c r="F11" s="59"/>
      <c r="G11" s="57">
        <f>H14+I14</f>
        <v>803540</v>
      </c>
      <c r="H11" s="58"/>
      <c r="I11" s="58"/>
      <c r="J11" s="25"/>
      <c r="K11" s="26">
        <f>K14+L14</f>
        <v>225720</v>
      </c>
      <c r="L11" s="27">
        <f>K11/2204.62262184877</f>
        <v>102.38486975640026</v>
      </c>
      <c r="M11" s="26">
        <f>M14+N14</f>
        <v>1053940</v>
      </c>
      <c r="N11" s="27">
        <f>M11/2204.62262184877</f>
        <v>478.05914243780126</v>
      </c>
      <c r="O11" s="26">
        <f>O14+P14</f>
        <v>81860</v>
      </c>
      <c r="P11" s="27">
        <f>O11/2204.62262184877</f>
        <v>37.1310714082001</v>
      </c>
      <c r="Q11" s="26">
        <f>Q14+R14</f>
        <v>156020</v>
      </c>
      <c r="R11" s="27">
        <f>Q11/2204.62262184877</f>
        <v>70.769481567400192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69</v>
      </c>
      <c r="L12" s="51"/>
      <c r="M12" s="50" t="s">
        <v>70</v>
      </c>
      <c r="N12" s="51"/>
      <c r="O12" s="50" t="s">
        <v>71</v>
      </c>
      <c r="P12" s="51"/>
      <c r="Q12" s="50" t="s">
        <v>72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718620</v>
      </c>
      <c r="F14" s="30">
        <f>SUM(F15:F133)</f>
        <v>0</v>
      </c>
      <c r="G14" s="29"/>
      <c r="H14" s="4">
        <f>SUM(H15:H133)</f>
        <v>803540</v>
      </c>
      <c r="I14" s="4">
        <f>SUM(I15:I133)</f>
        <v>0</v>
      </c>
      <c r="J14" s="25"/>
      <c r="K14" s="23">
        <f t="shared" ref="K14:X14" si="1">SUM(K15:K133)</f>
        <v>225720</v>
      </c>
      <c r="L14" s="24">
        <f t="shared" si="1"/>
        <v>0</v>
      </c>
      <c r="M14" s="23">
        <f t="shared" si="1"/>
        <v>1053940</v>
      </c>
      <c r="N14" s="24">
        <f t="shared" si="1"/>
        <v>0</v>
      </c>
      <c r="O14" s="23">
        <f t="shared" si="1"/>
        <v>0</v>
      </c>
      <c r="P14" s="24">
        <f t="shared" si="1"/>
        <v>81860</v>
      </c>
      <c r="Q14" s="23">
        <f t="shared" si="1"/>
        <v>156020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 t="s">
        <v>73</v>
      </c>
      <c r="D16" s="29"/>
      <c r="F16" s="21"/>
      <c r="G16" s="29"/>
      <c r="J16" s="33"/>
    </row>
    <row r="17" spans="3:16" x14ac:dyDescent="0.25">
      <c r="C17" s="21">
        <v>1</v>
      </c>
      <c r="D17" s="29">
        <v>93</v>
      </c>
      <c r="E17">
        <v>24960</v>
      </c>
      <c r="F17" s="21"/>
      <c r="G17" s="29">
        <v>589</v>
      </c>
      <c r="H17">
        <v>22880</v>
      </c>
      <c r="J17" s="34"/>
      <c r="K17">
        <v>47600</v>
      </c>
    </row>
    <row r="18" spans="3:16" x14ac:dyDescent="0.25">
      <c r="C18" s="21">
        <v>2</v>
      </c>
      <c r="D18" s="29">
        <v>94</v>
      </c>
      <c r="E18">
        <v>24820</v>
      </c>
      <c r="F18" s="21"/>
      <c r="G18" s="29">
        <v>590</v>
      </c>
      <c r="H18">
        <v>20640</v>
      </c>
      <c r="J18" s="34"/>
      <c r="K18">
        <v>29460</v>
      </c>
    </row>
    <row r="19" spans="3:16" x14ac:dyDescent="0.25">
      <c r="C19" s="21">
        <v>3</v>
      </c>
      <c r="D19">
        <v>95</v>
      </c>
      <c r="E19">
        <v>17160</v>
      </c>
      <c r="F19" s="21"/>
      <c r="G19">
        <v>591</v>
      </c>
      <c r="H19">
        <v>20900</v>
      </c>
      <c r="J19" s="34"/>
      <c r="K19">
        <v>55900</v>
      </c>
    </row>
    <row r="20" spans="3:16" x14ac:dyDescent="0.25">
      <c r="C20" s="21">
        <v>4</v>
      </c>
      <c r="D20">
        <v>96</v>
      </c>
      <c r="E20">
        <v>24140</v>
      </c>
      <c r="F20" s="21"/>
      <c r="G20">
        <v>592</v>
      </c>
      <c r="H20">
        <v>21160</v>
      </c>
      <c r="J20" s="34"/>
      <c r="K20">
        <v>26060</v>
      </c>
    </row>
    <row r="21" spans="3:16" x14ac:dyDescent="0.25">
      <c r="C21" s="21">
        <v>5</v>
      </c>
      <c r="F21" s="21"/>
      <c r="G21">
        <v>593</v>
      </c>
      <c r="H21">
        <v>22380</v>
      </c>
      <c r="J21" s="34"/>
      <c r="K21">
        <v>41400</v>
      </c>
    </row>
    <row r="22" spans="3:16" x14ac:dyDescent="0.25">
      <c r="C22" s="21">
        <v>6</v>
      </c>
      <c r="D22">
        <v>97</v>
      </c>
      <c r="E22">
        <v>24920</v>
      </c>
      <c r="F22" s="21"/>
      <c r="J22" s="34"/>
      <c r="K22">
        <v>25300</v>
      </c>
    </row>
    <row r="23" spans="3:16" x14ac:dyDescent="0.25">
      <c r="C23" s="21" t="s">
        <v>74</v>
      </c>
      <c r="F23" s="21"/>
      <c r="G23">
        <v>594</v>
      </c>
      <c r="H23">
        <v>21880</v>
      </c>
      <c r="J23" s="34"/>
      <c r="P23">
        <v>21840</v>
      </c>
    </row>
    <row r="24" spans="3:16" x14ac:dyDescent="0.25">
      <c r="C24" s="21"/>
      <c r="F24" s="21"/>
      <c r="G24">
        <v>595</v>
      </c>
      <c r="H24">
        <v>22060</v>
      </c>
      <c r="J24" s="34"/>
      <c r="P24">
        <v>21720</v>
      </c>
    </row>
    <row r="25" spans="3:16" x14ac:dyDescent="0.25">
      <c r="C25" s="21"/>
      <c r="D25">
        <v>98</v>
      </c>
      <c r="E25">
        <v>20580</v>
      </c>
      <c r="F25" s="21"/>
      <c r="G25">
        <v>596</v>
      </c>
      <c r="H25">
        <v>16860</v>
      </c>
      <c r="J25" s="34"/>
      <c r="P25">
        <v>38300</v>
      </c>
    </row>
    <row r="26" spans="3:16" x14ac:dyDescent="0.25">
      <c r="C26" s="21">
        <v>7</v>
      </c>
      <c r="D26">
        <v>99</v>
      </c>
      <c r="E26">
        <v>24980</v>
      </c>
      <c r="F26" s="21"/>
      <c r="G26">
        <v>597</v>
      </c>
      <c r="H26">
        <v>12000</v>
      </c>
      <c r="J26" s="34"/>
      <c r="M26">
        <v>36260</v>
      </c>
    </row>
    <row r="27" spans="3:16" x14ac:dyDescent="0.25">
      <c r="C27" s="21">
        <v>8</v>
      </c>
      <c r="D27">
        <v>100</v>
      </c>
      <c r="E27">
        <v>20680</v>
      </c>
      <c r="F27" s="21"/>
      <c r="G27">
        <v>598</v>
      </c>
      <c r="H27">
        <v>22560</v>
      </c>
      <c r="J27" s="34"/>
      <c r="M27">
        <v>42520</v>
      </c>
      <c r="P27" s="9"/>
    </row>
    <row r="28" spans="3:16" x14ac:dyDescent="0.25">
      <c r="C28" s="21">
        <v>9</v>
      </c>
      <c r="D28">
        <v>101</v>
      </c>
      <c r="E28">
        <v>22520</v>
      </c>
      <c r="F28" s="21"/>
      <c r="G28">
        <v>599</v>
      </c>
      <c r="H28">
        <v>21600</v>
      </c>
      <c r="J28" s="34"/>
      <c r="M28">
        <v>44280</v>
      </c>
      <c r="P28" s="9"/>
    </row>
    <row r="29" spans="3:16" x14ac:dyDescent="0.25">
      <c r="C29" s="21">
        <v>10</v>
      </c>
      <c r="D29">
        <v>102</v>
      </c>
      <c r="E29">
        <v>22300</v>
      </c>
      <c r="F29" s="21"/>
      <c r="G29">
        <v>600</v>
      </c>
      <c r="H29">
        <v>21300</v>
      </c>
      <c r="J29" s="34"/>
      <c r="M29">
        <v>42300</v>
      </c>
      <c r="P29" s="9"/>
    </row>
    <row r="30" spans="3:16" x14ac:dyDescent="0.25">
      <c r="C30" s="21">
        <v>11</v>
      </c>
      <c r="D30">
        <v>103</v>
      </c>
      <c r="E30">
        <v>12460</v>
      </c>
      <c r="F30" s="21"/>
      <c r="G30">
        <v>601</v>
      </c>
      <c r="H30">
        <v>24920</v>
      </c>
      <c r="J30" s="34"/>
      <c r="M30">
        <v>36800</v>
      </c>
    </row>
    <row r="31" spans="3:16" x14ac:dyDescent="0.25">
      <c r="C31" s="21">
        <v>12</v>
      </c>
      <c r="D31">
        <v>104</v>
      </c>
      <c r="E31">
        <v>11360</v>
      </c>
      <c r="F31" s="21"/>
      <c r="G31">
        <v>602</v>
      </c>
      <c r="H31">
        <v>25540</v>
      </c>
      <c r="J31" s="34"/>
    </row>
    <row r="32" spans="3:16" x14ac:dyDescent="0.25">
      <c r="C32" s="21"/>
      <c r="F32" s="21"/>
      <c r="G32">
        <v>603</v>
      </c>
      <c r="H32">
        <v>11240</v>
      </c>
      <c r="J32" s="34"/>
      <c r="M32">
        <v>47660</v>
      </c>
    </row>
    <row r="33" spans="1:20" s="9" customFormat="1" x14ac:dyDescent="0.25">
      <c r="A33"/>
      <c r="B33"/>
      <c r="C33" s="35">
        <v>13</v>
      </c>
      <c r="D33">
        <v>105</v>
      </c>
      <c r="E33">
        <v>24420</v>
      </c>
      <c r="F33" s="21"/>
      <c r="G33">
        <v>604</v>
      </c>
      <c r="H33">
        <v>24500</v>
      </c>
      <c r="I33"/>
      <c r="J33" s="34"/>
      <c r="M33">
        <v>49320</v>
      </c>
      <c r="N33"/>
      <c r="O33"/>
      <c r="Q33"/>
      <c r="R33"/>
      <c r="S33"/>
      <c r="T33"/>
    </row>
    <row r="34" spans="1:20" s="9" customFormat="1" x14ac:dyDescent="0.25">
      <c r="A34"/>
      <c r="B34"/>
      <c r="C34" s="35">
        <v>14</v>
      </c>
      <c r="D34">
        <v>106</v>
      </c>
      <c r="E34">
        <v>17260</v>
      </c>
      <c r="F34" s="21"/>
      <c r="G34">
        <v>605</v>
      </c>
      <c r="H34">
        <v>23940</v>
      </c>
      <c r="I34"/>
      <c r="J34" s="34"/>
      <c r="M34">
        <v>41540</v>
      </c>
      <c r="N34"/>
      <c r="O34"/>
      <c r="Q34"/>
      <c r="R34"/>
      <c r="S34"/>
      <c r="T34"/>
    </row>
    <row r="35" spans="1:20" s="9" customFormat="1" x14ac:dyDescent="0.25">
      <c r="A35"/>
      <c r="B35"/>
      <c r="C35" s="35">
        <v>15</v>
      </c>
      <c r="D35">
        <v>107</v>
      </c>
      <c r="E35">
        <v>23020</v>
      </c>
      <c r="F35" s="21"/>
      <c r="G35">
        <v>606</v>
      </c>
      <c r="H35">
        <v>22380</v>
      </c>
      <c r="I35"/>
      <c r="J35" s="34"/>
      <c r="L35"/>
      <c r="M35">
        <v>45440</v>
      </c>
      <c r="N35"/>
      <c r="O35"/>
      <c r="S35"/>
      <c r="T35"/>
    </row>
    <row r="36" spans="1:20" s="9" customFormat="1" x14ac:dyDescent="0.25">
      <c r="A36"/>
      <c r="B36"/>
      <c r="C36" s="35">
        <v>16</v>
      </c>
      <c r="D36">
        <v>108</v>
      </c>
      <c r="E36">
        <v>21680</v>
      </c>
      <c r="F36" s="21"/>
      <c r="G36">
        <v>607</v>
      </c>
      <c r="H36">
        <v>21180</v>
      </c>
      <c r="I36"/>
      <c r="J36" s="34"/>
      <c r="L36"/>
      <c r="M36">
        <v>42780</v>
      </c>
      <c r="N36"/>
      <c r="O36"/>
      <c r="S36"/>
      <c r="T36"/>
    </row>
    <row r="37" spans="1:20" s="9" customFormat="1" x14ac:dyDescent="0.25">
      <c r="A37"/>
      <c r="B37"/>
      <c r="C37" s="35">
        <v>17</v>
      </c>
      <c r="D37" s="29">
        <v>109</v>
      </c>
      <c r="E37" s="2">
        <v>23000</v>
      </c>
      <c r="F37" s="21"/>
      <c r="G37">
        <v>608</v>
      </c>
      <c r="H37" s="2">
        <v>21440</v>
      </c>
      <c r="I37"/>
      <c r="J37" s="34"/>
      <c r="L37"/>
      <c r="M37">
        <v>44300</v>
      </c>
      <c r="N37"/>
      <c r="O37"/>
      <c r="S37"/>
      <c r="T37"/>
    </row>
    <row r="38" spans="1:20" x14ac:dyDescent="0.25">
      <c r="C38" s="21">
        <v>18</v>
      </c>
      <c r="D38" s="29">
        <v>110</v>
      </c>
      <c r="E38">
        <v>24240</v>
      </c>
      <c r="F38" s="21"/>
      <c r="G38">
        <v>609</v>
      </c>
      <c r="H38">
        <v>23100</v>
      </c>
      <c r="J38" s="34"/>
      <c r="M38">
        <v>46980</v>
      </c>
    </row>
    <row r="39" spans="1:20" x14ac:dyDescent="0.25">
      <c r="C39" s="21">
        <v>19</v>
      </c>
      <c r="D39" s="29">
        <v>111</v>
      </c>
      <c r="E39" s="2">
        <v>23360</v>
      </c>
      <c r="F39" s="21"/>
      <c r="G39" t="s">
        <v>75</v>
      </c>
      <c r="H39" s="2">
        <v>22620</v>
      </c>
      <c r="J39" s="34"/>
      <c r="M39">
        <v>46880</v>
      </c>
      <c r="O39" s="42"/>
    </row>
    <row r="40" spans="1:20" x14ac:dyDescent="0.25">
      <c r="C40" s="21">
        <v>20</v>
      </c>
      <c r="D40" s="29">
        <v>112</v>
      </c>
      <c r="E40">
        <v>19320</v>
      </c>
      <c r="F40" s="21"/>
      <c r="G40">
        <v>612</v>
      </c>
      <c r="H40">
        <v>19720</v>
      </c>
      <c r="J40" s="34"/>
      <c r="M40">
        <v>39840</v>
      </c>
    </row>
    <row r="41" spans="1:20" x14ac:dyDescent="0.25">
      <c r="C41" s="21">
        <v>21</v>
      </c>
      <c r="D41" s="29">
        <v>113</v>
      </c>
      <c r="E41">
        <v>19940</v>
      </c>
      <c r="F41" s="21"/>
      <c r="G41">
        <v>613</v>
      </c>
      <c r="H41">
        <v>22360</v>
      </c>
      <c r="J41" s="34"/>
      <c r="M41">
        <v>43120</v>
      </c>
    </row>
    <row r="42" spans="1:20" x14ac:dyDescent="0.25">
      <c r="C42" s="21">
        <v>22</v>
      </c>
      <c r="D42" s="29">
        <v>114</v>
      </c>
      <c r="E42">
        <v>27840</v>
      </c>
      <c r="F42" s="21"/>
      <c r="G42">
        <v>614</v>
      </c>
      <c r="H42">
        <v>24700</v>
      </c>
      <c r="J42" s="34"/>
      <c r="M42">
        <v>50420</v>
      </c>
      <c r="R42" s="9"/>
    </row>
    <row r="43" spans="1:20" x14ac:dyDescent="0.25">
      <c r="C43" s="21">
        <v>23</v>
      </c>
      <c r="D43" s="29">
        <v>115</v>
      </c>
      <c r="E43">
        <v>20900</v>
      </c>
      <c r="F43" s="21"/>
      <c r="G43">
        <v>615</v>
      </c>
      <c r="H43">
        <v>19380</v>
      </c>
      <c r="J43" s="34"/>
      <c r="M43">
        <v>39940</v>
      </c>
      <c r="R43" s="9"/>
    </row>
    <row r="44" spans="1:20" x14ac:dyDescent="0.25">
      <c r="C44" s="21">
        <v>24</v>
      </c>
      <c r="D44" s="29">
        <v>116</v>
      </c>
      <c r="E44">
        <v>20720</v>
      </c>
      <c r="F44" s="21"/>
      <c r="G44">
        <v>616</v>
      </c>
      <c r="H44">
        <v>20680</v>
      </c>
      <c r="J44" s="34"/>
      <c r="M44">
        <v>41180</v>
      </c>
      <c r="Q44" s="9"/>
    </row>
    <row r="45" spans="1:20" x14ac:dyDescent="0.25">
      <c r="C45" s="21">
        <v>25</v>
      </c>
      <c r="D45" s="29">
        <v>117</v>
      </c>
      <c r="E45">
        <v>19740</v>
      </c>
      <c r="F45" s="21"/>
      <c r="G45">
        <v>617</v>
      </c>
      <c r="H45">
        <v>22940</v>
      </c>
      <c r="J45" s="34"/>
      <c r="M45">
        <v>42480</v>
      </c>
    </row>
    <row r="46" spans="1:20" x14ac:dyDescent="0.25">
      <c r="C46" s="21">
        <v>26</v>
      </c>
      <c r="D46" s="29">
        <v>118</v>
      </c>
      <c r="E46">
        <v>23540</v>
      </c>
      <c r="F46" s="21"/>
      <c r="G46">
        <v>618</v>
      </c>
      <c r="H46">
        <v>23100</v>
      </c>
      <c r="J46" s="34"/>
      <c r="Q46">
        <v>47000</v>
      </c>
    </row>
    <row r="47" spans="1:20" x14ac:dyDescent="0.25">
      <c r="C47" s="21">
        <v>27</v>
      </c>
      <c r="D47" s="29">
        <v>119</v>
      </c>
      <c r="E47">
        <v>9440</v>
      </c>
      <c r="F47" s="21"/>
      <c r="G47">
        <v>619</v>
      </c>
      <c r="H47">
        <v>14960</v>
      </c>
      <c r="J47" s="34"/>
      <c r="Q47">
        <v>24240</v>
      </c>
    </row>
    <row r="48" spans="1:20" x14ac:dyDescent="0.25">
      <c r="C48" s="21">
        <v>28</v>
      </c>
      <c r="D48" s="29">
        <v>120</v>
      </c>
      <c r="E48">
        <v>16760</v>
      </c>
      <c r="F48" s="21"/>
      <c r="G48">
        <v>620</v>
      </c>
      <c r="H48">
        <v>24380</v>
      </c>
      <c r="J48" s="34"/>
      <c r="M48">
        <v>41220</v>
      </c>
    </row>
    <row r="49" spans="3:17" x14ac:dyDescent="0.25">
      <c r="C49" s="21">
        <v>29</v>
      </c>
      <c r="D49" s="29">
        <v>121</v>
      </c>
      <c r="E49">
        <v>23180</v>
      </c>
      <c r="F49" s="21"/>
      <c r="G49">
        <v>621</v>
      </c>
      <c r="H49">
        <v>21160</v>
      </c>
      <c r="J49" s="34"/>
      <c r="M49">
        <v>44760</v>
      </c>
    </row>
    <row r="50" spans="3:17" x14ac:dyDescent="0.25">
      <c r="C50" s="21">
        <v>30</v>
      </c>
      <c r="D50" s="29">
        <v>122</v>
      </c>
      <c r="E50">
        <v>22920</v>
      </c>
      <c r="F50" s="21"/>
      <c r="G50">
        <v>622</v>
      </c>
      <c r="H50">
        <v>22720</v>
      </c>
      <c r="J50" s="34"/>
      <c r="M50">
        <v>44540</v>
      </c>
    </row>
    <row r="51" spans="3:17" x14ac:dyDescent="0.25">
      <c r="C51" s="21">
        <v>31</v>
      </c>
      <c r="D51" s="29">
        <v>123</v>
      </c>
      <c r="E51">
        <v>15440</v>
      </c>
      <c r="F51" s="21"/>
      <c r="G51">
        <v>623</v>
      </c>
      <c r="H51">
        <v>21940</v>
      </c>
      <c r="J51" s="34"/>
      <c r="M51">
        <v>36120</v>
      </c>
    </row>
    <row r="52" spans="3:17" x14ac:dyDescent="0.25">
      <c r="C52" s="21">
        <v>32</v>
      </c>
      <c r="D52" s="29">
        <v>124</v>
      </c>
      <c r="E52">
        <v>22700</v>
      </c>
      <c r="F52" s="36"/>
      <c r="G52">
        <v>624</v>
      </c>
      <c r="H52">
        <v>21680</v>
      </c>
      <c r="J52" s="34"/>
      <c r="L52" s="37"/>
      <c r="Q52">
        <v>44960</v>
      </c>
    </row>
    <row r="53" spans="3:17" x14ac:dyDescent="0.25">
      <c r="C53" s="21">
        <v>33</v>
      </c>
      <c r="D53" s="29">
        <v>125</v>
      </c>
      <c r="E53">
        <v>20200</v>
      </c>
      <c r="F53" s="36"/>
      <c r="G53">
        <v>625</v>
      </c>
      <c r="H53">
        <v>21180</v>
      </c>
      <c r="J53" s="34"/>
      <c r="L53" s="37"/>
      <c r="Q53">
        <v>39820</v>
      </c>
    </row>
    <row r="54" spans="3:17" x14ac:dyDescent="0.25">
      <c r="C54" s="21">
        <v>34</v>
      </c>
      <c r="D54" s="29">
        <v>126</v>
      </c>
      <c r="E54">
        <v>22920</v>
      </c>
      <c r="F54" s="36"/>
      <c r="G54" s="38">
        <v>626</v>
      </c>
      <c r="H54">
        <v>22580</v>
      </c>
      <c r="J54" s="34"/>
      <c r="L54" s="37"/>
      <c r="M54">
        <v>46180</v>
      </c>
    </row>
    <row r="55" spans="3:17" x14ac:dyDescent="0.25">
      <c r="C55" s="21">
        <v>35</v>
      </c>
      <c r="D55" s="29">
        <v>127</v>
      </c>
      <c r="E55">
        <v>5200</v>
      </c>
      <c r="F55" s="37"/>
      <c r="G55" s="29">
        <v>627</v>
      </c>
      <c r="H55" s="37">
        <v>12980</v>
      </c>
      <c r="J55" s="34"/>
      <c r="L55" s="37"/>
      <c r="M55" s="37">
        <v>17080</v>
      </c>
    </row>
    <row r="56" spans="3:17" x14ac:dyDescent="0.25">
      <c r="C56" s="21"/>
      <c r="D56" s="29"/>
      <c r="F56" s="21"/>
      <c r="G56" s="29"/>
      <c r="H56" s="37"/>
      <c r="J56" s="33"/>
      <c r="M56" s="37"/>
    </row>
    <row r="57" spans="3:17" x14ac:dyDescent="0.25">
      <c r="C57" s="21"/>
      <c r="D57" s="29"/>
      <c r="F57" s="21"/>
      <c r="G57" s="29"/>
      <c r="J57" s="33"/>
    </row>
    <row r="58" spans="3:17" x14ac:dyDescent="0.25">
      <c r="C58" s="21"/>
      <c r="D58" s="29"/>
      <c r="F58" s="21"/>
      <c r="G58" s="29"/>
      <c r="J58" s="33"/>
    </row>
    <row r="59" spans="3:17" x14ac:dyDescent="0.25">
      <c r="C59" s="21"/>
      <c r="D59" s="39"/>
      <c r="F59" s="21"/>
      <c r="G59" s="39"/>
      <c r="J59" s="29"/>
    </row>
    <row r="60" spans="3:17" x14ac:dyDescent="0.25">
      <c r="C60" s="21"/>
      <c r="F60" s="21"/>
      <c r="J60" s="29"/>
    </row>
    <row r="61" spans="3:17" x14ac:dyDescent="0.25">
      <c r="C61" s="21"/>
      <c r="F61" s="21"/>
      <c r="J61" s="29"/>
    </row>
    <row r="62" spans="3:17" x14ac:dyDescent="0.25">
      <c r="C62" s="21"/>
      <c r="F62" s="21"/>
      <c r="J62" s="29"/>
    </row>
    <row r="63" spans="3:17" x14ac:dyDescent="0.25">
      <c r="J63" s="29"/>
    </row>
    <row r="64" spans="3:17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scale="31"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562D-A436-4426-A07D-4A7BA772116E}">
  <sheetPr>
    <pageSetUpPr fitToPage="1"/>
  </sheetPr>
  <dimension ref="A1:X108"/>
  <sheetViews>
    <sheetView workbookViewId="0">
      <pane ySplit="15" topLeftCell="A16" activePane="bottomLeft" state="frozen"/>
      <selection pane="bottomLeft" activeCell="M12" sqref="M12:N12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[7]Summary!E2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972500</v>
      </c>
      <c r="K2">
        <f>J2-J3</f>
        <v>-7000</v>
      </c>
      <c r="L2" s="1">
        <f>K2/J2</f>
        <v>-7.1979434447300775E-3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67</v>
      </c>
      <c r="E3" s="52"/>
      <c r="F3" t="s">
        <v>68</v>
      </c>
      <c r="H3" s="63" t="s">
        <v>9</v>
      </c>
      <c r="I3" s="63"/>
      <c r="J3">
        <f>K11-L10+M11-N10+O11-P10+Q11-R10+S11-T10+U11-V10+W11-X10</f>
        <v>979500</v>
      </c>
      <c r="K3" s="5" t="s">
        <v>10</v>
      </c>
      <c r="L3" s="5" t="s">
        <v>11</v>
      </c>
      <c r="M3" s="5" t="s">
        <v>12</v>
      </c>
      <c r="N3" s="6">
        <f>N4*I4/O1</f>
        <v>423.63225844674616</v>
      </c>
      <c r="O3" s="7">
        <f>K7+M7+O7+Q7+S7+U7+W7</f>
        <v>423.63504402875105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[7]Summary!C2</f>
        <v>CWRS</v>
      </c>
      <c r="E4" s="52"/>
      <c r="F4" s="2">
        <v>2021</v>
      </c>
      <c r="I4" s="2">
        <f>[7]Summary!D2</f>
        <v>60</v>
      </c>
      <c r="J4" s="2">
        <f>J3/I4</f>
        <v>16325</v>
      </c>
      <c r="K4" s="8">
        <v>0.98</v>
      </c>
      <c r="L4" s="8">
        <f>IF(J5=0,L1,(L8+N8+P8+R8+T8+V8+X8)/J5/K4)</f>
        <v>0.15769851965288412</v>
      </c>
      <c r="M4" s="8">
        <f>IF(J5=0,0,(L9+N9+P9+R9+T9+V9+X9)/J5/K4)</f>
        <v>1.2376722817764165E-2</v>
      </c>
      <c r="N4" s="2">
        <f>IF(L4&gt;L1,J4*(1-L4)/(1-L1)*(1-M4)*K4,J4*K4*(1-M4))</f>
        <v>15565.821005276353</v>
      </c>
      <c r="O4" s="9"/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4" x14ac:dyDescent="0.25">
      <c r="B5" t="s">
        <v>16</v>
      </c>
      <c r="D5" s="65">
        <v>44450</v>
      </c>
      <c r="E5" s="52"/>
      <c r="F5" s="13">
        <v>44461</v>
      </c>
      <c r="J5" s="6">
        <f>J3/O1</f>
        <v>444.29372641500117</v>
      </c>
      <c r="N5" s="2">
        <v>339</v>
      </c>
      <c r="O5" s="14">
        <f>N4/N5</f>
        <v>45.916876121759152</v>
      </c>
      <c r="P5" t="s">
        <v>17</v>
      </c>
      <c r="V5" s="6"/>
    </row>
    <row r="6" spans="1:24" x14ac:dyDescent="0.25">
      <c r="D6" s="9"/>
      <c r="J6" s="6"/>
      <c r="K6" s="15"/>
      <c r="L6" s="7">
        <f>K7+M7</f>
        <v>259.0080008413824</v>
      </c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15.448187763748049</v>
      </c>
      <c r="L7" s="9"/>
      <c r="M7" s="7">
        <f>IF(M8&gt;$L1,(N11-N10/$O1)*$K4*(1-M8)/(1-$L1)*(1-M9),(N11-N10/$O1)*$K4*(1-M9))</f>
        <v>243.55981307763435</v>
      </c>
      <c r="O7" s="6">
        <f>IF(O8&gt;$L1,(P11-P10/$O1)*$K4*(1-O8)/(1-$L1)*(1-O9),(P11-P10/$O1)*$K4*(1-O9))</f>
        <v>64.991558168928975</v>
      </c>
      <c r="Q7" s="6">
        <f>IF(Q8&gt;$L1,(R11-R10/$O1)*$K4*(1-Q8)/(1-$L1)*(1-Q9),(R11-R10/$O1)*$K4*(1-Q9))</f>
        <v>99.635485018439681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0.17499999999999999</v>
      </c>
      <c r="L8" s="6">
        <f>(L11-L10/$O1)*$K4*K8</f>
        <v>2.8300399071329072</v>
      </c>
      <c r="M8" s="1">
        <v>0.155</v>
      </c>
      <c r="N8" s="6">
        <f>(N11-N10/$O1)*$K4*M8</f>
        <v>38.584381361680101</v>
      </c>
      <c r="O8" s="1">
        <v>0.16</v>
      </c>
      <c r="P8" s="6">
        <f>(P11-P10/$O1)*$K4*O8</f>
        <v>10.691251993157149</v>
      </c>
      <c r="Q8" s="1">
        <v>0.16</v>
      </c>
      <c r="R8" s="6">
        <f>(R11-R10/$O1)*$K4*Q8</f>
        <v>16.557500425804843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0.16171656612188043</v>
      </c>
      <c r="M9" s="1">
        <v>0.01</v>
      </c>
      <c r="N9" s="6">
        <f>(N11-N10/$O1)*$K4*M9</f>
        <v>2.4893149265600067</v>
      </c>
      <c r="O9" s="1">
        <v>0.01</v>
      </c>
      <c r="P9" s="6">
        <f>(P11-P10/$O1)*$K4*O9</f>
        <v>0.6682032495723218</v>
      </c>
      <c r="Q9" s="1">
        <v>0.02</v>
      </c>
      <c r="R9" s="6">
        <f>(R11-R10/$O1)*$K4*Q9</f>
        <v>2.0696875532256054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468065.02827763493</v>
      </c>
      <c r="E10" s="55"/>
      <c r="F10" s="56"/>
      <c r="G10" s="54">
        <f>J3/J2*G11</f>
        <v>511434.97172236501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464720</v>
      </c>
      <c r="E11" s="58"/>
      <c r="F11" s="59"/>
      <c r="G11" s="57">
        <f>H14+I14</f>
        <v>507780</v>
      </c>
      <c r="H11" s="58"/>
      <c r="I11" s="58"/>
      <c r="J11" s="25"/>
      <c r="K11" s="26">
        <f>K14+L14</f>
        <v>36380</v>
      </c>
      <c r="L11" s="27">
        <f>K11/2204.62262184877</f>
        <v>16.501690420600042</v>
      </c>
      <c r="M11" s="26">
        <f>M14+N14</f>
        <v>560000</v>
      </c>
      <c r="N11" s="27">
        <f>M11/2204.62262184877</f>
        <v>254.01172720000068</v>
      </c>
      <c r="O11" s="26">
        <f>O14+P14</f>
        <v>150320</v>
      </c>
      <c r="P11" s="27">
        <f>O11/2204.62262184877</f>
        <v>68.184005058400174</v>
      </c>
      <c r="Q11" s="26">
        <f>Q14+R14</f>
        <v>232800</v>
      </c>
      <c r="R11" s="27">
        <f>Q11/2204.62262184877</f>
        <v>105.59630373600028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79</v>
      </c>
      <c r="L12" s="51"/>
      <c r="M12" s="50" t="s">
        <v>79</v>
      </c>
      <c r="N12" s="51"/>
      <c r="O12" s="50" t="s">
        <v>80</v>
      </c>
      <c r="P12" s="51"/>
      <c r="Q12" s="50" t="s">
        <v>26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464720</v>
      </c>
      <c r="F14" s="30">
        <f>SUM(F15:F133)</f>
        <v>0</v>
      </c>
      <c r="G14" s="29"/>
      <c r="H14" s="4">
        <f>SUM(H15:H133)</f>
        <v>507780</v>
      </c>
      <c r="I14" s="4">
        <f>SUM(I15:I133)</f>
        <v>0</v>
      </c>
      <c r="J14" s="25"/>
      <c r="K14" s="23">
        <f t="shared" ref="K14:X14" si="1">SUM(K15:K133)</f>
        <v>36380</v>
      </c>
      <c r="L14" s="24">
        <f t="shared" si="1"/>
        <v>0</v>
      </c>
      <c r="M14" s="23">
        <f t="shared" si="1"/>
        <v>560000</v>
      </c>
      <c r="N14" s="24">
        <f t="shared" si="1"/>
        <v>0</v>
      </c>
      <c r="O14" s="23">
        <f t="shared" si="1"/>
        <v>164120</v>
      </c>
      <c r="P14" s="24">
        <f t="shared" si="1"/>
        <v>-13800</v>
      </c>
      <c r="Q14" s="23">
        <f t="shared" si="1"/>
        <v>232800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89</v>
      </c>
      <c r="E16">
        <v>16280</v>
      </c>
      <c r="F16" s="21"/>
      <c r="G16" s="29">
        <v>88</v>
      </c>
      <c r="H16">
        <v>19820</v>
      </c>
      <c r="J16" s="33"/>
      <c r="K16">
        <v>36380</v>
      </c>
    </row>
    <row r="17" spans="3:17" x14ac:dyDescent="0.25">
      <c r="C17" s="21">
        <v>2</v>
      </c>
      <c r="D17" s="29">
        <v>88</v>
      </c>
      <c r="E17">
        <v>2740</v>
      </c>
      <c r="F17" s="21"/>
      <c r="G17" s="29">
        <v>638</v>
      </c>
      <c r="H17">
        <v>21460</v>
      </c>
      <c r="J17" s="33"/>
    </row>
    <row r="18" spans="3:17" x14ac:dyDescent="0.25">
      <c r="C18" s="21"/>
      <c r="D18" s="29"/>
      <c r="F18" s="21"/>
      <c r="G18" s="29">
        <v>639</v>
      </c>
      <c r="H18">
        <v>21640</v>
      </c>
      <c r="J18" s="33"/>
      <c r="M18">
        <v>45640</v>
      </c>
    </row>
    <row r="19" spans="3:17" x14ac:dyDescent="0.25">
      <c r="C19" s="21">
        <v>3</v>
      </c>
      <c r="D19">
        <v>89</v>
      </c>
      <c r="E19">
        <v>26460</v>
      </c>
      <c r="F19" s="21"/>
      <c r="G19">
        <v>640</v>
      </c>
      <c r="H19">
        <v>18860</v>
      </c>
      <c r="J19" s="33"/>
      <c r="M19">
        <v>45160</v>
      </c>
    </row>
    <row r="20" spans="3:17" x14ac:dyDescent="0.25">
      <c r="C20" s="21">
        <v>4</v>
      </c>
      <c r="D20">
        <v>90</v>
      </c>
      <c r="E20">
        <v>24180</v>
      </c>
      <c r="F20" s="21"/>
      <c r="G20">
        <v>641</v>
      </c>
      <c r="H20">
        <v>19280</v>
      </c>
      <c r="J20" s="33"/>
      <c r="M20">
        <v>43520</v>
      </c>
    </row>
    <row r="21" spans="3:17" x14ac:dyDescent="0.25">
      <c r="C21" s="21">
        <v>5</v>
      </c>
      <c r="D21">
        <v>91</v>
      </c>
      <c r="E21">
        <v>22240</v>
      </c>
      <c r="F21" s="21"/>
      <c r="G21">
        <v>642</v>
      </c>
      <c r="H21">
        <v>23280</v>
      </c>
      <c r="J21" s="34"/>
      <c r="M21">
        <v>45520</v>
      </c>
    </row>
    <row r="22" spans="3:17" x14ac:dyDescent="0.25">
      <c r="C22" s="21">
        <v>6</v>
      </c>
      <c r="D22">
        <v>92</v>
      </c>
      <c r="E22">
        <v>6700</v>
      </c>
      <c r="F22" s="21"/>
      <c r="G22">
        <v>643</v>
      </c>
      <c r="H22">
        <v>8240</v>
      </c>
      <c r="J22" s="33"/>
      <c r="M22">
        <v>15100</v>
      </c>
    </row>
    <row r="23" spans="3:17" x14ac:dyDescent="0.25">
      <c r="C23" s="21"/>
      <c r="F23" s="21"/>
      <c r="G23">
        <v>644</v>
      </c>
      <c r="J23" s="33"/>
    </row>
    <row r="24" spans="3:17" x14ac:dyDescent="0.25">
      <c r="C24" s="21"/>
      <c r="F24" s="21"/>
      <c r="G24">
        <v>645</v>
      </c>
      <c r="J24" s="33"/>
    </row>
    <row r="25" spans="3:17" x14ac:dyDescent="0.25">
      <c r="C25" s="21"/>
      <c r="D25">
        <v>90</v>
      </c>
      <c r="E25">
        <v>21000</v>
      </c>
      <c r="F25" s="21"/>
      <c r="G25">
        <v>646</v>
      </c>
      <c r="H25">
        <v>23760</v>
      </c>
      <c r="J25" s="33"/>
      <c r="O25">
        <v>51280</v>
      </c>
    </row>
    <row r="26" spans="3:17" x14ac:dyDescent="0.25">
      <c r="C26" s="21"/>
      <c r="D26">
        <v>92</v>
      </c>
      <c r="E26">
        <v>24820</v>
      </c>
      <c r="F26" s="21"/>
      <c r="G26">
        <v>647</v>
      </c>
      <c r="H26">
        <v>24820</v>
      </c>
      <c r="J26" s="33"/>
      <c r="O26">
        <v>32720</v>
      </c>
    </row>
    <row r="27" spans="3:17" x14ac:dyDescent="0.25">
      <c r="C27" s="21"/>
      <c r="D27">
        <v>93</v>
      </c>
      <c r="E27">
        <v>17280</v>
      </c>
      <c r="F27" s="21"/>
      <c r="G27">
        <v>648</v>
      </c>
      <c r="H27">
        <v>22420</v>
      </c>
      <c r="J27" s="33"/>
      <c r="O27">
        <v>55480</v>
      </c>
      <c r="P27" s="9"/>
    </row>
    <row r="28" spans="3:17" x14ac:dyDescent="0.25">
      <c r="C28" s="21"/>
      <c r="D28">
        <v>95</v>
      </c>
      <c r="E28">
        <v>24620</v>
      </c>
      <c r="F28" s="21"/>
      <c r="J28" s="33"/>
      <c r="O28">
        <v>24640</v>
      </c>
      <c r="P28" s="9">
        <v>-13800</v>
      </c>
      <c r="Q28" s="9">
        <f>-P28</f>
        <v>13800</v>
      </c>
    </row>
    <row r="29" spans="3:17" x14ac:dyDescent="0.25">
      <c r="C29" s="21"/>
      <c r="D29">
        <v>96</v>
      </c>
      <c r="E29">
        <v>7740</v>
      </c>
      <c r="F29" s="21"/>
      <c r="G29">
        <v>649</v>
      </c>
      <c r="H29">
        <v>22800</v>
      </c>
      <c r="J29" s="33"/>
      <c r="Q29">
        <v>30320</v>
      </c>
    </row>
    <row r="30" spans="3:17" x14ac:dyDescent="0.25">
      <c r="C30" s="21"/>
      <c r="D30">
        <v>97</v>
      </c>
      <c r="E30">
        <v>21020</v>
      </c>
      <c r="F30" s="21"/>
      <c r="G30">
        <v>650</v>
      </c>
      <c r="H30">
        <v>21960</v>
      </c>
      <c r="J30" s="33"/>
      <c r="M30">
        <v>43100</v>
      </c>
    </row>
    <row r="31" spans="3:17" x14ac:dyDescent="0.25">
      <c r="C31" s="21"/>
      <c r="D31">
        <v>98</v>
      </c>
      <c r="E31">
        <v>24520</v>
      </c>
      <c r="F31" s="21"/>
      <c r="G31">
        <v>651</v>
      </c>
      <c r="H31">
        <v>23300</v>
      </c>
      <c r="J31" s="33"/>
      <c r="M31">
        <v>46380</v>
      </c>
    </row>
    <row r="32" spans="3:17" x14ac:dyDescent="0.25">
      <c r="C32" s="21"/>
      <c r="D32">
        <v>99</v>
      </c>
      <c r="E32">
        <v>22880</v>
      </c>
      <c r="F32" s="21"/>
      <c r="G32">
        <v>652</v>
      </c>
      <c r="H32">
        <v>22640</v>
      </c>
      <c r="J32" s="33"/>
      <c r="M32">
        <v>45000</v>
      </c>
    </row>
    <row r="33" spans="1:20" s="9" customFormat="1" x14ac:dyDescent="0.25">
      <c r="A33"/>
      <c r="B33"/>
      <c r="C33" s="35"/>
      <c r="D33">
        <v>100</v>
      </c>
      <c r="E33">
        <v>20200</v>
      </c>
      <c r="F33" s="21"/>
      <c r="G33">
        <v>653</v>
      </c>
      <c r="H33">
        <v>21780</v>
      </c>
      <c r="I33"/>
      <c r="J33" s="33"/>
      <c r="M33">
        <v>42260</v>
      </c>
      <c r="N33"/>
      <c r="R33"/>
      <c r="S33"/>
      <c r="T33"/>
    </row>
    <row r="34" spans="1:20" s="9" customFormat="1" x14ac:dyDescent="0.25">
      <c r="A34"/>
      <c r="B34"/>
      <c r="C34" s="35"/>
      <c r="D34">
        <v>101</v>
      </c>
      <c r="E34">
        <v>24720</v>
      </c>
      <c r="F34" s="21"/>
      <c r="G34">
        <v>654</v>
      </c>
      <c r="H34">
        <v>22840</v>
      </c>
      <c r="I34"/>
      <c r="J34" s="33"/>
      <c r="M34">
        <v>46980</v>
      </c>
      <c r="N34"/>
      <c r="R34"/>
      <c r="S34"/>
      <c r="T34"/>
    </row>
    <row r="35" spans="1:20" s="9" customFormat="1" x14ac:dyDescent="0.25">
      <c r="A35"/>
      <c r="B35"/>
      <c r="C35" s="35"/>
      <c r="D35">
        <v>102</v>
      </c>
      <c r="E35">
        <v>22360</v>
      </c>
      <c r="F35" s="21"/>
      <c r="G35" t="s">
        <v>81</v>
      </c>
      <c r="H35">
        <v>23820</v>
      </c>
      <c r="I35"/>
      <c r="J35" s="33"/>
      <c r="L35"/>
      <c r="M35">
        <v>46980</v>
      </c>
      <c r="N35"/>
      <c r="S35"/>
      <c r="T35"/>
    </row>
    <row r="36" spans="1:20" s="9" customFormat="1" x14ac:dyDescent="0.25">
      <c r="A36"/>
      <c r="B36"/>
      <c r="C36" s="35"/>
      <c r="D36">
        <v>103</v>
      </c>
      <c r="E36">
        <v>21240</v>
      </c>
      <c r="F36" s="21"/>
      <c r="G36">
        <v>657</v>
      </c>
      <c r="H36">
        <v>24160</v>
      </c>
      <c r="I36"/>
      <c r="J36" s="33"/>
      <c r="L36"/>
      <c r="M36">
        <v>45560</v>
      </c>
      <c r="N36"/>
      <c r="S36"/>
      <c r="T36"/>
    </row>
    <row r="37" spans="1:20" s="9" customFormat="1" x14ac:dyDescent="0.25">
      <c r="A37"/>
      <c r="B37"/>
      <c r="C37" s="35"/>
      <c r="D37" s="29">
        <v>104</v>
      </c>
      <c r="E37" s="2">
        <v>26660</v>
      </c>
      <c r="F37" s="21"/>
      <c r="G37">
        <v>658</v>
      </c>
      <c r="H37" s="2">
        <v>22400</v>
      </c>
      <c r="I37"/>
      <c r="J37" s="33"/>
      <c r="L37"/>
      <c r="M37">
        <v>48800</v>
      </c>
      <c r="N37"/>
      <c r="S37"/>
      <c r="T37"/>
    </row>
    <row r="38" spans="1:20" x14ac:dyDescent="0.25">
      <c r="C38" s="21"/>
      <c r="D38" s="29">
        <v>105</v>
      </c>
      <c r="E38">
        <v>23220</v>
      </c>
      <c r="F38" s="21"/>
      <c r="G38">
        <v>659</v>
      </c>
      <c r="H38">
        <v>23840</v>
      </c>
      <c r="J38" s="33"/>
    </row>
    <row r="39" spans="1:20" x14ac:dyDescent="0.25">
      <c r="C39" s="21"/>
      <c r="D39" s="29"/>
      <c r="E39" s="2"/>
      <c r="F39" s="21"/>
      <c r="G39">
        <v>660</v>
      </c>
      <c r="H39" s="2">
        <v>4540</v>
      </c>
      <c r="J39" s="33"/>
      <c r="O39" s="42"/>
      <c r="Q39">
        <v>53720</v>
      </c>
    </row>
    <row r="40" spans="1:20" x14ac:dyDescent="0.25">
      <c r="C40" s="21"/>
      <c r="D40" s="29">
        <v>106</v>
      </c>
      <c r="E40">
        <v>20480</v>
      </c>
      <c r="F40" s="21"/>
      <c r="G40">
        <v>661</v>
      </c>
      <c r="H40">
        <v>19720</v>
      </c>
      <c r="J40" s="33"/>
      <c r="Q40">
        <v>41100</v>
      </c>
    </row>
    <row r="41" spans="1:20" x14ac:dyDescent="0.25">
      <c r="C41" s="21"/>
      <c r="D41" s="29">
        <v>107</v>
      </c>
      <c r="E41">
        <v>25280</v>
      </c>
      <c r="F41" s="21"/>
      <c r="G41">
        <v>662</v>
      </c>
      <c r="H41">
        <v>25120</v>
      </c>
      <c r="J41" s="33"/>
      <c r="Q41">
        <v>37160</v>
      </c>
    </row>
    <row r="42" spans="1:20" x14ac:dyDescent="0.25">
      <c r="C42" s="21"/>
      <c r="D42" s="29">
        <v>108</v>
      </c>
      <c r="E42">
        <v>18080</v>
      </c>
      <c r="F42" s="21"/>
      <c r="G42">
        <v>663</v>
      </c>
      <c r="H42">
        <v>12420</v>
      </c>
      <c r="J42" s="33"/>
      <c r="R42" s="9"/>
    </row>
    <row r="43" spans="1:20" x14ac:dyDescent="0.25">
      <c r="C43" s="21"/>
      <c r="D43" s="29"/>
      <c r="F43" s="21"/>
      <c r="G43">
        <v>664</v>
      </c>
      <c r="H43">
        <v>12860</v>
      </c>
      <c r="J43" s="33"/>
      <c r="Q43">
        <v>56700</v>
      </c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scale="31" orientation="landscape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79B9-3603-4B0E-A8F1-F6D947CE1EE2}">
  <dimension ref="A1:X133"/>
  <sheetViews>
    <sheetView workbookViewId="0">
      <pane ySplit="15" topLeftCell="A16" activePane="bottomLeft" state="frozen"/>
      <selection activeCell="K29" sqref="K29"/>
      <selection pane="bottomLeft" activeCell="K29" sqref="K2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88240</v>
      </c>
      <c r="K2">
        <f>J2-J3</f>
        <v>-420</v>
      </c>
      <c r="L2" s="1">
        <f>K2/J2</f>
        <v>-4.7597461468721668E-3</v>
      </c>
    </row>
    <row r="3" spans="1:24" x14ac:dyDescent="0.25">
      <c r="B3" t="s">
        <v>6</v>
      </c>
      <c r="D3" s="64" t="s">
        <v>56</v>
      </c>
      <c r="E3" s="52"/>
      <c r="F3" t="s">
        <v>57</v>
      </c>
      <c r="H3" s="63" t="s">
        <v>9</v>
      </c>
      <c r="I3" s="63"/>
      <c r="J3">
        <f>K11-L10+M11-N10+O11-P10+Q11-R10+S11-T10+U11-V10+W11-X10</f>
        <v>88660</v>
      </c>
      <c r="K3" s="5" t="s">
        <v>10</v>
      </c>
      <c r="L3" s="5" t="s">
        <v>11</v>
      </c>
      <c r="M3" s="5" t="s">
        <v>12</v>
      </c>
      <c r="N3" s="6">
        <f>N4*I4/O1</f>
        <v>37.80408880495235</v>
      </c>
      <c r="O3" s="6">
        <f>K7+M7+O7+Q7+S7+U7+W7</f>
        <v>37.80408880495235</v>
      </c>
    </row>
    <row r="4" spans="1:24" x14ac:dyDescent="0.25">
      <c r="B4" t="s">
        <v>14</v>
      </c>
      <c r="D4" s="65" t="str">
        <f>[1]Summary!C2</f>
        <v>Canola</v>
      </c>
      <c r="E4" s="52"/>
      <c r="F4" s="2">
        <f>[1]Summary!C3</f>
        <v>2021</v>
      </c>
      <c r="I4" s="2">
        <f>[1]Summary!D2</f>
        <v>50</v>
      </c>
      <c r="J4" s="2">
        <f>J3/I4</f>
        <v>1773.2</v>
      </c>
      <c r="K4" s="8">
        <v>0.98</v>
      </c>
      <c r="L4" s="8">
        <f>IF(J5=0,L1,(L8+N8+P8+R8+T8+V8+X8)/J5/K4)</f>
        <v>0.11000000000000001</v>
      </c>
      <c r="M4" s="8">
        <f>IF(J5=0,0,(L9+N9+P9+R9+T9+V9+X9)/J5/K4)</f>
        <v>0.03</v>
      </c>
      <c r="N4" s="2">
        <f>IF(L4&gt;L1,J4*(1-L4)/(1-L1)*(1-M4)*K4,J4*K4*(1-M4))</f>
        <v>1666.8749875555557</v>
      </c>
      <c r="V4" s="6"/>
    </row>
    <row r="5" spans="1:24" x14ac:dyDescent="0.25">
      <c r="B5" t="s">
        <v>16</v>
      </c>
      <c r="D5" s="65">
        <v>44473</v>
      </c>
      <c r="E5" s="52"/>
      <c r="F5" s="13">
        <v>44484</v>
      </c>
      <c r="J5" s="6">
        <f>J3/O1</f>
        <v>40.215499524200105</v>
      </c>
      <c r="N5" s="2">
        <v>80</v>
      </c>
      <c r="O5" s="3">
        <f>N4/N5</f>
        <v>20.835937344444446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37.80408880495235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0.11</v>
      </c>
      <c r="L8" s="6">
        <f>(L11-L10/$O1)*$K4*K8</f>
        <v>4.3352308487087718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1.1823356860114831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33398.213961922032</v>
      </c>
      <c r="E10" s="55"/>
      <c r="F10" s="56"/>
      <c r="G10" s="54">
        <f>J3/J2*G11</f>
        <v>55261.786038077975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33240</v>
      </c>
      <c r="E11" s="58"/>
      <c r="F11" s="59"/>
      <c r="G11" s="57">
        <f>H14+I14</f>
        <v>55000</v>
      </c>
      <c r="H11" s="58"/>
      <c r="I11" s="58"/>
      <c r="J11" s="25"/>
      <c r="K11" s="26">
        <f>K14+L14</f>
        <v>88660</v>
      </c>
      <c r="L11" s="27">
        <f>K11/2204.62262184877</f>
        <v>40.215499524200105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48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33240</v>
      </c>
      <c r="F14" s="30">
        <f>SUM(F15:F133)</f>
        <v>0</v>
      </c>
      <c r="G14" s="29"/>
      <c r="H14" s="4">
        <f>SUM(H15:H133)</f>
        <v>55000</v>
      </c>
      <c r="I14" s="4">
        <f>SUM(I15:I133)</f>
        <v>0</v>
      </c>
      <c r="J14" s="25"/>
      <c r="K14" s="23">
        <f t="shared" ref="K14:X14" si="0">SUM(K15:K133)</f>
        <v>76660</v>
      </c>
      <c r="L14" s="24">
        <f t="shared" si="0"/>
        <v>12000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177</v>
      </c>
      <c r="E16">
        <v>14360</v>
      </c>
      <c r="F16" s="21"/>
      <c r="G16" s="29">
        <v>695</v>
      </c>
      <c r="H16">
        <v>15500</v>
      </c>
      <c r="J16" s="29"/>
    </row>
    <row r="17" spans="3:19" x14ac:dyDescent="0.25">
      <c r="C17" s="21"/>
      <c r="D17" s="29">
        <v>178</v>
      </c>
      <c r="E17">
        <v>4720</v>
      </c>
      <c r="F17" s="21"/>
      <c r="G17" s="29"/>
      <c r="J17" s="29"/>
      <c r="K17">
        <v>35500</v>
      </c>
    </row>
    <row r="18" spans="3:19" x14ac:dyDescent="0.25">
      <c r="C18" s="21">
        <v>2</v>
      </c>
      <c r="D18" s="29">
        <v>179</v>
      </c>
      <c r="E18">
        <v>14160</v>
      </c>
      <c r="F18" s="21"/>
      <c r="G18" s="29">
        <v>696</v>
      </c>
      <c r="H18">
        <v>15160</v>
      </c>
      <c r="J18" s="29"/>
      <c r="K18">
        <v>28820</v>
      </c>
    </row>
    <row r="19" spans="3:19" x14ac:dyDescent="0.25">
      <c r="C19" s="21">
        <v>3</v>
      </c>
      <c r="F19" s="21"/>
      <c r="G19">
        <v>697</v>
      </c>
      <c r="H19">
        <v>16660</v>
      </c>
      <c r="J19" s="29" t="s">
        <v>58</v>
      </c>
      <c r="K19">
        <v>12340</v>
      </c>
      <c r="L19">
        <f>H19-K19</f>
        <v>4320</v>
      </c>
    </row>
    <row r="20" spans="3:19" x14ac:dyDescent="0.25">
      <c r="C20" s="21"/>
      <c r="F20" s="21"/>
      <c r="G20">
        <v>720</v>
      </c>
      <c r="H20">
        <v>7680</v>
      </c>
      <c r="J20" s="29"/>
      <c r="L20">
        <v>7680</v>
      </c>
    </row>
    <row r="21" spans="3:19" x14ac:dyDescent="0.25">
      <c r="C21" s="21"/>
      <c r="F21" s="21"/>
      <c r="J21" s="29"/>
    </row>
    <row r="22" spans="3:19" x14ac:dyDescent="0.25">
      <c r="C22" s="21"/>
      <c r="F22" s="21"/>
      <c r="J22" s="29"/>
    </row>
    <row r="23" spans="3:19" x14ac:dyDescent="0.25">
      <c r="C23" s="21"/>
      <c r="F23" s="21"/>
      <c r="J23" s="29"/>
    </row>
    <row r="24" spans="3:19" x14ac:dyDescent="0.25">
      <c r="C24" s="21"/>
      <c r="F24" s="21"/>
      <c r="J24" s="29"/>
    </row>
    <row r="25" spans="3:19" x14ac:dyDescent="0.25">
      <c r="C25" s="21"/>
      <c r="F25" s="21"/>
      <c r="J25" s="29"/>
    </row>
    <row r="26" spans="3:19" x14ac:dyDescent="0.25">
      <c r="C26" s="21"/>
      <c r="F26" s="21"/>
      <c r="J26" s="29"/>
    </row>
    <row r="27" spans="3:19" x14ac:dyDescent="0.25">
      <c r="C27" s="21"/>
      <c r="F27" s="21"/>
      <c r="I27" s="21"/>
      <c r="J27" s="29"/>
    </row>
    <row r="28" spans="3:19" x14ac:dyDescent="0.25">
      <c r="C28" s="21"/>
      <c r="F28" s="21"/>
      <c r="I28" s="21"/>
      <c r="J28" s="29"/>
    </row>
    <row r="29" spans="3:19" x14ac:dyDescent="0.25">
      <c r="C29" s="21"/>
      <c r="J29" s="29"/>
    </row>
    <row r="30" spans="3:19" x14ac:dyDescent="0.25">
      <c r="C30" s="21"/>
      <c r="D30" s="38"/>
      <c r="F30" s="21"/>
      <c r="H30" s="37"/>
      <c r="J30" s="29"/>
    </row>
    <row r="31" spans="3:19" x14ac:dyDescent="0.25">
      <c r="C31" s="21"/>
      <c r="F31" s="21"/>
      <c r="H31" s="37"/>
      <c r="J31" s="29"/>
    </row>
    <row r="32" spans="3:19" x14ac:dyDescent="0.25">
      <c r="C32" s="21"/>
      <c r="F32" s="21"/>
      <c r="H32" s="37"/>
      <c r="J32" s="29"/>
      <c r="S32" t="s">
        <v>55</v>
      </c>
    </row>
    <row r="33" spans="3:13" x14ac:dyDescent="0.25">
      <c r="C33" s="21"/>
      <c r="F33" s="21"/>
      <c r="H33" s="37"/>
      <c r="J33" s="29"/>
    </row>
    <row r="34" spans="3:13" x14ac:dyDescent="0.25">
      <c r="C34" s="21"/>
      <c r="F34" s="21"/>
      <c r="H34" s="37"/>
      <c r="J34" s="29"/>
    </row>
    <row r="35" spans="3:13" x14ac:dyDescent="0.25">
      <c r="C35" s="21"/>
      <c r="F35" s="21"/>
      <c r="H35" s="37"/>
      <c r="J35" s="29"/>
    </row>
    <row r="36" spans="3:13" x14ac:dyDescent="0.25">
      <c r="C36" s="21"/>
      <c r="F36" s="21"/>
      <c r="H36" s="37"/>
      <c r="J36" s="29"/>
    </row>
    <row r="37" spans="3:13" x14ac:dyDescent="0.25">
      <c r="C37" s="21"/>
      <c r="F37" s="21"/>
      <c r="H37" s="37"/>
      <c r="J37" s="29"/>
    </row>
    <row r="38" spans="3:13" x14ac:dyDescent="0.25">
      <c r="C38" s="21"/>
      <c r="F38" s="21"/>
      <c r="H38" s="37"/>
      <c r="J38" s="29"/>
    </row>
    <row r="39" spans="3:13" x14ac:dyDescent="0.25">
      <c r="C39" s="21"/>
      <c r="F39" s="21"/>
      <c r="H39" s="37"/>
      <c r="J39" s="29"/>
    </row>
    <row r="40" spans="3:13" x14ac:dyDescent="0.25">
      <c r="C40" s="21"/>
      <c r="F40" s="21"/>
      <c r="H40" s="37"/>
      <c r="J40" s="29"/>
    </row>
    <row r="41" spans="3:13" x14ac:dyDescent="0.25">
      <c r="C41" s="21"/>
      <c r="F41" s="21"/>
      <c r="H41" s="37"/>
      <c r="J41" s="29"/>
      <c r="M41" s="37"/>
    </row>
    <row r="42" spans="3:13" x14ac:dyDescent="0.25">
      <c r="C42" s="21"/>
      <c r="F42" s="21"/>
      <c r="J42" s="29"/>
    </row>
    <row r="43" spans="3:13" x14ac:dyDescent="0.25">
      <c r="C43" s="21"/>
      <c r="F43" s="21"/>
      <c r="J43" s="29"/>
    </row>
    <row r="44" spans="3:13" x14ac:dyDescent="0.25">
      <c r="C44" s="21"/>
      <c r="F44" s="21"/>
      <c r="J44" s="29"/>
    </row>
    <row r="45" spans="3:13" x14ac:dyDescent="0.25">
      <c r="C45" s="21"/>
      <c r="F45" s="21"/>
      <c r="J45" s="29"/>
    </row>
    <row r="46" spans="3:13" x14ac:dyDescent="0.25">
      <c r="C46" s="21"/>
      <c r="F46" s="21"/>
      <c r="J46" s="29"/>
    </row>
    <row r="47" spans="3:13" x14ac:dyDescent="0.25">
      <c r="C47" s="21"/>
      <c r="F47" s="21"/>
      <c r="J47" s="29"/>
    </row>
    <row r="48" spans="3:13" x14ac:dyDescent="0.25">
      <c r="C48" s="21"/>
      <c r="F48" s="21"/>
      <c r="J48" s="29"/>
    </row>
    <row r="49" spans="1:15" x14ac:dyDescent="0.25">
      <c r="C49" s="21"/>
      <c r="F49" s="21"/>
      <c r="J49" s="29"/>
    </row>
    <row r="50" spans="1:15" x14ac:dyDescent="0.25">
      <c r="C50" s="21"/>
      <c r="F50" s="21"/>
      <c r="J50" s="29"/>
    </row>
    <row r="51" spans="1:15" x14ac:dyDescent="0.25">
      <c r="C51" s="21"/>
      <c r="F51" s="21"/>
      <c r="J51" s="29"/>
    </row>
    <row r="52" spans="1:15" x14ac:dyDescent="0.25">
      <c r="C52" s="21"/>
      <c r="F52" s="21"/>
      <c r="J52" s="29"/>
    </row>
    <row r="53" spans="1:15" x14ac:dyDescent="0.25">
      <c r="C53" s="21"/>
      <c r="F53" s="21"/>
      <c r="J53" s="29"/>
    </row>
    <row r="54" spans="1:15" x14ac:dyDescent="0.25">
      <c r="C54" s="21"/>
      <c r="F54" s="21"/>
      <c r="J54" s="29"/>
    </row>
    <row r="55" spans="1:15" x14ac:dyDescent="0.25">
      <c r="C55" s="21"/>
      <c r="F55" s="21"/>
      <c r="J55" s="29"/>
      <c r="L55" s="9"/>
      <c r="M55" s="9"/>
    </row>
    <row r="56" spans="1:15" x14ac:dyDescent="0.25">
      <c r="C56" s="21"/>
      <c r="F56" s="21"/>
      <c r="J56" s="29"/>
    </row>
    <row r="57" spans="1:15" x14ac:dyDescent="0.25">
      <c r="C57" s="21"/>
      <c r="F57" s="21"/>
      <c r="J57" s="29"/>
    </row>
    <row r="58" spans="1:15" s="9" customFormat="1" x14ac:dyDescent="0.25">
      <c r="A58"/>
      <c r="C58" s="35"/>
      <c r="D58"/>
      <c r="E58"/>
      <c r="F58" s="21"/>
      <c r="G58"/>
      <c r="H58"/>
      <c r="I58"/>
      <c r="J58" s="29"/>
      <c r="K58"/>
    </row>
    <row r="59" spans="1:15" s="9" customFormat="1" x14ac:dyDescent="0.25">
      <c r="A59"/>
      <c r="C59" s="35"/>
      <c r="D59"/>
      <c r="E59"/>
      <c r="F59" s="21"/>
      <c r="G59"/>
      <c r="H59"/>
      <c r="I59"/>
      <c r="J59" s="29"/>
      <c r="K59"/>
    </row>
    <row r="60" spans="1:15" s="9" customFormat="1" x14ac:dyDescent="0.25">
      <c r="A60"/>
      <c r="C60" s="35"/>
      <c r="D60"/>
      <c r="E60"/>
      <c r="F60" s="21"/>
      <c r="G60"/>
      <c r="H60"/>
      <c r="I60"/>
      <c r="J60" s="29"/>
      <c r="K60"/>
    </row>
    <row r="61" spans="1:15" s="9" customFormat="1" x14ac:dyDescent="0.25">
      <c r="A61"/>
      <c r="C61" s="35"/>
      <c r="D61"/>
      <c r="E61"/>
      <c r="F61" s="21"/>
      <c r="G61"/>
      <c r="H61"/>
      <c r="J61" s="47"/>
      <c r="K61"/>
    </row>
    <row r="62" spans="1:15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</row>
    <row r="63" spans="1:15" x14ac:dyDescent="0.25">
      <c r="C63" s="21"/>
      <c r="D63" s="29"/>
      <c r="F63" s="21"/>
      <c r="J63" s="29"/>
      <c r="O63" s="9"/>
    </row>
    <row r="64" spans="1:15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 t="s">
        <v>39</v>
      </c>
      <c r="F133" s="32"/>
      <c r="G133" s="31"/>
      <c r="H133" s="41" t="s">
        <v>39</v>
      </c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2E21-7EA8-49F2-A8EE-921F9EB131D2}">
  <dimension ref="A1:AC100"/>
  <sheetViews>
    <sheetView workbookViewId="0">
      <pane ySplit="15" topLeftCell="A16" activePane="bottomLeft" state="frozen"/>
      <selection activeCell="K13" sqref="K13:L13"/>
      <selection pane="bottomLeft" activeCell="K13" sqref="K13:L1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2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[9]Summary!E2</f>
        <v>0.1</v>
      </c>
      <c r="O1">
        <v>2204.62262184877</v>
      </c>
    </row>
    <row r="2" spans="1:29" x14ac:dyDescent="0.25">
      <c r="G2"/>
      <c r="H2" s="63" t="s">
        <v>4</v>
      </c>
      <c r="I2" s="63" t="s">
        <v>4</v>
      </c>
      <c r="J2">
        <f>+D11+G11</f>
        <v>90120</v>
      </c>
      <c r="K2">
        <f>J2-J3</f>
        <v>-40</v>
      </c>
      <c r="L2" s="1">
        <f>K2/J2</f>
        <v>-4.4385264092321349E-4</v>
      </c>
    </row>
    <row r="3" spans="1:29" x14ac:dyDescent="0.25">
      <c r="B3" t="s">
        <v>6</v>
      </c>
      <c r="D3" s="64" t="s">
        <v>123</v>
      </c>
      <c r="E3" s="52"/>
      <c r="F3" t="s">
        <v>124</v>
      </c>
      <c r="G3"/>
      <c r="H3" s="63" t="s">
        <v>9</v>
      </c>
      <c r="I3" s="63"/>
      <c r="J3">
        <f>K11-L10+M11-N10+O11-P10+Q11-R10+S11-T10+U11-V10+W11-X10</f>
        <v>90160</v>
      </c>
      <c r="K3" s="5" t="s">
        <v>10</v>
      </c>
      <c r="L3" s="5" t="s">
        <v>11</v>
      </c>
      <c r="M3" s="5" t="s">
        <v>12</v>
      </c>
      <c r="N3" s="6">
        <f>N4*I4/O1</f>
        <v>38.875631208087619</v>
      </c>
      <c r="O3" s="6">
        <f>K7+M7+O7+Q7+S7+U7+W7</f>
        <v>38.875631208087619</v>
      </c>
    </row>
    <row r="4" spans="1:29" x14ac:dyDescent="0.25">
      <c r="B4" t="s">
        <v>14</v>
      </c>
      <c r="D4" s="65" t="str">
        <f>[9]Summary!C2</f>
        <v>Canola</v>
      </c>
      <c r="E4" s="52"/>
      <c r="F4" s="2">
        <f>[9]Summary!C3</f>
        <v>2021</v>
      </c>
      <c r="G4"/>
      <c r="I4" s="2">
        <f>[9]Summary!D2</f>
        <v>50</v>
      </c>
      <c r="J4" s="2">
        <f>J3/I4</f>
        <v>1803.2</v>
      </c>
      <c r="K4" s="8">
        <v>0.98</v>
      </c>
      <c r="L4" s="8">
        <f>IF(J5=0,L1,(L8+N8+P8+R8+T8+V8+X8)/J5/K4)</f>
        <v>7.2999999999999982E-2</v>
      </c>
      <c r="M4" s="8">
        <f>IF(J5=0,0,(L9+N9+P9+R9+T9+V9+X9)/J5/K4)</f>
        <v>0.03</v>
      </c>
      <c r="N4" s="2">
        <f>IF(L4&gt;L1,J4*(1-L4)/(1-L1)*(1-M4)*K4,J4*K4*(1-M4))</f>
        <v>1714.1219199999998</v>
      </c>
      <c r="V4" s="6"/>
    </row>
    <row r="5" spans="1:29" x14ac:dyDescent="0.25">
      <c r="B5" t="s">
        <v>16</v>
      </c>
      <c r="D5" s="65">
        <v>44471</v>
      </c>
      <c r="E5" s="52"/>
      <c r="F5" s="13">
        <v>44471</v>
      </c>
      <c r="G5"/>
      <c r="J5" s="6">
        <f>J3/O1</f>
        <v>40.895888079200105</v>
      </c>
      <c r="N5" s="2">
        <v>60</v>
      </c>
      <c r="O5" s="3">
        <f>N4/N5</f>
        <v>28.568698666666663</v>
      </c>
      <c r="P5" t="s">
        <v>17</v>
      </c>
      <c r="V5" s="6"/>
    </row>
    <row r="6" spans="1:29" x14ac:dyDescent="0.25">
      <c r="D6" s="9"/>
      <c r="G6"/>
      <c r="J6" s="6"/>
      <c r="K6" s="15"/>
      <c r="L6" s="16"/>
      <c r="M6" s="15"/>
      <c r="N6" s="2"/>
      <c r="O6" s="3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38.875631208087619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7.2999999999999995E-2</v>
      </c>
      <c r="L8" s="6">
        <f>(L11-L10/$O1)*$K4*K8</f>
        <v>2.9256918331859749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1.202339109528483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20</v>
      </c>
      <c r="C10" s="21"/>
      <c r="D10" s="54">
        <f>J3/J2*D11</f>
        <v>39817.665335108744</v>
      </c>
      <c r="E10" s="55"/>
      <c r="F10" s="56"/>
      <c r="G10" s="54">
        <f>J3/J2*G11</f>
        <v>50342.334664891256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9" x14ac:dyDescent="0.25">
      <c r="B11" t="s">
        <v>22</v>
      </c>
      <c r="C11" s="21"/>
      <c r="D11" s="57">
        <f>E14+F14</f>
        <v>39800</v>
      </c>
      <c r="E11" s="58"/>
      <c r="F11" s="59"/>
      <c r="G11" s="57">
        <f>H14+I14</f>
        <v>50320</v>
      </c>
      <c r="H11" s="58"/>
      <c r="I11" s="58"/>
      <c r="J11" s="25"/>
      <c r="K11" s="26">
        <f>K14+L14</f>
        <v>90160</v>
      </c>
      <c r="L11" s="27">
        <f>K11/2204.62262184877</f>
        <v>40.895888079200105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9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42</v>
      </c>
      <c r="L12" s="51"/>
      <c r="M12" s="50" t="s">
        <v>48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9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9" x14ac:dyDescent="0.25">
      <c r="C14" s="21"/>
      <c r="D14" s="29"/>
      <c r="E14" s="4">
        <f>SUM(E15:E133)</f>
        <v>39800</v>
      </c>
      <c r="F14" s="30">
        <f>SUM(F15:F133)</f>
        <v>0</v>
      </c>
      <c r="G14" s="29"/>
      <c r="H14" s="4">
        <f>SUM(H15:H133)</f>
        <v>50320</v>
      </c>
      <c r="I14" s="4">
        <f>SUM(I15:I133)</f>
        <v>0</v>
      </c>
      <c r="J14" s="25"/>
      <c r="K14" s="23">
        <f t="shared" ref="K14:X14" si="0">SUM(K15:K133)</f>
        <v>90160</v>
      </c>
      <c r="L14" s="24">
        <f t="shared" si="0"/>
        <v>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9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9" x14ac:dyDescent="0.25">
      <c r="C16" s="21">
        <v>1</v>
      </c>
      <c r="D16">
        <v>168</v>
      </c>
      <c r="E16">
        <v>15160</v>
      </c>
      <c r="F16" s="21"/>
      <c r="G16" s="34">
        <v>684</v>
      </c>
      <c r="H16">
        <v>15820</v>
      </c>
      <c r="I16" s="21"/>
      <c r="J16" s="7"/>
      <c r="K16">
        <v>31080</v>
      </c>
      <c r="O16" s="9"/>
      <c r="AA16" s="6"/>
      <c r="AC16" s="2"/>
    </row>
    <row r="17" spans="3:29" x14ac:dyDescent="0.25">
      <c r="C17" s="21">
        <v>2</v>
      </c>
      <c r="D17">
        <v>169</v>
      </c>
      <c r="E17">
        <v>12280</v>
      </c>
      <c r="F17" s="21"/>
      <c r="G17" s="34">
        <v>685</v>
      </c>
      <c r="H17">
        <v>16820</v>
      </c>
      <c r="I17" s="21"/>
      <c r="J17" s="6"/>
      <c r="K17">
        <v>29140</v>
      </c>
    </row>
    <row r="18" spans="3:29" x14ac:dyDescent="0.25">
      <c r="C18" s="21">
        <v>3</v>
      </c>
      <c r="D18">
        <v>170</v>
      </c>
      <c r="E18">
        <v>12360</v>
      </c>
      <c r="F18" s="21"/>
      <c r="G18" s="34">
        <v>686</v>
      </c>
      <c r="H18">
        <v>16880</v>
      </c>
      <c r="I18" s="21"/>
      <c r="J18" s="6"/>
    </row>
    <row r="19" spans="3:29" x14ac:dyDescent="0.25">
      <c r="C19" s="21"/>
      <c r="F19" s="21"/>
      <c r="G19" s="34">
        <v>687</v>
      </c>
      <c r="H19">
        <v>800</v>
      </c>
      <c r="I19" s="21"/>
      <c r="J19" s="6"/>
      <c r="K19">
        <v>29940</v>
      </c>
    </row>
    <row r="20" spans="3:29" x14ac:dyDescent="0.25">
      <c r="C20" s="21"/>
      <c r="F20" s="21"/>
      <c r="G20" s="34"/>
      <c r="I20" s="21"/>
      <c r="J20" s="6"/>
    </row>
    <row r="21" spans="3:29" x14ac:dyDescent="0.25">
      <c r="C21" s="21"/>
      <c r="F21" s="21"/>
      <c r="G21" s="34"/>
      <c r="I21" s="21"/>
      <c r="J21" s="7"/>
      <c r="P21" s="9"/>
      <c r="Z21" s="2"/>
    </row>
    <row r="22" spans="3:29" x14ac:dyDescent="0.25">
      <c r="C22" s="21"/>
      <c r="F22" s="21"/>
      <c r="G22" s="34"/>
      <c r="I22" s="21"/>
      <c r="J22" s="6"/>
      <c r="Z22" s="2"/>
    </row>
    <row r="23" spans="3:29" x14ac:dyDescent="0.25">
      <c r="C23" s="21"/>
      <c r="F23" s="21"/>
      <c r="G23" s="34"/>
      <c r="I23" s="21"/>
      <c r="J23" s="6"/>
      <c r="S23" s="9"/>
      <c r="AA23" s="6"/>
    </row>
    <row r="24" spans="3:29" x14ac:dyDescent="0.25">
      <c r="C24" s="21"/>
      <c r="F24" s="21"/>
      <c r="G24" s="34"/>
      <c r="I24" s="21"/>
      <c r="J24" s="6"/>
      <c r="S24" s="9"/>
    </row>
    <row r="25" spans="3:29" x14ac:dyDescent="0.25">
      <c r="C25" s="21"/>
      <c r="F25" s="21"/>
      <c r="G25" s="34"/>
      <c r="I25" s="21"/>
      <c r="J25" s="6"/>
      <c r="S25" s="9"/>
    </row>
    <row r="26" spans="3:29" x14ac:dyDescent="0.25">
      <c r="C26" s="21"/>
      <c r="F26" s="21"/>
      <c r="G26" s="34"/>
      <c r="I26" s="21"/>
      <c r="J26" s="7"/>
    </row>
    <row r="27" spans="3:29" x14ac:dyDescent="0.25">
      <c r="C27" s="21"/>
      <c r="F27" s="21"/>
      <c r="G27" s="34"/>
      <c r="I27" s="21"/>
      <c r="J27" s="6"/>
    </row>
    <row r="28" spans="3:29" x14ac:dyDescent="0.25">
      <c r="C28" s="21"/>
      <c r="F28" s="21"/>
      <c r="G28" s="34"/>
      <c r="I28" s="21"/>
      <c r="J28" s="7"/>
    </row>
    <row r="29" spans="3:29" x14ac:dyDescent="0.25">
      <c r="C29" s="21"/>
      <c r="F29" s="21"/>
      <c r="G29" s="34"/>
      <c r="I29" s="21"/>
      <c r="J29" s="7"/>
      <c r="O29" s="9"/>
      <c r="P29" s="9"/>
      <c r="AA29" s="6"/>
      <c r="AC29" s="2"/>
    </row>
    <row r="30" spans="3:29" x14ac:dyDescent="0.25">
      <c r="C30" s="21"/>
      <c r="F30" s="21"/>
      <c r="G30" s="34"/>
      <c r="I30" s="21"/>
      <c r="J30" s="7"/>
      <c r="Z30" s="2"/>
      <c r="AB30" s="2"/>
    </row>
    <row r="31" spans="3:29" x14ac:dyDescent="0.25">
      <c r="C31" s="21"/>
      <c r="F31" s="21"/>
      <c r="G31" s="34"/>
      <c r="I31" s="21"/>
      <c r="J31" s="6"/>
      <c r="P31" s="9"/>
      <c r="AA31" s="6"/>
    </row>
    <row r="32" spans="3:29" x14ac:dyDescent="0.25">
      <c r="C32" s="21"/>
      <c r="F32" s="21"/>
      <c r="G32" s="34"/>
      <c r="I32" s="21"/>
      <c r="J32" s="7"/>
      <c r="Z32" s="2"/>
      <c r="AB32" s="2"/>
    </row>
    <row r="33" spans="3:28" x14ac:dyDescent="0.25">
      <c r="C33" s="21"/>
      <c r="F33" s="21"/>
      <c r="G33" s="34"/>
      <c r="I33" s="21"/>
      <c r="J33" s="7"/>
      <c r="M33" s="9"/>
      <c r="N33" s="9"/>
      <c r="AA33" s="6"/>
    </row>
    <row r="34" spans="3:28" x14ac:dyDescent="0.25">
      <c r="C34" s="21"/>
      <c r="F34" s="21"/>
      <c r="G34" s="34"/>
      <c r="I34" s="21"/>
      <c r="J34" s="6"/>
      <c r="N34" s="9"/>
      <c r="Z34" s="2"/>
      <c r="AB34" s="2"/>
    </row>
    <row r="35" spans="3:28" x14ac:dyDescent="0.25">
      <c r="C35" s="21"/>
      <c r="F35" s="21"/>
      <c r="G35" s="34"/>
      <c r="I35" s="21"/>
      <c r="J35" s="7"/>
      <c r="N35" s="9"/>
      <c r="AA35" s="6"/>
    </row>
    <row r="36" spans="3:28" x14ac:dyDescent="0.25">
      <c r="C36" s="21"/>
      <c r="F36" s="21"/>
      <c r="G36" s="34"/>
      <c r="I36" s="21"/>
      <c r="J36" s="6"/>
    </row>
    <row r="37" spans="3:28" x14ac:dyDescent="0.25">
      <c r="C37" s="21"/>
      <c r="F37" s="21"/>
      <c r="G37" s="34"/>
      <c r="I37" s="21"/>
      <c r="J37" s="7"/>
      <c r="M37" s="9"/>
      <c r="P37" s="9"/>
      <c r="Z37" s="2"/>
      <c r="AB37" s="2"/>
    </row>
    <row r="38" spans="3:28" x14ac:dyDescent="0.25">
      <c r="C38" s="21"/>
      <c r="F38" s="21"/>
      <c r="G38" s="34"/>
      <c r="I38" s="21"/>
      <c r="J38" s="7"/>
      <c r="M38" s="9"/>
      <c r="P38" s="9"/>
      <c r="AA38" s="6"/>
    </row>
    <row r="39" spans="3:28" x14ac:dyDescent="0.25">
      <c r="C39" s="21"/>
      <c r="F39" s="21"/>
      <c r="G39" s="34"/>
      <c r="I39" s="21"/>
      <c r="J39" s="7"/>
      <c r="Z39" s="2"/>
      <c r="AB39" s="2"/>
    </row>
    <row r="40" spans="3:28" x14ac:dyDescent="0.25">
      <c r="C40" s="21"/>
      <c r="D40" s="29"/>
      <c r="F40" s="21"/>
      <c r="G40" s="34"/>
      <c r="I40" s="21"/>
      <c r="J40" s="7"/>
    </row>
    <row r="41" spans="3:28" x14ac:dyDescent="0.25">
      <c r="C41" s="21"/>
      <c r="D41" s="29"/>
      <c r="F41" s="21"/>
      <c r="G41" s="34"/>
      <c r="I41" s="21"/>
      <c r="J41" s="7"/>
    </row>
    <row r="42" spans="3:28" x14ac:dyDescent="0.25">
      <c r="C42" s="21"/>
      <c r="D42" s="29"/>
      <c r="F42" s="21"/>
      <c r="G42" s="34"/>
      <c r="I42" s="21"/>
      <c r="J42" s="7"/>
    </row>
    <row r="43" spans="3:28" x14ac:dyDescent="0.25">
      <c r="C43" s="21"/>
      <c r="D43" s="29"/>
      <c r="F43" s="21"/>
      <c r="G43" s="34"/>
      <c r="I43" s="21"/>
      <c r="J43" s="7"/>
    </row>
    <row r="44" spans="3:28" x14ac:dyDescent="0.25">
      <c r="C44" s="21"/>
      <c r="D44" s="29"/>
      <c r="F44" s="21"/>
      <c r="G44" s="34"/>
      <c r="I44" s="21"/>
      <c r="J44" s="7"/>
    </row>
    <row r="45" spans="3:28" x14ac:dyDescent="0.25">
      <c r="C45" s="21"/>
      <c r="D45" s="29"/>
      <c r="F45" s="21"/>
      <c r="G45" s="34"/>
      <c r="I45" s="21"/>
      <c r="J45" s="7"/>
    </row>
    <row r="46" spans="3:28" x14ac:dyDescent="0.25">
      <c r="C46" s="21"/>
      <c r="D46" s="29"/>
      <c r="F46" s="21"/>
      <c r="G46" s="34"/>
      <c r="I46" s="21"/>
      <c r="J46" s="7"/>
    </row>
    <row r="47" spans="3:28" x14ac:dyDescent="0.25">
      <c r="C47" s="21"/>
      <c r="F47" s="21"/>
      <c r="G47" s="34"/>
      <c r="I47" s="21"/>
      <c r="J47" s="7"/>
    </row>
    <row r="48" spans="3:28" x14ac:dyDescent="0.25">
      <c r="C48" s="21"/>
      <c r="D48" s="29"/>
      <c r="F48" s="21"/>
      <c r="G48" s="34"/>
      <c r="I48" s="21"/>
      <c r="J48" s="7"/>
    </row>
    <row r="49" spans="3:10" x14ac:dyDescent="0.25">
      <c r="C49" s="21"/>
      <c r="D49" s="43"/>
      <c r="E49" s="44"/>
      <c r="F49" s="45"/>
      <c r="G49" s="34"/>
      <c r="I49" s="21"/>
      <c r="J49" s="7"/>
    </row>
    <row r="50" spans="3:10" x14ac:dyDescent="0.25">
      <c r="C50" s="21"/>
      <c r="D50" s="29"/>
      <c r="F50" s="21"/>
      <c r="G50" s="34"/>
      <c r="I50" s="21"/>
      <c r="J50" s="7"/>
    </row>
    <row r="51" spans="3:10" x14ac:dyDescent="0.25">
      <c r="C51" s="21"/>
      <c r="D51" s="39"/>
      <c r="F51" s="21"/>
      <c r="G51" s="34"/>
      <c r="I51" s="21"/>
      <c r="J51" s="7"/>
    </row>
    <row r="52" spans="3:10" x14ac:dyDescent="0.25">
      <c r="C52" s="21"/>
      <c r="D52" s="29"/>
      <c r="F52" s="21"/>
      <c r="G52" s="34"/>
      <c r="I52" s="21"/>
      <c r="J52" s="7"/>
    </row>
    <row r="53" spans="3:10" x14ac:dyDescent="0.25">
      <c r="C53" s="21"/>
      <c r="D53" s="29"/>
      <c r="F53" s="21"/>
      <c r="G53" s="34"/>
      <c r="I53" s="21"/>
      <c r="J53" s="7"/>
    </row>
    <row r="54" spans="3:10" x14ac:dyDescent="0.25">
      <c r="C54" s="21"/>
      <c r="D54" s="29"/>
      <c r="F54" s="21"/>
      <c r="G54" s="34"/>
      <c r="I54" s="21"/>
      <c r="J54" s="7"/>
    </row>
    <row r="55" spans="3:10" x14ac:dyDescent="0.25">
      <c r="C55" s="21"/>
      <c r="D55" s="39"/>
      <c r="F55" s="21"/>
      <c r="G55" s="34"/>
      <c r="I55" s="21"/>
      <c r="J55" s="7"/>
    </row>
    <row r="56" spans="3:10" x14ac:dyDescent="0.25">
      <c r="C56" s="21"/>
      <c r="D56" s="39"/>
      <c r="F56" s="21"/>
      <c r="G56" s="34"/>
      <c r="I56" s="21"/>
      <c r="J56" s="7"/>
    </row>
    <row r="57" spans="3:10" x14ac:dyDescent="0.25">
      <c r="C57" s="21"/>
      <c r="D57" s="29"/>
      <c r="F57" s="21"/>
      <c r="G57" s="34"/>
      <c r="I57" s="21"/>
      <c r="J57" s="7"/>
    </row>
    <row r="58" spans="3:10" x14ac:dyDescent="0.25">
      <c r="C58" s="21"/>
      <c r="D58" s="29"/>
      <c r="F58" s="21"/>
      <c r="G58" s="34"/>
      <c r="I58" s="21"/>
      <c r="J58" s="7"/>
    </row>
    <row r="59" spans="3:10" x14ac:dyDescent="0.25">
      <c r="C59" s="21"/>
      <c r="D59" s="39"/>
      <c r="F59" s="21"/>
      <c r="G59" s="34"/>
      <c r="I59" s="21"/>
      <c r="J59" s="7"/>
    </row>
    <row r="60" spans="3:10" x14ac:dyDescent="0.25">
      <c r="C60" s="21"/>
      <c r="D60" s="29"/>
      <c r="F60" s="21"/>
      <c r="G60" s="34"/>
      <c r="I60" s="21"/>
      <c r="J60" s="7"/>
    </row>
    <row r="61" spans="3:10" x14ac:dyDescent="0.25">
      <c r="C61" s="21"/>
      <c r="D61" s="29"/>
      <c r="F61" s="21"/>
      <c r="G61" s="34"/>
      <c r="I61" s="21"/>
      <c r="J61" s="7"/>
    </row>
    <row r="62" spans="3:10" x14ac:dyDescent="0.25">
      <c r="C62" s="21"/>
      <c r="D62" s="29"/>
      <c r="F62" s="21"/>
      <c r="G62" s="34"/>
      <c r="I62" s="21"/>
      <c r="J62" s="7"/>
    </row>
    <row r="63" spans="3:10" x14ac:dyDescent="0.25">
      <c r="C63" s="21"/>
      <c r="D63" s="29"/>
      <c r="F63" s="21"/>
      <c r="G63" s="34"/>
      <c r="I63" s="21"/>
      <c r="J63" s="7"/>
    </row>
    <row r="64" spans="3:10" x14ac:dyDescent="0.25">
      <c r="C64" s="21"/>
      <c r="D64" s="29"/>
      <c r="F64" s="21"/>
      <c r="G64" s="34"/>
      <c r="I64" s="21"/>
      <c r="J64" s="7"/>
    </row>
    <row r="65" spans="3:10" x14ac:dyDescent="0.25">
      <c r="C65" s="21"/>
      <c r="D65" s="29"/>
      <c r="F65" s="21"/>
      <c r="G65" s="34"/>
      <c r="I65" s="21"/>
      <c r="J65" s="7"/>
    </row>
    <row r="66" spans="3:10" x14ac:dyDescent="0.25">
      <c r="C66" s="21"/>
      <c r="D66" s="29"/>
      <c r="F66" s="21"/>
      <c r="G66" s="34"/>
      <c r="I66" s="21"/>
      <c r="J66" s="7"/>
    </row>
    <row r="67" spans="3:10" x14ac:dyDescent="0.25">
      <c r="C67" s="21"/>
      <c r="D67" s="29"/>
      <c r="F67" s="21"/>
      <c r="G67" s="34"/>
      <c r="J67" s="33"/>
    </row>
    <row r="68" spans="3:10" x14ac:dyDescent="0.25">
      <c r="C68" s="21"/>
      <c r="D68" s="29"/>
      <c r="F68" s="21"/>
      <c r="G68" s="34"/>
      <c r="J68" s="33"/>
    </row>
    <row r="69" spans="3:10" x14ac:dyDescent="0.25">
      <c r="C69" s="21"/>
      <c r="D69" s="29"/>
      <c r="F69" s="21"/>
      <c r="G69" s="34"/>
      <c r="J69" s="33"/>
    </row>
    <row r="70" spans="3:10" x14ac:dyDescent="0.25">
      <c r="C70" s="21"/>
      <c r="D70" s="29"/>
      <c r="F70" s="21"/>
      <c r="G70" s="34"/>
      <c r="J70" s="33"/>
    </row>
    <row r="71" spans="3:10" x14ac:dyDescent="0.25">
      <c r="C71" s="21"/>
      <c r="D71" s="29"/>
      <c r="F71" s="21"/>
      <c r="G71" s="34"/>
      <c r="J71" s="33"/>
    </row>
    <row r="72" spans="3:10" x14ac:dyDescent="0.25">
      <c r="C72" s="21"/>
      <c r="D72" s="29"/>
      <c r="F72" s="21"/>
      <c r="G72" s="34"/>
      <c r="J72" s="33"/>
    </row>
    <row r="73" spans="3:10" x14ac:dyDescent="0.25">
      <c r="C73" s="21"/>
      <c r="D73" s="29"/>
      <c r="F73" s="21"/>
      <c r="G73" s="34"/>
      <c r="J73" s="33"/>
    </row>
    <row r="74" spans="3:10" x14ac:dyDescent="0.25">
      <c r="C74" s="21"/>
      <c r="D74" s="29"/>
      <c r="F74" s="21"/>
      <c r="G74" s="34"/>
      <c r="J74" s="33"/>
    </row>
    <row r="75" spans="3:10" x14ac:dyDescent="0.25">
      <c r="C75" s="21"/>
      <c r="D75" s="29"/>
      <c r="F75" s="21"/>
      <c r="G75" s="34"/>
      <c r="J75" s="33"/>
    </row>
    <row r="76" spans="3:10" x14ac:dyDescent="0.25">
      <c r="C76" s="21"/>
      <c r="D76" s="29"/>
      <c r="F76" s="21"/>
      <c r="G76" s="34"/>
      <c r="J76" s="33"/>
    </row>
    <row r="77" spans="3:10" x14ac:dyDescent="0.25">
      <c r="C77" s="21"/>
      <c r="D77" s="29"/>
      <c r="F77" s="21"/>
      <c r="G77" s="34"/>
      <c r="J77" s="33"/>
    </row>
    <row r="78" spans="3:10" x14ac:dyDescent="0.25">
      <c r="C78" s="21"/>
      <c r="D78" s="29"/>
      <c r="F78" s="21"/>
      <c r="G78" s="34"/>
      <c r="J78" s="33"/>
    </row>
    <row r="79" spans="3:10" x14ac:dyDescent="0.25">
      <c r="C79" s="21"/>
      <c r="D79" s="29"/>
      <c r="F79" s="21"/>
      <c r="G79" s="34"/>
      <c r="J79" s="33"/>
    </row>
    <row r="80" spans="3:10" x14ac:dyDescent="0.25">
      <c r="C80" s="21"/>
      <c r="D80" s="29"/>
      <c r="F80" s="21"/>
      <c r="G80" s="34"/>
      <c r="J80" s="33"/>
    </row>
    <row r="81" spans="3:29" x14ac:dyDescent="0.25">
      <c r="C81" s="21"/>
      <c r="D81" s="29"/>
      <c r="F81" s="21"/>
      <c r="G81" s="34"/>
      <c r="J81" s="33"/>
    </row>
    <row r="82" spans="3:29" x14ac:dyDescent="0.25">
      <c r="C82" s="21"/>
      <c r="D82" s="29"/>
      <c r="F82" s="21"/>
      <c r="G82" s="34"/>
      <c r="J82" s="33"/>
    </row>
    <row r="83" spans="3:29" x14ac:dyDescent="0.25">
      <c r="C83" s="21"/>
      <c r="D83" s="29"/>
      <c r="F83" s="21"/>
      <c r="G83" s="34"/>
      <c r="J83" s="33"/>
    </row>
    <row r="84" spans="3:29" x14ac:dyDescent="0.25">
      <c r="C84" s="21"/>
      <c r="D84" s="29"/>
      <c r="F84" s="21"/>
      <c r="G84" s="34"/>
      <c r="J84" s="33"/>
      <c r="AA84" s="6"/>
      <c r="AC84" s="2"/>
    </row>
    <row r="85" spans="3:29" x14ac:dyDescent="0.25">
      <c r="C85" s="21"/>
      <c r="D85" s="29"/>
      <c r="F85" s="21"/>
      <c r="G85" s="34"/>
      <c r="J85" s="29"/>
    </row>
    <row r="86" spans="3:29" x14ac:dyDescent="0.25">
      <c r="C86" s="21"/>
      <c r="D86" s="29"/>
      <c r="F86" s="21"/>
      <c r="G86" s="34"/>
      <c r="J86" s="29"/>
    </row>
    <row r="87" spans="3:29" x14ac:dyDescent="0.25">
      <c r="C87" s="21"/>
      <c r="D87" s="29"/>
      <c r="F87" s="21"/>
      <c r="G87" s="34"/>
      <c r="J87" s="29"/>
    </row>
    <row r="88" spans="3:29" x14ac:dyDescent="0.25">
      <c r="C88" s="21"/>
      <c r="D88" s="29"/>
      <c r="F88" s="21"/>
      <c r="G88" s="34"/>
      <c r="J88" s="29"/>
    </row>
    <row r="89" spans="3:29" x14ac:dyDescent="0.25">
      <c r="C89" s="21"/>
      <c r="D89" s="29"/>
      <c r="F89" s="21"/>
      <c r="G89" s="34"/>
      <c r="J89" s="29"/>
    </row>
    <row r="90" spans="3:29" x14ac:dyDescent="0.25">
      <c r="C90" s="21"/>
      <c r="D90" s="29"/>
      <c r="F90" s="21"/>
      <c r="G90" s="34"/>
      <c r="J90" s="29"/>
    </row>
    <row r="91" spans="3:29" x14ac:dyDescent="0.25">
      <c r="C91" s="21"/>
      <c r="D91" s="29"/>
      <c r="F91" s="21"/>
      <c r="G91" s="34"/>
      <c r="J91" s="29"/>
    </row>
    <row r="92" spans="3:29" x14ac:dyDescent="0.25">
      <c r="C92" s="21"/>
      <c r="D92" s="29"/>
      <c r="F92" s="21"/>
      <c r="G92" s="34"/>
      <c r="J92" s="29"/>
    </row>
    <row r="93" spans="3:29" x14ac:dyDescent="0.25">
      <c r="C93" s="21"/>
      <c r="D93" s="29"/>
      <c r="F93" s="21"/>
      <c r="G93" s="34"/>
      <c r="J93" s="29"/>
    </row>
    <row r="94" spans="3:29" x14ac:dyDescent="0.25">
      <c r="D94" s="29"/>
      <c r="F94" s="21"/>
      <c r="G94" s="34"/>
      <c r="J94" s="29"/>
    </row>
    <row r="95" spans="3:29" x14ac:dyDescent="0.25">
      <c r="D95" s="29"/>
      <c r="F95" s="21"/>
      <c r="G95" s="34"/>
      <c r="J95" s="29"/>
    </row>
    <row r="96" spans="3:29" x14ac:dyDescent="0.25">
      <c r="D96" s="29"/>
      <c r="F96" s="21"/>
      <c r="G96" s="34"/>
      <c r="J96" s="29"/>
    </row>
    <row r="97" spans="4:10" x14ac:dyDescent="0.25">
      <c r="D97" s="29"/>
      <c r="F97" s="21"/>
      <c r="G97" s="34"/>
      <c r="J97" s="29"/>
    </row>
    <row r="98" spans="4:10" x14ac:dyDescent="0.25">
      <c r="D98" s="29"/>
      <c r="F98" s="21"/>
      <c r="G98" s="34"/>
      <c r="J98" s="29"/>
    </row>
    <row r="99" spans="4:10" x14ac:dyDescent="0.25">
      <c r="D99" s="29"/>
      <c r="F99" s="21"/>
      <c r="G99" s="34"/>
      <c r="J99" s="29"/>
    </row>
    <row r="100" spans="4:10" x14ac:dyDescent="0.25">
      <c r="D100" s="31"/>
      <c r="E100" s="41" t="s">
        <v>39</v>
      </c>
      <c r="F100" s="32"/>
      <c r="G100" s="46"/>
      <c r="H100" s="41" t="s">
        <v>39</v>
      </c>
      <c r="I100" s="41"/>
      <c r="J100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4CCA-C80D-4DA3-9C55-B62B2E5B6A92}">
  <dimension ref="A1:X108"/>
  <sheetViews>
    <sheetView workbookViewId="0">
      <pane ySplit="15" topLeftCell="A16" activePane="bottomLeft" state="frozen"/>
      <selection activeCell="K13" sqref="K13:L13"/>
      <selection pane="bottomLeft" activeCell="K13" sqref="K13:L13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[9]Summary!E2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34520</v>
      </c>
      <c r="K2">
        <f>J2-J3</f>
        <v>-980</v>
      </c>
      <c r="L2" s="1">
        <f>K2/J2</f>
        <v>-2.8389339513325607E-2</v>
      </c>
    </row>
    <row r="3" spans="1:24" x14ac:dyDescent="0.25">
      <c r="B3" t="s">
        <v>6</v>
      </c>
      <c r="D3" s="64" t="s">
        <v>119</v>
      </c>
      <c r="E3" s="52"/>
      <c r="F3" t="s">
        <v>120</v>
      </c>
      <c r="H3" s="63" t="s">
        <v>9</v>
      </c>
      <c r="I3" s="63"/>
      <c r="J3">
        <f>K11-L10+M11-N10+O11-P10+Q11-R10+S11-T10+U11-V10+W11-X10</f>
        <v>35500</v>
      </c>
      <c r="K3" s="5" t="s">
        <v>10</v>
      </c>
      <c r="L3" s="5" t="s">
        <v>11</v>
      </c>
      <c r="M3" s="5" t="s">
        <v>12</v>
      </c>
      <c r="N3" s="6">
        <f>N4*I4/O1</f>
        <v>15.307064195731039</v>
      </c>
      <c r="O3" s="6">
        <f>K7+M7+O7+Q7+S7+U7+W7</f>
        <v>15.307064195731041</v>
      </c>
    </row>
    <row r="4" spans="1:24" x14ac:dyDescent="0.25">
      <c r="B4" t="s">
        <v>14</v>
      </c>
      <c r="D4" s="65" t="str">
        <f>[9]Summary!C2</f>
        <v>Canola</v>
      </c>
      <c r="E4" s="52"/>
      <c r="F4" s="2">
        <f>[9]Summary!C3</f>
        <v>2021</v>
      </c>
      <c r="I4" s="2">
        <f>[9]Summary!D2</f>
        <v>50</v>
      </c>
      <c r="J4" s="2">
        <f>J3/I4</f>
        <v>710</v>
      </c>
      <c r="K4" s="8">
        <v>0.98</v>
      </c>
      <c r="L4" s="8">
        <f>IF(J5=0,L1,(L8+N8+P8+R8+T8+V8+X8)/J5/K4)</f>
        <v>7.3999999999999982E-2</v>
      </c>
      <c r="M4" s="8">
        <f>IF(J5=0,0,(L9+N9+P9+R9+T9+V9+X9)/J5/K4)</f>
        <v>0.03</v>
      </c>
      <c r="N4" s="2">
        <f>IF(L4&gt;L1,J4*(1-L4)/(1-L1)*(1-M4)*K4,J4*K4*(1-M4))</f>
        <v>674.92599999999993</v>
      </c>
      <c r="V4" s="6"/>
    </row>
    <row r="5" spans="1:24" x14ac:dyDescent="0.25">
      <c r="B5" t="s">
        <v>16</v>
      </c>
      <c r="D5" s="65">
        <v>44471</v>
      </c>
      <c r="E5" s="52"/>
      <c r="F5" s="13">
        <v>44471</v>
      </c>
      <c r="J5" s="6">
        <f>J3/O1</f>
        <v>16.102529135000044</v>
      </c>
      <c r="N5" s="2">
        <v>26</v>
      </c>
      <c r="O5" s="3">
        <f>N4/N5</f>
        <v>25.958692307692306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15.307064195731041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7.3999999999999996E-2</v>
      </c>
      <c r="L8" s="6">
        <f>(L11-L10/$O1)*$K4*K8</f>
        <v>1.167755412870203</v>
      </c>
      <c r="M8" s="1">
        <v>0.105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0.47341435656900127</v>
      </c>
      <c r="M9" s="1">
        <v>0.03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14191.772885283894</v>
      </c>
      <c r="E10" s="55"/>
      <c r="F10" s="56"/>
      <c r="G10" s="54">
        <f>J3/J2*G11</f>
        <v>21308.227114716108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13800</v>
      </c>
      <c r="E11" s="58"/>
      <c r="F11" s="59"/>
      <c r="G11" s="57">
        <f>H14+I14</f>
        <v>20720</v>
      </c>
      <c r="H11" s="58"/>
      <c r="I11" s="58"/>
      <c r="J11" s="25"/>
      <c r="K11" s="26">
        <f>K14+L14</f>
        <v>35500</v>
      </c>
      <c r="L11" s="27">
        <f>K11/2204.62262184877</f>
        <v>16.102529135000044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121</v>
      </c>
      <c r="L12" s="51"/>
      <c r="M12" s="50" t="s">
        <v>122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13800</v>
      </c>
      <c r="F14" s="30">
        <f>SUM(F15:F133)</f>
        <v>0</v>
      </c>
      <c r="G14" s="29"/>
      <c r="H14" s="4">
        <f>SUM(H15:H133)</f>
        <v>20720</v>
      </c>
      <c r="I14" s="4">
        <f>SUM(I15:I133)</f>
        <v>0</v>
      </c>
      <c r="J14" s="25"/>
      <c r="K14" s="23">
        <f t="shared" ref="K14:X14" si="0">SUM(K15:K133)</f>
        <v>35500</v>
      </c>
      <c r="L14" s="24">
        <f t="shared" si="0"/>
        <v>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166</v>
      </c>
      <c r="E16">
        <v>5460</v>
      </c>
      <c r="F16" s="21"/>
      <c r="G16" s="29">
        <v>637</v>
      </c>
      <c r="H16">
        <v>9280</v>
      </c>
      <c r="J16" s="33"/>
      <c r="K16">
        <v>15540</v>
      </c>
    </row>
    <row r="17" spans="3:16" x14ac:dyDescent="0.25">
      <c r="C17" s="21">
        <v>2</v>
      </c>
      <c r="D17" s="29">
        <v>167</v>
      </c>
      <c r="E17">
        <v>8340</v>
      </c>
      <c r="F17" s="21"/>
      <c r="G17" s="29">
        <v>683</v>
      </c>
      <c r="H17">
        <v>11440</v>
      </c>
      <c r="J17" s="33"/>
      <c r="K17">
        <v>19960</v>
      </c>
    </row>
    <row r="18" spans="3:16" x14ac:dyDescent="0.25">
      <c r="C18" s="21"/>
      <c r="D18" s="29"/>
      <c r="F18" s="21"/>
      <c r="G18" s="29"/>
      <c r="J18" s="34"/>
    </row>
    <row r="19" spans="3:16" x14ac:dyDescent="0.25">
      <c r="C19" s="21"/>
      <c r="F19" s="21"/>
      <c r="J19" s="33"/>
    </row>
    <row r="20" spans="3:16" x14ac:dyDescent="0.25">
      <c r="C20" s="21"/>
      <c r="F20" s="21"/>
      <c r="J20" s="33"/>
    </row>
    <row r="21" spans="3:16" x14ac:dyDescent="0.25">
      <c r="C21" s="21"/>
      <c r="F21" s="21"/>
      <c r="J21" s="34"/>
    </row>
    <row r="22" spans="3:16" x14ac:dyDescent="0.25">
      <c r="C22" s="21"/>
      <c r="F22" s="21"/>
      <c r="J22" s="33"/>
    </row>
    <row r="23" spans="3:16" x14ac:dyDescent="0.25">
      <c r="C23" s="21"/>
      <c r="F23" s="21"/>
      <c r="J23" s="33"/>
    </row>
    <row r="24" spans="3:16" x14ac:dyDescent="0.25">
      <c r="C24" s="21"/>
      <c r="F24" s="21"/>
      <c r="J24" s="34"/>
    </row>
    <row r="25" spans="3:16" x14ac:dyDescent="0.25">
      <c r="C25" s="21"/>
      <c r="F25" s="21"/>
      <c r="J25" s="34"/>
    </row>
    <row r="26" spans="3:16" x14ac:dyDescent="0.25">
      <c r="C26" s="21"/>
      <c r="F26" s="21"/>
      <c r="J26" s="34"/>
      <c r="M26" s="9"/>
    </row>
    <row r="27" spans="3:16" x14ac:dyDescent="0.25">
      <c r="C27" s="21"/>
      <c r="E27" s="9"/>
      <c r="F27" s="21"/>
      <c r="J27" s="34"/>
      <c r="O27" s="9"/>
      <c r="P27" s="9"/>
    </row>
    <row r="28" spans="3:16" x14ac:dyDescent="0.25">
      <c r="C28" s="21"/>
      <c r="E28" s="9"/>
      <c r="F28" s="21"/>
      <c r="J28" s="34"/>
      <c r="O28" s="9"/>
      <c r="P28" s="9"/>
    </row>
    <row r="29" spans="3:16" x14ac:dyDescent="0.25">
      <c r="C29" s="21"/>
      <c r="F29" s="21"/>
      <c r="J29" s="34"/>
      <c r="O29" s="9"/>
      <c r="P29" s="9"/>
    </row>
    <row r="30" spans="3:16" x14ac:dyDescent="0.25">
      <c r="C30" s="21"/>
      <c r="F30" s="21"/>
      <c r="J30" s="34"/>
      <c r="L30" s="9"/>
      <c r="M30" s="9"/>
      <c r="O30" s="9"/>
    </row>
    <row r="31" spans="3:16" x14ac:dyDescent="0.25">
      <c r="C31" s="21"/>
      <c r="F31" s="21"/>
      <c r="J31" s="33"/>
      <c r="M31" s="9"/>
    </row>
    <row r="32" spans="3:16" x14ac:dyDescent="0.25">
      <c r="C32" s="21"/>
      <c r="F32" s="21"/>
      <c r="J32" s="34"/>
    </row>
    <row r="33" spans="1:20" s="9" customFormat="1" x14ac:dyDescent="0.25">
      <c r="A33"/>
      <c r="B33"/>
      <c r="C33" s="35"/>
      <c r="D33"/>
      <c r="E33"/>
      <c r="F33" s="21"/>
      <c r="G33"/>
      <c r="H33"/>
      <c r="I33"/>
      <c r="J33" s="34"/>
      <c r="K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/>
      <c r="H34"/>
      <c r="I34"/>
      <c r="J34" s="33"/>
      <c r="K34"/>
      <c r="M34"/>
      <c r="Q34"/>
      <c r="R34"/>
      <c r="S34"/>
      <c r="T34"/>
    </row>
    <row r="35" spans="1:20" s="9" customFormat="1" x14ac:dyDescent="0.25">
      <c r="A35"/>
      <c r="B35"/>
      <c r="C35" s="35"/>
      <c r="D35"/>
      <c r="E35"/>
      <c r="F35" s="21"/>
      <c r="G35"/>
      <c r="H35"/>
      <c r="I35"/>
      <c r="J35" s="34"/>
      <c r="K35"/>
      <c r="M35"/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K36"/>
      <c r="M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K37"/>
      <c r="M37"/>
      <c r="O37" s="42"/>
      <c r="S37"/>
      <c r="T37"/>
    </row>
    <row r="38" spans="1:20" x14ac:dyDescent="0.25">
      <c r="C38" s="21"/>
      <c r="D38" s="29"/>
      <c r="E38" s="9"/>
      <c r="F38" s="21"/>
      <c r="J38" s="33"/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E40" s="9"/>
      <c r="F40" s="21"/>
      <c r="H40" s="9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H46" s="9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E48" s="9"/>
      <c r="F48" s="21"/>
      <c r="J48" s="33"/>
    </row>
    <row r="49" spans="3:10" x14ac:dyDescent="0.25">
      <c r="C49" s="21"/>
      <c r="D49" s="29"/>
      <c r="F49" s="21"/>
      <c r="J49" s="33"/>
    </row>
    <row r="50" spans="3:10" x14ac:dyDescent="0.25">
      <c r="C50" s="21"/>
      <c r="D50" s="29"/>
      <c r="F50" s="21"/>
      <c r="J50" s="33"/>
    </row>
    <row r="51" spans="3:10" x14ac:dyDescent="0.25">
      <c r="C51" s="21"/>
      <c r="D51" s="29"/>
      <c r="F51" s="21"/>
      <c r="J51" s="33"/>
    </row>
    <row r="52" spans="3:10" x14ac:dyDescent="0.25">
      <c r="C52" s="21"/>
      <c r="D52" s="29"/>
      <c r="F52" s="21"/>
      <c r="J52" s="33"/>
    </row>
    <row r="53" spans="3:10" x14ac:dyDescent="0.25">
      <c r="C53" s="21"/>
      <c r="D53" s="29"/>
      <c r="F53" s="21"/>
      <c r="J53" s="33"/>
    </row>
    <row r="54" spans="3:10" x14ac:dyDescent="0.25">
      <c r="C54" s="21"/>
      <c r="D54" s="29"/>
      <c r="F54" s="21"/>
      <c r="G54" s="38"/>
      <c r="J54" s="33"/>
    </row>
    <row r="55" spans="3:10" x14ac:dyDescent="0.25">
      <c r="C55" s="21"/>
      <c r="G55" s="29"/>
      <c r="J55" s="33"/>
    </row>
    <row r="56" spans="3:10" x14ac:dyDescent="0.25">
      <c r="C56" s="21"/>
      <c r="D56" s="29"/>
      <c r="F56" s="21"/>
      <c r="G56" s="29"/>
      <c r="J56" s="33"/>
    </row>
    <row r="57" spans="3:10" x14ac:dyDescent="0.25">
      <c r="C57" s="21"/>
      <c r="D57" s="29"/>
      <c r="F57" s="21"/>
      <c r="G57" s="29"/>
      <c r="J57" s="33"/>
    </row>
    <row r="58" spans="3:10" x14ac:dyDescent="0.25">
      <c r="C58" s="21"/>
      <c r="D58" s="29"/>
      <c r="F58" s="21"/>
      <c r="G58" s="29"/>
      <c r="J58" s="33"/>
    </row>
    <row r="59" spans="3:10" x14ac:dyDescent="0.25">
      <c r="C59" s="21"/>
      <c r="D59" s="39"/>
      <c r="F59" s="21"/>
      <c r="G59" s="39"/>
      <c r="J59" s="29"/>
    </row>
    <row r="60" spans="3:10" x14ac:dyDescent="0.25">
      <c r="C60" s="21"/>
      <c r="F60" s="21"/>
      <c r="J60" s="29"/>
    </row>
    <row r="61" spans="3:10" x14ac:dyDescent="0.25">
      <c r="C61" s="21"/>
      <c r="F61" s="21"/>
      <c r="J61" s="29"/>
    </row>
    <row r="62" spans="3:10" x14ac:dyDescent="0.25">
      <c r="C62" s="21"/>
      <c r="F62" s="21"/>
      <c r="J62" s="29"/>
    </row>
    <row r="63" spans="3:10" x14ac:dyDescent="0.25">
      <c r="C63" s="21"/>
      <c r="F63" s="21"/>
      <c r="J63" s="29"/>
    </row>
    <row r="64" spans="3:10" x14ac:dyDescent="0.25">
      <c r="C64" s="21"/>
      <c r="F64" s="21"/>
      <c r="J64" s="29"/>
    </row>
    <row r="65" spans="3:10" x14ac:dyDescent="0.25">
      <c r="C65" s="21"/>
      <c r="F65" s="21"/>
      <c r="J65" s="29"/>
    </row>
    <row r="66" spans="3:10" x14ac:dyDescent="0.25">
      <c r="C66" s="21"/>
      <c r="F66" s="21"/>
      <c r="J66" s="29"/>
    </row>
    <row r="67" spans="3:10" x14ac:dyDescent="0.25">
      <c r="C67" s="21"/>
      <c r="F67" s="21"/>
      <c r="J67" s="29"/>
    </row>
    <row r="68" spans="3:10" x14ac:dyDescent="0.25">
      <c r="C68" s="21"/>
      <c r="F68" s="21"/>
      <c r="J68" s="29"/>
    </row>
    <row r="69" spans="3:10" x14ac:dyDescent="0.25">
      <c r="C69" s="21"/>
      <c r="F69" s="21"/>
      <c r="J69" s="29"/>
    </row>
    <row r="70" spans="3:10" x14ac:dyDescent="0.25">
      <c r="C70" s="21"/>
      <c r="F70" s="21"/>
      <c r="J70" s="29"/>
    </row>
    <row r="71" spans="3:10" x14ac:dyDescent="0.25">
      <c r="C71" s="21"/>
      <c r="F71" s="21"/>
      <c r="J71" s="29"/>
    </row>
    <row r="72" spans="3:10" x14ac:dyDescent="0.25">
      <c r="C72" s="21"/>
      <c r="F72" s="21"/>
      <c r="J72" s="29"/>
    </row>
    <row r="73" spans="3:10" x14ac:dyDescent="0.25">
      <c r="C73" s="21"/>
      <c r="F73" s="21"/>
      <c r="J73" s="29"/>
    </row>
    <row r="74" spans="3:10" x14ac:dyDescent="0.25">
      <c r="C74" s="21"/>
      <c r="F74" s="21"/>
      <c r="J74" s="29"/>
    </row>
    <row r="75" spans="3:10" x14ac:dyDescent="0.25">
      <c r="C75" s="21"/>
      <c r="F75" s="21"/>
      <c r="J75" s="29"/>
    </row>
    <row r="76" spans="3:10" x14ac:dyDescent="0.25">
      <c r="C76" s="21"/>
      <c r="F76" s="21"/>
      <c r="J76" s="29"/>
    </row>
    <row r="77" spans="3:10" x14ac:dyDescent="0.25">
      <c r="C77" s="21"/>
      <c r="F77" s="21"/>
      <c r="J77" s="29"/>
    </row>
    <row r="78" spans="3:10" x14ac:dyDescent="0.25">
      <c r="C78" s="21"/>
      <c r="F78" s="21"/>
      <c r="J78" s="29"/>
    </row>
    <row r="79" spans="3:10" x14ac:dyDescent="0.25">
      <c r="C79" s="21"/>
      <c r="F79" s="21"/>
      <c r="J79" s="29"/>
    </row>
    <row r="80" spans="3:10" x14ac:dyDescent="0.25">
      <c r="C80" s="21"/>
      <c r="F80" s="21"/>
      <c r="J80" s="29"/>
    </row>
    <row r="81" spans="3:10" x14ac:dyDescent="0.25">
      <c r="C81" s="21"/>
      <c r="F81" s="21"/>
      <c r="J81" s="29"/>
    </row>
    <row r="82" spans="3:10" x14ac:dyDescent="0.25">
      <c r="C82" s="21"/>
      <c r="F82" s="21"/>
      <c r="J82" s="29"/>
    </row>
    <row r="83" spans="3:10" x14ac:dyDescent="0.25">
      <c r="C83" s="21"/>
      <c r="F83" s="21"/>
      <c r="J83" s="29"/>
    </row>
    <row r="84" spans="3:10" x14ac:dyDescent="0.25">
      <c r="C84" s="21"/>
      <c r="F84" s="21"/>
      <c r="J84" s="29"/>
    </row>
    <row r="85" spans="3:10" x14ac:dyDescent="0.25">
      <c r="C85" s="21"/>
      <c r="F85" s="21"/>
      <c r="J85" s="29"/>
    </row>
    <row r="86" spans="3:10" x14ac:dyDescent="0.25">
      <c r="C86" s="21"/>
      <c r="F86" s="21"/>
      <c r="J86" s="29"/>
    </row>
    <row r="87" spans="3:10" x14ac:dyDescent="0.25">
      <c r="C87" s="21"/>
      <c r="F87" s="21"/>
      <c r="J87" s="29"/>
    </row>
    <row r="88" spans="3:10" x14ac:dyDescent="0.25">
      <c r="C88" s="21"/>
      <c r="F88" s="21"/>
      <c r="J88" s="29"/>
    </row>
    <row r="89" spans="3:10" x14ac:dyDescent="0.25">
      <c r="C89" s="21"/>
      <c r="F89" s="21"/>
      <c r="J89" s="29"/>
    </row>
    <row r="90" spans="3:10" x14ac:dyDescent="0.25">
      <c r="C90" s="21"/>
      <c r="F90" s="21"/>
      <c r="J90" s="29"/>
    </row>
    <row r="91" spans="3:10" x14ac:dyDescent="0.25">
      <c r="C91" s="21"/>
      <c r="F91" s="21"/>
      <c r="J91" s="29"/>
    </row>
    <row r="92" spans="3:10" x14ac:dyDescent="0.25">
      <c r="C92" s="21"/>
      <c r="D92" s="29"/>
      <c r="F92" s="21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3CB-F41E-4725-9287-599E8F8636E0}">
  <dimension ref="A1:X133"/>
  <sheetViews>
    <sheetView workbookViewId="0">
      <pane ySplit="15" topLeftCell="A16" activePane="bottomLeft" state="frozen"/>
      <selection activeCell="F4" sqref="F4"/>
      <selection pane="bottomLeft" activeCell="L26" sqref="L2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227760</v>
      </c>
      <c r="K2">
        <f>J2-J3</f>
        <v>240</v>
      </c>
      <c r="L2" s="1">
        <f>K2/J2</f>
        <v>1.053740779768177E-3</v>
      </c>
      <c r="S2" t="s">
        <v>5</v>
      </c>
      <c r="T2">
        <v>40</v>
      </c>
      <c r="U2">
        <v>0</v>
      </c>
      <c r="V2" s="2">
        <f>U2*2204.622/60</f>
        <v>0</v>
      </c>
      <c r="W2" s="3">
        <f>V2/T2</f>
        <v>0</v>
      </c>
    </row>
    <row r="3" spans="1:24" x14ac:dyDescent="0.25">
      <c r="B3" t="s">
        <v>6</v>
      </c>
      <c r="D3" s="64" t="s">
        <v>105</v>
      </c>
      <c r="E3" s="52"/>
      <c r="F3" t="s">
        <v>106</v>
      </c>
      <c r="H3" s="63" t="s">
        <v>9</v>
      </c>
      <c r="I3" s="63"/>
      <c r="J3">
        <f>K11-L10+M11-N10+O11-P10+Q11-R10+S11-T10+U11-V10+W11-X10</f>
        <v>227520</v>
      </c>
      <c r="K3" s="5" t="s">
        <v>10</v>
      </c>
      <c r="L3" s="5" t="s">
        <v>11</v>
      </c>
      <c r="M3" s="5" t="s">
        <v>12</v>
      </c>
      <c r="N3" s="6">
        <f>N4*I4/O1</f>
        <v>100.12593620893274</v>
      </c>
      <c r="O3" s="6">
        <f>K7+M7+O7+Q7+S7+U7+W7</f>
        <v>99.762308260976852</v>
      </c>
      <c r="S3" t="s">
        <v>13</v>
      </c>
      <c r="T3">
        <v>0</v>
      </c>
      <c r="U3" s="6">
        <f>O7</f>
        <v>66.18732773304977</v>
      </c>
      <c r="V3" s="2">
        <f>U3*2204.622/60</f>
        <v>2431.967314024861</v>
      </c>
      <c r="W3" s="3" t="e">
        <f>V3/T3</f>
        <v>#DIV/0!</v>
      </c>
    </row>
    <row r="4" spans="1:24" x14ac:dyDescent="0.25">
      <c r="B4" t="s">
        <v>14</v>
      </c>
      <c r="D4" s="65" t="str">
        <f>[2]Summary!C2</f>
        <v>Peas</v>
      </c>
      <c r="E4" s="52"/>
      <c r="F4" s="2">
        <v>2021</v>
      </c>
      <c r="I4" s="2">
        <f>[2]Summary!D2</f>
        <v>60</v>
      </c>
      <c r="J4" s="2">
        <f>J3/I4</f>
        <v>3792</v>
      </c>
      <c r="K4" s="8">
        <v>0.98</v>
      </c>
      <c r="L4" s="8">
        <f>IF(J5=0,L1,(L8+N8+P8+R8+T8+V8+X8)/J5/K4)</f>
        <v>0.14321940928270044</v>
      </c>
      <c r="M4" s="8">
        <f>IF(J5=0,0,(L9+N9+P9+R9+T9+V9+X9)/J5/K4)</f>
        <v>0.01</v>
      </c>
      <c r="N4" s="2">
        <f>IF(L4&gt;L1,J4*(1-L4)/(1-L1)*(1-M4)*K4,J4*K4*(1-M4))</f>
        <v>3678.9983999999999</v>
      </c>
      <c r="S4" t="s">
        <v>15</v>
      </c>
      <c r="T4" s="10">
        <f>T2+T3</f>
        <v>40</v>
      </c>
      <c r="U4" s="10">
        <f>U2+U3</f>
        <v>66.18732773304977</v>
      </c>
      <c r="V4" s="11">
        <f>V2+V3</f>
        <v>2431.967314024861</v>
      </c>
      <c r="W4" s="12">
        <f>V4/T4</f>
        <v>60.799182850621527</v>
      </c>
    </row>
    <row r="5" spans="1:24" x14ac:dyDescent="0.25">
      <c r="B5" t="s">
        <v>16</v>
      </c>
      <c r="D5" s="65"/>
      <c r="E5" s="52"/>
      <c r="F5" s="40"/>
      <c r="J5" s="6">
        <f>J3/O1</f>
        <v>103.20133602240027</v>
      </c>
      <c r="N5" s="2">
        <v>115</v>
      </c>
      <c r="O5" s="3">
        <f>N4/N5</f>
        <v>31.991290434782609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30.631945409037204</v>
      </c>
      <c r="M7" s="6">
        <f>IF(M8&gt;$L1,(N11-N10/$O1)*$K4*(1-M8)/(1-$L1)*(1-M9),(N11-N10/$O1)*$K4*(1-M9))</f>
        <v>2.9430351188898736</v>
      </c>
      <c r="O7" s="6">
        <f>IF(O8&gt;$L1,(P11-P10/$O1)*$K4*(1-O8)/(1-$L1)*(1-O9),(P11-P10/$O1)*$K4*(1-O9))</f>
        <v>66.18732773304977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0.16900000000000001</v>
      </c>
      <c r="L8" s="6">
        <f>(L11-L10/$O1)*$K4*K8</f>
        <v>5.2857224109529977</v>
      </c>
      <c r="M8" s="1">
        <v>0.16900000000000001</v>
      </c>
      <c r="N8" s="6">
        <f>(N11-N10/$O1)*$K4*M8</f>
        <v>0.50783802583914539</v>
      </c>
      <c r="O8" s="1">
        <v>0.13</v>
      </c>
      <c r="P8" s="6">
        <f>(P11-P10/$O1)*$K4*O8</f>
        <v>8.691265257875223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0.31276463970136081</v>
      </c>
      <c r="M9" s="1">
        <v>0.01</v>
      </c>
      <c r="N9" s="6">
        <f>(N11-N10/$O1)*$K4*M9</f>
        <v>3.0049587327760082E-2</v>
      </c>
      <c r="O9" s="1">
        <v>0.01</v>
      </c>
      <c r="P9" s="6">
        <f>(P11-P10/$O1)*$K4*O9</f>
        <v>0.66855886599040182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115777.87144362487</v>
      </c>
      <c r="E10" s="55"/>
      <c r="F10" s="56"/>
      <c r="G10" s="54">
        <f>J3/J2*G11</f>
        <v>111742.12855637513</v>
      </c>
      <c r="H10" s="55"/>
      <c r="I10" s="56"/>
      <c r="J10" t="s">
        <v>21</v>
      </c>
      <c r="L10" s="22">
        <v>0</v>
      </c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115900</v>
      </c>
      <c r="E11" s="58"/>
      <c r="F11" s="59"/>
      <c r="G11" s="57">
        <f>H14+I14</f>
        <v>111860</v>
      </c>
      <c r="H11" s="58"/>
      <c r="I11" s="58"/>
      <c r="J11" s="25"/>
      <c r="K11" s="26">
        <f>K14+L14</f>
        <v>70360</v>
      </c>
      <c r="L11" s="27">
        <f>K11/2204.62262184877</f>
        <v>31.914759153200084</v>
      </c>
      <c r="M11" s="26">
        <f>M14+N14</f>
        <v>6760</v>
      </c>
      <c r="N11" s="27">
        <f>M11/2204.62262184877</f>
        <v>3.0662844212000082</v>
      </c>
      <c r="O11" s="26">
        <f>O14+P14</f>
        <v>150400</v>
      </c>
      <c r="P11" s="27">
        <f>O11/2204.62262184877</f>
        <v>68.22029244800018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66</v>
      </c>
      <c r="L12" s="51"/>
      <c r="M12" s="50" t="s">
        <v>95</v>
      </c>
      <c r="N12" s="51"/>
      <c r="O12" s="50" t="s">
        <v>86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115900</v>
      </c>
      <c r="F14" s="30">
        <f>SUM(F15:F133)</f>
        <v>0</v>
      </c>
      <c r="G14" s="29"/>
      <c r="H14" s="4">
        <f>SUM(H15:H133)</f>
        <v>111860</v>
      </c>
      <c r="I14" s="4">
        <f>SUM(I15:I133)</f>
        <v>0</v>
      </c>
      <c r="J14" s="25"/>
      <c r="K14" s="23">
        <f t="shared" ref="K14:X14" si="0">SUM(K15:K133)</f>
        <v>0</v>
      </c>
      <c r="L14" s="24">
        <f t="shared" si="0"/>
        <v>70360</v>
      </c>
      <c r="M14" s="23">
        <f t="shared" si="0"/>
        <v>6760</v>
      </c>
      <c r="N14" s="24">
        <f t="shared" si="0"/>
        <v>0</v>
      </c>
      <c r="O14" s="23">
        <f t="shared" si="0"/>
        <v>150400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D16">
        <v>51</v>
      </c>
      <c r="E16">
        <v>23440</v>
      </c>
      <c r="F16" s="21"/>
      <c r="G16" s="29">
        <v>568</v>
      </c>
      <c r="H16">
        <v>19680</v>
      </c>
      <c r="J16" s="29"/>
      <c r="L16">
        <v>42220</v>
      </c>
    </row>
    <row r="17" spans="2:15" x14ac:dyDescent="0.25">
      <c r="B17">
        <v>2</v>
      </c>
      <c r="C17" s="21"/>
      <c r="D17">
        <v>52</v>
      </c>
      <c r="E17">
        <v>16940</v>
      </c>
      <c r="F17" s="21"/>
      <c r="G17" s="29">
        <v>569</v>
      </c>
      <c r="H17">
        <v>17440</v>
      </c>
      <c r="J17" s="29"/>
      <c r="L17">
        <v>28140</v>
      </c>
      <c r="M17">
        <v>6760</v>
      </c>
    </row>
    <row r="18" spans="2:15" x14ac:dyDescent="0.25">
      <c r="C18" s="21"/>
      <c r="D18" s="29"/>
      <c r="F18" s="21"/>
      <c r="G18" s="29"/>
      <c r="J18" s="29"/>
    </row>
    <row r="19" spans="2:15" x14ac:dyDescent="0.25">
      <c r="B19">
        <v>3</v>
      </c>
      <c r="C19" s="21"/>
      <c r="D19" s="29">
        <v>53</v>
      </c>
      <c r="E19">
        <v>22160</v>
      </c>
      <c r="F19" s="21"/>
      <c r="G19" s="29">
        <v>53</v>
      </c>
      <c r="H19">
        <v>20040</v>
      </c>
      <c r="J19" s="29"/>
      <c r="O19">
        <v>42460</v>
      </c>
    </row>
    <row r="20" spans="2:15" x14ac:dyDescent="0.25">
      <c r="B20">
        <v>4</v>
      </c>
      <c r="C20" s="21"/>
      <c r="D20">
        <v>54</v>
      </c>
      <c r="E20">
        <v>16900</v>
      </c>
      <c r="F20" s="21"/>
      <c r="G20">
        <v>154</v>
      </c>
      <c r="H20">
        <v>21100</v>
      </c>
      <c r="J20" s="29"/>
      <c r="O20">
        <v>37800</v>
      </c>
    </row>
    <row r="21" spans="2:15" x14ac:dyDescent="0.25">
      <c r="B21">
        <v>5</v>
      </c>
      <c r="C21" s="21"/>
      <c r="D21">
        <v>55</v>
      </c>
      <c r="E21">
        <v>21360</v>
      </c>
      <c r="F21" s="21"/>
      <c r="G21">
        <v>155</v>
      </c>
      <c r="H21">
        <v>20000</v>
      </c>
      <c r="J21" s="29"/>
      <c r="O21">
        <v>41380</v>
      </c>
    </row>
    <row r="22" spans="2:15" x14ac:dyDescent="0.25">
      <c r="B22">
        <v>6</v>
      </c>
      <c r="C22" s="21"/>
      <c r="D22">
        <v>56</v>
      </c>
      <c r="E22">
        <v>15100</v>
      </c>
      <c r="F22" s="21"/>
      <c r="G22">
        <v>156</v>
      </c>
      <c r="H22">
        <v>13600</v>
      </c>
      <c r="J22" s="29"/>
      <c r="O22">
        <f>13580+15180</f>
        <v>28760</v>
      </c>
    </row>
    <row r="23" spans="2:15" x14ac:dyDescent="0.25">
      <c r="C23" s="21"/>
      <c r="F23" s="21"/>
      <c r="J23" s="29"/>
    </row>
    <row r="24" spans="2:15" x14ac:dyDescent="0.25">
      <c r="C24" s="21"/>
      <c r="F24" s="21"/>
      <c r="J24" s="29"/>
    </row>
    <row r="25" spans="2:15" x14ac:dyDescent="0.25">
      <c r="C25" s="21"/>
      <c r="F25" s="21"/>
      <c r="J25" s="29"/>
    </row>
    <row r="26" spans="2:15" x14ac:dyDescent="0.25">
      <c r="C26" s="21"/>
      <c r="F26" s="21"/>
      <c r="J26" s="29"/>
    </row>
    <row r="27" spans="2:15" x14ac:dyDescent="0.25">
      <c r="C27" s="21"/>
      <c r="F27" s="21"/>
      <c r="J27" s="29"/>
    </row>
    <row r="28" spans="2:15" x14ac:dyDescent="0.25">
      <c r="C28" s="21"/>
      <c r="F28" s="21"/>
      <c r="I28" s="21"/>
      <c r="J28" s="29"/>
    </row>
    <row r="29" spans="2:15" x14ac:dyDescent="0.25">
      <c r="C29" s="21"/>
      <c r="F29" s="21"/>
      <c r="I29" s="21"/>
      <c r="J29" s="29"/>
    </row>
    <row r="30" spans="2:15" x14ac:dyDescent="0.25">
      <c r="C30" s="21"/>
      <c r="D30" s="38"/>
      <c r="F30" s="21"/>
      <c r="J30" s="29"/>
    </row>
    <row r="31" spans="2:15" x14ac:dyDescent="0.25">
      <c r="C31" s="21"/>
      <c r="F31" s="21"/>
      <c r="J31" s="29"/>
    </row>
    <row r="32" spans="2:15" x14ac:dyDescent="0.25">
      <c r="C32" s="21"/>
      <c r="F32" s="21"/>
      <c r="J32" s="29"/>
    </row>
    <row r="33" spans="3:10" x14ac:dyDescent="0.25">
      <c r="C33" s="21"/>
      <c r="F33" s="21"/>
      <c r="J33" s="29"/>
    </row>
    <row r="34" spans="3:10" x14ac:dyDescent="0.25">
      <c r="C34" s="21"/>
      <c r="F34" s="21"/>
      <c r="J34" s="29"/>
    </row>
    <row r="35" spans="3:10" x14ac:dyDescent="0.25">
      <c r="C35" s="21"/>
      <c r="F35" s="21"/>
      <c r="J35" s="29"/>
    </row>
    <row r="36" spans="3:10" x14ac:dyDescent="0.25">
      <c r="C36" s="21"/>
      <c r="F36" s="21"/>
      <c r="J36" s="29"/>
    </row>
    <row r="37" spans="3:10" x14ac:dyDescent="0.25">
      <c r="C37" s="21"/>
      <c r="F37" s="21"/>
      <c r="J37" s="29"/>
    </row>
    <row r="38" spans="3:10" x14ac:dyDescent="0.25">
      <c r="C38" s="21"/>
      <c r="F38" s="21"/>
      <c r="J38" s="29"/>
    </row>
    <row r="39" spans="3:10" x14ac:dyDescent="0.25">
      <c r="C39" s="21"/>
      <c r="F39" s="21"/>
      <c r="J39" s="29"/>
    </row>
    <row r="40" spans="3:10" x14ac:dyDescent="0.25">
      <c r="C40" s="21"/>
      <c r="F40" s="21"/>
      <c r="J40" s="29"/>
    </row>
    <row r="41" spans="3:10" x14ac:dyDescent="0.25">
      <c r="C41" s="21"/>
      <c r="F41" s="21"/>
      <c r="J41" s="29"/>
    </row>
    <row r="42" spans="3:10" x14ac:dyDescent="0.25">
      <c r="C42" s="21"/>
      <c r="F42" s="21"/>
      <c r="J42" s="29"/>
    </row>
    <row r="43" spans="3:10" x14ac:dyDescent="0.25">
      <c r="C43" s="21"/>
      <c r="F43" s="21"/>
      <c r="J43" s="29"/>
    </row>
    <row r="44" spans="3:10" x14ac:dyDescent="0.25">
      <c r="C44" s="21"/>
      <c r="F44" s="21"/>
      <c r="J44" s="29"/>
    </row>
    <row r="45" spans="3:10" x14ac:dyDescent="0.25">
      <c r="C45" s="21"/>
      <c r="F45" s="21"/>
      <c r="J45" s="29"/>
    </row>
    <row r="46" spans="3:10" x14ac:dyDescent="0.25">
      <c r="C46" s="21"/>
      <c r="F46" s="21"/>
      <c r="J46" s="29"/>
    </row>
    <row r="47" spans="3:10" x14ac:dyDescent="0.25">
      <c r="C47" s="21"/>
      <c r="F47" s="21"/>
      <c r="J47" s="29"/>
    </row>
    <row r="48" spans="3:10" x14ac:dyDescent="0.25">
      <c r="C48" s="21"/>
      <c r="F48" s="21"/>
      <c r="J48" s="29"/>
    </row>
    <row r="49" spans="1:20" x14ac:dyDescent="0.25">
      <c r="C49" s="21"/>
      <c r="F49" s="21"/>
      <c r="J49" s="29"/>
    </row>
    <row r="50" spans="1:20" x14ac:dyDescent="0.25">
      <c r="C50" s="21"/>
      <c r="F50" s="21"/>
      <c r="J50" s="29"/>
    </row>
    <row r="51" spans="1:20" x14ac:dyDescent="0.25">
      <c r="C51" s="21"/>
      <c r="F51" s="21"/>
      <c r="J51" s="29"/>
    </row>
    <row r="52" spans="1:20" x14ac:dyDescent="0.25">
      <c r="C52" s="21"/>
      <c r="F52" s="21"/>
      <c r="J52" s="29"/>
    </row>
    <row r="53" spans="1:20" x14ac:dyDescent="0.25">
      <c r="C53" s="21"/>
      <c r="F53" s="21"/>
      <c r="J53" s="29"/>
    </row>
    <row r="54" spans="1:20" x14ac:dyDescent="0.25">
      <c r="C54" s="21"/>
      <c r="F54" s="21"/>
      <c r="J54" s="29"/>
    </row>
    <row r="55" spans="1:20" x14ac:dyDescent="0.25">
      <c r="C55" s="21"/>
      <c r="F55" s="21"/>
      <c r="J55" s="29"/>
      <c r="L55" s="9"/>
      <c r="M55" s="9"/>
    </row>
    <row r="56" spans="1:20" x14ac:dyDescent="0.25">
      <c r="C56" s="21"/>
      <c r="F56" s="21"/>
      <c r="J56" s="29"/>
    </row>
    <row r="57" spans="1:20" x14ac:dyDescent="0.25">
      <c r="C57" s="21"/>
      <c r="F57" s="21"/>
      <c r="J57" s="29"/>
    </row>
    <row r="58" spans="1:20" s="9" customFormat="1" x14ac:dyDescent="0.25">
      <c r="A58"/>
      <c r="C58" s="35"/>
      <c r="D58"/>
      <c r="E58"/>
      <c r="F58" s="21"/>
      <c r="G58"/>
      <c r="H58"/>
      <c r="I58"/>
      <c r="J58" s="29"/>
      <c r="K58"/>
      <c r="S58"/>
      <c r="T58"/>
    </row>
    <row r="59" spans="1:20" s="9" customFormat="1" x14ac:dyDescent="0.25">
      <c r="A59"/>
      <c r="C59" s="35"/>
      <c r="D59"/>
      <c r="E59"/>
      <c r="F59" s="21"/>
      <c r="G59"/>
      <c r="H59"/>
      <c r="I59"/>
      <c r="J59" s="29"/>
      <c r="K59"/>
      <c r="S59"/>
      <c r="T59"/>
    </row>
    <row r="60" spans="1:20" s="9" customFormat="1" x14ac:dyDescent="0.25">
      <c r="A60"/>
      <c r="C60" s="35"/>
      <c r="D60"/>
      <c r="E60"/>
      <c r="F60" s="21"/>
      <c r="G60"/>
      <c r="H60"/>
      <c r="I60"/>
      <c r="J60" s="29"/>
      <c r="K60"/>
      <c r="S60"/>
      <c r="T60"/>
    </row>
    <row r="61" spans="1:20" s="9" customFormat="1" x14ac:dyDescent="0.25">
      <c r="A61"/>
      <c r="C61" s="35"/>
      <c r="D61"/>
      <c r="E61"/>
      <c r="F61" s="21"/>
      <c r="G61"/>
      <c r="H61"/>
      <c r="J61" s="47"/>
      <c r="K61"/>
      <c r="S61"/>
      <c r="T61"/>
    </row>
    <row r="62" spans="1:20" s="9" customFormat="1" x14ac:dyDescent="0.25">
      <c r="A62"/>
      <c r="C62" s="35"/>
      <c r="D62" s="29"/>
      <c r="E62" s="2"/>
      <c r="F62" s="21"/>
      <c r="G62"/>
      <c r="H62" s="2"/>
      <c r="J62" s="47"/>
      <c r="K62"/>
      <c r="M62" s="42"/>
      <c r="S62"/>
      <c r="T62"/>
    </row>
    <row r="63" spans="1:20" x14ac:dyDescent="0.25">
      <c r="C63" s="21"/>
      <c r="D63" s="29"/>
      <c r="F63" s="21"/>
      <c r="J63" s="29"/>
      <c r="O63" s="9"/>
    </row>
    <row r="64" spans="1:20" x14ac:dyDescent="0.25">
      <c r="C64" s="21"/>
      <c r="D64" s="29"/>
      <c r="E64" s="2"/>
      <c r="F64" s="21"/>
      <c r="H64" s="2"/>
      <c r="J64" s="29"/>
      <c r="M64" s="42"/>
    </row>
    <row r="65" spans="3:10" x14ac:dyDescent="0.25">
      <c r="C65" s="21"/>
      <c r="D65" s="29"/>
      <c r="F65" s="21"/>
      <c r="J65" s="29"/>
    </row>
    <row r="66" spans="3:10" x14ac:dyDescent="0.25">
      <c r="C66" s="21"/>
      <c r="D66" s="29"/>
      <c r="F66" s="21"/>
      <c r="J66" s="29"/>
    </row>
    <row r="67" spans="3:10" x14ac:dyDescent="0.25">
      <c r="C67" s="21"/>
      <c r="D67" s="29"/>
      <c r="F67" s="21"/>
      <c r="J67" s="29"/>
    </row>
    <row r="68" spans="3:10" x14ac:dyDescent="0.25">
      <c r="C68" s="21"/>
      <c r="D68" s="29"/>
      <c r="F68" s="21"/>
      <c r="J68" s="29"/>
    </row>
    <row r="69" spans="3:10" x14ac:dyDescent="0.25">
      <c r="C69" s="21"/>
      <c r="D69" s="29"/>
      <c r="F69" s="21"/>
      <c r="J69" s="29"/>
    </row>
    <row r="70" spans="3:10" x14ac:dyDescent="0.25">
      <c r="C70" s="21"/>
      <c r="D70" s="29"/>
      <c r="F70" s="21"/>
      <c r="J70" s="29"/>
    </row>
    <row r="71" spans="3:10" x14ac:dyDescent="0.25">
      <c r="C71" s="21"/>
      <c r="D71" s="29"/>
      <c r="F71" s="21"/>
      <c r="J71" s="29"/>
    </row>
    <row r="72" spans="3:10" x14ac:dyDescent="0.25">
      <c r="C72" s="21"/>
      <c r="D72" s="29"/>
      <c r="F72" s="21"/>
      <c r="J72" s="29"/>
    </row>
    <row r="73" spans="3:10" x14ac:dyDescent="0.25">
      <c r="C73" s="21"/>
      <c r="D73" s="29"/>
      <c r="F73" s="21"/>
      <c r="J73" s="29"/>
    </row>
    <row r="74" spans="3:10" x14ac:dyDescent="0.25">
      <c r="C74" s="21"/>
      <c r="D74" s="29"/>
      <c r="F74" s="21"/>
      <c r="J74" s="29"/>
    </row>
    <row r="75" spans="3:10" x14ac:dyDescent="0.25">
      <c r="C75" s="21"/>
      <c r="D75" s="29"/>
      <c r="F75" s="21"/>
      <c r="J75" s="29"/>
    </row>
    <row r="76" spans="3:10" x14ac:dyDescent="0.25">
      <c r="C76" s="21"/>
      <c r="D76" s="29"/>
      <c r="F76" s="21"/>
      <c r="J76" s="29"/>
    </row>
    <row r="77" spans="3:10" x14ac:dyDescent="0.25">
      <c r="C77" s="21"/>
      <c r="D77" s="29"/>
      <c r="F77" s="21"/>
      <c r="J77" s="29"/>
    </row>
    <row r="78" spans="3:10" x14ac:dyDescent="0.25">
      <c r="C78" s="21"/>
      <c r="D78" s="29"/>
      <c r="F78" s="21"/>
      <c r="J78" s="29"/>
    </row>
    <row r="79" spans="3:10" x14ac:dyDescent="0.25">
      <c r="C79" s="21"/>
      <c r="D79" s="29"/>
      <c r="F79" s="21"/>
      <c r="G79" s="38"/>
      <c r="J79" s="29"/>
    </row>
    <row r="80" spans="3:10" x14ac:dyDescent="0.25">
      <c r="C80" s="21"/>
      <c r="G80" s="29"/>
      <c r="J80" s="29"/>
    </row>
    <row r="81" spans="3:10" x14ac:dyDescent="0.25">
      <c r="C81" s="21"/>
      <c r="D81" s="29"/>
      <c r="F81" s="21"/>
      <c r="G81" s="29"/>
      <c r="J81" s="29"/>
    </row>
    <row r="82" spans="3:10" x14ac:dyDescent="0.25">
      <c r="C82" s="21"/>
      <c r="D82" s="29"/>
      <c r="F82" s="21"/>
      <c r="G82" s="29"/>
      <c r="J82" s="29"/>
    </row>
    <row r="83" spans="3:10" x14ac:dyDescent="0.25">
      <c r="C83" s="21"/>
      <c r="D83" s="29"/>
      <c r="F83" s="21"/>
      <c r="G83" s="29"/>
      <c r="J83" s="29"/>
    </row>
    <row r="84" spans="3:10" x14ac:dyDescent="0.25">
      <c r="C84" s="21"/>
      <c r="D84" s="39"/>
      <c r="F84" s="21"/>
      <c r="G84" s="39"/>
      <c r="J84" s="29"/>
    </row>
    <row r="85" spans="3:10" x14ac:dyDescent="0.25">
      <c r="C85" s="21"/>
      <c r="D85" s="29"/>
      <c r="F85" s="21"/>
      <c r="G85" s="29"/>
      <c r="J85" s="29"/>
    </row>
    <row r="86" spans="3:10" x14ac:dyDescent="0.25">
      <c r="C86" s="21"/>
      <c r="D86" s="29"/>
      <c r="F86" s="21"/>
      <c r="G86" s="29"/>
      <c r="J86" s="29"/>
    </row>
    <row r="87" spans="3:10" x14ac:dyDescent="0.25">
      <c r="C87" s="21"/>
      <c r="D87" s="29"/>
      <c r="F87" s="21"/>
      <c r="G87" s="29"/>
      <c r="J87" s="29"/>
    </row>
    <row r="88" spans="3:10" x14ac:dyDescent="0.25">
      <c r="C88" s="21"/>
      <c r="D88" s="39"/>
      <c r="F88" s="21"/>
      <c r="G88" s="29"/>
      <c r="J88" s="29"/>
    </row>
    <row r="89" spans="3:10" x14ac:dyDescent="0.25">
      <c r="C89" s="21"/>
      <c r="D89" s="39"/>
      <c r="F89" s="21"/>
      <c r="G89" s="29"/>
      <c r="J89" s="29"/>
    </row>
    <row r="90" spans="3:10" x14ac:dyDescent="0.25">
      <c r="C90" s="21"/>
      <c r="D90" s="29"/>
      <c r="F90" s="21"/>
      <c r="G90" s="29"/>
      <c r="J90" s="29"/>
    </row>
    <row r="91" spans="3:10" x14ac:dyDescent="0.25">
      <c r="C91" s="21"/>
      <c r="D91" s="29"/>
      <c r="F91" s="21"/>
      <c r="G91" s="29"/>
      <c r="J91" s="29"/>
    </row>
    <row r="92" spans="3:10" x14ac:dyDescent="0.25">
      <c r="C92" s="21"/>
      <c r="D92" s="39"/>
      <c r="F92" s="21"/>
      <c r="G92" s="29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C102" s="21"/>
      <c r="D102" s="29"/>
      <c r="F102" s="21"/>
      <c r="G102" s="29"/>
      <c r="J102" s="29"/>
    </row>
    <row r="103" spans="3:10" x14ac:dyDescent="0.25">
      <c r="C103" s="21"/>
      <c r="D103" s="29"/>
      <c r="F103" s="21"/>
      <c r="G103" s="29"/>
      <c r="J103" s="29"/>
    </row>
    <row r="104" spans="3:10" x14ac:dyDescent="0.25">
      <c r="C104" s="21"/>
      <c r="D104" s="29"/>
      <c r="F104" s="21"/>
      <c r="G104" s="29"/>
      <c r="J104" s="29"/>
    </row>
    <row r="105" spans="3:10" x14ac:dyDescent="0.25">
      <c r="C105" s="21"/>
      <c r="D105" s="29"/>
      <c r="F105" s="21"/>
      <c r="G105" s="29"/>
      <c r="J105" s="29"/>
    </row>
    <row r="106" spans="3:10" x14ac:dyDescent="0.25">
      <c r="C106" s="21"/>
      <c r="D106" s="29"/>
      <c r="F106" s="21"/>
      <c r="G106" s="29"/>
      <c r="J106" s="29"/>
    </row>
    <row r="107" spans="3:10" x14ac:dyDescent="0.25">
      <c r="C107" s="21"/>
      <c r="D107" s="29"/>
      <c r="F107" s="21"/>
      <c r="G107" s="29"/>
      <c r="J107" s="29"/>
    </row>
    <row r="108" spans="3:10" x14ac:dyDescent="0.25">
      <c r="C108" s="21"/>
      <c r="D108" s="29"/>
      <c r="F108" s="21"/>
      <c r="G108" s="29"/>
      <c r="J108" s="29"/>
    </row>
    <row r="109" spans="3:10" x14ac:dyDescent="0.25">
      <c r="C109" s="21"/>
      <c r="D109" s="29"/>
      <c r="F109" s="21"/>
      <c r="G109" s="29"/>
      <c r="J109" s="29"/>
    </row>
    <row r="110" spans="3:10" x14ac:dyDescent="0.25">
      <c r="C110" s="21"/>
      <c r="D110" s="29"/>
      <c r="F110" s="21"/>
      <c r="G110" s="29"/>
      <c r="J110" s="29"/>
    </row>
    <row r="111" spans="3:10" x14ac:dyDescent="0.25">
      <c r="C111" s="21"/>
      <c r="D111" s="29"/>
      <c r="F111" s="21"/>
      <c r="G111" s="29"/>
      <c r="J111" s="29"/>
    </row>
    <row r="112" spans="3:10" x14ac:dyDescent="0.25">
      <c r="C112" s="21"/>
      <c r="D112" s="29"/>
      <c r="F112" s="21"/>
      <c r="G112" s="29"/>
      <c r="J112" s="29"/>
    </row>
    <row r="113" spans="3:10" x14ac:dyDescent="0.25">
      <c r="C113" s="21"/>
      <c r="D113" s="29"/>
      <c r="F113" s="21"/>
      <c r="G113" s="29"/>
      <c r="J113" s="29"/>
    </row>
    <row r="114" spans="3:10" x14ac:dyDescent="0.25">
      <c r="C114" s="21"/>
      <c r="D114" s="29"/>
      <c r="F114" s="21"/>
      <c r="G114" s="29"/>
      <c r="J114" s="29"/>
    </row>
    <row r="115" spans="3:10" x14ac:dyDescent="0.25">
      <c r="C115" s="21"/>
      <c r="D115" s="29"/>
      <c r="F115" s="21"/>
      <c r="G115" s="29"/>
      <c r="J115" s="29"/>
    </row>
    <row r="116" spans="3:10" x14ac:dyDescent="0.25">
      <c r="C116" s="21"/>
      <c r="D116" s="29"/>
      <c r="F116" s="21"/>
      <c r="G116" s="29"/>
      <c r="J116" s="29"/>
    </row>
    <row r="117" spans="3:10" x14ac:dyDescent="0.25">
      <c r="C117" s="21"/>
      <c r="D117" s="29"/>
      <c r="F117" s="21"/>
      <c r="G117" s="29"/>
      <c r="J117" s="29"/>
    </row>
    <row r="118" spans="3:10" x14ac:dyDescent="0.25">
      <c r="C118" s="21"/>
      <c r="D118" s="29"/>
      <c r="F118" s="21"/>
      <c r="G118" s="29"/>
      <c r="J118" s="29"/>
    </row>
    <row r="119" spans="3:10" x14ac:dyDescent="0.25">
      <c r="C119" s="21"/>
      <c r="D119" s="29"/>
      <c r="F119" s="21"/>
      <c r="G119" s="29"/>
      <c r="J119" s="29"/>
    </row>
    <row r="120" spans="3:10" x14ac:dyDescent="0.25">
      <c r="C120" s="21"/>
      <c r="D120" s="29"/>
      <c r="F120" s="21"/>
      <c r="G120" s="29"/>
      <c r="J120" s="29"/>
    </row>
    <row r="121" spans="3:10" x14ac:dyDescent="0.25">
      <c r="C121" s="21"/>
      <c r="D121" s="29"/>
      <c r="F121" s="21"/>
      <c r="G121" s="29"/>
      <c r="J121" s="29"/>
    </row>
    <row r="122" spans="3:10" x14ac:dyDescent="0.25">
      <c r="C122" s="21"/>
      <c r="D122" s="29"/>
      <c r="F122" s="21"/>
      <c r="G122" s="29"/>
      <c r="J122" s="29"/>
    </row>
    <row r="123" spans="3:10" x14ac:dyDescent="0.25">
      <c r="C123" s="21"/>
      <c r="D123" s="29"/>
      <c r="F123" s="21"/>
      <c r="G123" s="29"/>
      <c r="J123" s="29"/>
    </row>
    <row r="124" spans="3:10" x14ac:dyDescent="0.25">
      <c r="C124" s="21"/>
      <c r="D124" s="29"/>
      <c r="F124" s="21"/>
      <c r="G124" s="29"/>
      <c r="J124" s="29"/>
    </row>
    <row r="125" spans="3:10" x14ac:dyDescent="0.25">
      <c r="C125" s="21"/>
      <c r="D125" s="29"/>
      <c r="F125" s="21"/>
      <c r="G125" s="29"/>
      <c r="J125" s="29"/>
    </row>
    <row r="126" spans="3:10" x14ac:dyDescent="0.25">
      <c r="C126" s="21"/>
      <c r="D126" s="29"/>
      <c r="F126" s="21"/>
      <c r="G126" s="29"/>
      <c r="J126" s="29"/>
    </row>
    <row r="127" spans="3:10" x14ac:dyDescent="0.25">
      <c r="D127" s="29"/>
      <c r="F127" s="21"/>
      <c r="G127" s="29"/>
      <c r="J127" s="29"/>
    </row>
    <row r="128" spans="3:10" x14ac:dyDescent="0.25">
      <c r="D128" s="29"/>
      <c r="F128" s="21"/>
      <c r="G128" s="29"/>
      <c r="J128" s="29"/>
    </row>
    <row r="129" spans="4:10" x14ac:dyDescent="0.25">
      <c r="D129" s="29"/>
      <c r="F129" s="21"/>
      <c r="G129" s="29"/>
      <c r="J129" s="29"/>
    </row>
    <row r="130" spans="4:10" x14ac:dyDescent="0.25">
      <c r="D130" s="29"/>
      <c r="F130" s="21"/>
      <c r="G130" s="29"/>
      <c r="J130" s="29"/>
    </row>
    <row r="131" spans="4:10" x14ac:dyDescent="0.25">
      <c r="D131" s="29"/>
      <c r="F131" s="21"/>
      <c r="G131" s="29"/>
      <c r="J131" s="29"/>
    </row>
    <row r="132" spans="4:10" x14ac:dyDescent="0.25">
      <c r="D132" s="29"/>
      <c r="F132" s="21"/>
      <c r="G132" s="29"/>
      <c r="J132" s="29"/>
    </row>
    <row r="133" spans="4:10" x14ac:dyDescent="0.25">
      <c r="D133" s="31"/>
      <c r="E133" s="41"/>
      <c r="F133" s="32"/>
      <c r="G133" s="31"/>
      <c r="H133" s="41"/>
      <c r="I133" s="41"/>
      <c r="J133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5D59-0877-4ADE-8012-0B20166B8E33}">
  <dimension ref="A1:X108"/>
  <sheetViews>
    <sheetView workbookViewId="0">
      <pane ySplit="15" topLeftCell="A16" activePane="bottomLeft" state="frozen"/>
      <selection pane="bottomLeft" activeCell="M36" sqref="M3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[11]Summary!E2</f>
        <v>0.1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369680</v>
      </c>
      <c r="K2">
        <f>J2-J3</f>
        <v>1220</v>
      </c>
      <c r="L2" s="1">
        <f>K2/J2</f>
        <v>3.300151482363125E-3</v>
      </c>
    </row>
    <row r="3" spans="1:24" x14ac:dyDescent="0.25">
      <c r="B3" t="s">
        <v>6</v>
      </c>
      <c r="D3" s="64" t="s">
        <v>127</v>
      </c>
      <c r="E3" s="52"/>
      <c r="F3" t="s">
        <v>128</v>
      </c>
      <c r="H3" s="63" t="s">
        <v>9</v>
      </c>
      <c r="I3" s="63"/>
      <c r="J3">
        <f>K11-L10+M11-N10+O11-P10+Q11-R10+S11-T10+U11-V10+W11-X10</f>
        <v>368460</v>
      </c>
      <c r="K3" s="5" t="s">
        <v>10</v>
      </c>
      <c r="L3" s="5" t="s">
        <v>11</v>
      </c>
      <c r="M3" s="5" t="s">
        <v>12</v>
      </c>
      <c r="N3" s="6">
        <f>N4*I4/O1</f>
        <v>158.87439080448053</v>
      </c>
      <c r="O3" s="6">
        <f>K7+M7+O7+Q7+S7+U7+W7</f>
        <v>158.59862410178687</v>
      </c>
    </row>
    <row r="4" spans="1:24" x14ac:dyDescent="0.25">
      <c r="B4" t="s">
        <v>14</v>
      </c>
      <c r="D4" s="65" t="str">
        <f>[11]Summary!C2</f>
        <v>Canola</v>
      </c>
      <c r="E4" s="52"/>
      <c r="F4" s="2">
        <f>[11]Summary!C3</f>
        <v>2021</v>
      </c>
      <c r="I4" s="2">
        <f>[11]Summary!D2</f>
        <v>50</v>
      </c>
      <c r="J4" s="2">
        <f>J3/I4</f>
        <v>7369.2</v>
      </c>
      <c r="K4" s="8">
        <v>0.98</v>
      </c>
      <c r="L4" s="8">
        <f>IF(J5=0,L1,(L8+N8+P8+R8+T8+V8+X8)/J5/K4)</f>
        <v>8.5060630733322456E-2</v>
      </c>
      <c r="M4" s="8">
        <f>IF(J5=0,0,(L9+N9+P9+R9+T9+V9+X9)/J5/K4)</f>
        <v>0.03</v>
      </c>
      <c r="N4" s="2">
        <f>IF(L4&gt;L1,J4*(1-L4)/(1-L1)*(1-M4)*K4,J4*K4*(1-M4))</f>
        <v>7005.1615199999997</v>
      </c>
      <c r="V4" s="6"/>
    </row>
    <row r="5" spans="1:24" x14ac:dyDescent="0.25">
      <c r="B5" t="s">
        <v>16</v>
      </c>
      <c r="D5" s="65">
        <v>44464</v>
      </c>
      <c r="E5" s="52"/>
      <c r="F5" s="13">
        <v>44469</v>
      </c>
      <c r="J5" s="6">
        <f>J3/O1</f>
        <v>167.13064465020045</v>
      </c>
      <c r="N5" s="2">
        <v>250</v>
      </c>
      <c r="O5" s="3">
        <f>N4/N5</f>
        <v>28.020646079999999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109.23638431961976</v>
      </c>
      <c r="M7" s="6">
        <f>IF(M8&gt;$L1,(N11-N10/$O1)*$K4*(1-M8)/(1-$L1)*(1-M9),(N11-N10/$O1)*$K4*(1-M9))</f>
        <v>49.362239782167102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7.5999999999999998E-2</v>
      </c>
      <c r="L8" s="6">
        <f>(L11-L10/$O1)*$K4*K8</f>
        <v>8.5587270188568052</v>
      </c>
      <c r="M8" s="1">
        <v>0.105</v>
      </c>
      <c r="N8" s="6">
        <f>(N11-N10/$O1)*$K4*M8</f>
        <v>5.373186268979774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0.03</v>
      </c>
      <c r="L9" s="6">
        <f>(L11-L10/$O1)*$K4*K9</f>
        <v>3.3784448758645285</v>
      </c>
      <c r="M9" s="1">
        <v>0.03</v>
      </c>
      <c r="N9" s="6">
        <f>(N11-N10/$O1)*$K4*M9</f>
        <v>1.5351960768513642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109298.10538844405</v>
      </c>
      <c r="E10" s="55"/>
      <c r="F10" s="56"/>
      <c r="G10" s="54">
        <f>J3/J2*G11</f>
        <v>259161.89461155594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109660</v>
      </c>
      <c r="E11" s="58"/>
      <c r="F11" s="59"/>
      <c r="G11" s="57">
        <f>H14+I14</f>
        <v>260020</v>
      </c>
      <c r="H11" s="58"/>
      <c r="I11" s="58"/>
      <c r="J11" s="25"/>
      <c r="K11" s="26">
        <f>K14+L14</f>
        <v>253340</v>
      </c>
      <c r="L11" s="27">
        <f>K11/2204.62262184877</f>
        <v>114.9130910158003</v>
      </c>
      <c r="M11" s="26">
        <f>M14+N14</f>
        <v>115120</v>
      </c>
      <c r="N11" s="27">
        <f>M11/2204.62262184877</f>
        <v>52.21755363440014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129</v>
      </c>
      <c r="L12" s="51"/>
      <c r="M12" s="50" t="s">
        <v>122</v>
      </c>
      <c r="N12" s="51"/>
      <c r="O12" s="50" t="s">
        <v>43</v>
      </c>
      <c r="P12" s="51"/>
      <c r="Q12" s="50" t="s">
        <v>44</v>
      </c>
      <c r="R12" s="51"/>
      <c r="S12" s="50" t="s">
        <v>45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109660</v>
      </c>
      <c r="F14" s="30">
        <f>SUM(F15:F133)</f>
        <v>0</v>
      </c>
      <c r="G14" s="29"/>
      <c r="H14" s="4">
        <f>SUM(H15:H133)</f>
        <v>260020</v>
      </c>
      <c r="I14" s="4">
        <f>SUM(I15:I133)</f>
        <v>0</v>
      </c>
      <c r="J14" s="25"/>
      <c r="K14" s="23">
        <f t="shared" ref="K14:X14" si="0">SUM(K15:K133)</f>
        <v>273340</v>
      </c>
      <c r="L14" s="24">
        <f t="shared" si="0"/>
        <v>-20000</v>
      </c>
      <c r="M14" s="23">
        <f t="shared" si="0"/>
        <v>115120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36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136</v>
      </c>
      <c r="E16">
        <v>11080</v>
      </c>
      <c r="F16" s="21"/>
      <c r="G16" s="29">
        <v>637</v>
      </c>
      <c r="H16">
        <v>15260</v>
      </c>
      <c r="J16" s="33"/>
      <c r="K16">
        <v>25880</v>
      </c>
    </row>
    <row r="17" spans="3:16" x14ac:dyDescent="0.25">
      <c r="C17" s="21">
        <v>2</v>
      </c>
      <c r="D17" s="29">
        <v>137</v>
      </c>
      <c r="E17">
        <v>14860</v>
      </c>
      <c r="F17" s="21"/>
      <c r="G17" s="29">
        <v>638</v>
      </c>
      <c r="H17">
        <v>16240</v>
      </c>
      <c r="J17" s="33"/>
    </row>
    <row r="18" spans="3:16" x14ac:dyDescent="0.25">
      <c r="C18" s="21"/>
      <c r="D18" s="29"/>
      <c r="F18" s="21"/>
      <c r="G18" s="29">
        <v>639</v>
      </c>
      <c r="H18">
        <v>4140</v>
      </c>
      <c r="J18" s="34"/>
      <c r="K18">
        <v>35040</v>
      </c>
    </row>
    <row r="19" spans="3:16" x14ac:dyDescent="0.25">
      <c r="C19" s="21">
        <v>3</v>
      </c>
      <c r="D19">
        <v>138</v>
      </c>
      <c r="E19">
        <v>17460</v>
      </c>
      <c r="F19" s="21"/>
      <c r="G19">
        <v>640</v>
      </c>
      <c r="H19">
        <v>16240</v>
      </c>
      <c r="J19" s="33"/>
    </row>
    <row r="20" spans="3:16" x14ac:dyDescent="0.25">
      <c r="C20" s="21"/>
      <c r="F20" s="21"/>
      <c r="G20">
        <v>641</v>
      </c>
      <c r="H20">
        <v>7960</v>
      </c>
      <c r="J20" s="33"/>
      <c r="K20">
        <v>41340</v>
      </c>
    </row>
    <row r="21" spans="3:16" x14ac:dyDescent="0.25">
      <c r="C21" s="21">
        <v>4</v>
      </c>
      <c r="D21">
        <v>139</v>
      </c>
      <c r="E21">
        <v>17100</v>
      </c>
      <c r="F21" s="21"/>
      <c r="G21">
        <v>642</v>
      </c>
      <c r="H21">
        <v>13940</v>
      </c>
      <c r="J21" s="34"/>
      <c r="K21">
        <v>31640</v>
      </c>
    </row>
    <row r="22" spans="3:16" x14ac:dyDescent="0.25">
      <c r="C22" s="21">
        <v>5</v>
      </c>
      <c r="D22">
        <v>140</v>
      </c>
      <c r="E22">
        <v>9940</v>
      </c>
      <c r="F22" s="21"/>
      <c r="G22" t="s">
        <v>130</v>
      </c>
      <c r="H22">
        <v>16020</v>
      </c>
      <c r="J22" s="33"/>
      <c r="K22">
        <v>25420</v>
      </c>
    </row>
    <row r="23" spans="3:16" x14ac:dyDescent="0.25">
      <c r="C23" s="21">
        <v>6</v>
      </c>
      <c r="F23" s="21"/>
      <c r="G23">
        <v>645</v>
      </c>
      <c r="H23">
        <v>18000</v>
      </c>
      <c r="J23" s="33"/>
    </row>
    <row r="24" spans="3:16" x14ac:dyDescent="0.25">
      <c r="C24" s="21"/>
      <c r="F24" s="21"/>
      <c r="G24">
        <v>646</v>
      </c>
      <c r="H24">
        <v>15600</v>
      </c>
      <c r="J24" s="34"/>
      <c r="K24">
        <v>33340</v>
      </c>
    </row>
    <row r="25" spans="3:16" x14ac:dyDescent="0.25">
      <c r="C25" s="21">
        <v>7</v>
      </c>
      <c r="F25" s="21"/>
      <c r="G25">
        <v>647</v>
      </c>
      <c r="H25">
        <v>8620</v>
      </c>
      <c r="J25" s="34"/>
      <c r="K25">
        <v>8620</v>
      </c>
    </row>
    <row r="26" spans="3:16" x14ac:dyDescent="0.25">
      <c r="C26" s="21">
        <v>8</v>
      </c>
      <c r="F26" s="21"/>
      <c r="G26">
        <v>648</v>
      </c>
      <c r="H26">
        <v>14720</v>
      </c>
      <c r="J26" s="34"/>
      <c r="M26" s="9"/>
    </row>
    <row r="27" spans="3:16" x14ac:dyDescent="0.25">
      <c r="C27" s="21"/>
      <c r="E27" s="9"/>
      <c r="F27" s="21"/>
      <c r="G27">
        <v>649</v>
      </c>
      <c r="H27">
        <v>15940</v>
      </c>
      <c r="J27" s="34"/>
      <c r="K27">
        <v>30640</v>
      </c>
      <c r="O27" s="9"/>
      <c r="P27" s="9"/>
    </row>
    <row r="28" spans="3:16" x14ac:dyDescent="0.25">
      <c r="C28" s="21">
        <v>9</v>
      </c>
      <c r="E28" s="9"/>
      <c r="F28" s="21"/>
      <c r="G28">
        <v>650</v>
      </c>
      <c r="H28">
        <v>17380</v>
      </c>
      <c r="J28" s="34"/>
      <c r="O28" s="9"/>
      <c r="P28" s="9"/>
    </row>
    <row r="29" spans="3:16" x14ac:dyDescent="0.25">
      <c r="C29" s="21"/>
      <c r="F29" s="21"/>
      <c r="G29">
        <v>651</v>
      </c>
      <c r="H29">
        <v>16360</v>
      </c>
      <c r="J29" s="34"/>
      <c r="O29" s="9"/>
      <c r="P29" s="9"/>
    </row>
    <row r="30" spans="3:16" x14ac:dyDescent="0.25">
      <c r="C30" s="21"/>
      <c r="F30" s="21"/>
      <c r="G30">
        <v>652</v>
      </c>
      <c r="H30">
        <v>8500</v>
      </c>
      <c r="J30" s="34"/>
      <c r="K30">
        <v>41420</v>
      </c>
      <c r="L30" s="9">
        <v>-20000</v>
      </c>
      <c r="M30" s="9">
        <f>-L30</f>
        <v>20000</v>
      </c>
      <c r="O30" s="9"/>
    </row>
    <row r="31" spans="3:16" x14ac:dyDescent="0.25">
      <c r="C31" s="21"/>
      <c r="F31" s="21"/>
      <c r="J31" s="33"/>
      <c r="M31" s="9"/>
    </row>
    <row r="32" spans="3:16" x14ac:dyDescent="0.25">
      <c r="C32" s="21"/>
      <c r="D32">
        <v>141</v>
      </c>
      <c r="E32">
        <v>14260</v>
      </c>
      <c r="F32" s="21"/>
      <c r="G32">
        <v>654</v>
      </c>
      <c r="H32">
        <v>15280</v>
      </c>
      <c r="J32" s="34"/>
      <c r="M32">
        <v>29560</v>
      </c>
    </row>
    <row r="33" spans="1:20" s="9" customFormat="1" x14ac:dyDescent="0.25">
      <c r="A33"/>
      <c r="B33"/>
      <c r="C33" s="35"/>
      <c r="D33">
        <v>142</v>
      </c>
      <c r="E33">
        <v>13440</v>
      </c>
      <c r="F33" s="21"/>
      <c r="G33">
        <v>655</v>
      </c>
      <c r="H33">
        <v>15700</v>
      </c>
      <c r="I33"/>
      <c r="J33" s="34"/>
      <c r="K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>
        <v>656</v>
      </c>
      <c r="H34">
        <v>7540</v>
      </c>
      <c r="I34"/>
      <c r="J34" s="33"/>
      <c r="K34"/>
      <c r="M34">
        <v>37760</v>
      </c>
      <c r="Q34"/>
      <c r="R34"/>
      <c r="S34"/>
      <c r="T34"/>
    </row>
    <row r="35" spans="1:20" s="9" customFormat="1" x14ac:dyDescent="0.25">
      <c r="A35"/>
      <c r="B35"/>
      <c r="C35" s="35"/>
      <c r="D35">
        <v>143</v>
      </c>
      <c r="E35">
        <v>11520</v>
      </c>
      <c r="F35" s="21"/>
      <c r="G35">
        <v>657</v>
      </c>
      <c r="H35">
        <v>16580</v>
      </c>
      <c r="I35"/>
      <c r="J35" s="34"/>
      <c r="K35"/>
      <c r="M35">
        <v>27800</v>
      </c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K36"/>
      <c r="M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K37"/>
      <c r="M37"/>
      <c r="O37" s="42"/>
      <c r="S37"/>
      <c r="T37"/>
    </row>
    <row r="38" spans="1:20" x14ac:dyDescent="0.25">
      <c r="C38" s="21"/>
      <c r="D38" s="29"/>
      <c r="E38" s="9"/>
      <c r="F38" s="21"/>
      <c r="J38" s="33"/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E40" s="9"/>
      <c r="F40" s="21"/>
      <c r="H40" s="9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H46" s="9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E48" s="9"/>
      <c r="F48" s="21"/>
      <c r="J48" s="33"/>
    </row>
    <row r="49" spans="3:10" x14ac:dyDescent="0.25">
      <c r="C49" s="21"/>
      <c r="D49" s="29"/>
      <c r="F49" s="21"/>
      <c r="J49" s="33"/>
    </row>
    <row r="50" spans="3:10" x14ac:dyDescent="0.25">
      <c r="C50" s="21"/>
      <c r="D50" s="29"/>
      <c r="F50" s="21"/>
      <c r="J50" s="33"/>
    </row>
    <row r="51" spans="3:10" x14ac:dyDescent="0.25">
      <c r="C51" s="21"/>
      <c r="D51" s="29"/>
      <c r="F51" s="21"/>
      <c r="J51" s="33"/>
    </row>
    <row r="52" spans="3:10" x14ac:dyDescent="0.25">
      <c r="C52" s="21"/>
      <c r="D52" s="29"/>
      <c r="F52" s="21"/>
      <c r="J52" s="33"/>
    </row>
    <row r="53" spans="3:10" x14ac:dyDescent="0.25">
      <c r="C53" s="21"/>
      <c r="D53" s="29"/>
      <c r="F53" s="21"/>
      <c r="J53" s="33"/>
    </row>
    <row r="54" spans="3:10" x14ac:dyDescent="0.25">
      <c r="C54" s="21"/>
      <c r="D54" s="29"/>
      <c r="F54" s="21"/>
      <c r="G54" s="38"/>
      <c r="J54" s="33"/>
    </row>
    <row r="55" spans="3:10" x14ac:dyDescent="0.25">
      <c r="C55" s="21"/>
      <c r="G55" s="29"/>
      <c r="J55" s="33"/>
    </row>
    <row r="56" spans="3:10" x14ac:dyDescent="0.25">
      <c r="C56" s="21"/>
      <c r="D56" s="29"/>
      <c r="F56" s="21"/>
      <c r="G56" s="29"/>
      <c r="J56" s="33"/>
    </row>
    <row r="57" spans="3:10" x14ac:dyDescent="0.25">
      <c r="C57" s="21"/>
      <c r="D57" s="29"/>
      <c r="F57" s="21"/>
      <c r="G57" s="29"/>
      <c r="J57" s="33"/>
    </row>
    <row r="58" spans="3:10" x14ac:dyDescent="0.25">
      <c r="C58" s="21"/>
      <c r="D58" s="29"/>
      <c r="F58" s="21"/>
      <c r="G58" s="29"/>
      <c r="J58" s="33"/>
    </row>
    <row r="59" spans="3:10" x14ac:dyDescent="0.25">
      <c r="C59" s="21"/>
      <c r="D59" s="39"/>
      <c r="F59" s="21"/>
      <c r="G59" s="39"/>
      <c r="J59" s="29"/>
    </row>
    <row r="60" spans="3:10" x14ac:dyDescent="0.25">
      <c r="C60" s="21"/>
      <c r="F60" s="21"/>
      <c r="J60" s="29"/>
    </row>
    <row r="61" spans="3:10" x14ac:dyDescent="0.25">
      <c r="C61" s="21"/>
      <c r="F61" s="21"/>
      <c r="J61" s="29"/>
    </row>
    <row r="62" spans="3:10" x14ac:dyDescent="0.25">
      <c r="C62" s="21"/>
      <c r="F62" s="21"/>
      <c r="J62" s="29"/>
    </row>
    <row r="63" spans="3:10" x14ac:dyDescent="0.25">
      <c r="C63" s="21"/>
      <c r="F63" s="21"/>
      <c r="J63" s="29"/>
    </row>
    <row r="64" spans="3:10" x14ac:dyDescent="0.25">
      <c r="C64" s="21"/>
      <c r="F64" s="21"/>
      <c r="J64" s="29"/>
    </row>
    <row r="65" spans="3:10" x14ac:dyDescent="0.25">
      <c r="C65" s="21"/>
      <c r="F65" s="21"/>
      <c r="J65" s="29"/>
    </row>
    <row r="66" spans="3:10" x14ac:dyDescent="0.25">
      <c r="C66" s="21"/>
      <c r="F66" s="21"/>
      <c r="J66" s="29"/>
    </row>
    <row r="67" spans="3:10" x14ac:dyDescent="0.25">
      <c r="C67" s="21"/>
      <c r="F67" s="21"/>
      <c r="J67" s="29"/>
    </row>
    <row r="68" spans="3:10" x14ac:dyDescent="0.25">
      <c r="C68" s="21"/>
      <c r="F68" s="21"/>
      <c r="J68" s="29"/>
    </row>
    <row r="69" spans="3:10" x14ac:dyDescent="0.25">
      <c r="C69" s="21"/>
      <c r="F69" s="21"/>
      <c r="J69" s="29"/>
    </row>
    <row r="70" spans="3:10" x14ac:dyDescent="0.25">
      <c r="C70" s="21"/>
      <c r="F70" s="21"/>
      <c r="J70" s="29"/>
    </row>
    <row r="71" spans="3:10" x14ac:dyDescent="0.25">
      <c r="C71" s="21"/>
      <c r="F71" s="21"/>
      <c r="J71" s="29"/>
    </row>
    <row r="72" spans="3:10" x14ac:dyDescent="0.25">
      <c r="C72" s="21"/>
      <c r="F72" s="21"/>
      <c r="J72" s="29"/>
    </row>
    <row r="73" spans="3:10" x14ac:dyDescent="0.25">
      <c r="C73" s="21"/>
      <c r="F73" s="21"/>
      <c r="J73" s="29"/>
    </row>
    <row r="74" spans="3:10" x14ac:dyDescent="0.25">
      <c r="C74" s="21"/>
      <c r="F74" s="21"/>
      <c r="J74" s="29"/>
    </row>
    <row r="75" spans="3:10" x14ac:dyDescent="0.25">
      <c r="C75" s="21"/>
      <c r="F75" s="21"/>
      <c r="J75" s="29"/>
    </row>
    <row r="76" spans="3:10" x14ac:dyDescent="0.25">
      <c r="C76" s="21"/>
      <c r="F76" s="21"/>
      <c r="J76" s="29"/>
    </row>
    <row r="77" spans="3:10" x14ac:dyDescent="0.25">
      <c r="C77" s="21"/>
      <c r="F77" s="21"/>
      <c r="J77" s="29"/>
    </row>
    <row r="78" spans="3:10" x14ac:dyDescent="0.25">
      <c r="C78" s="21"/>
      <c r="F78" s="21"/>
      <c r="J78" s="29"/>
    </row>
    <row r="79" spans="3:10" x14ac:dyDescent="0.25">
      <c r="C79" s="21"/>
      <c r="F79" s="21"/>
      <c r="J79" s="29"/>
    </row>
    <row r="80" spans="3:10" x14ac:dyDescent="0.25">
      <c r="C80" s="21"/>
      <c r="F80" s="21"/>
      <c r="J80" s="29"/>
    </row>
    <row r="81" spans="3:10" x14ac:dyDescent="0.25">
      <c r="C81" s="21"/>
      <c r="F81" s="21"/>
      <c r="J81" s="29"/>
    </row>
    <row r="82" spans="3:10" x14ac:dyDescent="0.25">
      <c r="C82" s="21"/>
      <c r="F82" s="21"/>
      <c r="J82" s="29"/>
    </row>
    <row r="83" spans="3:10" x14ac:dyDescent="0.25">
      <c r="C83" s="21"/>
      <c r="F83" s="21"/>
      <c r="J83" s="29"/>
    </row>
    <row r="84" spans="3:10" x14ac:dyDescent="0.25">
      <c r="C84" s="21"/>
      <c r="F84" s="21"/>
      <c r="J84" s="29"/>
    </row>
    <row r="85" spans="3:10" x14ac:dyDescent="0.25">
      <c r="C85" s="21"/>
      <c r="F85" s="21"/>
      <c r="J85" s="29"/>
    </row>
    <row r="86" spans="3:10" x14ac:dyDescent="0.25">
      <c r="C86" s="21"/>
      <c r="F86" s="21"/>
      <c r="J86" s="29"/>
    </row>
    <row r="87" spans="3:10" x14ac:dyDescent="0.25">
      <c r="C87" s="21"/>
      <c r="F87" s="21"/>
      <c r="J87" s="29"/>
    </row>
    <row r="88" spans="3:10" x14ac:dyDescent="0.25">
      <c r="C88" s="21"/>
      <c r="F88" s="21"/>
      <c r="J88" s="29"/>
    </row>
    <row r="89" spans="3:10" x14ac:dyDescent="0.25">
      <c r="C89" s="21"/>
      <c r="F89" s="21"/>
      <c r="J89" s="29"/>
    </row>
    <row r="90" spans="3:10" x14ac:dyDescent="0.25">
      <c r="C90" s="21"/>
      <c r="F90" s="21"/>
      <c r="J90" s="29"/>
    </row>
    <row r="91" spans="3:10" x14ac:dyDescent="0.25">
      <c r="C91" s="21"/>
      <c r="F91" s="21"/>
      <c r="J91" s="29"/>
    </row>
    <row r="92" spans="3:10" x14ac:dyDescent="0.25">
      <c r="C92" s="21"/>
      <c r="D92" s="29"/>
      <c r="F92" s="21"/>
      <c r="J92" s="29"/>
    </row>
    <row r="93" spans="3:10" x14ac:dyDescent="0.25">
      <c r="C93" s="21"/>
      <c r="D93" s="29"/>
      <c r="F93" s="21"/>
      <c r="G93" s="29"/>
      <c r="J93" s="29"/>
    </row>
    <row r="94" spans="3:10" x14ac:dyDescent="0.25">
      <c r="C94" s="21"/>
      <c r="D94" s="29"/>
      <c r="F94" s="21"/>
      <c r="G94" s="29"/>
      <c r="J94" s="29"/>
    </row>
    <row r="95" spans="3:10" x14ac:dyDescent="0.25">
      <c r="C95" s="21"/>
      <c r="D95" s="29"/>
      <c r="F95" s="21"/>
      <c r="G95" s="29"/>
      <c r="J95" s="29"/>
    </row>
    <row r="96" spans="3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D846-EEAE-41EE-B91E-F43504BD6C6E}">
  <sheetPr>
    <pageSetUpPr fitToPage="1"/>
  </sheetPr>
  <dimension ref="A1:X108"/>
  <sheetViews>
    <sheetView workbookViewId="0">
      <pane ySplit="15" topLeftCell="A16" activePane="bottomLeft" state="frozen"/>
      <selection pane="bottomLeft" activeCell="H36" sqref="H3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107880</v>
      </c>
      <c r="K2">
        <f>J2-J3</f>
        <v>53720</v>
      </c>
      <c r="L2" s="1">
        <f>K2/J2</f>
        <v>0.49796069707081941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125</v>
      </c>
      <c r="E3" s="52"/>
      <c r="F3" t="s">
        <v>126</v>
      </c>
      <c r="H3" s="63" t="s">
        <v>9</v>
      </c>
      <c r="I3" s="63"/>
      <c r="J3">
        <f>K11-L10+M11-N10+O11-P10+Q11-R10+S11-T10+U11-V10+W11-X10</f>
        <v>54160</v>
      </c>
      <c r="K3" s="5" t="s">
        <v>10</v>
      </c>
      <c r="L3" s="5" t="s">
        <v>11</v>
      </c>
      <c r="M3" s="5" t="s">
        <v>12</v>
      </c>
      <c r="N3" s="6">
        <f>N4*I4/O1</f>
        <v>23.005897010920723</v>
      </c>
      <c r="O3" s="7">
        <f>K7+M7+O7+Q7+S7+U7+W7</f>
        <v>23.005897010920723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[10]Summary!C2</f>
        <v>Barley</v>
      </c>
      <c r="E4" s="52"/>
      <c r="F4" s="2">
        <v>2021</v>
      </c>
      <c r="I4" s="2">
        <f>[10]Summary!D2</f>
        <v>48</v>
      </c>
      <c r="J4" s="2">
        <f>J3/I4</f>
        <v>1128.3333333333333</v>
      </c>
      <c r="K4" s="8">
        <v>0.98</v>
      </c>
      <c r="L4" s="8">
        <f>IF(J5=0,L1,(L8+N8+P8+R8+T8+V8+X8)/J5/K4)</f>
        <v>0.16800000000000001</v>
      </c>
      <c r="M4" s="8">
        <f>IF(J5=0,0,(L9+N9+P9+R9+T9+V9+X9)/J5/K4)</f>
        <v>1.7999999999999999E-2</v>
      </c>
      <c r="N4" s="2">
        <f>IF(L4&gt;L1,J4*(1-L4)/(1-L1)*(1-M4)*K4,J4*K4*(1-M4))</f>
        <v>1056.6525205458088</v>
      </c>
      <c r="O4" s="9"/>
      <c r="S4" t="s">
        <v>15</v>
      </c>
      <c r="T4" s="10">
        <f>T2+T3</f>
        <v>0</v>
      </c>
      <c r="U4" s="10">
        <f>U2+U3</f>
        <v>0</v>
      </c>
      <c r="V4" s="11">
        <f>V2+V3</f>
        <v>0</v>
      </c>
      <c r="W4" s="12" t="e">
        <f>V4/T4</f>
        <v>#DIV/0!</v>
      </c>
    </row>
    <row r="5" spans="1:24" x14ac:dyDescent="0.25">
      <c r="B5" t="s">
        <v>16</v>
      </c>
      <c r="D5" s="65"/>
      <c r="E5" s="52"/>
      <c r="F5" s="13"/>
      <c r="J5" s="6">
        <f>J3/O1</f>
        <v>24.566562759200064</v>
      </c>
      <c r="N5" s="2">
        <v>65</v>
      </c>
      <c r="O5" s="14">
        <f>N4/N5</f>
        <v>16.256192623781672</v>
      </c>
      <c r="P5" t="s">
        <v>17</v>
      </c>
      <c r="V5" s="6"/>
    </row>
    <row r="6" spans="1:24" x14ac:dyDescent="0.25">
      <c r="D6" s="9"/>
      <c r="J6" s="6"/>
      <c r="K6" s="15"/>
      <c r="L6" s="16"/>
      <c r="M6" s="17">
        <f>M7+K7</f>
        <v>23.005897010920723</v>
      </c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23.005897010920723</v>
      </c>
      <c r="L7" s="9"/>
      <c r="M7" s="7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0.16800000000000001</v>
      </c>
      <c r="L8" s="6">
        <f>(L11-L10/$O1)*$K4*K8</f>
        <v>4.0446388926746986</v>
      </c>
      <c r="M8" s="1">
        <v>0.15</v>
      </c>
      <c r="N8" s="6">
        <f>(N11-N10/$O1)*$K4*M8</f>
        <v>0</v>
      </c>
      <c r="O8" s="1">
        <v>0.14000000000000001</v>
      </c>
      <c r="P8" s="6">
        <f>(P11-P10/$O1)*$K4*O8</f>
        <v>0</v>
      </c>
      <c r="Q8" s="1">
        <v>0.14000000000000001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1.7999999999999999E-2</v>
      </c>
      <c r="L9" s="6">
        <f>(L11-L10/$O1)*$K4*K9</f>
        <v>0.43335416707228913</v>
      </c>
      <c r="M9" s="1">
        <v>0.01</v>
      </c>
      <c r="N9" s="6">
        <f>(N11-N10/$O1)*$K4*M9</f>
        <v>0</v>
      </c>
      <c r="O9" s="1">
        <v>0.01</v>
      </c>
      <c r="P9" s="6">
        <f>(P11-P10/$O1)*$K4*O9</f>
        <v>0</v>
      </c>
      <c r="Q9" s="1">
        <v>0.01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12249.758991472005</v>
      </c>
      <c r="E10" s="55"/>
      <c r="F10" s="56"/>
      <c r="G10" s="54">
        <f>J3/J2*G11</f>
        <v>41910.241008527992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24400</v>
      </c>
      <c r="E11" s="58"/>
      <c r="F11" s="59"/>
      <c r="G11" s="57">
        <f>H14+I14</f>
        <v>83480</v>
      </c>
      <c r="H11" s="58"/>
      <c r="I11" s="58"/>
      <c r="J11" s="25"/>
      <c r="K11" s="26">
        <f>K14+L14</f>
        <v>54160</v>
      </c>
      <c r="L11" s="27">
        <f>K11/2204.62262184877</f>
        <v>24.566562759200064</v>
      </c>
      <c r="M11" s="26">
        <f>M14+N14</f>
        <v>0</v>
      </c>
      <c r="N11" s="27">
        <f>M11/2204.62262184877</f>
        <v>0</v>
      </c>
      <c r="O11" s="26">
        <f>O14+P14</f>
        <v>0</v>
      </c>
      <c r="P11" s="27">
        <f>O11/2204.62262184877</f>
        <v>0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26</v>
      </c>
      <c r="N12" s="51"/>
      <c r="O12" s="50" t="s">
        <v>27</v>
      </c>
      <c r="P12" s="51"/>
      <c r="Q12" s="50" t="s">
        <v>28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24400</v>
      </c>
      <c r="F14" s="30">
        <f>SUM(F15:F133)</f>
        <v>0</v>
      </c>
      <c r="G14" s="29"/>
      <c r="H14" s="4">
        <f>SUM(H15:H133)</f>
        <v>29320</v>
      </c>
      <c r="I14" s="4">
        <f>SUM(I15:I133)</f>
        <v>54160</v>
      </c>
      <c r="J14" s="25"/>
      <c r="K14" s="23">
        <f t="shared" ref="K14:X14" si="0">SUM(K15:K133)</f>
        <v>54160</v>
      </c>
      <c r="L14" s="24">
        <f t="shared" si="0"/>
        <v>0</v>
      </c>
      <c r="M14" s="23">
        <f t="shared" si="0"/>
        <v>0</v>
      </c>
      <c r="N14" s="24">
        <f t="shared" si="0"/>
        <v>0</v>
      </c>
      <c r="O14" s="23">
        <f t="shared" si="0"/>
        <v>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C16" s="21">
        <v>1</v>
      </c>
      <c r="D16" s="29">
        <v>138</v>
      </c>
      <c r="E16">
        <v>11500</v>
      </c>
      <c r="F16" s="21"/>
      <c r="G16" s="29">
        <v>138</v>
      </c>
      <c r="H16">
        <v>14860</v>
      </c>
      <c r="I16">
        <v>26540</v>
      </c>
      <c r="J16" s="33"/>
      <c r="K16">
        <v>26540</v>
      </c>
    </row>
    <row r="17" spans="3:16" x14ac:dyDescent="0.25">
      <c r="C17" s="21">
        <v>2</v>
      </c>
      <c r="D17" s="29">
        <v>139</v>
      </c>
      <c r="E17">
        <v>12900</v>
      </c>
      <c r="F17" s="21"/>
      <c r="G17" s="29">
        <v>139</v>
      </c>
      <c r="H17">
        <v>14460</v>
      </c>
      <c r="I17">
        <v>27620</v>
      </c>
      <c r="J17" s="33"/>
      <c r="K17">
        <v>27620</v>
      </c>
    </row>
    <row r="18" spans="3:16" x14ac:dyDescent="0.25">
      <c r="C18" s="21"/>
      <c r="D18" s="29"/>
      <c r="F18" s="21"/>
      <c r="G18" s="29"/>
      <c r="J18" s="33"/>
    </row>
    <row r="19" spans="3:16" x14ac:dyDescent="0.25">
      <c r="C19" s="21"/>
      <c r="F19" s="21"/>
      <c r="J19" s="33"/>
    </row>
    <row r="20" spans="3:16" x14ac:dyDescent="0.25">
      <c r="C20" s="21"/>
      <c r="F20" s="21"/>
      <c r="J20" s="33"/>
    </row>
    <row r="21" spans="3:16" x14ac:dyDescent="0.25">
      <c r="C21" s="21"/>
      <c r="F21" s="21"/>
      <c r="J21" s="34"/>
    </row>
    <row r="22" spans="3:16" x14ac:dyDescent="0.25">
      <c r="C22" s="21"/>
      <c r="F22" s="21"/>
      <c r="J22" s="33"/>
    </row>
    <row r="23" spans="3:16" x14ac:dyDescent="0.25">
      <c r="C23" s="21"/>
      <c r="F23" s="21"/>
      <c r="J23" s="33"/>
    </row>
    <row r="24" spans="3:16" x14ac:dyDescent="0.25">
      <c r="C24" s="21"/>
      <c r="F24" s="21"/>
      <c r="J24" s="33"/>
    </row>
    <row r="25" spans="3:16" x14ac:dyDescent="0.25">
      <c r="C25" s="21"/>
      <c r="F25" s="21"/>
      <c r="J25" s="33"/>
    </row>
    <row r="26" spans="3:16" x14ac:dyDescent="0.25">
      <c r="C26" s="21"/>
      <c r="F26" s="21"/>
      <c r="J26" s="33"/>
    </row>
    <row r="27" spans="3:16" x14ac:dyDescent="0.25">
      <c r="C27" s="21"/>
      <c r="F27" s="21"/>
      <c r="J27" s="33"/>
      <c r="P27" s="9"/>
    </row>
    <row r="28" spans="3:16" x14ac:dyDescent="0.25">
      <c r="C28" s="21"/>
      <c r="F28" s="21"/>
      <c r="J28" s="33"/>
    </row>
    <row r="29" spans="3:16" x14ac:dyDescent="0.25">
      <c r="C29" s="21"/>
      <c r="F29" s="21"/>
      <c r="J29" s="33"/>
    </row>
    <row r="30" spans="3:16" x14ac:dyDescent="0.25">
      <c r="C30" s="21"/>
      <c r="F30" s="21"/>
      <c r="J30" s="33"/>
    </row>
    <row r="31" spans="3:16" x14ac:dyDescent="0.25">
      <c r="C31" s="21"/>
      <c r="F31" s="21"/>
      <c r="J31" s="33"/>
    </row>
    <row r="32" spans="3:16" x14ac:dyDescent="0.25">
      <c r="C32" s="21"/>
      <c r="F32" s="21"/>
      <c r="J32" s="33"/>
    </row>
    <row r="33" spans="1:20" s="9" customFormat="1" x14ac:dyDescent="0.25">
      <c r="A33"/>
      <c r="B33"/>
      <c r="C33" s="35"/>
      <c r="D33"/>
      <c r="E33"/>
      <c r="F33" s="21"/>
      <c r="G33"/>
      <c r="H33"/>
      <c r="I33"/>
      <c r="J33" s="33"/>
      <c r="M33"/>
      <c r="N33"/>
      <c r="O33"/>
      <c r="Q33"/>
      <c r="R33"/>
      <c r="S33"/>
      <c r="T33"/>
    </row>
    <row r="34" spans="1:20" s="9" customFormat="1" x14ac:dyDescent="0.25">
      <c r="A34"/>
      <c r="B34"/>
      <c r="C34" s="35"/>
      <c r="D34"/>
      <c r="E34"/>
      <c r="F34" s="21"/>
      <c r="G34"/>
      <c r="H34"/>
      <c r="I34"/>
      <c r="J34" s="33"/>
      <c r="M34"/>
      <c r="N34"/>
      <c r="O34"/>
      <c r="Q34"/>
      <c r="R34"/>
      <c r="S34"/>
      <c r="T34"/>
    </row>
    <row r="35" spans="1:20" s="9" customFormat="1" x14ac:dyDescent="0.25">
      <c r="A35"/>
      <c r="B35"/>
      <c r="C35" s="35"/>
      <c r="D35"/>
      <c r="E35"/>
      <c r="F35" s="21"/>
      <c r="G35"/>
      <c r="H35"/>
      <c r="I35"/>
      <c r="J35" s="33"/>
      <c r="M35"/>
      <c r="N35"/>
      <c r="O35"/>
      <c r="Q35"/>
      <c r="S35"/>
      <c r="T35"/>
    </row>
    <row r="36" spans="1:20" s="9" customFormat="1" x14ac:dyDescent="0.25">
      <c r="A36"/>
      <c r="B36"/>
      <c r="C36" s="35"/>
      <c r="D36"/>
      <c r="E36"/>
      <c r="F36" s="21"/>
      <c r="G36"/>
      <c r="H36"/>
      <c r="I36"/>
      <c r="J36" s="33"/>
      <c r="M36"/>
      <c r="N36"/>
      <c r="O36"/>
      <c r="Q36"/>
      <c r="S36"/>
      <c r="T36"/>
    </row>
    <row r="37" spans="1:20" s="9" customFormat="1" x14ac:dyDescent="0.25">
      <c r="A37"/>
      <c r="B37"/>
      <c r="C37" s="35"/>
      <c r="D37" s="29"/>
      <c r="E37" s="2"/>
      <c r="F37" s="21"/>
      <c r="G37"/>
      <c r="H37" s="2"/>
      <c r="I37"/>
      <c r="J37" s="33"/>
      <c r="M37"/>
      <c r="N37"/>
      <c r="O37"/>
      <c r="Q37"/>
      <c r="S37"/>
      <c r="T37"/>
    </row>
    <row r="38" spans="1:20" x14ac:dyDescent="0.25">
      <c r="C38" s="21"/>
      <c r="D38" s="29"/>
      <c r="F38" s="21"/>
      <c r="J38" s="33"/>
    </row>
    <row r="39" spans="1:20" x14ac:dyDescent="0.25">
      <c r="C39" s="21"/>
      <c r="D39" s="29"/>
      <c r="E39" s="2"/>
      <c r="F39" s="21"/>
      <c r="H39" s="2"/>
      <c r="J39" s="33"/>
    </row>
    <row r="40" spans="1:20" x14ac:dyDescent="0.25">
      <c r="C40" s="21"/>
      <c r="D40" s="29"/>
      <c r="F40" s="21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3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D447-D705-4736-B929-2D81B5531DCF}">
  <dimension ref="A1:X52"/>
  <sheetViews>
    <sheetView workbookViewId="0">
      <pane ySplit="15" topLeftCell="A16" activePane="bottomLeft" state="frozen"/>
      <selection activeCell="F4" sqref="F4"/>
      <selection pane="bottomLeft" activeCell="F4" sqref="F4"/>
    </sheetView>
  </sheetViews>
  <sheetFormatPr defaultRowHeight="15" x14ac:dyDescent="0.25"/>
  <cols>
    <col min="1" max="1" width="4" customWidth="1"/>
    <col min="2" max="2" width="9.7109375" bestFit="1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63" t="s">
        <v>4</v>
      </c>
      <c r="I2" s="63" t="s">
        <v>4</v>
      </c>
      <c r="J2">
        <f>+D11+G11</f>
        <v>555840</v>
      </c>
      <c r="K2">
        <f>J2-J3</f>
        <v>-200</v>
      </c>
      <c r="L2" s="1">
        <f>K2/J2</f>
        <v>-3.5981577432354635E-4</v>
      </c>
    </row>
    <row r="3" spans="1:24" x14ac:dyDescent="0.25">
      <c r="B3" t="s">
        <v>6</v>
      </c>
      <c r="D3" s="64" t="s">
        <v>82</v>
      </c>
      <c r="E3" s="52"/>
      <c r="F3" t="s">
        <v>83</v>
      </c>
      <c r="H3" s="63" t="s">
        <v>9</v>
      </c>
      <c r="I3" s="63"/>
      <c r="J3">
        <f>K11-L10+M11-N10+O11-P10+Q11-R10+S11-T10+U11-V10+W11-X10</f>
        <v>556040</v>
      </c>
      <c r="K3" s="5" t="s">
        <v>10</v>
      </c>
      <c r="L3" s="5" t="s">
        <v>11</v>
      </c>
      <c r="M3" s="5" t="s">
        <v>12</v>
      </c>
      <c r="N3" s="6">
        <f>N4*I4/O1</f>
        <v>244.69947947263961</v>
      </c>
      <c r="O3" s="6">
        <f>K7+M7+O7+Q7+S7+U7+W7</f>
        <v>244.69947947263961</v>
      </c>
    </row>
    <row r="4" spans="1:24" x14ac:dyDescent="0.25">
      <c r="B4" t="s">
        <v>14</v>
      </c>
      <c r="D4" s="65" t="str">
        <f>[2]Summary!C2</f>
        <v>Peas</v>
      </c>
      <c r="E4" s="52"/>
      <c r="F4" s="2">
        <v>2021</v>
      </c>
      <c r="I4" s="2">
        <f>[2]Summary!D2</f>
        <v>60</v>
      </c>
      <c r="J4" s="2">
        <f>J3/I4</f>
        <v>9267.3333333333339</v>
      </c>
      <c r="K4" s="8">
        <v>0.98</v>
      </c>
      <c r="L4" s="8">
        <f>IF(J5=0,L1,(L8+N8+P8+R8+T8+V8+X8)/J5/K4)</f>
        <v>0.16000000000000003</v>
      </c>
      <c r="M4" s="8">
        <f>IF(J5=0,0,(L9+N9+P9+R9+T9+V9+X9)/J5/K4)</f>
        <v>1.0000000000000002E-2</v>
      </c>
      <c r="N4" s="2">
        <f>IF(L4&gt;L1,J4*(1-L4)/(1-L1)*(1-M4)*K4,J4*K4*(1-M4))</f>
        <v>8991.1668000000009</v>
      </c>
      <c r="V4" s="6"/>
    </row>
    <row r="5" spans="1:24" x14ac:dyDescent="0.25">
      <c r="B5" t="s">
        <v>16</v>
      </c>
      <c r="D5" s="65">
        <v>44426</v>
      </c>
      <c r="E5" s="52"/>
      <c r="F5" s="13">
        <v>44433</v>
      </c>
      <c r="J5" s="6">
        <f>J3/O1</f>
        <v>252.21550141480066</v>
      </c>
      <c r="N5" s="2">
        <v>310</v>
      </c>
      <c r="O5" s="3">
        <f>N4/N5</f>
        <v>29.003763870967745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61.760170040267326</v>
      </c>
      <c r="M7" s="6">
        <f>IF(M8&gt;$L1,(N11-N10/$O1)*$K4*(1-M8)/(1-$L1)*(1-M9),(N11-N10/$O1)*$K4*(1-M9))</f>
        <v>131.34487922344439</v>
      </c>
      <c r="O7" s="6">
        <f>IF(O8&gt;$L1,(P11-P10/$O1)*$K4*(1-O8)/(1-$L1)*(1-O9),(P11-P10/$O1)*$K4*(1-O9))</f>
        <v>51.594430208927896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0.16</v>
      </c>
      <c r="L8" s="6">
        <f>(L11-L10/$O1)*$K4*K8</f>
        <v>9.9814416226694664</v>
      </c>
      <c r="M8" s="1">
        <v>0.16</v>
      </c>
      <c r="N8" s="6">
        <f>(N11-N10/$O1)*$K4*M8</f>
        <v>21.227455228031417</v>
      </c>
      <c r="O8" s="1">
        <v>0.16</v>
      </c>
      <c r="P8" s="6">
        <f>(P11-P10/$O1)*$K4*O8</f>
        <v>8.3384937711398628</v>
      </c>
      <c r="Q8" s="1">
        <v>0.16</v>
      </c>
      <c r="R8" s="6">
        <f>(R11-R10/$O1)*$K4*Q8</f>
        <v>0</v>
      </c>
      <c r="S8" s="1">
        <v>0.16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0.62384010141684165</v>
      </c>
      <c r="M9" s="1">
        <v>0.01</v>
      </c>
      <c r="N9" s="6">
        <f>(N11-N10/$O1)*$K4*M9</f>
        <v>1.3267159517519636</v>
      </c>
      <c r="O9" s="1">
        <v>0.01</v>
      </c>
      <c r="P9" s="6">
        <f>(P11-P10/$O1)*$K4*O9</f>
        <v>0.52115586069624142</v>
      </c>
      <c r="Q9" s="1">
        <v>0.01</v>
      </c>
      <c r="R9" s="6">
        <f>(R11-R10/$O1)*$K4*Q9</f>
        <v>0</v>
      </c>
      <c r="S9" s="1">
        <v>0.01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253651.23488773749</v>
      </c>
      <c r="E10" s="55"/>
      <c r="F10" s="56"/>
      <c r="G10" s="54">
        <f>J3/J2*G11</f>
        <v>302388.76511226257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253560</v>
      </c>
      <c r="E11" s="58"/>
      <c r="F11" s="59"/>
      <c r="G11" s="57">
        <f>H14+I14</f>
        <v>302280</v>
      </c>
      <c r="H11" s="58"/>
      <c r="I11" s="58"/>
      <c r="J11" s="25"/>
      <c r="K11" s="26">
        <f>K14+L14</f>
        <v>140340</v>
      </c>
      <c r="L11" s="27">
        <f>K11/2204.62262184877</f>
        <v>63.657153205800171</v>
      </c>
      <c r="M11" s="26">
        <f>M14+N14</f>
        <v>298460</v>
      </c>
      <c r="N11" s="27">
        <f>M11/2204.62262184877</f>
        <v>135.37917875020037</v>
      </c>
      <c r="O11" s="26">
        <f>O14+P14</f>
        <v>117240</v>
      </c>
      <c r="P11" s="27">
        <f>O11/2204.62262184877</f>
        <v>53.179169458800139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66</v>
      </c>
      <c r="L12" s="51"/>
      <c r="M12" s="50" t="s">
        <v>84</v>
      </c>
      <c r="N12" s="51"/>
      <c r="O12" s="50" t="s">
        <v>85</v>
      </c>
      <c r="P12" s="51"/>
      <c r="Q12" s="50" t="s">
        <v>86</v>
      </c>
      <c r="R12" s="51"/>
      <c r="S12" s="50" t="s">
        <v>87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SUM(E15:E77)</f>
        <v>253560</v>
      </c>
      <c r="F14" s="30">
        <f>SUM(F15:F77)</f>
        <v>0</v>
      </c>
      <c r="G14" s="29"/>
      <c r="H14" s="4">
        <f>SUM(H15:H77)</f>
        <v>302280</v>
      </c>
      <c r="I14" s="4">
        <f>SUM(I15:I77)</f>
        <v>0</v>
      </c>
      <c r="J14" s="25"/>
      <c r="K14" s="23">
        <f t="shared" ref="K14:X14" si="0">SUM(K15:K77)</f>
        <v>140340</v>
      </c>
      <c r="L14" s="24">
        <f t="shared" si="0"/>
        <v>0</v>
      </c>
      <c r="M14" s="23">
        <f t="shared" si="0"/>
        <v>192120</v>
      </c>
      <c r="N14" s="24">
        <f t="shared" si="0"/>
        <v>106340</v>
      </c>
      <c r="O14" s="23">
        <f t="shared" si="0"/>
        <v>117240</v>
      </c>
      <c r="P14" s="24">
        <f t="shared" si="0"/>
        <v>0</v>
      </c>
      <c r="Q14" s="23">
        <f t="shared" si="0"/>
        <v>0</v>
      </c>
      <c r="R14" s="24">
        <f t="shared" si="0"/>
        <v>0</v>
      </c>
      <c r="S14" s="23">
        <f t="shared" si="0"/>
        <v>0</v>
      </c>
      <c r="T14" s="24">
        <f t="shared" si="0"/>
        <v>0</v>
      </c>
      <c r="U14" s="23">
        <f t="shared" si="0"/>
        <v>0</v>
      </c>
      <c r="V14" s="24">
        <f t="shared" si="0"/>
        <v>0</v>
      </c>
      <c r="W14" s="23">
        <f t="shared" si="0"/>
        <v>0</v>
      </c>
      <c r="X14" s="24">
        <f t="shared" si="0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/>
      <c r="N15" s="32"/>
      <c r="O15" s="31" t="s">
        <v>88</v>
      </c>
      <c r="P15" s="32" t="s">
        <v>89</v>
      </c>
      <c r="Q15" s="31" t="s">
        <v>90</v>
      </c>
      <c r="R15" s="32" t="s">
        <v>91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F16" s="21"/>
      <c r="G16">
        <v>512</v>
      </c>
      <c r="H16">
        <v>17300</v>
      </c>
      <c r="J16" s="29"/>
    </row>
    <row r="17" spans="2:15" x14ac:dyDescent="0.25">
      <c r="C17" s="21"/>
      <c r="F17" s="21"/>
      <c r="G17">
        <v>513</v>
      </c>
      <c r="H17">
        <v>22100</v>
      </c>
      <c r="J17" s="29"/>
      <c r="K17">
        <v>39080</v>
      </c>
    </row>
    <row r="18" spans="2:15" x14ac:dyDescent="0.25">
      <c r="B18" s="48">
        <v>2</v>
      </c>
      <c r="C18" s="21"/>
      <c r="D18">
        <v>7</v>
      </c>
      <c r="E18">
        <v>22720</v>
      </c>
      <c r="F18" s="21"/>
      <c r="G18">
        <v>514</v>
      </c>
      <c r="H18">
        <v>25600</v>
      </c>
      <c r="J18" s="29"/>
      <c r="K18">
        <v>32840</v>
      </c>
    </row>
    <row r="19" spans="2:15" x14ac:dyDescent="0.25">
      <c r="B19">
        <v>3</v>
      </c>
      <c r="C19" s="21"/>
      <c r="D19">
        <v>8</v>
      </c>
      <c r="E19">
        <v>17080</v>
      </c>
      <c r="F19" s="21"/>
      <c r="G19">
        <v>515</v>
      </c>
      <c r="H19">
        <v>14600</v>
      </c>
      <c r="J19" s="29"/>
      <c r="M19">
        <v>47880</v>
      </c>
    </row>
    <row r="20" spans="2:15" x14ac:dyDescent="0.25">
      <c r="B20">
        <v>4</v>
      </c>
      <c r="C20" s="21"/>
      <c r="D20">
        <v>9</v>
      </c>
      <c r="E20">
        <v>18860</v>
      </c>
      <c r="F20" s="21"/>
      <c r="G20">
        <v>516</v>
      </c>
      <c r="H20">
        <v>17060</v>
      </c>
      <c r="J20" s="29"/>
      <c r="M20">
        <v>36340</v>
      </c>
    </row>
    <row r="21" spans="2:15" x14ac:dyDescent="0.25">
      <c r="B21">
        <v>5</v>
      </c>
      <c r="C21" s="21"/>
      <c r="D21">
        <v>10</v>
      </c>
      <c r="E21">
        <v>18920</v>
      </c>
      <c r="F21" s="21"/>
      <c r="G21">
        <v>517</v>
      </c>
      <c r="H21">
        <v>25260</v>
      </c>
      <c r="J21" s="29"/>
      <c r="M21">
        <v>43760</v>
      </c>
    </row>
    <row r="22" spans="2:15" x14ac:dyDescent="0.25">
      <c r="B22">
        <v>6</v>
      </c>
      <c r="C22" s="21"/>
      <c r="D22">
        <v>11</v>
      </c>
      <c r="E22">
        <v>19880</v>
      </c>
      <c r="F22" s="21"/>
      <c r="G22">
        <v>518</v>
      </c>
      <c r="H22">
        <v>19960</v>
      </c>
      <c r="J22" s="29"/>
      <c r="M22">
        <v>39280</v>
      </c>
    </row>
    <row r="23" spans="2:15" x14ac:dyDescent="0.25">
      <c r="B23">
        <v>7</v>
      </c>
      <c r="C23" s="21"/>
      <c r="D23">
        <v>12</v>
      </c>
      <c r="E23">
        <v>15560</v>
      </c>
      <c r="F23" s="21"/>
      <c r="G23">
        <v>519</v>
      </c>
      <c r="H23">
        <v>9120</v>
      </c>
      <c r="J23" s="29"/>
      <c r="M23">
        <v>24860</v>
      </c>
    </row>
    <row r="24" spans="2:15" x14ac:dyDescent="0.25">
      <c r="C24" s="21"/>
      <c r="F24" s="21"/>
      <c r="J24" s="29"/>
    </row>
    <row r="25" spans="2:15" x14ac:dyDescent="0.25">
      <c r="B25">
        <v>8</v>
      </c>
      <c r="C25" s="21"/>
      <c r="D25">
        <v>13</v>
      </c>
      <c r="E25">
        <v>23040</v>
      </c>
      <c r="F25" s="21"/>
      <c r="G25">
        <v>520</v>
      </c>
      <c r="H25">
        <v>18680</v>
      </c>
      <c r="J25" s="29"/>
      <c r="N25">
        <v>42280</v>
      </c>
    </row>
    <row r="26" spans="2:15" x14ac:dyDescent="0.25">
      <c r="B26">
        <v>9</v>
      </c>
      <c r="C26" s="21"/>
      <c r="D26">
        <v>14</v>
      </c>
      <c r="E26">
        <v>18280</v>
      </c>
      <c r="F26" s="21"/>
      <c r="G26">
        <v>521</v>
      </c>
      <c r="H26">
        <v>20700</v>
      </c>
      <c r="J26" s="29"/>
      <c r="N26">
        <v>38220</v>
      </c>
    </row>
    <row r="27" spans="2:15" x14ac:dyDescent="0.25">
      <c r="B27">
        <v>10</v>
      </c>
      <c r="C27" s="21"/>
      <c r="D27">
        <v>15</v>
      </c>
      <c r="E27">
        <v>9000</v>
      </c>
      <c r="F27" s="21"/>
      <c r="G27">
        <v>522</v>
      </c>
      <c r="H27">
        <v>16720</v>
      </c>
      <c r="J27" s="29"/>
      <c r="N27">
        <v>25840</v>
      </c>
    </row>
    <row r="28" spans="2:15" x14ac:dyDescent="0.25">
      <c r="B28">
        <v>11</v>
      </c>
      <c r="C28" s="21"/>
      <c r="F28" s="21"/>
      <c r="G28">
        <v>531</v>
      </c>
      <c r="H28">
        <v>19440</v>
      </c>
      <c r="J28" s="29"/>
    </row>
    <row r="29" spans="2:15" x14ac:dyDescent="0.25">
      <c r="C29" s="21"/>
      <c r="F29" s="21"/>
      <c r="G29">
        <v>532</v>
      </c>
      <c r="H29">
        <v>16100</v>
      </c>
      <c r="J29" s="29"/>
      <c r="K29">
        <v>35720</v>
      </c>
    </row>
    <row r="30" spans="2:15" x14ac:dyDescent="0.25">
      <c r="B30">
        <v>12</v>
      </c>
      <c r="C30" s="21"/>
      <c r="D30">
        <v>16</v>
      </c>
      <c r="E30">
        <v>23220</v>
      </c>
      <c r="F30" s="21"/>
      <c r="G30">
        <v>533</v>
      </c>
      <c r="H30">
        <v>21140</v>
      </c>
      <c r="J30" s="29"/>
      <c r="K30">
        <v>32700</v>
      </c>
    </row>
    <row r="31" spans="2:15" x14ac:dyDescent="0.25">
      <c r="B31">
        <v>13</v>
      </c>
      <c r="C31" s="21"/>
      <c r="D31">
        <v>17</v>
      </c>
      <c r="E31">
        <v>22120</v>
      </c>
      <c r="F31" s="21"/>
      <c r="G31">
        <v>534</v>
      </c>
      <c r="H31">
        <v>19420</v>
      </c>
      <c r="J31" s="29"/>
      <c r="O31">
        <v>53040</v>
      </c>
    </row>
    <row r="32" spans="2:15" x14ac:dyDescent="0.25">
      <c r="B32">
        <v>14</v>
      </c>
      <c r="C32" s="21"/>
      <c r="F32" s="21"/>
      <c r="G32">
        <v>535</v>
      </c>
      <c r="H32">
        <v>19080</v>
      </c>
      <c r="J32" s="29"/>
      <c r="O32">
        <v>19420</v>
      </c>
    </row>
    <row r="33" spans="2:15" x14ac:dyDescent="0.25">
      <c r="B33">
        <v>15</v>
      </c>
      <c r="C33" s="21"/>
      <c r="D33">
        <v>18</v>
      </c>
      <c r="E33">
        <v>24220</v>
      </c>
      <c r="F33" s="21"/>
      <c r="J33" s="29"/>
      <c r="O33">
        <f>49020-24860</f>
        <v>24160</v>
      </c>
    </row>
    <row r="34" spans="2:15" x14ac:dyDescent="0.25">
      <c r="B34">
        <v>16</v>
      </c>
      <c r="C34" s="21"/>
      <c r="D34">
        <v>19</v>
      </c>
      <c r="E34">
        <v>20660</v>
      </c>
      <c r="F34" s="21"/>
      <c r="J34" s="29"/>
      <c r="O34">
        <f>42100-21480</f>
        <v>20620</v>
      </c>
    </row>
    <row r="35" spans="2:15" x14ac:dyDescent="0.25">
      <c r="B35">
        <v>17</v>
      </c>
      <c r="C35" s="21"/>
      <c r="F35" s="21"/>
      <c r="J35" s="29"/>
    </row>
    <row r="36" spans="2:15" x14ac:dyDescent="0.25">
      <c r="B36">
        <v>18</v>
      </c>
      <c r="C36" s="21"/>
      <c r="D36" s="29"/>
      <c r="F36" s="21"/>
      <c r="J36" s="29"/>
    </row>
    <row r="37" spans="2:15" x14ac:dyDescent="0.25">
      <c r="B37">
        <v>19</v>
      </c>
      <c r="C37" s="21"/>
      <c r="D37" s="29"/>
      <c r="F37" s="21"/>
      <c r="G37" s="29"/>
      <c r="J37" s="29"/>
    </row>
    <row r="38" spans="2:15" x14ac:dyDescent="0.25">
      <c r="B38">
        <v>20</v>
      </c>
      <c r="C38" s="21"/>
      <c r="D38" s="29"/>
      <c r="F38" s="21"/>
      <c r="G38" s="29"/>
      <c r="J38" s="29"/>
    </row>
    <row r="39" spans="2:15" x14ac:dyDescent="0.25">
      <c r="B39">
        <v>21</v>
      </c>
      <c r="C39" s="21"/>
      <c r="D39" s="29"/>
      <c r="F39" s="21"/>
      <c r="G39" s="29"/>
      <c r="J39" s="29"/>
    </row>
    <row r="40" spans="2:15" x14ac:dyDescent="0.25">
      <c r="B40">
        <v>22</v>
      </c>
      <c r="C40" s="21"/>
      <c r="D40" s="29"/>
      <c r="F40" s="21"/>
      <c r="G40" s="29"/>
      <c r="J40" s="29"/>
    </row>
    <row r="41" spans="2:15" x14ac:dyDescent="0.25">
      <c r="B41">
        <v>23</v>
      </c>
      <c r="C41" s="21"/>
      <c r="D41" s="29"/>
      <c r="F41" s="21"/>
      <c r="G41" s="29"/>
      <c r="J41" s="29"/>
    </row>
    <row r="42" spans="2:15" x14ac:dyDescent="0.25">
      <c r="B42">
        <v>24</v>
      </c>
      <c r="C42" s="21"/>
      <c r="D42" s="29"/>
      <c r="F42" s="21"/>
      <c r="G42" s="29"/>
      <c r="J42" s="29"/>
    </row>
    <row r="43" spans="2:15" x14ac:dyDescent="0.25">
      <c r="B43">
        <v>25</v>
      </c>
      <c r="C43" s="21"/>
      <c r="D43" s="29"/>
      <c r="F43" s="21"/>
      <c r="G43" s="29"/>
      <c r="J43" s="29"/>
    </row>
    <row r="44" spans="2:15" x14ac:dyDescent="0.25">
      <c r="B44">
        <v>26</v>
      </c>
      <c r="C44" s="21"/>
      <c r="D44" s="29"/>
      <c r="F44" s="21"/>
      <c r="G44" s="29"/>
      <c r="J44" s="29"/>
    </row>
    <row r="45" spans="2:15" x14ac:dyDescent="0.25">
      <c r="B45">
        <v>27</v>
      </c>
      <c r="C45" s="21"/>
      <c r="D45" s="29"/>
      <c r="F45" s="21"/>
      <c r="G45" s="29"/>
      <c r="J45" s="29"/>
    </row>
    <row r="46" spans="2:15" x14ac:dyDescent="0.25">
      <c r="D46" s="29"/>
      <c r="F46" s="21"/>
      <c r="G46" s="29"/>
      <c r="J46" s="29"/>
    </row>
    <row r="47" spans="2:15" x14ac:dyDescent="0.25">
      <c r="D47" s="29"/>
      <c r="F47" s="21"/>
      <c r="G47" s="29"/>
      <c r="J47" s="29"/>
    </row>
    <row r="48" spans="2:15" x14ac:dyDescent="0.25">
      <c r="D48" s="29"/>
      <c r="F48" s="21"/>
      <c r="G48" s="29"/>
      <c r="J48" s="29"/>
    </row>
    <row r="49" spans="4:10" x14ac:dyDescent="0.25">
      <c r="D49" s="29"/>
      <c r="F49" s="21"/>
      <c r="G49" s="29"/>
      <c r="J49" s="29"/>
    </row>
    <row r="50" spans="4:10" x14ac:dyDescent="0.25">
      <c r="D50" s="29"/>
      <c r="F50" s="21"/>
      <c r="G50" s="29"/>
      <c r="J50" s="29"/>
    </row>
    <row r="51" spans="4:10" x14ac:dyDescent="0.25">
      <c r="D51" s="29"/>
      <c r="F51" s="21"/>
      <c r="G51" s="29"/>
      <c r="J51" s="29"/>
    </row>
    <row r="52" spans="4:10" x14ac:dyDescent="0.25">
      <c r="D52" s="31"/>
      <c r="E52" s="41" t="s">
        <v>39</v>
      </c>
      <c r="F52" s="32"/>
      <c r="G52" s="31"/>
      <c r="H52" s="41" t="s">
        <v>39</v>
      </c>
      <c r="I52" s="41"/>
      <c r="J52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4787-BD04-4315-8BE2-A9F4B396C9FC}">
  <sheetPr>
    <pageSetUpPr fitToPage="1"/>
  </sheetPr>
  <dimension ref="A1:X108"/>
  <sheetViews>
    <sheetView workbookViewId="0">
      <pane ySplit="15" topLeftCell="A16" activePane="bottomLeft" state="frozen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855468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0.14499999999999999</v>
      </c>
      <c r="O1">
        <v>2204.62262184877</v>
      </c>
      <c r="T1" t="s">
        <v>1</v>
      </c>
      <c r="U1" t="s">
        <v>2</v>
      </c>
      <c r="V1" t="s">
        <v>3</v>
      </c>
    </row>
    <row r="2" spans="1:24" x14ac:dyDescent="0.25">
      <c r="H2" s="63" t="s">
        <v>4</v>
      </c>
      <c r="I2" s="63" t="s">
        <v>4</v>
      </c>
      <c r="J2">
        <f>+D11+G11</f>
        <v>942160</v>
      </c>
      <c r="K2">
        <f>J2-J3</f>
        <v>9900</v>
      </c>
      <c r="L2" s="1">
        <f>K2/J2</f>
        <v>1.0507769380996857E-2</v>
      </c>
      <c r="S2" t="s">
        <v>5</v>
      </c>
      <c r="V2" s="2">
        <f>U2*2204.622/60</f>
        <v>0</v>
      </c>
      <c r="W2" s="3" t="e">
        <f>V2/T2</f>
        <v>#DIV/0!</v>
      </c>
    </row>
    <row r="3" spans="1:24" x14ac:dyDescent="0.25">
      <c r="B3" t="s">
        <v>6</v>
      </c>
      <c r="D3" s="64" t="s">
        <v>112</v>
      </c>
      <c r="E3" s="52"/>
      <c r="F3" t="s">
        <v>113</v>
      </c>
      <c r="H3" s="63" t="s">
        <v>9</v>
      </c>
      <c r="I3" s="63"/>
      <c r="J3">
        <f>K11-L10+M11-N10+O11-P10+Q11-R10+S11-T10+U11-V10+W11-X10</f>
        <v>932260</v>
      </c>
      <c r="K3" s="5" t="s">
        <v>10</v>
      </c>
      <c r="L3" s="5" t="s">
        <v>11</v>
      </c>
      <c r="M3" s="5" t="s">
        <v>12</v>
      </c>
      <c r="N3" s="6">
        <f>N4*I4/O1</f>
        <v>410.26461537508629</v>
      </c>
      <c r="O3" s="7">
        <f>K7+M7+O7+Q7+S7+U7+W7</f>
        <v>409.15217703188114</v>
      </c>
      <c r="S3" t="s">
        <v>13</v>
      </c>
      <c r="U3" s="6"/>
      <c r="V3" s="2">
        <f>U3*2204.622/60</f>
        <v>0</v>
      </c>
      <c r="W3" s="3" t="e">
        <f>V3/T3</f>
        <v>#DIV/0!</v>
      </c>
    </row>
    <row r="4" spans="1:24" x14ac:dyDescent="0.25">
      <c r="B4" t="s">
        <v>14</v>
      </c>
      <c r="D4" s="65" t="str">
        <f>[3]Summary!C2</f>
        <v>CWRW</v>
      </c>
      <c r="E4" s="52"/>
      <c r="F4" s="2">
        <v>2021</v>
      </c>
      <c r="I4" s="2">
        <f>[3]Summary!D2</f>
        <v>60</v>
      </c>
      <c r="J4" s="2">
        <f>J3/I4</f>
        <v>15537.666666666666</v>
      </c>
      <c r="K4" s="8">
        <v>0.98</v>
      </c>
      <c r="L4" s="8">
        <f>IF(J5=0,L1,(L8+N8+P8+R8+T8+V8+X8)/J5/K4)</f>
        <v>0.1437176324201403</v>
      </c>
      <c r="M4" s="8">
        <f>IF(J5=0,0,(L9+N9+P9+R9+T9+V9+X9)/J5/K4)</f>
        <v>0.01</v>
      </c>
      <c r="N4" s="2">
        <f>IF(L4&gt;L1,J4*(1-L4)/(1-L1)*(1-M4)*K4,J4*K4*(1-M4))</f>
        <v>15074.644199999999</v>
      </c>
      <c r="O4" s="9"/>
      <c r="S4" t="s">
        <v>15</v>
      </c>
      <c r="T4" s="10">
        <f>T2+T3</f>
        <v>0</v>
      </c>
      <c r="U4" s="10">
        <f t="shared" ref="U4:V4" si="0">U2+U3</f>
        <v>0</v>
      </c>
      <c r="V4" s="11">
        <f t="shared" si="0"/>
        <v>0</v>
      </c>
      <c r="W4" s="12" t="e">
        <f>V4/T4</f>
        <v>#DIV/0!</v>
      </c>
    </row>
    <row r="5" spans="1:24" x14ac:dyDescent="0.25">
      <c r="B5" t="s">
        <v>16</v>
      </c>
      <c r="D5" s="65">
        <v>44432</v>
      </c>
      <c r="E5" s="52"/>
      <c r="F5" s="13">
        <v>44442</v>
      </c>
      <c r="J5" s="6">
        <f>J3/O1</f>
        <v>422.86602285620114</v>
      </c>
      <c r="N5" s="2">
        <v>271</v>
      </c>
      <c r="O5" s="14">
        <f>N4/N5</f>
        <v>55.625993357933574</v>
      </c>
      <c r="P5" t="s">
        <v>17</v>
      </c>
      <c r="V5" s="6"/>
    </row>
    <row r="6" spans="1:24" x14ac:dyDescent="0.25">
      <c r="D6" s="9"/>
      <c r="J6" s="6"/>
      <c r="K6" s="15"/>
      <c r="L6" s="16"/>
      <c r="M6" s="15"/>
      <c r="N6" s="2"/>
      <c r="O6" s="3"/>
    </row>
    <row r="7" spans="1:24" x14ac:dyDescent="0.25">
      <c r="F7">
        <f>F8*E8</f>
        <v>0</v>
      </c>
      <c r="I7">
        <f>I8*H8</f>
        <v>0</v>
      </c>
      <c r="K7" s="7">
        <f>IF(K8&gt;$L1,(L11-L10/$O1)*$K4*(1-K8)/(1-$L1)*(1-K9),(L11-L10/$O1)*$K4*(1-K9))</f>
        <v>18.301574356644252</v>
      </c>
      <c r="L7" s="9"/>
      <c r="M7" s="7">
        <f>IF(M8&gt;$L1,(N11-N10/$O1)*$K4*(1-M8)/(1-$L1)*(1-M9),(N11-N10/$O1)*$K4*(1-M9))</f>
        <v>95.401637603027453</v>
      </c>
      <c r="O7" s="6">
        <f>IF(O8&gt;$L1,(P11-P10/$O1)*$K4*(1-O8)/(1-$L1)*(1-O9),(P11-P10/$O1)*$K4*(1-O9))</f>
        <v>295.44896507220943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8"/>
      <c r="C8" s="18"/>
      <c r="D8" s="18"/>
      <c r="E8" s="19">
        <f>D9/D10</f>
        <v>0</v>
      </c>
      <c r="F8" s="18">
        <v>600</v>
      </c>
      <c r="G8" s="18"/>
      <c r="H8" s="19">
        <f>G9/G10</f>
        <v>0</v>
      </c>
      <c r="I8" s="18">
        <v>505</v>
      </c>
      <c r="J8" t="s">
        <v>18</v>
      </c>
      <c r="K8" s="1">
        <v>0.17</v>
      </c>
      <c r="L8" s="6">
        <f>(L11-L10/$O1)*$K4*K8</f>
        <v>3.2373540619912893</v>
      </c>
      <c r="M8" s="1">
        <v>0.15</v>
      </c>
      <c r="N8" s="6">
        <f>(N11-N10/$O1)*$K4*M8</f>
        <v>14.539821773723435</v>
      </c>
      <c r="O8" s="1">
        <v>0.14000000000000001</v>
      </c>
      <c r="P8" s="6">
        <f>(P11-P10/$O1)*$K4*O8</f>
        <v>41.780661727383155</v>
      </c>
      <c r="Q8" s="1">
        <v>0.15</v>
      </c>
      <c r="R8" s="6">
        <f>(R11-R10/$O1)*$K4*Q8</f>
        <v>0</v>
      </c>
      <c r="S8" s="1">
        <v>0.15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8" t="s">
        <v>19</v>
      </c>
      <c r="C9" s="20"/>
      <c r="D9" s="66"/>
      <c r="E9" s="67"/>
      <c r="F9" s="68"/>
      <c r="G9" s="66"/>
      <c r="H9" s="67"/>
      <c r="I9" s="68"/>
      <c r="J9" t="s">
        <v>12</v>
      </c>
      <c r="K9" s="1">
        <v>0.01</v>
      </c>
      <c r="L9" s="6">
        <f>(L11-L10/$O1)*$K4*K9</f>
        <v>0.19043259188184053</v>
      </c>
      <c r="M9" s="1">
        <v>0.01</v>
      </c>
      <c r="N9" s="6">
        <f>(N11-N10/$O1)*$K4*M9</f>
        <v>0.96932145158156247</v>
      </c>
      <c r="O9" s="1">
        <v>0.01</v>
      </c>
      <c r="P9" s="6">
        <f>(P11-P10/$O1)*$K4*O9</f>
        <v>2.984332980527368</v>
      </c>
      <c r="Q9" s="1">
        <v>0.02</v>
      </c>
      <c r="R9" s="6">
        <f>(R11-R10/$O1)*$K4*Q9</f>
        <v>0</v>
      </c>
      <c r="S9" s="1">
        <v>0.02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20</v>
      </c>
      <c r="C10" s="21"/>
      <c r="D10" s="54">
        <f>J3/J2*D11</f>
        <v>491777.63861764455</v>
      </c>
      <c r="E10" s="55"/>
      <c r="F10" s="56"/>
      <c r="G10" s="54">
        <f>J3/J2*G11</f>
        <v>440482.36138235545</v>
      </c>
      <c r="H10" s="55"/>
      <c r="I10" s="56"/>
      <c r="J10" t="s">
        <v>21</v>
      </c>
      <c r="L10" s="22"/>
      <c r="N10" s="22"/>
      <c r="P10" s="22"/>
      <c r="R10" s="22"/>
      <c r="T10" s="22"/>
      <c r="V10" s="22"/>
      <c r="X10" s="22"/>
    </row>
    <row r="11" spans="1:24" x14ac:dyDescent="0.25">
      <c r="B11" t="s">
        <v>22</v>
      </c>
      <c r="C11" s="21"/>
      <c r="D11" s="57">
        <f>E14+F14</f>
        <v>497000</v>
      </c>
      <c r="E11" s="58"/>
      <c r="F11" s="59"/>
      <c r="G11" s="57">
        <f>H14+I14</f>
        <v>445160</v>
      </c>
      <c r="H11" s="58"/>
      <c r="I11" s="58"/>
      <c r="J11" s="25"/>
      <c r="K11" s="26">
        <f>K14+L14</f>
        <v>42840</v>
      </c>
      <c r="L11" s="27">
        <f>K11/2204.62262184877</f>
        <v>19.431897130800053</v>
      </c>
      <c r="M11" s="26">
        <f>M14+N14</f>
        <v>218060</v>
      </c>
      <c r="N11" s="27">
        <f>M11/2204.62262184877</f>
        <v>98.910352202200258</v>
      </c>
      <c r="O11" s="26">
        <f>O14+P14</f>
        <v>671360</v>
      </c>
      <c r="P11" s="27">
        <f>O11/2204.62262184877</f>
        <v>304.52377352320082</v>
      </c>
      <c r="Q11" s="26">
        <f>Q14+R14</f>
        <v>0</v>
      </c>
      <c r="R11" s="27">
        <f>Q11/2204.62262184877</f>
        <v>0</v>
      </c>
      <c r="S11" s="26">
        <f>S14+T14</f>
        <v>0</v>
      </c>
      <c r="T11" s="27">
        <f>S11/2204.62262184877</f>
        <v>0</v>
      </c>
      <c r="U11" s="26">
        <f>U14+V14</f>
        <v>0</v>
      </c>
      <c r="V11" s="27">
        <f>U11/2204.62262184877</f>
        <v>0</v>
      </c>
      <c r="W11" s="26">
        <f>W14+X14</f>
        <v>0</v>
      </c>
      <c r="X11" s="27">
        <f>W11/2204.62262184877</f>
        <v>0</v>
      </c>
    </row>
    <row r="12" spans="1:24" x14ac:dyDescent="0.25">
      <c r="A12" s="52" t="s">
        <v>23</v>
      </c>
      <c r="B12" s="52"/>
      <c r="C12" s="21"/>
      <c r="D12" s="60" t="s">
        <v>24</v>
      </c>
      <c r="E12" s="61"/>
      <c r="F12" s="62"/>
      <c r="G12" s="60" t="s">
        <v>25</v>
      </c>
      <c r="H12" s="61"/>
      <c r="I12" s="61"/>
      <c r="J12" s="28"/>
      <c r="K12" s="50" t="s">
        <v>26</v>
      </c>
      <c r="L12" s="51"/>
      <c r="M12" s="50" t="s">
        <v>27</v>
      </c>
      <c r="N12" s="51"/>
      <c r="O12" s="50" t="s">
        <v>70</v>
      </c>
      <c r="P12" s="51"/>
      <c r="Q12" s="50" t="s">
        <v>28</v>
      </c>
      <c r="R12" s="51"/>
      <c r="S12" s="50" t="s">
        <v>29</v>
      </c>
      <c r="T12" s="51"/>
      <c r="U12" s="50" t="s">
        <v>30</v>
      </c>
      <c r="V12" s="51"/>
      <c r="W12" s="50" t="s">
        <v>31</v>
      </c>
      <c r="X12" s="51"/>
    </row>
    <row r="13" spans="1:24" x14ac:dyDescent="0.25">
      <c r="B13" t="s">
        <v>32</v>
      </c>
      <c r="C13" s="21"/>
      <c r="D13" s="29" t="s">
        <v>33</v>
      </c>
      <c r="E13" s="52" t="s">
        <v>34</v>
      </c>
      <c r="F13" s="53"/>
      <c r="G13" s="29" t="s">
        <v>33</v>
      </c>
      <c r="H13" s="52" t="s">
        <v>34</v>
      </c>
      <c r="I13" s="52"/>
      <c r="J13" s="25"/>
      <c r="K13" s="50" t="s">
        <v>34</v>
      </c>
      <c r="L13" s="51"/>
      <c r="M13" s="50" t="s">
        <v>34</v>
      </c>
      <c r="N13" s="51"/>
      <c r="O13" s="50" t="s">
        <v>34</v>
      </c>
      <c r="P13" s="51"/>
      <c r="Q13" s="50" t="s">
        <v>34</v>
      </c>
      <c r="R13" s="51"/>
      <c r="S13" s="50" t="s">
        <v>34</v>
      </c>
      <c r="T13" s="51"/>
      <c r="U13" s="50" t="s">
        <v>34</v>
      </c>
      <c r="V13" s="51"/>
      <c r="W13" s="50" t="s">
        <v>34</v>
      </c>
      <c r="X13" s="51"/>
    </row>
    <row r="14" spans="1:24" x14ac:dyDescent="0.25">
      <c r="C14" s="21"/>
      <c r="D14" s="29"/>
      <c r="E14" s="4">
        <f>SUM(E15:E133)</f>
        <v>497000</v>
      </c>
      <c r="F14" s="30">
        <f>SUM(F15:F133)</f>
        <v>0</v>
      </c>
      <c r="G14" s="29"/>
      <c r="H14" s="4">
        <f>SUM(H15:H133)</f>
        <v>445160</v>
      </c>
      <c r="I14" s="4">
        <f>SUM(I15:I133)</f>
        <v>0</v>
      </c>
      <c r="J14" s="25"/>
      <c r="K14" s="23">
        <f t="shared" ref="K14:X14" si="1">SUM(K15:K133)</f>
        <v>42840</v>
      </c>
      <c r="L14" s="24">
        <f t="shared" si="1"/>
        <v>0</v>
      </c>
      <c r="M14" s="23">
        <f t="shared" si="1"/>
        <v>218060</v>
      </c>
      <c r="N14" s="24">
        <f t="shared" si="1"/>
        <v>0</v>
      </c>
      <c r="O14" s="23">
        <f t="shared" si="1"/>
        <v>671360</v>
      </c>
      <c r="P14" s="24">
        <f t="shared" si="1"/>
        <v>0</v>
      </c>
      <c r="Q14" s="23">
        <f t="shared" si="1"/>
        <v>0</v>
      </c>
      <c r="R14" s="24">
        <f t="shared" si="1"/>
        <v>0</v>
      </c>
      <c r="S14" s="23">
        <f t="shared" si="1"/>
        <v>0</v>
      </c>
      <c r="T14" s="24">
        <f t="shared" si="1"/>
        <v>0</v>
      </c>
      <c r="U14" s="23">
        <f t="shared" si="1"/>
        <v>0</v>
      </c>
      <c r="V14" s="24">
        <f t="shared" si="1"/>
        <v>0</v>
      </c>
      <c r="W14" s="23">
        <f t="shared" si="1"/>
        <v>0</v>
      </c>
      <c r="X14" s="24">
        <f t="shared" si="1"/>
        <v>0</v>
      </c>
    </row>
    <row r="15" spans="1:24" x14ac:dyDescent="0.25">
      <c r="C15" s="21"/>
      <c r="D15" s="29"/>
      <c r="E15" t="s">
        <v>35</v>
      </c>
      <c r="F15" s="21" t="s">
        <v>36</v>
      </c>
      <c r="G15" s="29"/>
      <c r="H15" t="s">
        <v>35</v>
      </c>
      <c r="I15" t="s">
        <v>37</v>
      </c>
      <c r="J15" s="29"/>
      <c r="K15" s="31" t="s">
        <v>35</v>
      </c>
      <c r="L15" s="32" t="s">
        <v>36</v>
      </c>
      <c r="M15" s="31" t="s">
        <v>35</v>
      </c>
      <c r="N15" s="32" t="s">
        <v>38</v>
      </c>
      <c r="O15" s="31" t="s">
        <v>35</v>
      </c>
      <c r="P15" s="32" t="s">
        <v>36</v>
      </c>
      <c r="Q15" s="31" t="s">
        <v>35</v>
      </c>
      <c r="R15" s="32" t="s">
        <v>36</v>
      </c>
      <c r="S15" s="31" t="s">
        <v>35</v>
      </c>
      <c r="T15" s="32" t="s">
        <v>36</v>
      </c>
      <c r="U15" s="31" t="s">
        <v>35</v>
      </c>
      <c r="V15" s="32" t="s">
        <v>36</v>
      </c>
      <c r="W15" s="31" t="s">
        <v>35</v>
      </c>
      <c r="X15" s="32" t="s">
        <v>36</v>
      </c>
    </row>
    <row r="16" spans="1:24" x14ac:dyDescent="0.25">
      <c r="B16">
        <v>1</v>
      </c>
      <c r="C16" s="21"/>
      <c r="D16" s="29"/>
      <c r="F16" s="21"/>
      <c r="G16" s="29">
        <v>519</v>
      </c>
      <c r="H16">
        <v>23640</v>
      </c>
      <c r="J16" s="33"/>
      <c r="K16">
        <v>23240</v>
      </c>
    </row>
    <row r="17" spans="2:16" x14ac:dyDescent="0.25">
      <c r="C17" s="21"/>
      <c r="D17" s="29"/>
      <c r="F17" s="21"/>
      <c r="G17" s="29">
        <v>520</v>
      </c>
      <c r="H17">
        <v>19660</v>
      </c>
      <c r="J17" s="33"/>
      <c r="K17">
        <v>19600</v>
      </c>
    </row>
    <row r="18" spans="2:16" x14ac:dyDescent="0.25">
      <c r="B18">
        <v>2</v>
      </c>
      <c r="C18" s="21"/>
      <c r="D18" s="29">
        <v>88</v>
      </c>
      <c r="E18">
        <v>25780</v>
      </c>
      <c r="F18" s="21"/>
      <c r="G18" s="29">
        <v>522</v>
      </c>
      <c r="H18">
        <v>21860</v>
      </c>
      <c r="J18" s="33"/>
      <c r="M18">
        <v>47300</v>
      </c>
    </row>
    <row r="19" spans="2:16" x14ac:dyDescent="0.25">
      <c r="B19">
        <v>3</v>
      </c>
      <c r="C19" s="21"/>
      <c r="D19">
        <v>89</v>
      </c>
      <c r="E19">
        <v>24160</v>
      </c>
      <c r="F19" s="21"/>
      <c r="J19" s="33"/>
    </row>
    <row r="20" spans="2:16" x14ac:dyDescent="0.25">
      <c r="C20" s="21"/>
      <c r="D20">
        <v>90</v>
      </c>
      <c r="E20">
        <v>26400</v>
      </c>
      <c r="F20" s="21"/>
      <c r="J20" s="33"/>
      <c r="M20">
        <v>50260</v>
      </c>
    </row>
    <row r="21" spans="2:16" x14ac:dyDescent="0.25">
      <c r="B21">
        <v>4</v>
      </c>
      <c r="C21" s="21"/>
      <c r="D21">
        <v>91</v>
      </c>
      <c r="E21">
        <v>26760</v>
      </c>
      <c r="F21" s="21"/>
      <c r="J21" s="34"/>
      <c r="M21">
        <v>25980</v>
      </c>
    </row>
    <row r="22" spans="2:16" x14ac:dyDescent="0.25">
      <c r="B22">
        <v>5</v>
      </c>
      <c r="C22" s="21"/>
      <c r="D22">
        <v>92</v>
      </c>
      <c r="E22">
        <v>25880</v>
      </c>
      <c r="F22" s="21"/>
      <c r="G22">
        <v>522</v>
      </c>
      <c r="H22">
        <v>22680</v>
      </c>
      <c r="J22" s="33"/>
      <c r="M22">
        <v>47980</v>
      </c>
    </row>
    <row r="23" spans="2:16" x14ac:dyDescent="0.25">
      <c r="B23">
        <v>6</v>
      </c>
      <c r="C23" s="21"/>
      <c r="D23">
        <v>93</v>
      </c>
      <c r="E23">
        <v>26740</v>
      </c>
      <c r="F23" s="21"/>
      <c r="G23">
        <v>523</v>
      </c>
      <c r="H23">
        <v>19480</v>
      </c>
      <c r="J23" s="33"/>
      <c r="M23">
        <v>46540</v>
      </c>
      <c r="O23" t="s">
        <v>114</v>
      </c>
    </row>
    <row r="24" spans="2:16" x14ac:dyDescent="0.25">
      <c r="B24">
        <v>7</v>
      </c>
      <c r="C24" s="21"/>
      <c r="D24">
        <v>94</v>
      </c>
      <c r="E24">
        <v>26920</v>
      </c>
      <c r="F24" s="21"/>
      <c r="G24">
        <v>524</v>
      </c>
      <c r="H24">
        <v>24720</v>
      </c>
      <c r="J24" s="33"/>
      <c r="O24">
        <v>50520</v>
      </c>
    </row>
    <row r="25" spans="2:16" x14ac:dyDescent="0.25">
      <c r="B25">
        <v>8</v>
      </c>
      <c r="C25" s="21"/>
      <c r="D25">
        <v>95</v>
      </c>
      <c r="E25">
        <v>22620</v>
      </c>
      <c r="F25" s="21"/>
      <c r="G25">
        <v>525</v>
      </c>
      <c r="H25">
        <v>24880</v>
      </c>
      <c r="J25" s="33"/>
      <c r="O25">
        <v>47400</v>
      </c>
    </row>
    <row r="26" spans="2:16" x14ac:dyDescent="0.25">
      <c r="B26">
        <v>9</v>
      </c>
      <c r="C26" s="21"/>
      <c r="D26">
        <v>96</v>
      </c>
      <c r="E26">
        <v>27260</v>
      </c>
      <c r="F26" s="21"/>
      <c r="G26">
        <v>526</v>
      </c>
      <c r="H26">
        <v>20400</v>
      </c>
      <c r="J26" s="33"/>
      <c r="O26">
        <v>46780</v>
      </c>
    </row>
    <row r="27" spans="2:16" x14ac:dyDescent="0.25">
      <c r="B27">
        <v>10</v>
      </c>
      <c r="C27" s="21"/>
      <c r="D27">
        <v>97</v>
      </c>
      <c r="E27">
        <v>24740</v>
      </c>
      <c r="F27" s="21"/>
      <c r="G27">
        <v>527</v>
      </c>
      <c r="H27">
        <v>22780</v>
      </c>
      <c r="J27" s="33"/>
      <c r="O27">
        <v>46320</v>
      </c>
      <c r="P27" s="9"/>
    </row>
    <row r="28" spans="2:16" x14ac:dyDescent="0.25">
      <c r="B28">
        <v>11</v>
      </c>
      <c r="C28" s="21"/>
      <c r="D28">
        <v>98</v>
      </c>
      <c r="E28">
        <v>18820</v>
      </c>
      <c r="F28" s="21"/>
      <c r="G28">
        <v>528</v>
      </c>
      <c r="H28">
        <v>26740</v>
      </c>
      <c r="J28" s="33"/>
      <c r="O28">
        <v>45440</v>
      </c>
      <c r="P28" s="9"/>
    </row>
    <row r="29" spans="2:16" x14ac:dyDescent="0.25">
      <c r="B29">
        <v>12</v>
      </c>
      <c r="C29" s="21"/>
      <c r="D29">
        <v>99</v>
      </c>
      <c r="E29">
        <v>24340</v>
      </c>
      <c r="F29" s="21"/>
      <c r="G29">
        <v>529</v>
      </c>
      <c r="H29">
        <v>22920</v>
      </c>
      <c r="J29" s="33"/>
      <c r="O29">
        <v>45100</v>
      </c>
      <c r="P29" s="9"/>
    </row>
    <row r="30" spans="2:16" x14ac:dyDescent="0.25">
      <c r="B30">
        <v>13</v>
      </c>
      <c r="C30" s="21"/>
      <c r="D30">
        <v>100</v>
      </c>
      <c r="E30">
        <v>24680</v>
      </c>
      <c r="F30" s="21"/>
      <c r="G30">
        <v>530</v>
      </c>
      <c r="H30">
        <v>26880</v>
      </c>
      <c r="J30" s="33"/>
      <c r="O30">
        <v>50520</v>
      </c>
    </row>
    <row r="31" spans="2:16" x14ac:dyDescent="0.25">
      <c r="B31">
        <v>14</v>
      </c>
      <c r="C31" s="21"/>
      <c r="D31">
        <v>101</v>
      </c>
      <c r="E31">
        <v>24200</v>
      </c>
      <c r="F31" s="21"/>
      <c r="G31">
        <v>531</v>
      </c>
      <c r="H31">
        <v>23460</v>
      </c>
      <c r="J31" s="33"/>
      <c r="O31">
        <v>48100</v>
      </c>
    </row>
    <row r="32" spans="2:16" x14ac:dyDescent="0.25">
      <c r="B32">
        <v>15</v>
      </c>
      <c r="C32" s="21"/>
      <c r="D32">
        <v>102</v>
      </c>
      <c r="E32">
        <v>26400</v>
      </c>
      <c r="F32" s="21"/>
      <c r="G32">
        <v>532</v>
      </c>
      <c r="H32">
        <v>26120</v>
      </c>
      <c r="J32" s="33"/>
      <c r="O32">
        <v>52160</v>
      </c>
    </row>
    <row r="33" spans="1:20" s="9" customFormat="1" x14ac:dyDescent="0.25">
      <c r="A33"/>
      <c r="B33">
        <v>16</v>
      </c>
      <c r="C33" s="35"/>
      <c r="D33">
        <v>103</v>
      </c>
      <c r="E33">
        <v>24400</v>
      </c>
      <c r="F33" s="21"/>
      <c r="G33">
        <v>533</v>
      </c>
      <c r="H33">
        <v>23740</v>
      </c>
      <c r="I33"/>
      <c r="J33" s="33"/>
      <c r="M33"/>
      <c r="N33"/>
      <c r="O33">
        <v>47180</v>
      </c>
      <c r="Q33"/>
      <c r="R33"/>
      <c r="S33"/>
      <c r="T33"/>
    </row>
    <row r="34" spans="1:20" s="9" customFormat="1" x14ac:dyDescent="0.25">
      <c r="A34"/>
      <c r="B34">
        <v>17</v>
      </c>
      <c r="C34" s="35"/>
      <c r="D34">
        <v>104</v>
      </c>
      <c r="E34">
        <v>25940</v>
      </c>
      <c r="F34" s="21"/>
      <c r="G34">
        <v>534</v>
      </c>
      <c r="H34">
        <v>23580</v>
      </c>
      <c r="I34"/>
      <c r="J34" s="33"/>
      <c r="M34"/>
      <c r="N34"/>
      <c r="O34">
        <v>49700</v>
      </c>
      <c r="Q34"/>
      <c r="R34"/>
      <c r="S34"/>
      <c r="T34"/>
    </row>
    <row r="35" spans="1:20" s="9" customFormat="1" x14ac:dyDescent="0.25">
      <c r="A35"/>
      <c r="B35">
        <v>18</v>
      </c>
      <c r="C35" s="35"/>
      <c r="D35">
        <v>105</v>
      </c>
      <c r="E35">
        <v>23640</v>
      </c>
      <c r="F35" s="21"/>
      <c r="G35">
        <v>535</v>
      </c>
      <c r="H35">
        <v>22660</v>
      </c>
      <c r="I35"/>
      <c r="J35" s="33"/>
      <c r="L35"/>
      <c r="M35"/>
      <c r="N35"/>
      <c r="O35">
        <v>45640</v>
      </c>
      <c r="S35"/>
      <c r="T35"/>
    </row>
    <row r="36" spans="1:20" s="9" customFormat="1" x14ac:dyDescent="0.25">
      <c r="A36"/>
      <c r="B36">
        <v>19</v>
      </c>
      <c r="C36" s="35"/>
      <c r="D36">
        <v>106</v>
      </c>
      <c r="E36">
        <v>23560</v>
      </c>
      <c r="F36" s="21"/>
      <c r="G36">
        <v>536</v>
      </c>
      <c r="H36">
        <v>23280</v>
      </c>
      <c r="I36"/>
      <c r="J36" s="33"/>
      <c r="L36"/>
      <c r="M36"/>
      <c r="N36"/>
      <c r="O36">
        <v>47040</v>
      </c>
      <c r="S36"/>
      <c r="T36"/>
    </row>
    <row r="37" spans="1:20" s="9" customFormat="1" x14ac:dyDescent="0.25">
      <c r="A37"/>
      <c r="B37">
        <v>20</v>
      </c>
      <c r="C37" s="35"/>
      <c r="D37" s="29">
        <v>107</v>
      </c>
      <c r="E37" s="2">
        <v>21500</v>
      </c>
      <c r="F37" s="21"/>
      <c r="G37">
        <v>537</v>
      </c>
      <c r="H37" s="2">
        <v>16160</v>
      </c>
      <c r="I37"/>
      <c r="J37" s="33"/>
      <c r="L37"/>
      <c r="M37"/>
      <c r="N37"/>
      <c r="O37">
        <v>37640</v>
      </c>
      <c r="S37"/>
      <c r="T37"/>
    </row>
    <row r="38" spans="1:20" x14ac:dyDescent="0.25">
      <c r="B38">
        <v>21</v>
      </c>
      <c r="C38" s="21"/>
      <c r="D38" s="29">
        <v>108</v>
      </c>
      <c r="E38">
        <v>2260</v>
      </c>
      <c r="F38" s="21"/>
      <c r="G38">
        <v>538</v>
      </c>
      <c r="H38">
        <v>9520</v>
      </c>
      <c r="J38" s="33"/>
      <c r="O38">
        <v>11820</v>
      </c>
    </row>
    <row r="39" spans="1:20" x14ac:dyDescent="0.25">
      <c r="C39" s="21"/>
      <c r="D39" s="29"/>
      <c r="E39" s="2"/>
      <c r="F39" s="21"/>
      <c r="H39" s="2"/>
      <c r="J39" s="33"/>
      <c r="O39" s="42"/>
    </row>
    <row r="40" spans="1:20" x14ac:dyDescent="0.25">
      <c r="C40" s="21"/>
      <c r="D40" s="29"/>
      <c r="F40" s="21"/>
      <c r="J40" s="33"/>
    </row>
    <row r="41" spans="1:20" x14ac:dyDescent="0.25">
      <c r="C41" s="21"/>
      <c r="D41" s="29"/>
      <c r="F41" s="21"/>
      <c r="J41" s="33"/>
    </row>
    <row r="42" spans="1:20" x14ac:dyDescent="0.25">
      <c r="C42" s="21"/>
      <c r="D42" s="29"/>
      <c r="F42" s="21"/>
      <c r="J42" s="33"/>
      <c r="R42" s="9"/>
    </row>
    <row r="43" spans="1:20" x14ac:dyDescent="0.25">
      <c r="C43" s="21"/>
      <c r="D43" s="29"/>
      <c r="F43" s="21"/>
      <c r="J43" s="33"/>
      <c r="R43" s="9"/>
    </row>
    <row r="44" spans="1:20" x14ac:dyDescent="0.25">
      <c r="C44" s="21"/>
      <c r="D44" s="29"/>
      <c r="F44" s="21"/>
      <c r="J44" s="33"/>
      <c r="Q44" s="9"/>
    </row>
    <row r="45" spans="1:20" x14ac:dyDescent="0.25">
      <c r="C45" s="21"/>
      <c r="D45" s="29"/>
      <c r="F45" s="21"/>
      <c r="J45" s="33"/>
    </row>
    <row r="46" spans="1:20" x14ac:dyDescent="0.25">
      <c r="C46" s="21"/>
      <c r="D46" s="29"/>
      <c r="F46" s="21"/>
      <c r="J46" s="33"/>
    </row>
    <row r="47" spans="1:20" x14ac:dyDescent="0.25">
      <c r="C47" s="21"/>
      <c r="D47" s="29"/>
      <c r="F47" s="21"/>
      <c r="J47" s="33"/>
    </row>
    <row r="48" spans="1:20" x14ac:dyDescent="0.25">
      <c r="C48" s="21"/>
      <c r="D48" s="29"/>
      <c r="F48" s="21"/>
      <c r="J48" s="33"/>
    </row>
    <row r="49" spans="3:13" x14ac:dyDescent="0.25">
      <c r="C49" s="21"/>
      <c r="D49" s="29"/>
      <c r="F49" s="21"/>
      <c r="J49" s="33"/>
    </row>
    <row r="50" spans="3:13" x14ac:dyDescent="0.25">
      <c r="C50" s="21"/>
      <c r="D50" s="29"/>
      <c r="F50" s="21"/>
      <c r="J50" s="33"/>
    </row>
    <row r="51" spans="3:13" x14ac:dyDescent="0.25">
      <c r="C51" s="21"/>
      <c r="D51" s="29"/>
      <c r="F51" s="21"/>
      <c r="J51" s="33"/>
    </row>
    <row r="52" spans="3:13" x14ac:dyDescent="0.25">
      <c r="C52" s="21"/>
      <c r="D52" s="29"/>
      <c r="F52" s="36"/>
      <c r="J52" s="33"/>
      <c r="L52" s="37"/>
    </row>
    <row r="53" spans="3:13" x14ac:dyDescent="0.25">
      <c r="C53" s="21"/>
      <c r="D53" s="29"/>
      <c r="F53" s="36"/>
      <c r="J53" s="33"/>
      <c r="L53" s="37"/>
    </row>
    <row r="54" spans="3:13" x14ac:dyDescent="0.25">
      <c r="C54" s="21"/>
      <c r="D54" s="29"/>
      <c r="F54" s="36"/>
      <c r="G54" s="38"/>
      <c r="J54" s="33"/>
      <c r="L54" s="37"/>
    </row>
    <row r="55" spans="3:13" x14ac:dyDescent="0.25">
      <c r="C55" s="21"/>
      <c r="D55" s="29"/>
      <c r="F55" s="37"/>
      <c r="G55" s="29"/>
      <c r="H55" s="37"/>
      <c r="J55" s="33"/>
      <c r="L55" s="37"/>
      <c r="M55" s="37"/>
    </row>
    <row r="56" spans="3:13" x14ac:dyDescent="0.25">
      <c r="C56" s="21"/>
      <c r="D56" s="29"/>
      <c r="F56" s="21"/>
      <c r="G56" s="29"/>
      <c r="H56" s="37"/>
      <c r="J56" s="33"/>
      <c r="M56" s="37"/>
    </row>
    <row r="57" spans="3:13" x14ac:dyDescent="0.25">
      <c r="C57" s="21"/>
      <c r="D57" s="29"/>
      <c r="F57" s="21"/>
      <c r="G57" s="29"/>
      <c r="J57" s="33"/>
    </row>
    <row r="58" spans="3:13" x14ac:dyDescent="0.25">
      <c r="C58" s="21"/>
      <c r="D58" s="29"/>
      <c r="F58" s="21"/>
      <c r="G58" s="29"/>
      <c r="J58" s="33"/>
    </row>
    <row r="59" spans="3:13" x14ac:dyDescent="0.25">
      <c r="C59" s="21"/>
      <c r="D59" s="39"/>
      <c r="F59" s="21"/>
      <c r="G59" s="39"/>
      <c r="J59" s="29"/>
    </row>
    <row r="60" spans="3:13" x14ac:dyDescent="0.25">
      <c r="C60" s="21"/>
      <c r="F60" s="21"/>
      <c r="J60" s="29"/>
    </row>
    <row r="61" spans="3:13" x14ac:dyDescent="0.25">
      <c r="C61" s="21"/>
      <c r="F61" s="21"/>
      <c r="J61" s="29"/>
    </row>
    <row r="62" spans="3:13" x14ac:dyDescent="0.25">
      <c r="C62" s="21"/>
      <c r="F62" s="21"/>
      <c r="J62" s="29"/>
    </row>
    <row r="63" spans="3:13" x14ac:dyDescent="0.25">
      <c r="J63" s="29"/>
    </row>
    <row r="64" spans="3:13" x14ac:dyDescent="0.25">
      <c r="J64" s="29"/>
    </row>
    <row r="65" spans="2:10" x14ac:dyDescent="0.25">
      <c r="J65" s="29"/>
    </row>
    <row r="66" spans="2:10" x14ac:dyDescent="0.25">
      <c r="J66" s="29"/>
    </row>
    <row r="67" spans="2:10" x14ac:dyDescent="0.25">
      <c r="J67" s="29"/>
    </row>
    <row r="68" spans="2:10" x14ac:dyDescent="0.25">
      <c r="C68" s="21"/>
      <c r="F68" s="21"/>
      <c r="J68" s="29"/>
    </row>
    <row r="69" spans="2:10" x14ac:dyDescent="0.25">
      <c r="C69" s="21"/>
      <c r="F69" s="21"/>
      <c r="J69" s="29"/>
    </row>
    <row r="70" spans="2:10" x14ac:dyDescent="0.25">
      <c r="C70" s="21"/>
      <c r="F70" s="21"/>
      <c r="J70" s="29"/>
    </row>
    <row r="71" spans="2:10" x14ac:dyDescent="0.25">
      <c r="C71" s="21"/>
      <c r="F71" s="21"/>
      <c r="J71" s="29"/>
    </row>
    <row r="72" spans="2:10" x14ac:dyDescent="0.25">
      <c r="C72" s="21"/>
      <c r="F72" s="21"/>
      <c r="J72" s="29"/>
    </row>
    <row r="73" spans="2:10" x14ac:dyDescent="0.25">
      <c r="C73" s="21"/>
      <c r="F73" s="21"/>
      <c r="J73" s="29"/>
    </row>
    <row r="74" spans="2:10" x14ac:dyDescent="0.25">
      <c r="C74" s="21"/>
      <c r="F74" s="21"/>
      <c r="J74" s="29"/>
    </row>
    <row r="75" spans="2:10" x14ac:dyDescent="0.25">
      <c r="C75" s="21"/>
      <c r="F75" s="21"/>
      <c r="J75" s="29"/>
    </row>
    <row r="76" spans="2:10" x14ac:dyDescent="0.25">
      <c r="C76" s="21"/>
      <c r="F76" s="21"/>
      <c r="J76" s="29"/>
    </row>
    <row r="77" spans="2:10" x14ac:dyDescent="0.25">
      <c r="C77" s="21"/>
      <c r="F77" s="21"/>
      <c r="J77" s="29"/>
    </row>
    <row r="78" spans="2:10" x14ac:dyDescent="0.25">
      <c r="C78" s="21"/>
      <c r="F78" s="21"/>
      <c r="J78" s="29"/>
    </row>
    <row r="79" spans="2:10" x14ac:dyDescent="0.25">
      <c r="C79" s="21"/>
      <c r="F79" s="21"/>
      <c r="J79" s="29"/>
    </row>
    <row r="80" spans="2:10" x14ac:dyDescent="0.25">
      <c r="B80" s="40"/>
      <c r="C80" s="21"/>
      <c r="F80" s="21"/>
      <c r="J80" s="29"/>
    </row>
    <row r="81" spans="2:10" x14ac:dyDescent="0.25">
      <c r="C81" s="21"/>
      <c r="F81" s="21"/>
      <c r="J81" s="29"/>
    </row>
    <row r="82" spans="2:10" x14ac:dyDescent="0.25">
      <c r="C82" s="21"/>
      <c r="F82" s="21"/>
      <c r="J82" s="29"/>
    </row>
    <row r="83" spans="2:10" x14ac:dyDescent="0.25">
      <c r="C83" s="21"/>
      <c r="F83" s="21"/>
      <c r="J83" s="29"/>
    </row>
    <row r="84" spans="2:10" x14ac:dyDescent="0.25">
      <c r="C84" s="21"/>
      <c r="F84" s="21"/>
      <c r="J84" s="29"/>
    </row>
    <row r="85" spans="2:10" x14ac:dyDescent="0.25">
      <c r="C85" s="21"/>
      <c r="F85" s="21"/>
      <c r="J85" s="29"/>
    </row>
    <row r="86" spans="2:10" x14ac:dyDescent="0.25">
      <c r="C86" s="21"/>
      <c r="F86" s="21"/>
      <c r="J86" s="29"/>
    </row>
    <row r="87" spans="2:10" x14ac:dyDescent="0.25">
      <c r="C87" s="21"/>
      <c r="F87" s="21"/>
      <c r="J87" s="29"/>
    </row>
    <row r="88" spans="2:10" x14ac:dyDescent="0.25">
      <c r="B88" s="40"/>
      <c r="C88" s="21"/>
      <c r="F88" s="21"/>
      <c r="J88" s="29"/>
    </row>
    <row r="89" spans="2:10" x14ac:dyDescent="0.25">
      <c r="C89" s="21"/>
      <c r="F89" s="21"/>
      <c r="J89" s="29"/>
    </row>
    <row r="90" spans="2:10" x14ac:dyDescent="0.25">
      <c r="C90" s="21"/>
      <c r="F90" s="21"/>
      <c r="J90" s="29"/>
    </row>
    <row r="91" spans="2:10" x14ac:dyDescent="0.25">
      <c r="C91" s="21"/>
      <c r="F91" s="21"/>
      <c r="J91" s="29"/>
    </row>
    <row r="92" spans="2:10" x14ac:dyDescent="0.25">
      <c r="C92" s="21"/>
      <c r="D92" s="29"/>
      <c r="F92" s="21"/>
      <c r="J92" s="29"/>
    </row>
    <row r="93" spans="2:10" x14ac:dyDescent="0.25">
      <c r="C93" s="21"/>
      <c r="D93" s="29"/>
      <c r="F93" s="21"/>
      <c r="G93" s="29"/>
      <c r="J93" s="29"/>
    </row>
    <row r="94" spans="2:10" x14ac:dyDescent="0.25">
      <c r="B94" s="40"/>
      <c r="C94" s="21"/>
      <c r="D94" s="29"/>
      <c r="F94" s="21"/>
      <c r="G94" s="29"/>
      <c r="J94" s="29"/>
    </row>
    <row r="95" spans="2:10" x14ac:dyDescent="0.25">
      <c r="C95" s="21"/>
      <c r="D95" s="29"/>
      <c r="F95" s="21"/>
      <c r="G95" s="29"/>
      <c r="J95" s="29"/>
    </row>
    <row r="96" spans="2:10" x14ac:dyDescent="0.25">
      <c r="C96" s="21"/>
      <c r="D96" s="29"/>
      <c r="F96" s="21"/>
      <c r="G96" s="29"/>
      <c r="J96" s="29"/>
    </row>
    <row r="97" spans="3:10" x14ac:dyDescent="0.25">
      <c r="C97" s="21"/>
      <c r="D97" s="29"/>
      <c r="F97" s="21"/>
      <c r="G97" s="29"/>
      <c r="J97" s="29"/>
    </row>
    <row r="98" spans="3:10" x14ac:dyDescent="0.25">
      <c r="C98" s="21"/>
      <c r="D98" s="29"/>
      <c r="F98" s="21"/>
      <c r="G98" s="29"/>
      <c r="J98" s="29"/>
    </row>
    <row r="99" spans="3:10" x14ac:dyDescent="0.25">
      <c r="C99" s="21"/>
      <c r="D99" s="29"/>
      <c r="F99" s="21"/>
      <c r="G99" s="29"/>
      <c r="J99" s="29"/>
    </row>
    <row r="100" spans="3:10" x14ac:dyDescent="0.25">
      <c r="C100" s="21"/>
      <c r="D100" s="29"/>
      <c r="F100" s="21"/>
      <c r="G100" s="29"/>
      <c r="J100" s="29"/>
    </row>
    <row r="101" spans="3:10" x14ac:dyDescent="0.25">
      <c r="C101" s="21"/>
      <c r="D101" s="29"/>
      <c r="F101" s="21"/>
      <c r="G101" s="29"/>
      <c r="J101" s="29"/>
    </row>
    <row r="102" spans="3:10" x14ac:dyDescent="0.25">
      <c r="D102" s="29"/>
      <c r="F102" s="21"/>
      <c r="G102" s="29"/>
      <c r="J102" s="29"/>
    </row>
    <row r="103" spans="3:10" x14ac:dyDescent="0.25">
      <c r="D103" s="29"/>
      <c r="F103" s="21"/>
      <c r="G103" s="29"/>
      <c r="J103" s="29"/>
    </row>
    <row r="104" spans="3:10" x14ac:dyDescent="0.25">
      <c r="D104" s="29"/>
      <c r="F104" s="21"/>
      <c r="G104" s="29"/>
      <c r="J104" s="29"/>
    </row>
    <row r="105" spans="3:10" x14ac:dyDescent="0.25">
      <c r="D105" s="29"/>
      <c r="F105" s="21"/>
      <c r="G105" s="29"/>
      <c r="J105" s="29"/>
    </row>
    <row r="106" spans="3:10" x14ac:dyDescent="0.25">
      <c r="D106" s="29"/>
      <c r="F106" s="21"/>
      <c r="G106" s="29"/>
      <c r="J106" s="29"/>
    </row>
    <row r="107" spans="3:10" x14ac:dyDescent="0.25">
      <c r="D107" s="29"/>
      <c r="F107" s="21"/>
      <c r="G107" s="29"/>
      <c r="J107" s="29"/>
    </row>
    <row r="108" spans="3:10" x14ac:dyDescent="0.25">
      <c r="D108" s="31"/>
      <c r="E108" s="41" t="s">
        <v>39</v>
      </c>
      <c r="F108" s="32"/>
      <c r="G108" s="31"/>
      <c r="H108" s="41" t="s">
        <v>39</v>
      </c>
      <c r="I108" s="41"/>
      <c r="J108" s="29"/>
    </row>
  </sheetData>
  <mergeCells count="30">
    <mergeCell ref="D9:F9"/>
    <mergeCell ref="G9:I9"/>
    <mergeCell ref="H2:I2"/>
    <mergeCell ref="D3:E3"/>
    <mergeCell ref="H3:I3"/>
    <mergeCell ref="D4:E4"/>
    <mergeCell ref="D5:E5"/>
    <mergeCell ref="D10:F10"/>
    <mergeCell ref="G10:I10"/>
    <mergeCell ref="D11:F11"/>
    <mergeCell ref="G11:I11"/>
    <mergeCell ref="A12:B12"/>
    <mergeCell ref="D12:F12"/>
    <mergeCell ref="G12:I12"/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</mergeCells>
  <pageMargins left="0.7" right="0.7" top="0.75" bottom="0.75" header="0.3" footer="0.3"/>
  <pageSetup scale="31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A0BBCB019C34ABDB87831BC2CBA5D" ma:contentTypeVersion="12" ma:contentTypeDescription="Create a new document." ma:contentTypeScope="" ma:versionID="da8d8b25f7a2e9c3b561e3ea4bdb6aba">
  <xsd:schema xmlns:xsd="http://www.w3.org/2001/XMLSchema" xmlns:xs="http://www.w3.org/2001/XMLSchema" xmlns:p="http://schemas.microsoft.com/office/2006/metadata/properties" xmlns:ns2="b516bcd5-cf33-4949-889f-e83c806d5929" xmlns:ns3="26a48987-d481-4326-b381-a4e5ab034e43" targetNamespace="http://schemas.microsoft.com/office/2006/metadata/properties" ma:root="true" ma:fieldsID="74d1413749667cab4050353b45c4c2f2" ns2:_="" ns3:_="">
    <xsd:import namespace="b516bcd5-cf33-4949-889f-e83c806d5929"/>
    <xsd:import namespace="26a48987-d481-4326-b381-a4e5ab034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6bcd5-cf33-4949-889f-e83c806d5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be3677b-87c5-40e8-ac02-d012efc35c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8987-d481-4326-b381-a4e5ab034e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4983c7-7193-412d-afc9-9a09a86f0331}" ma:internalName="TaxCatchAll" ma:showField="CatchAllData" ma:web="26a48987-d481-4326-b381-a4e5ab034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16bcd5-cf33-4949-889f-e83c806d5929">
      <Terms xmlns="http://schemas.microsoft.com/office/infopath/2007/PartnerControls"/>
    </lcf76f155ced4ddcb4097134ff3c332f>
    <TaxCatchAll xmlns="26a48987-d481-4326-b381-a4e5ab034e43" xsi:nil="true"/>
  </documentManagement>
</p:properties>
</file>

<file path=customXml/itemProps1.xml><?xml version="1.0" encoding="utf-8"?>
<ds:datastoreItem xmlns:ds="http://schemas.openxmlformats.org/officeDocument/2006/customXml" ds:itemID="{305F4BB1-00AC-4E02-94ED-CA9FD67CD945}"/>
</file>

<file path=customXml/itemProps2.xml><?xml version="1.0" encoding="utf-8"?>
<ds:datastoreItem xmlns:ds="http://schemas.openxmlformats.org/officeDocument/2006/customXml" ds:itemID="{4D8061AD-A7B0-4D58-9EF1-73883AF40B6A}"/>
</file>

<file path=customXml/itemProps3.xml><?xml version="1.0" encoding="utf-8"?>
<ds:datastoreItem xmlns:ds="http://schemas.openxmlformats.org/officeDocument/2006/customXml" ds:itemID="{67CD7400-03D1-44BB-9FA3-8FDE818084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F1</vt:lpstr>
      <vt:lpstr>F2</vt:lpstr>
      <vt:lpstr>F3b</vt:lpstr>
      <vt:lpstr>F4c</vt:lpstr>
      <vt:lpstr>F05</vt:lpstr>
      <vt:lpstr>F6a</vt:lpstr>
      <vt:lpstr>6b</vt:lpstr>
      <vt:lpstr>F7</vt:lpstr>
      <vt:lpstr>F8</vt:lpstr>
      <vt:lpstr>F9</vt:lpstr>
      <vt:lpstr>F10</vt:lpstr>
      <vt:lpstr>F12</vt:lpstr>
      <vt:lpstr>F13</vt:lpstr>
      <vt:lpstr>F14</vt:lpstr>
      <vt:lpstr>F15</vt:lpstr>
      <vt:lpstr>F17</vt:lpstr>
      <vt:lpstr>F18</vt:lpstr>
      <vt:lpstr>F19a</vt:lpstr>
      <vt:lpstr>F19b</vt:lpstr>
      <vt:lpstr>F19d</vt:lpstr>
      <vt:lpstr>F21</vt:lpstr>
      <vt:lpstr>F22</vt:lpstr>
      <vt:lpstr>F25</vt:lpstr>
      <vt:lpstr>F25 (2)</vt:lpstr>
      <vt:lpstr>F26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Murray</dc:creator>
  <cp:lastModifiedBy>Murray</cp:lastModifiedBy>
  <dcterms:created xsi:type="dcterms:W3CDTF">2023-02-28T18:41:44Z</dcterms:created>
  <dcterms:modified xsi:type="dcterms:W3CDTF">2023-02-28T18:52:54Z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0x010100770A0BBCB019C34ABDB87831BC2CBA5D</vt:lpwstr>
  </property>
  <property fmtid="{D5CDD505-2E9C-101B-9397-08002B2CF9AE}" pid="3" name="Order">
    <vt:r8>6858800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