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ray\Dropbox\Hillsboro\Crops\2023 Crop\PPSN\"/>
    </mc:Choice>
  </mc:AlternateContent>
  <xr:revisionPtr revIDLastSave="0" documentId="13_ncr:1_{6169CDDA-2C80-4402-80C3-0A6E778E5206}" xr6:coauthVersionLast="47" xr6:coauthVersionMax="47" xr10:uidLastSave="{00000000-0000-0000-0000-000000000000}"/>
  <bookViews>
    <workbookView xWindow="-120" yWindow="-120" windowWidth="29040" windowHeight="15840" activeTab="5" xr2:uid="{B7DAF030-981C-4BC9-A39D-0BCC611E956E}"/>
  </bookViews>
  <sheets>
    <sheet name="F1" sheetId="6" r:id="rId1"/>
    <sheet name="F2" sheetId="7" r:id="rId2"/>
    <sheet name="F5" sheetId="16" r:id="rId3"/>
    <sheet name="6a" sheetId="22" r:id="rId4"/>
    <sheet name="F7" sheetId="1" r:id="rId5"/>
    <sheet name="F8" sheetId="8" r:id="rId6"/>
    <sheet name="F9" sheetId="4" r:id="rId7"/>
    <sheet name="F10" sheetId="15" r:id="rId8"/>
    <sheet name="F12" sheetId="12" r:id="rId9"/>
    <sheet name="F14" sheetId="14" r:id="rId10"/>
    <sheet name="F14 (2)" sheetId="20" r:id="rId11"/>
    <sheet name="F15" sheetId="21" r:id="rId12"/>
    <sheet name="F17" sheetId="19" r:id="rId13"/>
    <sheet name="F18" sheetId="11" r:id="rId14"/>
    <sheet name="F19A" sheetId="3" r:id="rId15"/>
    <sheet name="F19b" sheetId="17" r:id="rId16"/>
    <sheet name="F19D" sheetId="2" r:id="rId17"/>
    <sheet name="F21" sheetId="13" r:id="rId18"/>
    <sheet name="F22" sheetId="5" r:id="rId19"/>
    <sheet name="F25" sheetId="10" r:id="rId20"/>
    <sheet name="F26" sheetId="18" r:id="rId21"/>
  </sheets>
  <externalReferences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22" l="1"/>
  <c r="Y14" i="22"/>
  <c r="X14" i="22"/>
  <c r="W14" i="22"/>
  <c r="V14" i="22"/>
  <c r="U14" i="22"/>
  <c r="U11" i="22" s="1"/>
  <c r="V11" i="22" s="1"/>
  <c r="T14" i="22"/>
  <c r="S14" i="22"/>
  <c r="S11" i="22" s="1"/>
  <c r="T11" i="22" s="1"/>
  <c r="R14" i="22"/>
  <c r="Q14" i="22"/>
  <c r="P14" i="22"/>
  <c r="O14" i="22"/>
  <c r="N14" i="22"/>
  <c r="K11" i="22" s="1"/>
  <c r="M14" i="22"/>
  <c r="L14" i="22"/>
  <c r="K14" i="22"/>
  <c r="I14" i="22"/>
  <c r="H14" i="22"/>
  <c r="F14" i="22"/>
  <c r="E14" i="22"/>
  <c r="Y11" i="22"/>
  <c r="Z11" i="22" s="1"/>
  <c r="W11" i="22"/>
  <c r="X11" i="22" s="1"/>
  <c r="Q11" i="22"/>
  <c r="R11" i="22" s="1"/>
  <c r="O11" i="22"/>
  <c r="P11" i="22" s="1"/>
  <c r="G11" i="22"/>
  <c r="D11" i="22"/>
  <c r="W2" i="22"/>
  <c r="W3" i="22" s="1"/>
  <c r="J2" i="22"/>
  <c r="T8" i="22" l="1"/>
  <c r="T9" i="22"/>
  <c r="S7" i="22"/>
  <c r="X8" i="22"/>
  <c r="X9" i="22"/>
  <c r="W7" i="22"/>
  <c r="N11" i="22"/>
  <c r="J3" i="22"/>
  <c r="P8" i="22"/>
  <c r="P9" i="22"/>
  <c r="O7" i="22"/>
  <c r="R8" i="22"/>
  <c r="R9" i="22"/>
  <c r="Q7" i="22"/>
  <c r="V9" i="22"/>
  <c r="U7" i="22"/>
  <c r="V8" i="22"/>
  <c r="Z8" i="22"/>
  <c r="Z9" i="22"/>
  <c r="Y7" i="22"/>
  <c r="G10" i="22" l="1"/>
  <c r="H8" i="22" s="1"/>
  <c r="I7" i="22" s="1"/>
  <c r="K2" i="22"/>
  <c r="L2" i="22" s="1"/>
  <c r="J5" i="22"/>
  <c r="J4" i="22"/>
  <c r="D10" i="22"/>
  <c r="E8" i="22" s="1"/>
  <c r="F7" i="22" s="1"/>
  <c r="N8" i="22"/>
  <c r="L4" i="22" s="1"/>
  <c r="O4" i="22" s="1"/>
  <c r="N9" i="22"/>
  <c r="N4" i="22" s="1"/>
  <c r="K7" i="22"/>
  <c r="P3" i="22" s="1"/>
  <c r="W4" i="22"/>
  <c r="W5" i="22" s="1"/>
  <c r="P5" i="22" l="1"/>
  <c r="O3" i="22"/>
  <c r="X14" i="21" l="1"/>
  <c r="W14" i="21"/>
  <c r="W11" i="21" s="1"/>
  <c r="X11" i="21" s="1"/>
  <c r="V14" i="21"/>
  <c r="U14" i="21"/>
  <c r="T14" i="21"/>
  <c r="S14" i="21"/>
  <c r="R14" i="21"/>
  <c r="Q14" i="21"/>
  <c r="Q11" i="21" s="1"/>
  <c r="R11" i="21" s="1"/>
  <c r="P14" i="21"/>
  <c r="O14" i="21"/>
  <c r="O11" i="21" s="1"/>
  <c r="N14" i="21"/>
  <c r="M14" i="21"/>
  <c r="L14" i="21"/>
  <c r="K14" i="21"/>
  <c r="I14" i="21"/>
  <c r="H14" i="21"/>
  <c r="G11" i="21" s="1"/>
  <c r="F14" i="21"/>
  <c r="E14" i="21"/>
  <c r="U11" i="21"/>
  <c r="V11" i="21" s="1"/>
  <c r="S11" i="21"/>
  <c r="T11" i="21" s="1"/>
  <c r="M11" i="21"/>
  <c r="N11" i="21" s="1"/>
  <c r="K11" i="21"/>
  <c r="L11" i="21" s="1"/>
  <c r="D11" i="21"/>
  <c r="I4" i="21"/>
  <c r="F4" i="21"/>
  <c r="D4" i="21"/>
  <c r="L1" i="21"/>
  <c r="K7" i="21" s="1"/>
  <c r="R8" i="21" l="1"/>
  <c r="R9" i="21"/>
  <c r="Q7" i="21"/>
  <c r="J2" i="21"/>
  <c r="L8" i="21"/>
  <c r="L9" i="21"/>
  <c r="N8" i="21"/>
  <c r="N9" i="21"/>
  <c r="M7" i="21"/>
  <c r="T8" i="21"/>
  <c r="T9" i="21"/>
  <c r="V8" i="21"/>
  <c r="V9" i="21"/>
  <c r="P11" i="21"/>
  <c r="J3" i="21"/>
  <c r="X8" i="21"/>
  <c r="X9" i="21"/>
  <c r="S7" i="21"/>
  <c r="U7" i="21"/>
  <c r="W7" i="21"/>
  <c r="K2" i="21" l="1"/>
  <c r="L2" i="21" s="1"/>
  <c r="P9" i="21"/>
  <c r="O7" i="21"/>
  <c r="O3" i="21" s="1"/>
  <c r="P8" i="21"/>
  <c r="G10" i="21"/>
  <c r="H8" i="21" s="1"/>
  <c r="I7" i="21" s="1"/>
  <c r="J4" i="21"/>
  <c r="D10" i="21"/>
  <c r="E8" i="21" s="1"/>
  <c r="F7" i="21" s="1"/>
  <c r="J5" i="21"/>
  <c r="M4" i="21" l="1"/>
  <c r="L4" i="21"/>
  <c r="N4" i="21" l="1"/>
  <c r="N3" i="21" l="1"/>
  <c r="O5" i="21"/>
  <c r="X14" i="20" l="1"/>
  <c r="W14" i="20"/>
  <c r="V14" i="20"/>
  <c r="U14" i="20"/>
  <c r="T14" i="20"/>
  <c r="S14" i="20"/>
  <c r="S11" i="20" s="1"/>
  <c r="T11" i="20" s="1"/>
  <c r="R14" i="20"/>
  <c r="Q14" i="20"/>
  <c r="Q11" i="20" s="1"/>
  <c r="R11" i="20" s="1"/>
  <c r="P14" i="20"/>
  <c r="O14" i="20"/>
  <c r="N14" i="20"/>
  <c r="M14" i="20"/>
  <c r="L14" i="20"/>
  <c r="K14" i="20"/>
  <c r="K11" i="20" s="1"/>
  <c r="I14" i="20"/>
  <c r="H14" i="20"/>
  <c r="G11" i="20" s="1"/>
  <c r="J2" i="20" s="1"/>
  <c r="F14" i="20"/>
  <c r="E14" i="20"/>
  <c r="W11" i="20"/>
  <c r="X11" i="20" s="1"/>
  <c r="U11" i="20"/>
  <c r="V11" i="20" s="1"/>
  <c r="O11" i="20"/>
  <c r="P11" i="20" s="1"/>
  <c r="M11" i="20"/>
  <c r="N11" i="20" s="1"/>
  <c r="D11" i="20"/>
  <c r="I4" i="20"/>
  <c r="F4" i="20"/>
  <c r="D4" i="20"/>
  <c r="U3" i="20"/>
  <c r="L1" i="20"/>
  <c r="X14" i="19"/>
  <c r="W11" i="19" s="1"/>
  <c r="X11" i="19" s="1"/>
  <c r="W14" i="19"/>
  <c r="V14" i="19"/>
  <c r="U14" i="19"/>
  <c r="T14" i="19"/>
  <c r="S14" i="19"/>
  <c r="R14" i="19"/>
  <c r="Q14" i="19"/>
  <c r="Q11" i="19" s="1"/>
  <c r="R11" i="19" s="1"/>
  <c r="P14" i="19"/>
  <c r="O11" i="19" s="1"/>
  <c r="O14" i="19"/>
  <c r="N14" i="19"/>
  <c r="M14" i="19"/>
  <c r="L14" i="19"/>
  <c r="K14" i="19"/>
  <c r="I14" i="19"/>
  <c r="G11" i="19" s="1"/>
  <c r="H14" i="19"/>
  <c r="F14" i="19"/>
  <c r="D11" i="19" s="1"/>
  <c r="J2" i="19" s="1"/>
  <c r="E14" i="19"/>
  <c r="U11" i="19"/>
  <c r="V11" i="19" s="1"/>
  <c r="T11" i="19"/>
  <c r="T8" i="19" s="1"/>
  <c r="S11" i="19"/>
  <c r="M11" i="19"/>
  <c r="N11" i="19" s="1"/>
  <c r="L11" i="19"/>
  <c r="L8" i="19" s="1"/>
  <c r="K11" i="19"/>
  <c r="T9" i="19"/>
  <c r="S7" i="19"/>
  <c r="T4" i="19"/>
  <c r="I4" i="19"/>
  <c r="F4" i="19"/>
  <c r="D4" i="19"/>
  <c r="AB3" i="19"/>
  <c r="L1" i="19"/>
  <c r="M7" i="19" s="1"/>
  <c r="U3" i="19" s="1"/>
  <c r="X14" i="18"/>
  <c r="W11" i="18" s="1"/>
  <c r="X11" i="18" s="1"/>
  <c r="W14" i="18"/>
  <c r="V14" i="18"/>
  <c r="U14" i="18"/>
  <c r="T14" i="18"/>
  <c r="S14" i="18"/>
  <c r="S11" i="18" s="1"/>
  <c r="T11" i="18" s="1"/>
  <c r="R14" i="18"/>
  <c r="Q14" i="18"/>
  <c r="P14" i="18"/>
  <c r="O11" i="18" s="1"/>
  <c r="P11" i="18" s="1"/>
  <c r="O14" i="18"/>
  <c r="N14" i="18"/>
  <c r="M14" i="18"/>
  <c r="L14" i="18"/>
  <c r="K14" i="18"/>
  <c r="K11" i="18" s="1"/>
  <c r="I14" i="18"/>
  <c r="H14" i="18"/>
  <c r="F14" i="18"/>
  <c r="D11" i="18" s="1"/>
  <c r="J2" i="18" s="1"/>
  <c r="E14" i="18"/>
  <c r="U11" i="18"/>
  <c r="V11" i="18" s="1"/>
  <c r="R11" i="18"/>
  <c r="R8" i="18" s="1"/>
  <c r="Q11" i="18"/>
  <c r="M11" i="18"/>
  <c r="N11" i="18" s="1"/>
  <c r="G11" i="18"/>
  <c r="I4" i="18"/>
  <c r="F4" i="18"/>
  <c r="D4" i="18"/>
  <c r="T3" i="18"/>
  <c r="L1" i="18"/>
  <c r="M7" i="18" s="1"/>
  <c r="J30" i="17"/>
  <c r="E22" i="17"/>
  <c r="E21" i="17"/>
  <c r="E20" i="17"/>
  <c r="K22" i="17" s="1"/>
  <c r="E19" i="17"/>
  <c r="E18" i="17"/>
  <c r="J19" i="17" s="1"/>
  <c r="E17" i="17"/>
  <c r="E16" i="17"/>
  <c r="J22" i="17" s="1"/>
  <c r="X14" i="17"/>
  <c r="W11" i="17" s="1"/>
  <c r="X11" i="17" s="1"/>
  <c r="W14" i="17"/>
  <c r="V14" i="17"/>
  <c r="U14" i="17"/>
  <c r="U11" i="17" s="1"/>
  <c r="V11" i="17" s="1"/>
  <c r="T14" i="17"/>
  <c r="S14" i="17"/>
  <c r="R14" i="17"/>
  <c r="Q14" i="17"/>
  <c r="Q11" i="17" s="1"/>
  <c r="R11" i="17" s="1"/>
  <c r="P14" i="17"/>
  <c r="O11" i="17" s="1"/>
  <c r="P11" i="17" s="1"/>
  <c r="O14" i="17"/>
  <c r="N14" i="17"/>
  <c r="M14" i="17"/>
  <c r="M11" i="17" s="1"/>
  <c r="N11" i="17" s="1"/>
  <c r="L14" i="17"/>
  <c r="I14" i="17"/>
  <c r="H14" i="17"/>
  <c r="F14" i="17"/>
  <c r="S11" i="17"/>
  <c r="T11" i="17" s="1"/>
  <c r="G11" i="17"/>
  <c r="AD4" i="17"/>
  <c r="AD5" i="17" s="1"/>
  <c r="T4" i="17"/>
  <c r="I4" i="17"/>
  <c r="F4" i="17"/>
  <c r="D4" i="17"/>
  <c r="AD3" i="17"/>
  <c r="V2" i="17"/>
  <c r="L1" i="17"/>
  <c r="W7" i="17" s="1"/>
  <c r="X14" i="16"/>
  <c r="W14" i="16"/>
  <c r="V14" i="16"/>
  <c r="U14" i="16"/>
  <c r="U11" i="16" s="1"/>
  <c r="V11" i="16" s="1"/>
  <c r="T14" i="16"/>
  <c r="S14" i="16"/>
  <c r="R14" i="16"/>
  <c r="Q14" i="16"/>
  <c r="P14" i="16"/>
  <c r="O14" i="16"/>
  <c r="N14" i="16"/>
  <c r="M14" i="16"/>
  <c r="M11" i="16" s="1"/>
  <c r="L14" i="16"/>
  <c r="K14" i="16"/>
  <c r="I14" i="16"/>
  <c r="H14" i="16"/>
  <c r="F14" i="16"/>
  <c r="D11" i="16" s="1"/>
  <c r="J2" i="16" s="1"/>
  <c r="E14" i="16"/>
  <c r="W11" i="16"/>
  <c r="X11" i="16" s="1"/>
  <c r="T11" i="16"/>
  <c r="T8" i="16" s="1"/>
  <c r="S11" i="16"/>
  <c r="R11" i="16"/>
  <c r="R9" i="16" s="1"/>
  <c r="Q11" i="16"/>
  <c r="O11" i="16"/>
  <c r="P11" i="16" s="1"/>
  <c r="L11" i="16"/>
  <c r="L9" i="16" s="1"/>
  <c r="K11" i="16"/>
  <c r="G11" i="16"/>
  <c r="T9" i="16"/>
  <c r="R8" i="16"/>
  <c r="L8" i="16"/>
  <c r="S7" i="16"/>
  <c r="I4" i="16"/>
  <c r="F4" i="16"/>
  <c r="D4" i="16"/>
  <c r="L1" i="16"/>
  <c r="Q7" i="16" s="1"/>
  <c r="X14" i="15"/>
  <c r="W14" i="15"/>
  <c r="W11" i="15" s="1"/>
  <c r="X11" i="15" s="1"/>
  <c r="V14" i="15"/>
  <c r="U14" i="15"/>
  <c r="U11" i="15" s="1"/>
  <c r="V11" i="15" s="1"/>
  <c r="T14" i="15"/>
  <c r="S14" i="15"/>
  <c r="R14" i="15"/>
  <c r="Q11" i="15" s="1"/>
  <c r="R11" i="15" s="1"/>
  <c r="Q14" i="15"/>
  <c r="P14" i="15"/>
  <c r="O14" i="15"/>
  <c r="O11" i="15" s="1"/>
  <c r="P11" i="15" s="1"/>
  <c r="N14" i="15"/>
  <c r="M14" i="15"/>
  <c r="M11" i="15" s="1"/>
  <c r="L14" i="15"/>
  <c r="K14" i="15"/>
  <c r="I14" i="15"/>
  <c r="G11" i="15" s="1"/>
  <c r="H14" i="15"/>
  <c r="F14" i="15"/>
  <c r="E14" i="15"/>
  <c r="D11" i="15" s="1"/>
  <c r="T11" i="15"/>
  <c r="T8" i="15" s="1"/>
  <c r="S11" i="15"/>
  <c r="L11" i="15"/>
  <c r="L9" i="15" s="1"/>
  <c r="K11" i="15"/>
  <c r="S7" i="15"/>
  <c r="Z3" i="15" s="1"/>
  <c r="T4" i="15"/>
  <c r="I4" i="15"/>
  <c r="F4" i="15"/>
  <c r="D4" i="15"/>
  <c r="AB3" i="15"/>
  <c r="L1" i="15"/>
  <c r="K7" i="15" s="1"/>
  <c r="R8" i="20" l="1"/>
  <c r="R9" i="20"/>
  <c r="J2" i="15"/>
  <c r="P8" i="15"/>
  <c r="P9" i="15"/>
  <c r="X8" i="15"/>
  <c r="X9" i="15"/>
  <c r="V8" i="18"/>
  <c r="V9" i="18"/>
  <c r="U7" i="18"/>
  <c r="V8" i="19"/>
  <c r="V9" i="19"/>
  <c r="J3" i="16"/>
  <c r="N11" i="16"/>
  <c r="V8" i="16"/>
  <c r="V9" i="16"/>
  <c r="N8" i="20"/>
  <c r="N9" i="20"/>
  <c r="J3" i="20"/>
  <c r="L11" i="20"/>
  <c r="T8" i="20"/>
  <c r="T9" i="20"/>
  <c r="X9" i="16"/>
  <c r="X8" i="16"/>
  <c r="P9" i="18"/>
  <c r="O7" i="18"/>
  <c r="P8" i="18"/>
  <c r="X8" i="18"/>
  <c r="X9" i="18"/>
  <c r="K2" i="19"/>
  <c r="L2" i="19" s="1"/>
  <c r="J3" i="19"/>
  <c r="P11" i="19"/>
  <c r="X8" i="19"/>
  <c r="X9" i="19"/>
  <c r="P9" i="20"/>
  <c r="P8" i="20"/>
  <c r="N8" i="17"/>
  <c r="N9" i="17"/>
  <c r="V8" i="17"/>
  <c r="V9" i="17"/>
  <c r="U7" i="17"/>
  <c r="K14" i="17"/>
  <c r="K11" i="17" s="1"/>
  <c r="J21" i="17"/>
  <c r="Z3" i="19"/>
  <c r="V3" i="19"/>
  <c r="W3" i="19" s="1"/>
  <c r="R8" i="19"/>
  <c r="R9" i="19"/>
  <c r="O7" i="20"/>
  <c r="V8" i="20"/>
  <c r="V9" i="20"/>
  <c r="U7" i="20"/>
  <c r="K2" i="16"/>
  <c r="L2" i="16" s="1"/>
  <c r="X8" i="20"/>
  <c r="X9" i="20"/>
  <c r="R8" i="17"/>
  <c r="R9" i="17"/>
  <c r="Q7" i="17"/>
  <c r="R8" i="15"/>
  <c r="R9" i="15"/>
  <c r="P8" i="16"/>
  <c r="P9" i="16"/>
  <c r="O7" i="16"/>
  <c r="N8" i="18"/>
  <c r="N9" i="18"/>
  <c r="J3" i="18"/>
  <c r="L11" i="18"/>
  <c r="T8" i="18"/>
  <c r="T9" i="18"/>
  <c r="N9" i="19"/>
  <c r="N8" i="19"/>
  <c r="N11" i="15"/>
  <c r="J3" i="15"/>
  <c r="V8" i="15"/>
  <c r="V9" i="15"/>
  <c r="T8" i="17"/>
  <c r="T9" i="17"/>
  <c r="P9" i="17"/>
  <c r="P8" i="17"/>
  <c r="O7" i="17"/>
  <c r="U3" i="17" s="1"/>
  <c r="X8" i="17"/>
  <c r="X9" i="17"/>
  <c r="O7" i="15"/>
  <c r="U7" i="16"/>
  <c r="Q7" i="18"/>
  <c r="R9" i="18"/>
  <c r="O7" i="19"/>
  <c r="Q7" i="20"/>
  <c r="T9" i="15"/>
  <c r="L8" i="15"/>
  <c r="Q7" i="15"/>
  <c r="U3" i="15" s="1"/>
  <c r="V3" i="15" s="1"/>
  <c r="W3" i="15" s="1"/>
  <c r="W7" i="16"/>
  <c r="M7" i="17"/>
  <c r="E14" i="17"/>
  <c r="D11" i="17" s="1"/>
  <c r="J2" i="17" s="1"/>
  <c r="S7" i="18"/>
  <c r="Q7" i="19"/>
  <c r="S7" i="20"/>
  <c r="U7" i="15"/>
  <c r="K7" i="16"/>
  <c r="W2" i="17"/>
  <c r="W7" i="18"/>
  <c r="U7" i="19"/>
  <c r="W7" i="20"/>
  <c r="W7" i="15"/>
  <c r="S7" i="17"/>
  <c r="J16" i="17"/>
  <c r="W7" i="19"/>
  <c r="K7" i="18"/>
  <c r="O3" i="18" s="1"/>
  <c r="K7" i="20"/>
  <c r="J17" i="17"/>
  <c r="K7" i="19"/>
  <c r="L9" i="19"/>
  <c r="M7" i="20"/>
  <c r="D10" i="16" l="1"/>
  <c r="E8" i="16" s="1"/>
  <c r="F7" i="16" s="1"/>
  <c r="G10" i="16"/>
  <c r="H8" i="16" s="1"/>
  <c r="I7" i="16" s="1"/>
  <c r="J4" i="16"/>
  <c r="J5" i="16"/>
  <c r="L8" i="20"/>
  <c r="L9" i="20"/>
  <c r="G10" i="15"/>
  <c r="H8" i="15" s="1"/>
  <c r="I7" i="15" s="1"/>
  <c r="D10" i="15"/>
  <c r="E8" i="15" s="1"/>
  <c r="F7" i="15" s="1"/>
  <c r="J4" i="15"/>
  <c r="J5" i="15"/>
  <c r="L8" i="18"/>
  <c r="L9" i="18"/>
  <c r="L11" i="17"/>
  <c r="J3" i="17"/>
  <c r="G10" i="20"/>
  <c r="H8" i="20" s="1"/>
  <c r="I7" i="20" s="1"/>
  <c r="J4" i="20"/>
  <c r="D10" i="20"/>
  <c r="E8" i="20" s="1"/>
  <c r="F7" i="20" s="1"/>
  <c r="J5" i="20"/>
  <c r="K2" i="15"/>
  <c r="L2" i="15" s="1"/>
  <c r="U2" i="19"/>
  <c r="O3" i="19"/>
  <c r="N8" i="15"/>
  <c r="N9" i="15"/>
  <c r="M7" i="15"/>
  <c r="G10" i="18"/>
  <c r="H8" i="18" s="1"/>
  <c r="I7" i="18" s="1"/>
  <c r="J4" i="18"/>
  <c r="D10" i="18"/>
  <c r="E8" i="18" s="1"/>
  <c r="F7" i="18" s="1"/>
  <c r="J5" i="18"/>
  <c r="AA3" i="17"/>
  <c r="AB3" i="17" s="1"/>
  <c r="U4" i="17"/>
  <c r="AA4" i="17"/>
  <c r="AB4" i="17" s="1"/>
  <c r="V3" i="17"/>
  <c r="P8" i="19"/>
  <c r="P9" i="19"/>
  <c r="K2" i="18"/>
  <c r="L2" i="18" s="1"/>
  <c r="N8" i="16"/>
  <c r="N9" i="16"/>
  <c r="M7" i="16"/>
  <c r="O3" i="16" s="1"/>
  <c r="O3" i="20"/>
  <c r="G10" i="19"/>
  <c r="H8" i="19" s="1"/>
  <c r="I7" i="19" s="1"/>
  <c r="D10" i="19"/>
  <c r="E8" i="19" s="1"/>
  <c r="F7" i="19" s="1"/>
  <c r="J5" i="19"/>
  <c r="J4" i="19"/>
  <c r="K2" i="20"/>
  <c r="L2" i="20" s="1"/>
  <c r="L8" i="17" l="1"/>
  <c r="L9" i="17"/>
  <c r="K7" i="17"/>
  <c r="O3" i="17" s="1"/>
  <c r="M4" i="16"/>
  <c r="L4" i="16"/>
  <c r="N4" i="16" s="1"/>
  <c r="D10" i="17"/>
  <c r="E8" i="17" s="1"/>
  <c r="F7" i="17" s="1"/>
  <c r="J5" i="17"/>
  <c r="G10" i="17"/>
  <c r="H8" i="17" s="1"/>
  <c r="I7" i="17" s="1"/>
  <c r="J4" i="17"/>
  <c r="M4" i="19"/>
  <c r="L4" i="19"/>
  <c r="N4" i="19" s="1"/>
  <c r="M4" i="20"/>
  <c r="L4" i="20"/>
  <c r="N4" i="20" s="1"/>
  <c r="M4" i="15"/>
  <c r="L4" i="15"/>
  <c r="N4" i="15" s="1"/>
  <c r="U4" i="19"/>
  <c r="V2" i="19"/>
  <c r="M4" i="18"/>
  <c r="L4" i="18"/>
  <c r="N4" i="18" s="1"/>
  <c r="K2" i="17"/>
  <c r="L2" i="17" s="1"/>
  <c r="W3" i="17"/>
  <c r="V4" i="17"/>
  <c r="W4" i="17" s="1"/>
  <c r="U2" i="15"/>
  <c r="O3" i="15"/>
  <c r="O5" i="15" l="1"/>
  <c r="N3" i="15"/>
  <c r="L4" i="17"/>
  <c r="M4" i="17"/>
  <c r="N3" i="16"/>
  <c r="O5" i="16"/>
  <c r="V2" i="15"/>
  <c r="U4" i="15"/>
  <c r="O5" i="19"/>
  <c r="N3" i="19"/>
  <c r="N3" i="20"/>
  <c r="S3" i="20" s="1"/>
  <c r="O5" i="20"/>
  <c r="N3" i="18"/>
  <c r="R3" i="18" s="1"/>
  <c r="O5" i="18"/>
  <c r="W2" i="19"/>
  <c r="V4" i="19"/>
  <c r="W4" i="19" s="1"/>
  <c r="N4" i="17" l="1"/>
  <c r="W2" i="15"/>
  <c r="V4" i="15"/>
  <c r="W4" i="15" s="1"/>
  <c r="N3" i="17" l="1"/>
  <c r="O5" i="17"/>
  <c r="X14" i="14" l="1"/>
  <c r="W14" i="14"/>
  <c r="W11" i="14" s="1"/>
  <c r="X11" i="14" s="1"/>
  <c r="V14" i="14"/>
  <c r="U14" i="14"/>
  <c r="T14" i="14"/>
  <c r="S14" i="14"/>
  <c r="S11" i="14" s="1"/>
  <c r="T11" i="14" s="1"/>
  <c r="R14" i="14"/>
  <c r="Q14" i="14"/>
  <c r="P14" i="14"/>
  <c r="O14" i="14"/>
  <c r="O11" i="14" s="1"/>
  <c r="P11" i="14" s="1"/>
  <c r="N14" i="14"/>
  <c r="M14" i="14"/>
  <c r="L14" i="14"/>
  <c r="K14" i="14"/>
  <c r="K11" i="14" s="1"/>
  <c r="I14" i="14"/>
  <c r="H14" i="14"/>
  <c r="G11" i="14" s="1"/>
  <c r="F14" i="14"/>
  <c r="E14" i="14"/>
  <c r="D11" i="14" s="1"/>
  <c r="J2" i="14" s="1"/>
  <c r="U11" i="14"/>
  <c r="V11" i="14" s="1"/>
  <c r="Q11" i="14"/>
  <c r="R11" i="14" s="1"/>
  <c r="M11" i="14"/>
  <c r="N11" i="14" s="1"/>
  <c r="I4" i="14"/>
  <c r="F4" i="14"/>
  <c r="D4" i="14"/>
  <c r="U3" i="14"/>
  <c r="L1" i="14"/>
  <c r="O7" i="14" s="1"/>
  <c r="E27" i="13"/>
  <c r="E14" i="13" s="1"/>
  <c r="D11" i="13" s="1"/>
  <c r="J2" i="13" s="1"/>
  <c r="J25" i="13"/>
  <c r="X14" i="13"/>
  <c r="W14" i="13"/>
  <c r="V14" i="13"/>
  <c r="U14" i="13"/>
  <c r="U11" i="13" s="1"/>
  <c r="V11" i="13" s="1"/>
  <c r="T14" i="13"/>
  <c r="S11" i="13" s="1"/>
  <c r="T11" i="13" s="1"/>
  <c r="S14" i="13"/>
  <c r="R14" i="13"/>
  <c r="Q11" i="13" s="1"/>
  <c r="R11" i="13" s="1"/>
  <c r="Q14" i="13"/>
  <c r="P14" i="13"/>
  <c r="O14" i="13"/>
  <c r="N14" i="13"/>
  <c r="M14" i="13"/>
  <c r="M11" i="13" s="1"/>
  <c r="N11" i="13" s="1"/>
  <c r="L14" i="13"/>
  <c r="K11" i="13" s="1"/>
  <c r="K14" i="13"/>
  <c r="I14" i="13"/>
  <c r="H14" i="13"/>
  <c r="F14" i="13"/>
  <c r="W11" i="13"/>
  <c r="X11" i="13" s="1"/>
  <c r="O11" i="13"/>
  <c r="P11" i="13" s="1"/>
  <c r="G11" i="13"/>
  <c r="T5" i="13"/>
  <c r="N5" i="13"/>
  <c r="W4" i="13"/>
  <c r="V4" i="13"/>
  <c r="T4" i="13"/>
  <c r="I4" i="13"/>
  <c r="F4" i="13"/>
  <c r="D4" i="13"/>
  <c r="W2" i="13"/>
  <c r="V2" i="13"/>
  <c r="L1" i="13"/>
  <c r="Q7" i="13" s="1"/>
  <c r="S59" i="12"/>
  <c r="X14" i="12"/>
  <c r="W14" i="12"/>
  <c r="W11" i="12" s="1"/>
  <c r="X11" i="12" s="1"/>
  <c r="V14" i="12"/>
  <c r="U14" i="12"/>
  <c r="T14" i="12"/>
  <c r="S14" i="12"/>
  <c r="S11" i="12" s="1"/>
  <c r="T11" i="12" s="1"/>
  <c r="R14" i="12"/>
  <c r="Q14" i="12"/>
  <c r="P14" i="12"/>
  <c r="O14" i="12"/>
  <c r="O11" i="12" s="1"/>
  <c r="P11" i="12" s="1"/>
  <c r="N14" i="12"/>
  <c r="M14" i="12"/>
  <c r="L14" i="12"/>
  <c r="K14" i="12"/>
  <c r="K11" i="12" s="1"/>
  <c r="I14" i="12"/>
  <c r="H14" i="12"/>
  <c r="F14" i="12"/>
  <c r="E14" i="12"/>
  <c r="D11" i="12" s="1"/>
  <c r="J2" i="12" s="1"/>
  <c r="U11" i="12"/>
  <c r="V11" i="12" s="1"/>
  <c r="Q11" i="12"/>
  <c r="R11" i="12" s="1"/>
  <c r="M11" i="12"/>
  <c r="N11" i="12" s="1"/>
  <c r="G11" i="12"/>
  <c r="T4" i="12"/>
  <c r="I4" i="12"/>
  <c r="F4" i="12"/>
  <c r="D4" i="12"/>
  <c r="AB3" i="12"/>
  <c r="V2" i="12"/>
  <c r="W2" i="12" s="1"/>
  <c r="L1" i="12"/>
  <c r="W7" i="12" s="1"/>
  <c r="S92" i="11"/>
  <c r="S91" i="11"/>
  <c r="S90" i="11"/>
  <c r="S89" i="11"/>
  <c r="S14" i="11" s="1"/>
  <c r="S11" i="11" s="1"/>
  <c r="T11" i="11" s="1"/>
  <c r="M69" i="11"/>
  <c r="M68" i="11"/>
  <c r="M67" i="11"/>
  <c r="M66" i="11"/>
  <c r="M65" i="11"/>
  <c r="M64" i="11"/>
  <c r="M63" i="11"/>
  <c r="M56" i="11"/>
  <c r="H56" i="11"/>
  <c r="H55" i="11"/>
  <c r="L55" i="11" s="1"/>
  <c r="F55" i="11"/>
  <c r="F14" i="11" s="1"/>
  <c r="L54" i="11"/>
  <c r="F54" i="11"/>
  <c r="L53" i="11"/>
  <c r="F53" i="11"/>
  <c r="L52" i="11"/>
  <c r="L14" i="11" s="1"/>
  <c r="F52" i="11"/>
  <c r="X14" i="11"/>
  <c r="W14" i="11"/>
  <c r="W11" i="11" s="1"/>
  <c r="X11" i="11" s="1"/>
  <c r="V14" i="11"/>
  <c r="U11" i="11" s="1"/>
  <c r="V11" i="11" s="1"/>
  <c r="U14" i="11"/>
  <c r="T14" i="11"/>
  <c r="R14" i="11"/>
  <c r="Q14" i="11"/>
  <c r="P14" i="11"/>
  <c r="O14" i="11"/>
  <c r="O11" i="11" s="1"/>
  <c r="P11" i="11" s="1"/>
  <c r="N14" i="11"/>
  <c r="K14" i="11"/>
  <c r="K11" i="11" s="1"/>
  <c r="I14" i="11"/>
  <c r="E14" i="11"/>
  <c r="Q11" i="11"/>
  <c r="R11" i="11" s="1"/>
  <c r="Y4" i="11"/>
  <c r="AA4" i="11" s="1"/>
  <c r="I4" i="11"/>
  <c r="F4" i="11"/>
  <c r="D4" i="11"/>
  <c r="AC3" i="11"/>
  <c r="AA3" i="11"/>
  <c r="Z3" i="11"/>
  <c r="T3" i="11"/>
  <c r="T4" i="11" s="1"/>
  <c r="AC2" i="11"/>
  <c r="AC4" i="11" s="1"/>
  <c r="AA2" i="11"/>
  <c r="V2" i="11"/>
  <c r="L1" i="11"/>
  <c r="T9" i="12" l="1"/>
  <c r="T8" i="12"/>
  <c r="U7" i="11"/>
  <c r="X8" i="11"/>
  <c r="X9" i="11"/>
  <c r="R8" i="12"/>
  <c r="R9" i="12"/>
  <c r="N9" i="13"/>
  <c r="N8" i="13"/>
  <c r="V9" i="13"/>
  <c r="V8" i="13"/>
  <c r="P8" i="11"/>
  <c r="P9" i="11"/>
  <c r="V8" i="12"/>
  <c r="V9" i="12"/>
  <c r="U7" i="12"/>
  <c r="P8" i="13"/>
  <c r="P9" i="13"/>
  <c r="O7" i="13"/>
  <c r="U3" i="13" s="1"/>
  <c r="K2" i="14"/>
  <c r="L2" i="14" s="1"/>
  <c r="X8" i="14"/>
  <c r="W7" i="14"/>
  <c r="X9" i="14"/>
  <c r="V9" i="11"/>
  <c r="V8" i="11"/>
  <c r="T8" i="13"/>
  <c r="T9" i="13"/>
  <c r="S7" i="13"/>
  <c r="O7" i="12"/>
  <c r="P8" i="12"/>
  <c r="P9" i="12"/>
  <c r="X8" i="13"/>
  <c r="W7" i="13"/>
  <c r="X9" i="13"/>
  <c r="J3" i="14"/>
  <c r="L11" i="14"/>
  <c r="T8" i="11"/>
  <c r="T9" i="11"/>
  <c r="N8" i="14"/>
  <c r="M7" i="14"/>
  <c r="N9" i="14"/>
  <c r="R9" i="11"/>
  <c r="R8" i="11"/>
  <c r="R8" i="14"/>
  <c r="R9" i="14"/>
  <c r="Q7" i="14"/>
  <c r="L11" i="12"/>
  <c r="J3" i="12"/>
  <c r="K2" i="12" s="1"/>
  <c r="L2" i="12" s="1"/>
  <c r="P9" i="14"/>
  <c r="P8" i="14"/>
  <c r="L11" i="11"/>
  <c r="J3" i="11"/>
  <c r="N8" i="12"/>
  <c r="N9" i="12"/>
  <c r="M7" i="12"/>
  <c r="J3" i="13"/>
  <c r="L11" i="13"/>
  <c r="X9" i="12"/>
  <c r="X8" i="12"/>
  <c r="T9" i="14"/>
  <c r="T8" i="14"/>
  <c r="D11" i="11"/>
  <c r="R9" i="13"/>
  <c r="R8" i="13"/>
  <c r="K2" i="13"/>
  <c r="L2" i="13" s="1"/>
  <c r="V8" i="14"/>
  <c r="V9" i="14"/>
  <c r="U7" i="14"/>
  <c r="W2" i="11"/>
  <c r="M55" i="11"/>
  <c r="M14" i="11" s="1"/>
  <c r="M11" i="11" s="1"/>
  <c r="N11" i="11" s="1"/>
  <c r="W7" i="11"/>
  <c r="S7" i="11"/>
  <c r="U7" i="13"/>
  <c r="S7" i="14"/>
  <c r="O7" i="11"/>
  <c r="Q7" i="12"/>
  <c r="Q7" i="11"/>
  <c r="H14" i="11"/>
  <c r="G11" i="11" s="1"/>
  <c r="S7" i="12"/>
  <c r="U3" i="12" s="1"/>
  <c r="M7" i="13"/>
  <c r="K7" i="14"/>
  <c r="U5" i="13" l="1"/>
  <c r="V3" i="13"/>
  <c r="J2" i="11"/>
  <c r="K2" i="11" s="1"/>
  <c r="L2" i="11" s="1"/>
  <c r="L9" i="12"/>
  <c r="L8" i="12"/>
  <c r="O3" i="14"/>
  <c r="J4" i="11"/>
  <c r="G10" i="11"/>
  <c r="H8" i="11" s="1"/>
  <c r="I7" i="11" s="1"/>
  <c r="J5" i="11"/>
  <c r="L9" i="14"/>
  <c r="L8" i="14"/>
  <c r="K7" i="12"/>
  <c r="O3" i="12" s="1"/>
  <c r="K7" i="11"/>
  <c r="L8" i="11"/>
  <c r="L9" i="11"/>
  <c r="G10" i="14"/>
  <c r="H8" i="14" s="1"/>
  <c r="I7" i="14" s="1"/>
  <c r="J4" i="14"/>
  <c r="D10" i="14"/>
  <c r="E8" i="14" s="1"/>
  <c r="F7" i="14" s="1"/>
  <c r="J5" i="14"/>
  <c r="U4" i="12"/>
  <c r="V3" i="12"/>
  <c r="Z3" i="12"/>
  <c r="L8" i="13"/>
  <c r="L9" i="13"/>
  <c r="K7" i="13"/>
  <c r="O3" i="13" s="1"/>
  <c r="U3" i="11"/>
  <c r="N8" i="11"/>
  <c r="N9" i="11"/>
  <c r="M7" i="11"/>
  <c r="J4" i="13"/>
  <c r="D10" i="13"/>
  <c r="E8" i="13" s="1"/>
  <c r="F7" i="13" s="1"/>
  <c r="J5" i="13"/>
  <c r="G10" i="13"/>
  <c r="H8" i="13" s="1"/>
  <c r="I7" i="13" s="1"/>
  <c r="J5" i="12"/>
  <c r="J4" i="12"/>
  <c r="G10" i="12"/>
  <c r="H8" i="12" s="1"/>
  <c r="I7" i="12" s="1"/>
  <c r="D10" i="12"/>
  <c r="E8" i="12" s="1"/>
  <c r="F7" i="12" s="1"/>
  <c r="O3" i="11" l="1"/>
  <c r="V3" i="11"/>
  <c r="U4" i="11"/>
  <c r="W3" i="12"/>
  <c r="V4" i="12"/>
  <c r="W4" i="12" s="1"/>
  <c r="M4" i="14"/>
  <c r="L4" i="14"/>
  <c r="N4" i="14" s="1"/>
  <c r="M4" i="12"/>
  <c r="L4" i="12"/>
  <c r="M4" i="11"/>
  <c r="L4" i="11"/>
  <c r="N4" i="11" s="1"/>
  <c r="V5" i="13"/>
  <c r="W5" i="13" s="1"/>
  <c r="W3" i="13"/>
  <c r="L4" i="13"/>
  <c r="N4" i="13" s="1"/>
  <c r="M4" i="13"/>
  <c r="D10" i="11"/>
  <c r="E8" i="11" s="1"/>
  <c r="F7" i="11" s="1"/>
  <c r="O5" i="14" l="1"/>
  <c r="N3" i="14"/>
  <c r="S3" i="14" s="1"/>
  <c r="O5" i="11"/>
  <c r="N3" i="11"/>
  <c r="W3" i="11"/>
  <c r="V4" i="11"/>
  <c r="W4" i="11" s="1"/>
  <c r="O5" i="13"/>
  <c r="N3" i="13"/>
  <c r="N4" i="12"/>
  <c r="N3" i="12" l="1"/>
  <c r="O5" i="12"/>
  <c r="H35" i="10" l="1"/>
  <c r="O35" i="10" s="1"/>
  <c r="O14" i="10" s="1"/>
  <c r="O11" i="10" s="1"/>
  <c r="P11" i="10" s="1"/>
  <c r="E35" i="10"/>
  <c r="X14" i="10"/>
  <c r="W14" i="10"/>
  <c r="V14" i="10"/>
  <c r="U11" i="10" s="1"/>
  <c r="V11" i="10" s="1"/>
  <c r="U14" i="10"/>
  <c r="T14" i="10"/>
  <c r="S11" i="10" s="1"/>
  <c r="T11" i="10" s="1"/>
  <c r="S14" i="10"/>
  <c r="R14" i="10"/>
  <c r="Q14" i="10"/>
  <c r="P14" i="10"/>
  <c r="N14" i="10"/>
  <c r="M11" i="10" s="1"/>
  <c r="N11" i="10" s="1"/>
  <c r="M14" i="10"/>
  <c r="L14" i="10"/>
  <c r="K11" i="10" s="1"/>
  <c r="K14" i="10"/>
  <c r="I14" i="10"/>
  <c r="H14" i="10"/>
  <c r="F14" i="10"/>
  <c r="E14" i="10"/>
  <c r="X11" i="10"/>
  <c r="X8" i="10" s="1"/>
  <c r="W11" i="10"/>
  <c r="Q11" i="10"/>
  <c r="R11" i="10" s="1"/>
  <c r="G11" i="10"/>
  <c r="D11" i="10"/>
  <c r="T4" i="10"/>
  <c r="N5" i="10" s="1"/>
  <c r="I4" i="10"/>
  <c r="F4" i="10"/>
  <c r="D4" i="10"/>
  <c r="V2" i="10"/>
  <c r="J2" i="10"/>
  <c r="L1" i="10"/>
  <c r="U7" i="10" s="1"/>
  <c r="K17" i="8"/>
  <c r="K14" i="8" s="1"/>
  <c r="K11" i="8" s="1"/>
  <c r="E17" i="8"/>
  <c r="X14" i="8"/>
  <c r="W14" i="8"/>
  <c r="V14" i="8"/>
  <c r="U14" i="8"/>
  <c r="T14" i="8"/>
  <c r="S11" i="8" s="1"/>
  <c r="T11" i="8" s="1"/>
  <c r="S14" i="8"/>
  <c r="R14" i="8"/>
  <c r="Q14" i="8"/>
  <c r="P14" i="8"/>
  <c r="O14" i="8"/>
  <c r="N14" i="8"/>
  <c r="M14" i="8"/>
  <c r="L14" i="8"/>
  <c r="I14" i="8"/>
  <c r="G11" i="8" s="1"/>
  <c r="H14" i="8"/>
  <c r="F14" i="8"/>
  <c r="E14" i="8"/>
  <c r="W11" i="8"/>
  <c r="X11" i="8" s="1"/>
  <c r="V11" i="8"/>
  <c r="V9" i="8" s="1"/>
  <c r="U11" i="8"/>
  <c r="Q11" i="8"/>
  <c r="R11" i="8" s="1"/>
  <c r="O11" i="8"/>
  <c r="P11" i="8" s="1"/>
  <c r="N11" i="8"/>
  <c r="N8" i="8" s="1"/>
  <c r="M11" i="8"/>
  <c r="D11" i="8"/>
  <c r="J2" i="8" s="1"/>
  <c r="V8" i="8"/>
  <c r="I4" i="8"/>
  <c r="F4" i="8"/>
  <c r="D4" i="8"/>
  <c r="L1" i="8"/>
  <c r="Q7" i="8" s="1"/>
  <c r="X14" i="7"/>
  <c r="W11" i="7" s="1"/>
  <c r="X11" i="7" s="1"/>
  <c r="W14" i="7"/>
  <c r="V14" i="7"/>
  <c r="U14" i="7"/>
  <c r="T14" i="7"/>
  <c r="S14" i="7"/>
  <c r="R14" i="7"/>
  <c r="Q14" i="7"/>
  <c r="Q11" i="7" s="1"/>
  <c r="R11" i="7" s="1"/>
  <c r="P14" i="7"/>
  <c r="O11" i="7" s="1"/>
  <c r="P11" i="7" s="1"/>
  <c r="O14" i="7"/>
  <c r="N14" i="7"/>
  <c r="M14" i="7"/>
  <c r="L14" i="7"/>
  <c r="K14" i="7"/>
  <c r="I14" i="7"/>
  <c r="H14" i="7"/>
  <c r="G11" i="7" s="1"/>
  <c r="F14" i="7"/>
  <c r="D11" i="7" s="1"/>
  <c r="J2" i="7" s="1"/>
  <c r="E14" i="7"/>
  <c r="V11" i="7"/>
  <c r="V9" i="7" s="1"/>
  <c r="U11" i="7"/>
  <c r="S11" i="7"/>
  <c r="T11" i="7" s="1"/>
  <c r="N11" i="7"/>
  <c r="M11" i="7"/>
  <c r="K11" i="7"/>
  <c r="L11" i="7" s="1"/>
  <c r="N9" i="7"/>
  <c r="V8" i="7"/>
  <c r="N8" i="7"/>
  <c r="I4" i="7"/>
  <c r="F4" i="7"/>
  <c r="D4" i="7"/>
  <c r="L1" i="7"/>
  <c r="X14" i="6"/>
  <c r="W14" i="6"/>
  <c r="V14" i="6"/>
  <c r="U14" i="6"/>
  <c r="U11" i="6" s="1"/>
  <c r="V11" i="6" s="1"/>
  <c r="T14" i="6"/>
  <c r="S14" i="6"/>
  <c r="R14" i="6"/>
  <c r="Q14" i="6"/>
  <c r="Q11" i="6" s="1"/>
  <c r="R11" i="6" s="1"/>
  <c r="P14" i="6"/>
  <c r="O14" i="6"/>
  <c r="N14" i="6"/>
  <c r="M14" i="6"/>
  <c r="M11" i="6" s="1"/>
  <c r="L14" i="6"/>
  <c r="K14" i="6"/>
  <c r="I14" i="6"/>
  <c r="H14" i="6"/>
  <c r="G11" i="6" s="1"/>
  <c r="F14" i="6"/>
  <c r="D11" i="6" s="1"/>
  <c r="J2" i="6" s="1"/>
  <c r="E14" i="6"/>
  <c r="X11" i="6"/>
  <c r="X8" i="6" s="1"/>
  <c r="W11" i="6"/>
  <c r="S11" i="6"/>
  <c r="T11" i="6" s="1"/>
  <c r="P11" i="6"/>
  <c r="P8" i="6" s="1"/>
  <c r="O11" i="6"/>
  <c r="K11" i="6"/>
  <c r="L11" i="6" s="1"/>
  <c r="I4" i="6"/>
  <c r="F4" i="6"/>
  <c r="D4" i="6"/>
  <c r="L1" i="6"/>
  <c r="U7" i="6" s="1"/>
  <c r="S54" i="5"/>
  <c r="S14" i="5" s="1"/>
  <c r="S11" i="5" s="1"/>
  <c r="T11" i="5" s="1"/>
  <c r="X14" i="5"/>
  <c r="W14" i="5"/>
  <c r="V14" i="5"/>
  <c r="U14" i="5"/>
  <c r="T14" i="5"/>
  <c r="R14" i="5"/>
  <c r="Q14" i="5"/>
  <c r="Q11" i="5" s="1"/>
  <c r="R11" i="5" s="1"/>
  <c r="P14" i="5"/>
  <c r="O14" i="5"/>
  <c r="N14" i="5"/>
  <c r="M14" i="5"/>
  <c r="L14" i="5"/>
  <c r="K11" i="5" s="1"/>
  <c r="K14" i="5"/>
  <c r="I14" i="5"/>
  <c r="H14" i="5"/>
  <c r="G11" i="5" s="1"/>
  <c r="J2" i="5" s="1"/>
  <c r="F14" i="5"/>
  <c r="E14" i="5"/>
  <c r="W11" i="5"/>
  <c r="X11" i="5" s="1"/>
  <c r="V11" i="5"/>
  <c r="V9" i="5" s="1"/>
  <c r="U11" i="5"/>
  <c r="O11" i="5"/>
  <c r="P11" i="5" s="1"/>
  <c r="N11" i="5"/>
  <c r="N8" i="5" s="1"/>
  <c r="M11" i="5"/>
  <c r="D11" i="5"/>
  <c r="V8" i="5"/>
  <c r="I4" i="5"/>
  <c r="F4" i="5"/>
  <c r="D4" i="5"/>
  <c r="L1" i="5"/>
  <c r="V9" i="6" l="1"/>
  <c r="V8" i="6"/>
  <c r="L11" i="10"/>
  <c r="J3" i="10"/>
  <c r="L9" i="7"/>
  <c r="L8" i="7"/>
  <c r="R8" i="6"/>
  <c r="R9" i="6"/>
  <c r="T8" i="8"/>
  <c r="T9" i="8"/>
  <c r="N8" i="10"/>
  <c r="N9" i="10"/>
  <c r="X8" i="5"/>
  <c r="X9" i="5"/>
  <c r="R9" i="5"/>
  <c r="R8" i="5"/>
  <c r="T8" i="10"/>
  <c r="T9" i="10"/>
  <c r="P8" i="5"/>
  <c r="P9" i="5"/>
  <c r="P8" i="7"/>
  <c r="P9" i="7"/>
  <c r="X8" i="7"/>
  <c r="X9" i="7"/>
  <c r="R8" i="7"/>
  <c r="R9" i="7"/>
  <c r="Q7" i="7"/>
  <c r="P8" i="8"/>
  <c r="P9" i="8"/>
  <c r="V9" i="10"/>
  <c r="V8" i="10"/>
  <c r="L9" i="6"/>
  <c r="K7" i="6"/>
  <c r="L8" i="6"/>
  <c r="R9" i="8"/>
  <c r="R8" i="8"/>
  <c r="K2" i="5"/>
  <c r="L2" i="5" s="1"/>
  <c r="J3" i="6"/>
  <c r="N11" i="6"/>
  <c r="M7" i="6" s="1"/>
  <c r="Q7" i="5"/>
  <c r="J3" i="8"/>
  <c r="L11" i="8"/>
  <c r="R8" i="10"/>
  <c r="R9" i="10"/>
  <c r="J3" i="5"/>
  <c r="L11" i="5"/>
  <c r="K7" i="7"/>
  <c r="T8" i="7"/>
  <c r="T9" i="7"/>
  <c r="T8" i="5"/>
  <c r="T9" i="5"/>
  <c r="T8" i="6"/>
  <c r="T9" i="6"/>
  <c r="X8" i="8"/>
  <c r="X9" i="8"/>
  <c r="P8" i="10"/>
  <c r="P9" i="10"/>
  <c r="S7" i="5"/>
  <c r="W7" i="6"/>
  <c r="X9" i="6"/>
  <c r="M7" i="7"/>
  <c r="S7" i="8"/>
  <c r="W7" i="10"/>
  <c r="X9" i="10"/>
  <c r="W7" i="5"/>
  <c r="U7" i="5"/>
  <c r="J3" i="7"/>
  <c r="O7" i="7"/>
  <c r="U7" i="8"/>
  <c r="S7" i="7"/>
  <c r="W2" i="10"/>
  <c r="M7" i="10"/>
  <c r="W7" i="8"/>
  <c r="O7" i="6"/>
  <c r="P9" i="6"/>
  <c r="U7" i="7"/>
  <c r="K7" i="8"/>
  <c r="O7" i="10"/>
  <c r="U3" i="10" s="1"/>
  <c r="M7" i="5"/>
  <c r="N9" i="5"/>
  <c r="Q7" i="6"/>
  <c r="W7" i="7"/>
  <c r="M7" i="8"/>
  <c r="N9" i="8"/>
  <c r="Q7" i="10"/>
  <c r="O7" i="5"/>
  <c r="S7" i="6"/>
  <c r="O7" i="8"/>
  <c r="S7" i="10"/>
  <c r="V3" i="10" l="1"/>
  <c r="U4" i="10"/>
  <c r="G10" i="7"/>
  <c r="H8" i="7" s="1"/>
  <c r="I7" i="7" s="1"/>
  <c r="J4" i="7"/>
  <c r="D10" i="7"/>
  <c r="E8" i="7" s="1"/>
  <c r="F7" i="7" s="1"/>
  <c r="J5" i="7"/>
  <c r="G10" i="5"/>
  <c r="H8" i="5" s="1"/>
  <c r="I7" i="5" s="1"/>
  <c r="J4" i="5"/>
  <c r="D10" i="5"/>
  <c r="E8" i="5" s="1"/>
  <c r="F7" i="5" s="1"/>
  <c r="J5" i="5"/>
  <c r="J4" i="6"/>
  <c r="J5" i="6"/>
  <c r="D10" i="6"/>
  <c r="E8" i="6" s="1"/>
  <c r="F7" i="6" s="1"/>
  <c r="G10" i="6"/>
  <c r="H8" i="6" s="1"/>
  <c r="I7" i="6" s="1"/>
  <c r="L8" i="5"/>
  <c r="L9" i="5"/>
  <c r="K2" i="6"/>
  <c r="L2" i="6" s="1"/>
  <c r="J5" i="10"/>
  <c r="J4" i="10"/>
  <c r="D10" i="10"/>
  <c r="E8" i="10" s="1"/>
  <c r="F7" i="10" s="1"/>
  <c r="G10" i="10"/>
  <c r="H8" i="10" s="1"/>
  <c r="I7" i="10" s="1"/>
  <c r="K2" i="10"/>
  <c r="L2" i="10" s="1"/>
  <c r="L8" i="8"/>
  <c r="L9" i="8"/>
  <c r="K7" i="10"/>
  <c r="O3" i="10" s="1"/>
  <c r="L8" i="10"/>
  <c r="L9" i="10"/>
  <c r="O3" i="8"/>
  <c r="G10" i="8"/>
  <c r="H8" i="8" s="1"/>
  <c r="I7" i="8" s="1"/>
  <c r="J4" i="8"/>
  <c r="D10" i="8"/>
  <c r="E8" i="8" s="1"/>
  <c r="F7" i="8" s="1"/>
  <c r="J5" i="8"/>
  <c r="K2" i="7"/>
  <c r="L2" i="7" s="1"/>
  <c r="N8" i="6"/>
  <c r="N9" i="6"/>
  <c r="O3" i="7"/>
  <c r="O3" i="6"/>
  <c r="K7" i="5"/>
  <c r="O3" i="5" s="1"/>
  <c r="K2" i="8"/>
  <c r="L2" i="8" s="1"/>
  <c r="M4" i="10" l="1"/>
  <c r="L4" i="10"/>
  <c r="N4" i="10" s="1"/>
  <c r="M4" i="8"/>
  <c r="L4" i="8"/>
  <c r="N4" i="8" s="1"/>
  <c r="M4" i="7"/>
  <c r="L4" i="7"/>
  <c r="N4" i="7" s="1"/>
  <c r="M4" i="6"/>
  <c r="L4" i="6"/>
  <c r="N4" i="6" s="1"/>
  <c r="M4" i="5"/>
  <c r="L4" i="5"/>
  <c r="N4" i="5" s="1"/>
  <c r="W3" i="10"/>
  <c r="V4" i="10"/>
  <c r="W4" i="10" s="1"/>
  <c r="O5" i="6" l="1"/>
  <c r="N3" i="6"/>
  <c r="N3" i="8"/>
  <c r="O5" i="8"/>
  <c r="O5" i="7"/>
  <c r="N3" i="7"/>
  <c r="N3" i="5"/>
  <c r="O5" i="5"/>
  <c r="O5" i="10"/>
  <c r="N3" i="10"/>
  <c r="X14" i="4" l="1"/>
  <c r="W14" i="4"/>
  <c r="V14" i="4"/>
  <c r="U14" i="4"/>
  <c r="T14" i="4"/>
  <c r="S14" i="4"/>
  <c r="R14" i="4"/>
  <c r="Q14" i="4"/>
  <c r="Q11" i="4" s="1"/>
  <c r="R11" i="4" s="1"/>
  <c r="P14" i="4"/>
  <c r="O14" i="4"/>
  <c r="N14" i="4"/>
  <c r="M14" i="4"/>
  <c r="L14" i="4"/>
  <c r="K14" i="4"/>
  <c r="I14" i="4"/>
  <c r="H14" i="4"/>
  <c r="G11" i="4" s="1"/>
  <c r="J2" i="4" s="1"/>
  <c r="F14" i="4"/>
  <c r="E14" i="4"/>
  <c r="W11" i="4"/>
  <c r="X11" i="4" s="1"/>
  <c r="U11" i="4"/>
  <c r="V11" i="4" s="1"/>
  <c r="S11" i="4"/>
  <c r="T11" i="4" s="1"/>
  <c r="O11" i="4"/>
  <c r="P11" i="4" s="1"/>
  <c r="M11" i="4"/>
  <c r="N11" i="4" s="1"/>
  <c r="K11" i="4"/>
  <c r="J3" i="4" s="1"/>
  <c r="D11" i="4"/>
  <c r="I4" i="4"/>
  <c r="F4" i="4"/>
  <c r="D4" i="4"/>
  <c r="L1" i="4"/>
  <c r="O7" i="4" s="1"/>
  <c r="X14" i="3"/>
  <c r="W11" i="3" s="1"/>
  <c r="X11" i="3" s="1"/>
  <c r="W14" i="3"/>
  <c r="V14" i="3"/>
  <c r="U11" i="3" s="1"/>
  <c r="V11" i="3" s="1"/>
  <c r="U14" i="3"/>
  <c r="T14" i="3"/>
  <c r="S14" i="3"/>
  <c r="R14" i="3"/>
  <c r="Q14" i="3"/>
  <c r="P14" i="3"/>
  <c r="O11" i="3" s="1"/>
  <c r="P11" i="3" s="1"/>
  <c r="O14" i="3"/>
  <c r="N14" i="3"/>
  <c r="M11" i="3" s="1"/>
  <c r="M14" i="3"/>
  <c r="L14" i="3"/>
  <c r="K14" i="3"/>
  <c r="I14" i="3"/>
  <c r="H14" i="3"/>
  <c r="F14" i="3"/>
  <c r="D11" i="3" s="1"/>
  <c r="J2" i="3" s="1"/>
  <c r="E14" i="3"/>
  <c r="S11" i="3"/>
  <c r="T11" i="3" s="1"/>
  <c r="R11" i="3"/>
  <c r="R8" i="3" s="1"/>
  <c r="Q11" i="3"/>
  <c r="K11" i="3"/>
  <c r="L11" i="3" s="1"/>
  <c r="G11" i="3"/>
  <c r="Q7" i="3"/>
  <c r="I4" i="3"/>
  <c r="F4" i="3"/>
  <c r="D4" i="3"/>
  <c r="L1" i="3"/>
  <c r="W7" i="3" s="1"/>
  <c r="X14" i="2"/>
  <c r="W14" i="2"/>
  <c r="V14" i="2"/>
  <c r="U14" i="2"/>
  <c r="T14" i="2"/>
  <c r="S14" i="2"/>
  <c r="S11" i="2" s="1"/>
  <c r="T11" i="2" s="1"/>
  <c r="R14" i="2"/>
  <c r="Q14" i="2"/>
  <c r="P14" i="2"/>
  <c r="O14" i="2"/>
  <c r="N14" i="2"/>
  <c r="M14" i="2"/>
  <c r="L14" i="2"/>
  <c r="K14" i="2"/>
  <c r="K11" i="2" s="1"/>
  <c r="I14" i="2"/>
  <c r="H14" i="2"/>
  <c r="F14" i="2"/>
  <c r="E14" i="2"/>
  <c r="X11" i="2"/>
  <c r="X9" i="2" s="1"/>
  <c r="W11" i="2"/>
  <c r="U11" i="2"/>
  <c r="V11" i="2" s="1"/>
  <c r="Q11" i="2"/>
  <c r="R11" i="2" s="1"/>
  <c r="P11" i="2"/>
  <c r="P8" i="2" s="1"/>
  <c r="O11" i="2"/>
  <c r="M11" i="2"/>
  <c r="N11" i="2" s="1"/>
  <c r="G11" i="2"/>
  <c r="D11" i="2"/>
  <c r="X8" i="2"/>
  <c r="I4" i="2"/>
  <c r="F4" i="2"/>
  <c r="D4" i="2"/>
  <c r="J2" i="2"/>
  <c r="L1" i="2"/>
  <c r="J35" i="1"/>
  <c r="J33" i="1"/>
  <c r="J32" i="1"/>
  <c r="J30" i="1"/>
  <c r="J29" i="1"/>
  <c r="J28" i="1"/>
  <c r="J27" i="1"/>
  <c r="J26" i="1"/>
  <c r="J25" i="1"/>
  <c r="J24" i="1"/>
  <c r="J21" i="1"/>
  <c r="J18" i="1"/>
  <c r="X14" i="1"/>
  <c r="W14" i="1"/>
  <c r="W11" i="1" s="1"/>
  <c r="X11" i="1" s="1"/>
  <c r="V14" i="1"/>
  <c r="U14" i="1"/>
  <c r="T14" i="1"/>
  <c r="S11" i="1" s="1"/>
  <c r="T11" i="1" s="1"/>
  <c r="S14" i="1"/>
  <c r="R14" i="1"/>
  <c r="Q14" i="1"/>
  <c r="P14" i="1"/>
  <c r="O14" i="1"/>
  <c r="O11" i="1" s="1"/>
  <c r="P11" i="1" s="1"/>
  <c r="N14" i="1"/>
  <c r="M14" i="1"/>
  <c r="L14" i="1"/>
  <c r="K11" i="1" s="1"/>
  <c r="K14" i="1"/>
  <c r="I14" i="1"/>
  <c r="H14" i="1"/>
  <c r="F14" i="1"/>
  <c r="E14" i="1"/>
  <c r="V11" i="1"/>
  <c r="V9" i="1" s="1"/>
  <c r="U11" i="1"/>
  <c r="Q11" i="1"/>
  <c r="R11" i="1" s="1"/>
  <c r="N11" i="1"/>
  <c r="N9" i="1" s="1"/>
  <c r="M11" i="1"/>
  <c r="G11" i="1"/>
  <c r="D11" i="1"/>
  <c r="J2" i="1" s="1"/>
  <c r="V8" i="1"/>
  <c r="I4" i="1"/>
  <c r="F4" i="1"/>
  <c r="D4" i="1"/>
  <c r="L1" i="1"/>
  <c r="U7" i="1" s="1"/>
  <c r="G10" i="4" l="1"/>
  <c r="H8" i="4" s="1"/>
  <c r="I7" i="4" s="1"/>
  <c r="J4" i="4"/>
  <c r="D10" i="4"/>
  <c r="E8" i="4" s="1"/>
  <c r="F7" i="4" s="1"/>
  <c r="J5" i="4"/>
  <c r="T9" i="2"/>
  <c r="T8" i="2"/>
  <c r="N8" i="4"/>
  <c r="N9" i="4"/>
  <c r="U7" i="2"/>
  <c r="V8" i="2"/>
  <c r="V9" i="2"/>
  <c r="P8" i="3"/>
  <c r="P9" i="3"/>
  <c r="O7" i="3"/>
  <c r="X8" i="3"/>
  <c r="X9" i="3"/>
  <c r="P9" i="4"/>
  <c r="P8" i="4"/>
  <c r="P8" i="1"/>
  <c r="P9" i="1"/>
  <c r="N11" i="3"/>
  <c r="J3" i="3"/>
  <c r="K2" i="3" s="1"/>
  <c r="L2" i="3" s="1"/>
  <c r="R8" i="2"/>
  <c r="R9" i="2"/>
  <c r="T8" i="4"/>
  <c r="T9" i="4"/>
  <c r="X9" i="1"/>
  <c r="X8" i="1"/>
  <c r="T8" i="3"/>
  <c r="T9" i="3"/>
  <c r="S7" i="3"/>
  <c r="V8" i="3"/>
  <c r="V9" i="3"/>
  <c r="R9" i="4"/>
  <c r="Q7" i="4"/>
  <c r="R8" i="4"/>
  <c r="V8" i="4"/>
  <c r="V9" i="4"/>
  <c r="K2" i="2"/>
  <c r="L2" i="2" s="1"/>
  <c r="K2" i="4"/>
  <c r="L2" i="4" s="1"/>
  <c r="L11" i="2"/>
  <c r="J3" i="2"/>
  <c r="R8" i="1"/>
  <c r="R9" i="1"/>
  <c r="L11" i="1"/>
  <c r="K7" i="1" s="1"/>
  <c r="O3" i="1" s="1"/>
  <c r="J3" i="1"/>
  <c r="T8" i="1"/>
  <c r="T9" i="1"/>
  <c r="K7" i="3"/>
  <c r="L9" i="3"/>
  <c r="L8" i="3"/>
  <c r="X8" i="4"/>
  <c r="X9" i="4"/>
  <c r="S7" i="2"/>
  <c r="N8" i="2"/>
  <c r="N9" i="2"/>
  <c r="W7" i="2"/>
  <c r="S7" i="4"/>
  <c r="L11" i="4"/>
  <c r="U7" i="4"/>
  <c r="M7" i="1"/>
  <c r="R9" i="3"/>
  <c r="W7" i="4"/>
  <c r="O7" i="1"/>
  <c r="N8" i="1"/>
  <c r="M7" i="2"/>
  <c r="Q7" i="1"/>
  <c r="O7" i="2"/>
  <c r="P9" i="2"/>
  <c r="U7" i="3"/>
  <c r="S7" i="1"/>
  <c r="Q7" i="2"/>
  <c r="M7" i="4"/>
  <c r="W7" i="1"/>
  <c r="J5" i="1" l="1"/>
  <c r="G10" i="1"/>
  <c r="H8" i="1" s="1"/>
  <c r="I7" i="1" s="1"/>
  <c r="J4" i="1"/>
  <c r="D10" i="1"/>
  <c r="E8" i="1" s="1"/>
  <c r="F7" i="1" s="1"/>
  <c r="N8" i="3"/>
  <c r="N9" i="3"/>
  <c r="M7" i="3"/>
  <c r="O3" i="3" s="1"/>
  <c r="L8" i="4"/>
  <c r="L4" i="4" s="1"/>
  <c r="N4" i="4" s="1"/>
  <c r="L9" i="4"/>
  <c r="K2" i="1"/>
  <c r="L2" i="1" s="1"/>
  <c r="D10" i="3"/>
  <c r="E8" i="3" s="1"/>
  <c r="F7" i="3" s="1"/>
  <c r="J5" i="3"/>
  <c r="J4" i="3"/>
  <c r="G10" i="3"/>
  <c r="H8" i="3" s="1"/>
  <c r="I7" i="3" s="1"/>
  <c r="L8" i="1"/>
  <c r="L9" i="1"/>
  <c r="J5" i="2"/>
  <c r="G10" i="2"/>
  <c r="H8" i="2" s="1"/>
  <c r="I7" i="2" s="1"/>
  <c r="J4" i="2"/>
  <c r="D10" i="2"/>
  <c r="E8" i="2" s="1"/>
  <c r="F7" i="2" s="1"/>
  <c r="M4" i="4"/>
  <c r="L8" i="2"/>
  <c r="L9" i="2"/>
  <c r="K7" i="2"/>
  <c r="O3" i="2" s="1"/>
  <c r="K7" i="4"/>
  <c r="O3" i="4" s="1"/>
  <c r="O5" i="4" l="1"/>
  <c r="N3" i="4"/>
  <c r="M4" i="3"/>
  <c r="L4" i="3"/>
  <c r="N4" i="3" s="1"/>
  <c r="M4" i="2"/>
  <c r="L4" i="2"/>
  <c r="N4" i="2" s="1"/>
  <c r="L4" i="1"/>
  <c r="N4" i="1" s="1"/>
  <c r="M4" i="1"/>
  <c r="N3" i="2" l="1"/>
  <c r="O5" i="2"/>
  <c r="O5" i="1"/>
  <c r="N3" i="1"/>
  <c r="O5" i="3"/>
  <c r="N3" i="3"/>
</calcChain>
</file>

<file path=xl/sharedStrings.xml><?xml version="1.0" encoding="utf-8"?>
<sst xmlns="http://schemas.openxmlformats.org/spreadsheetml/2006/main" count="1383" uniqueCount="174">
  <si>
    <t>FIELD PRODUCTION RECORD</t>
  </si>
  <si>
    <t>Combine Totals</t>
  </si>
  <si>
    <t>FIELD</t>
  </si>
  <si>
    <t>F7</t>
  </si>
  <si>
    <t>N32</t>
  </si>
  <si>
    <t>Field Total</t>
  </si>
  <si>
    <t>Cart Factor</t>
  </si>
  <si>
    <t>Moisture</t>
  </si>
  <si>
    <t>Dockage</t>
  </si>
  <si>
    <t>CROP</t>
  </si>
  <si>
    <t>DATE</t>
  </si>
  <si>
    <t>bu/ac</t>
  </si>
  <si>
    <t xml:space="preserve">Moisture </t>
  </si>
  <si>
    <t>APEX</t>
  </si>
  <si>
    <t>Unload</t>
  </si>
  <si>
    <t>Other Fields</t>
  </si>
  <si>
    <t>TOTALS</t>
  </si>
  <si>
    <t>Cart Number</t>
  </si>
  <si>
    <t>HIS S680</t>
  </si>
  <si>
    <t>Tracks S690</t>
  </si>
  <si>
    <t>RA Bag F7</t>
  </si>
  <si>
    <t>Yard Bag</t>
  </si>
  <si>
    <t>C</t>
  </si>
  <si>
    <t>D</t>
  </si>
  <si>
    <t>E</t>
  </si>
  <si>
    <t>F</t>
  </si>
  <si>
    <t>G</t>
  </si>
  <si>
    <t>Hillsboro</t>
  </si>
  <si>
    <t>Load</t>
  </si>
  <si>
    <t>Mass</t>
  </si>
  <si>
    <t>Hills</t>
  </si>
  <si>
    <t>FENA</t>
  </si>
  <si>
    <t>Combine</t>
  </si>
  <si>
    <t xml:space="preserve"> 699-700</t>
  </si>
  <si>
    <t xml:space="preserve"> 718-719</t>
  </si>
  <si>
    <t>end</t>
  </si>
  <si>
    <t>F19D</t>
  </si>
  <si>
    <t>E11</t>
  </si>
  <si>
    <t>B</t>
  </si>
  <si>
    <t xml:space="preserve"> 269-270</t>
  </si>
  <si>
    <t xml:space="preserve"> 18000 est</t>
  </si>
  <si>
    <t>F19A</t>
  </si>
  <si>
    <t>W11</t>
  </si>
  <si>
    <t>F9</t>
  </si>
  <si>
    <t>SE06</t>
  </si>
  <si>
    <t>RA Bag S</t>
  </si>
  <si>
    <t xml:space="preserve"> 762-763</t>
  </si>
  <si>
    <t xml:space="preserve">                     </t>
  </si>
  <si>
    <t>F22</t>
  </si>
  <si>
    <t>N13</t>
  </si>
  <si>
    <t>Bag</t>
  </si>
  <si>
    <t>RuCo</t>
  </si>
  <si>
    <t>9400i</t>
  </si>
  <si>
    <t>Bin 23</t>
  </si>
  <si>
    <t>NE</t>
  </si>
  <si>
    <t>Abe N</t>
  </si>
  <si>
    <t>Load 1</t>
  </si>
  <si>
    <t>Load 2</t>
  </si>
  <si>
    <t xml:space="preserve"> 70-71</t>
  </si>
  <si>
    <t xml:space="preserve"> 78-79</t>
  </si>
  <si>
    <t>F1</t>
  </si>
  <si>
    <t>S11 S</t>
  </si>
  <si>
    <t>Bag F22</t>
  </si>
  <si>
    <t>Bag F2</t>
  </si>
  <si>
    <t xml:space="preserve"> 116w</t>
  </si>
  <si>
    <t>F2</t>
  </si>
  <si>
    <t>S11 N</t>
  </si>
  <si>
    <t xml:space="preserve"> 571-572</t>
  </si>
  <si>
    <t xml:space="preserve"> Na</t>
  </si>
  <si>
    <t>F8</t>
  </si>
  <si>
    <t>N33</t>
  </si>
  <si>
    <t>Bags</t>
  </si>
  <si>
    <t>F26</t>
  </si>
  <si>
    <t>A</t>
  </si>
  <si>
    <t>ac</t>
  </si>
  <si>
    <t>t</t>
  </si>
  <si>
    <t>bu</t>
  </si>
  <si>
    <t xml:space="preserve">Fall </t>
  </si>
  <si>
    <t>F25</t>
  </si>
  <si>
    <t>Wieben</t>
  </si>
  <si>
    <t>Spring</t>
  </si>
  <si>
    <t>Total</t>
  </si>
  <si>
    <t>Dryer</t>
  </si>
  <si>
    <t>F18</t>
  </si>
  <si>
    <t>Sec 04</t>
  </si>
  <si>
    <t>Bag F18 Mid</t>
  </si>
  <si>
    <t>Dryer, Bin 3?</t>
  </si>
  <si>
    <t>Spring Bag</t>
  </si>
  <si>
    <t>Bin</t>
  </si>
  <si>
    <t>Pile</t>
  </si>
  <si>
    <t>603NE</t>
  </si>
  <si>
    <t>617NE</t>
  </si>
  <si>
    <t>146NE</t>
  </si>
  <si>
    <t>161NE</t>
  </si>
  <si>
    <t xml:space="preserve"> 636-637</t>
  </si>
  <si>
    <t>638-643</t>
  </si>
  <si>
    <t xml:space="preserve"> 644-645</t>
  </si>
  <si>
    <t xml:space="preserve"> 168-169</t>
  </si>
  <si>
    <t>est</t>
  </si>
  <si>
    <t xml:space="preserve"> 680-681</t>
  </si>
  <si>
    <t>F12</t>
  </si>
  <si>
    <t>W21</t>
  </si>
  <si>
    <t>Bag F12 S</t>
  </si>
  <si>
    <t>Bag F12 N</t>
  </si>
  <si>
    <t>652NE</t>
  </si>
  <si>
    <t>657NE</t>
  </si>
  <si>
    <t>658NE</t>
  </si>
  <si>
    <t>193NE</t>
  </si>
  <si>
    <t>663NE</t>
  </si>
  <si>
    <t xml:space="preserve"> 665-666</t>
  </si>
  <si>
    <t>670NE</t>
  </si>
  <si>
    <t>671NE</t>
  </si>
  <si>
    <t>675,6</t>
  </si>
  <si>
    <t xml:space="preserve"> Half load</t>
  </si>
  <si>
    <t xml:space="preserve"> Full ld</t>
  </si>
  <si>
    <t>F21</t>
  </si>
  <si>
    <t>SE08</t>
  </si>
  <si>
    <t>Abandon</t>
  </si>
  <si>
    <t>Bin 12</t>
  </si>
  <si>
    <t>Cart</t>
  </si>
  <si>
    <t>JRI</t>
  </si>
  <si>
    <t>Field Bags</t>
  </si>
  <si>
    <t>701,2</t>
  </si>
  <si>
    <t>F14</t>
  </si>
  <si>
    <t>SE31</t>
  </si>
  <si>
    <t>RA Bag</t>
  </si>
  <si>
    <t>F10</t>
  </si>
  <si>
    <t>SW5 Kade</t>
  </si>
  <si>
    <t>Bag RA N</t>
  </si>
  <si>
    <t>Bag RA S</t>
  </si>
  <si>
    <t xml:space="preserve"> 172,3 NE</t>
  </si>
  <si>
    <t>654NE</t>
  </si>
  <si>
    <t xml:space="preserve"> 175-176</t>
  </si>
  <si>
    <t>177NE</t>
  </si>
  <si>
    <t>F5</t>
  </si>
  <si>
    <t>NE05</t>
  </si>
  <si>
    <t xml:space="preserve"> 213 -14</t>
  </si>
  <si>
    <t>ne</t>
  </si>
  <si>
    <t>F19b</t>
  </si>
  <si>
    <t>RuCo JRI</t>
  </si>
  <si>
    <t>Bin 10</t>
  </si>
  <si>
    <t>Spring harvest</t>
  </si>
  <si>
    <t>Ruco</t>
  </si>
  <si>
    <t xml:space="preserve"> 9980 ne</t>
  </si>
  <si>
    <t>NW24 Roessler</t>
  </si>
  <si>
    <t>Bin 9</t>
  </si>
  <si>
    <t>F17</t>
  </si>
  <si>
    <t>SE26 Roessler</t>
  </si>
  <si>
    <t>Bin 8,9</t>
  </si>
  <si>
    <t>662 663</t>
  </si>
  <si>
    <t xml:space="preserve"> 201 202</t>
  </si>
  <si>
    <t>?</t>
  </si>
  <si>
    <t xml:space="preserve"> 671 672</t>
  </si>
  <si>
    <t xml:space="preserve"> 224 ne</t>
  </si>
  <si>
    <t>RA Connery</t>
  </si>
  <si>
    <t>Conary</t>
  </si>
  <si>
    <t>F15</t>
  </si>
  <si>
    <t>NE24</t>
  </si>
  <si>
    <t xml:space="preserve"> 682 683</t>
  </si>
  <si>
    <t>6a N32</t>
  </si>
  <si>
    <t>Peas</t>
  </si>
  <si>
    <t>S690 Tracks</t>
  </si>
  <si>
    <t>Cargill</t>
  </si>
  <si>
    <t>Seed Bin (2)</t>
  </si>
  <si>
    <t>Bin 3</t>
  </si>
  <si>
    <t>Bag 17b</t>
  </si>
  <si>
    <t>Truck</t>
  </si>
  <si>
    <t xml:space="preserve">Henry </t>
  </si>
  <si>
    <t>Isaac</t>
  </si>
  <si>
    <t>Wayne</t>
  </si>
  <si>
    <t>Henry</t>
  </si>
  <si>
    <t>9400i 1</t>
  </si>
  <si>
    <t>59-60</t>
  </si>
  <si>
    <t>520-521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</si>
</sst>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166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0" fillId="2" borderId="3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8" xfId="0" applyNumberFormat="1" applyBorder="1"/>
    <xf numFmtId="1" fontId="0" fillId="0" borderId="8" xfId="0" applyNumberFormat="1" applyBorder="1"/>
    <xf numFmtId="0" fontId="1" fillId="0" borderId="3" xfId="0" applyFont="1" applyBorder="1"/>
    <xf numFmtId="1" fontId="1" fillId="0" borderId="0" xfId="0" applyNumberFormat="1" applyFont="1"/>
    <xf numFmtId="3" fontId="0" fillId="0" borderId="0" xfId="0" applyNumberFormat="1"/>
    <xf numFmtId="3" fontId="0" fillId="0" borderId="8" xfId="0" applyNumberFormat="1" applyBorder="1"/>
    <xf numFmtId="0" fontId="0" fillId="0" borderId="13" xfId="0" applyBorder="1"/>
    <xf numFmtId="15" fontId="0" fillId="0" borderId="0" xfId="0" applyNumberFormat="1"/>
    <xf numFmtId="165" fontId="1" fillId="0" borderId="0" xfId="0" applyNumberFormat="1" applyFont="1"/>
    <xf numFmtId="0" fontId="0" fillId="3" borderId="8" xfId="0" applyFill="1" applyBorder="1"/>
    <xf numFmtId="0" fontId="0" fillId="3" borderId="0" xfId="0" applyFill="1"/>
    <xf numFmtId="0" fontId="0" fillId="3" borderId="3" xfId="0" applyFill="1" applyBorder="1"/>
    <xf numFmtId="1" fontId="0" fillId="0" borderId="11" xfId="0" applyNumberFormat="1" applyBorder="1"/>
    <xf numFmtId="0" fontId="1" fillId="0" borderId="8" xfId="0" applyFont="1" applyBorder="1"/>
    <xf numFmtId="0" fontId="1" fillId="3" borderId="0" xfId="0" applyFont="1" applyFill="1"/>
    <xf numFmtId="0" fontId="3" fillId="0" borderId="0" xfId="0" applyFont="1"/>
    <xf numFmtId="0" fontId="0" fillId="0" borderId="5" xfId="0" applyBorder="1"/>
    <xf numFmtId="1" fontId="0" fillId="0" borderId="5" xfId="0" applyNumberFormat="1" applyBorder="1"/>
    <xf numFmtId="166" fontId="0" fillId="0" borderId="5" xfId="0" applyNumberFormat="1" applyBorder="1"/>
    <xf numFmtId="16" fontId="0" fillId="0" borderId="0" xfId="0" applyNumberFormat="1"/>
    <xf numFmtId="0" fontId="3" fillId="0" borderId="3" xfId="0" applyFont="1" applyBorder="1"/>
    <xf numFmtId="165" fontId="0" fillId="0" borderId="5" xfId="0" applyNumberFormat="1" applyBorder="1"/>
    <xf numFmtId="167" fontId="0" fillId="0" borderId="0" xfId="0" applyNumberFormat="1"/>
    <xf numFmtId="164" fontId="1" fillId="0" borderId="0" xfId="0" applyNumberFormat="1" applyFont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19%20Crop/Production/Canola/Canola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19%20Crop/Production/Peas/Peas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19%20Crop/Production/Wheat/CPS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19%20Crop/Production/Wheat/HRS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ray/Dropbox/Hillsboro/Crops/2019%20Crop/Production/Yari/Yari%20Canola%20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2"/>
      <sheetName val="F1"/>
      <sheetName val="F2"/>
      <sheetName val="F8"/>
      <sheetName val="F26"/>
      <sheetName val="F25"/>
      <sheetName val="Storage"/>
      <sheetName val="Summary"/>
      <sheetName val="F7"/>
      <sheetName val="F19D"/>
      <sheetName val="F19A"/>
      <sheetName val="F9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2019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22"/>
      <sheetName val="F1"/>
      <sheetName val="F2"/>
      <sheetName val="F8"/>
      <sheetName val="F26"/>
      <sheetName val="F25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Peas</v>
          </cell>
          <cell r="D2">
            <v>60</v>
          </cell>
          <cell r="E2">
            <v>0.16</v>
          </cell>
        </row>
        <row r="3">
          <cell r="C3">
            <v>2019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8"/>
      <sheetName val="F12"/>
      <sheetName val="F21"/>
      <sheetName val="F14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CPS</v>
          </cell>
          <cell r="D2">
            <v>60</v>
          </cell>
          <cell r="E2">
            <v>0.14499999999999999</v>
          </cell>
        </row>
        <row r="3">
          <cell r="C3">
            <v>2019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0"/>
      <sheetName val="F5"/>
      <sheetName val="F19b"/>
      <sheetName val="F26"/>
      <sheetName val="F17"/>
      <sheetName val="F14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CWRS</v>
          </cell>
          <cell r="D2">
            <v>60</v>
          </cell>
          <cell r="E2">
            <v>0.14499999999999999</v>
          </cell>
        </row>
        <row r="3">
          <cell r="C3">
            <v>2019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"/>
      <sheetName val="Summary"/>
      <sheetName val="F15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Deliveries"/>
      <sheetName val="Dryer"/>
      <sheetName val="Seed"/>
      <sheetName val="CCGA"/>
      <sheetName val="CI"/>
    </sheetNames>
    <sheetDataSet>
      <sheetData sheetId="0" refreshError="1"/>
      <sheetData sheetId="1">
        <row r="2">
          <cell r="C2" t="str">
            <v>Canola</v>
          </cell>
          <cell r="D2">
            <v>50</v>
          </cell>
          <cell r="E2">
            <v>0.1</v>
          </cell>
        </row>
        <row r="3">
          <cell r="C3">
            <v>2019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19E3-7C11-4A1E-B0EA-0D9A9F9036FA}">
  <dimension ref="A1:AC83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7" x14ac:dyDescent="0.25">
      <c r="B1" t="s">
        <v>0</v>
      </c>
      <c r="G1"/>
      <c r="L1" s="1">
        <f>[2]Summary!E2</f>
        <v>0.16</v>
      </c>
      <c r="O1">
        <v>2204.62262184877</v>
      </c>
    </row>
    <row r="2" spans="1:27" x14ac:dyDescent="0.25">
      <c r="G2"/>
      <c r="H2" s="2" t="s">
        <v>1</v>
      </c>
      <c r="I2" s="2" t="s">
        <v>1</v>
      </c>
      <c r="J2">
        <f>+D11+G11</f>
        <v>412080</v>
      </c>
      <c r="K2">
        <f>J2-J3</f>
        <v>220</v>
      </c>
      <c r="L2" s="1">
        <f>K2/J2</f>
        <v>5.3387691710347505E-4</v>
      </c>
    </row>
    <row r="3" spans="1:27" x14ac:dyDescent="0.25">
      <c r="B3" t="s">
        <v>2</v>
      </c>
      <c r="D3" s="3" t="s">
        <v>60</v>
      </c>
      <c r="E3" s="4"/>
      <c r="F3" t="s">
        <v>61</v>
      </c>
      <c r="G3"/>
      <c r="H3" s="2" t="s">
        <v>5</v>
      </c>
      <c r="I3" s="2"/>
      <c r="J3">
        <f>K11-L10+M11-N10+O11-P10+Q11-R10+S11-T10+U11-V10+W11-X10</f>
        <v>411860</v>
      </c>
      <c r="K3" s="5" t="s">
        <v>6</v>
      </c>
      <c r="L3" s="5" t="s">
        <v>7</v>
      </c>
      <c r="M3" s="5" t="s">
        <v>8</v>
      </c>
      <c r="N3" s="6">
        <f>N4*I4/O1</f>
        <v>181.03364709435414</v>
      </c>
      <c r="O3" s="6">
        <f>K7+M7+O7+Q7+S7+U7+W7</f>
        <v>181.03364709435414</v>
      </c>
    </row>
    <row r="4" spans="1:27" x14ac:dyDescent="0.25">
      <c r="B4" t="s">
        <v>9</v>
      </c>
      <c r="D4" s="7" t="str">
        <f>[2]Summary!C2</f>
        <v>Peas</v>
      </c>
      <c r="E4" s="4"/>
      <c r="F4" s="8">
        <f>[2]Summary!C3</f>
        <v>2019</v>
      </c>
      <c r="G4"/>
      <c r="I4" s="8">
        <f>[2]Summary!D2</f>
        <v>60</v>
      </c>
      <c r="J4" s="8">
        <f>J3/I4</f>
        <v>6864.333333333333</v>
      </c>
      <c r="K4" s="9">
        <v>0.98</v>
      </c>
      <c r="L4" s="9">
        <f>IF(J5=0,L1,(L8+N8+P8+R8+T8+V8+X8)/J5/K4)</f>
        <v>0.16100000000000003</v>
      </c>
      <c r="M4" s="9">
        <f>IF(J5=0,0,(L9+N9+P9+R9+T9+V9+X9)/J5/K4)</f>
        <v>1.0000000000000002E-2</v>
      </c>
      <c r="N4" s="8">
        <f>IF(L4&gt;L1,J4*(1-L4)/(1-L1)*(1-M4)*K4,J4*K4*(1-M4))</f>
        <v>6651.8478949999999</v>
      </c>
      <c r="V4" s="6"/>
    </row>
    <row r="5" spans="1:27" x14ac:dyDescent="0.25">
      <c r="B5" t="s">
        <v>10</v>
      </c>
      <c r="D5" s="7">
        <v>43741</v>
      </c>
      <c r="E5" s="4"/>
      <c r="F5" s="52">
        <v>43742</v>
      </c>
      <c r="G5"/>
      <c r="J5" s="6">
        <f>J3/O1</f>
        <v>186.81655350820049</v>
      </c>
      <c r="N5" s="8">
        <v>147.38999999999999</v>
      </c>
      <c r="O5" s="10">
        <f>N4/N5</f>
        <v>45.130930829771359</v>
      </c>
      <c r="P5" t="s">
        <v>11</v>
      </c>
      <c r="V5" s="6"/>
    </row>
    <row r="6" spans="1:27" x14ac:dyDescent="0.25">
      <c r="D6" s="11"/>
      <c r="G6"/>
      <c r="J6" s="6"/>
      <c r="K6" s="12"/>
      <c r="L6" s="13"/>
      <c r="M6" s="12"/>
      <c r="N6" s="8"/>
      <c r="O6" s="10"/>
    </row>
    <row r="7" spans="1:27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0</v>
      </c>
      <c r="M7" s="6">
        <f>IF(M8&gt;$L1,(N11-N10/$O1)*$K4*(1-M8)/(1-$L1)*(1-M9),(N11-N10/$O1)*$K4*(1-M9))</f>
        <v>181.03364709435414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7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0.18</v>
      </c>
      <c r="L8" s="6">
        <f>(L11-L10/$O1)*$K4*K8</f>
        <v>0</v>
      </c>
      <c r="M8" s="1">
        <v>0.161</v>
      </c>
      <c r="N8" s="6">
        <f>(N11-N10/$O1)*$K4*M8</f>
        <v>29.475915812523876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7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0</v>
      </c>
      <c r="M9" s="1">
        <v>0.01</v>
      </c>
      <c r="N9" s="6">
        <f>(N11-N10/$O1)*$K4*M9</f>
        <v>1.830802224380365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7" x14ac:dyDescent="0.25">
      <c r="B10" t="s">
        <v>14</v>
      </c>
      <c r="C10" s="20"/>
      <c r="D10" s="21">
        <f>J3/J2*D11</f>
        <v>155396.99281692875</v>
      </c>
      <c r="E10" s="22"/>
      <c r="F10" s="23"/>
      <c r="G10" s="21">
        <f>J3/J2*G11</f>
        <v>256463.00718307125</v>
      </c>
      <c r="H10" s="22"/>
      <c r="I10" s="23"/>
      <c r="J10" t="s">
        <v>15</v>
      </c>
      <c r="L10" s="24"/>
      <c r="N10" s="24">
        <v>17460</v>
      </c>
      <c r="P10" s="24"/>
      <c r="R10" s="24"/>
      <c r="T10" s="24"/>
      <c r="V10" s="24"/>
      <c r="X10" s="24"/>
    </row>
    <row r="11" spans="1:27" x14ac:dyDescent="0.25">
      <c r="B11" t="s">
        <v>16</v>
      </c>
      <c r="C11" s="20"/>
      <c r="D11" s="25">
        <f>E14+F14</f>
        <v>155480</v>
      </c>
      <c r="E11" s="26"/>
      <c r="F11" s="27"/>
      <c r="G11" s="25">
        <f>H14+I14</f>
        <v>256600</v>
      </c>
      <c r="H11" s="26"/>
      <c r="I11" s="26"/>
      <c r="J11" s="28"/>
      <c r="K11" s="29">
        <f>K14+L14</f>
        <v>0</v>
      </c>
      <c r="L11" s="30">
        <f>K11/2204.62262184877</f>
        <v>0</v>
      </c>
      <c r="M11" s="29">
        <f>M14+N14</f>
        <v>429320</v>
      </c>
      <c r="N11" s="30">
        <f>M11/2204.62262184877</f>
        <v>194.73627628840052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7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62</v>
      </c>
      <c r="L12" s="36"/>
      <c r="M12" s="35" t="s">
        <v>63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7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7" x14ac:dyDescent="0.25">
      <c r="C14" s="20"/>
      <c r="D14" s="37"/>
      <c r="E14" s="39">
        <f>SUM(E15:E116)</f>
        <v>172940</v>
      </c>
      <c r="F14" s="40">
        <f>SUM(F15:F116)</f>
        <v>-17460</v>
      </c>
      <c r="G14" s="37"/>
      <c r="H14" s="39">
        <f>SUM(H15:H116)</f>
        <v>256600</v>
      </c>
      <c r="I14" s="39">
        <f>SUM(I15:I116)</f>
        <v>0</v>
      </c>
      <c r="J14" s="28"/>
      <c r="K14" s="41">
        <f t="shared" ref="K14:X14" si="0">SUM(K15:K116)</f>
        <v>0</v>
      </c>
      <c r="L14" s="42">
        <f t="shared" si="0"/>
        <v>0</v>
      </c>
      <c r="M14" s="41">
        <f t="shared" si="0"/>
        <v>429320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7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7" x14ac:dyDescent="0.25">
      <c r="B16">
        <v>14</v>
      </c>
      <c r="C16" s="20"/>
      <c r="F16" s="20"/>
      <c r="G16" s="46">
        <v>574</v>
      </c>
      <c r="H16">
        <v>21460</v>
      </c>
      <c r="I16" s="20"/>
      <c r="J16" s="53"/>
      <c r="M16">
        <v>21520</v>
      </c>
      <c r="N16" s="11"/>
      <c r="AA16" s="6"/>
    </row>
    <row r="17" spans="2:28" x14ac:dyDescent="0.25">
      <c r="B17">
        <v>15</v>
      </c>
      <c r="C17" s="20"/>
      <c r="D17">
        <v>106</v>
      </c>
      <c r="E17">
        <v>23200</v>
      </c>
      <c r="F17" s="20"/>
      <c r="G17" s="46">
        <v>575</v>
      </c>
      <c r="H17">
        <v>23120</v>
      </c>
      <c r="I17" s="20"/>
      <c r="J17" s="6"/>
      <c r="M17">
        <v>46040</v>
      </c>
      <c r="N17" s="11"/>
      <c r="Z17" s="8"/>
      <c r="AB17" s="8"/>
    </row>
    <row r="18" spans="2:28" x14ac:dyDescent="0.25">
      <c r="B18">
        <v>16</v>
      </c>
      <c r="C18" s="20"/>
      <c r="D18">
        <v>107</v>
      </c>
      <c r="E18">
        <v>19280</v>
      </c>
      <c r="F18" s="20"/>
      <c r="G18" s="46">
        <v>576</v>
      </c>
      <c r="H18">
        <v>22620</v>
      </c>
      <c r="I18" s="20"/>
      <c r="J18" s="53"/>
      <c r="M18">
        <v>41020</v>
      </c>
      <c r="N18" s="11"/>
      <c r="AA18" s="6"/>
    </row>
    <row r="19" spans="2:28" x14ac:dyDescent="0.25">
      <c r="B19">
        <v>17</v>
      </c>
      <c r="C19" s="20"/>
      <c r="D19">
        <v>108</v>
      </c>
      <c r="E19">
        <v>19280</v>
      </c>
      <c r="F19" s="20"/>
      <c r="G19" s="46">
        <v>577</v>
      </c>
      <c r="H19">
        <v>23740</v>
      </c>
      <c r="I19" s="20"/>
      <c r="J19" s="6"/>
      <c r="M19">
        <v>43240</v>
      </c>
    </row>
    <row r="20" spans="2:28" x14ac:dyDescent="0.25">
      <c r="B20">
        <v>18</v>
      </c>
      <c r="C20" s="20"/>
      <c r="D20">
        <v>109</v>
      </c>
      <c r="E20">
        <v>11300</v>
      </c>
      <c r="F20" s="20"/>
      <c r="G20" s="46">
        <v>578</v>
      </c>
      <c r="H20">
        <v>20240</v>
      </c>
      <c r="I20" s="20"/>
      <c r="J20" s="53"/>
      <c r="M20">
        <v>31380</v>
      </c>
      <c r="P20" s="11"/>
      <c r="Z20" s="8"/>
      <c r="AB20" s="8"/>
    </row>
    <row r="21" spans="2:28" x14ac:dyDescent="0.25">
      <c r="B21">
        <v>19</v>
      </c>
      <c r="C21" s="20"/>
      <c r="D21">
        <v>110</v>
      </c>
      <c r="E21">
        <v>18900</v>
      </c>
      <c r="F21" s="20"/>
      <c r="G21" s="46">
        <v>579</v>
      </c>
      <c r="H21">
        <v>22920</v>
      </c>
      <c r="I21" s="20"/>
      <c r="J21" s="53"/>
      <c r="M21">
        <v>41840</v>
      </c>
      <c r="P21" s="11"/>
      <c r="AA21" s="6"/>
    </row>
    <row r="22" spans="2:28" x14ac:dyDescent="0.25">
      <c r="B22">
        <v>20</v>
      </c>
      <c r="C22" s="20"/>
      <c r="D22">
        <v>111</v>
      </c>
      <c r="E22">
        <v>9100</v>
      </c>
      <c r="F22" s="20"/>
      <c r="G22" s="46">
        <v>580</v>
      </c>
      <c r="H22">
        <v>22380</v>
      </c>
      <c r="I22" s="20"/>
      <c r="J22" s="53"/>
      <c r="M22">
        <v>30880</v>
      </c>
      <c r="Z22" s="8"/>
      <c r="AB22" s="8"/>
    </row>
    <row r="23" spans="2:28" x14ac:dyDescent="0.25">
      <c r="B23">
        <v>21</v>
      </c>
      <c r="C23" s="20"/>
      <c r="D23" s="37">
        <v>112</v>
      </c>
      <c r="E23">
        <v>17420</v>
      </c>
      <c r="F23" s="20"/>
      <c r="G23" s="46">
        <v>581</v>
      </c>
      <c r="H23">
        <v>21320</v>
      </c>
      <c r="I23" s="20"/>
      <c r="J23" s="53"/>
      <c r="M23">
        <v>39260</v>
      </c>
    </row>
    <row r="24" spans="2:28" x14ac:dyDescent="0.25">
      <c r="B24">
        <v>22</v>
      </c>
      <c r="C24" s="20"/>
      <c r="D24" s="37">
        <v>113</v>
      </c>
      <c r="E24">
        <v>18680</v>
      </c>
      <c r="F24" s="20"/>
      <c r="G24" s="46">
        <v>582</v>
      </c>
      <c r="H24">
        <v>14600</v>
      </c>
      <c r="I24" s="20"/>
      <c r="J24" s="53"/>
      <c r="M24">
        <v>33980</v>
      </c>
    </row>
    <row r="25" spans="2:28" x14ac:dyDescent="0.25">
      <c r="B25">
        <v>23</v>
      </c>
      <c r="C25" s="20"/>
      <c r="D25" s="37">
        <v>114</v>
      </c>
      <c r="E25">
        <v>16160</v>
      </c>
      <c r="F25" s="20"/>
      <c r="G25" s="46">
        <v>583</v>
      </c>
      <c r="H25">
        <v>2800</v>
      </c>
      <c r="I25" s="20"/>
      <c r="J25" s="53"/>
      <c r="M25">
        <v>18820</v>
      </c>
    </row>
    <row r="26" spans="2:28" x14ac:dyDescent="0.25">
      <c r="B26">
        <v>24</v>
      </c>
      <c r="C26" s="20"/>
      <c r="D26" s="37">
        <v>115</v>
      </c>
      <c r="E26">
        <v>2160</v>
      </c>
      <c r="F26" s="20"/>
      <c r="G26" s="46">
        <v>584</v>
      </c>
      <c r="H26">
        <v>22620</v>
      </c>
      <c r="I26" s="20"/>
      <c r="J26" s="53"/>
      <c r="M26">
        <v>24760</v>
      </c>
    </row>
    <row r="27" spans="2:28" x14ac:dyDescent="0.25">
      <c r="B27">
        <v>25</v>
      </c>
      <c r="C27" s="20"/>
      <c r="D27" s="37" t="s">
        <v>64</v>
      </c>
      <c r="E27">
        <v>17460</v>
      </c>
      <c r="F27" s="20">
        <v>-17460</v>
      </c>
      <c r="G27" s="46">
        <v>585</v>
      </c>
      <c r="H27">
        <v>22620</v>
      </c>
      <c r="I27" s="20"/>
      <c r="J27" s="53"/>
      <c r="M27">
        <v>40300</v>
      </c>
    </row>
    <row r="28" spans="2:28" x14ac:dyDescent="0.25">
      <c r="B28">
        <v>26</v>
      </c>
      <c r="C28" s="20"/>
      <c r="D28" s="37"/>
      <c r="F28" s="20"/>
      <c r="G28" s="46">
        <v>586</v>
      </c>
      <c r="H28">
        <v>16160</v>
      </c>
      <c r="I28" s="20"/>
      <c r="J28" s="53"/>
      <c r="M28">
        <v>16280</v>
      </c>
    </row>
    <row r="29" spans="2:28" x14ac:dyDescent="0.25">
      <c r="C29" s="20"/>
      <c r="D29" s="37"/>
      <c r="E29" s="11"/>
      <c r="F29" s="20"/>
      <c r="G29" s="46"/>
      <c r="H29" s="11"/>
      <c r="I29" s="20"/>
      <c r="J29" s="53"/>
    </row>
    <row r="30" spans="2:28" x14ac:dyDescent="0.25">
      <c r="C30" s="20"/>
      <c r="E30" s="11"/>
      <c r="F30" s="20"/>
      <c r="G30" s="46"/>
      <c r="H30" s="11"/>
      <c r="I30" s="20"/>
      <c r="J30" s="53"/>
    </row>
    <row r="31" spans="2:28" x14ac:dyDescent="0.25">
      <c r="C31" s="20"/>
      <c r="D31" s="37"/>
      <c r="E31" s="11"/>
      <c r="F31" s="20"/>
      <c r="G31" s="46"/>
      <c r="H31" s="11"/>
      <c r="I31" s="20"/>
      <c r="J31" s="53"/>
    </row>
    <row r="32" spans="2:28" x14ac:dyDescent="0.25">
      <c r="C32" s="20"/>
      <c r="D32" s="54"/>
      <c r="E32" s="59"/>
      <c r="F32" s="56"/>
      <c r="G32" s="46"/>
      <c r="H32" s="11"/>
      <c r="I32" s="20"/>
      <c r="J32" s="53"/>
    </row>
    <row r="33" spans="3:10" x14ac:dyDescent="0.25">
      <c r="C33" s="20"/>
      <c r="D33" s="37"/>
      <c r="E33" s="11"/>
      <c r="F33" s="20"/>
      <c r="G33" s="46"/>
      <c r="H33" s="11"/>
      <c r="I33" s="20"/>
      <c r="J33" s="53"/>
    </row>
    <row r="34" spans="3:10" x14ac:dyDescent="0.25">
      <c r="C34" s="20"/>
      <c r="D34" s="50"/>
      <c r="E34" s="11"/>
      <c r="F34" s="20"/>
      <c r="G34" s="46"/>
      <c r="H34" s="11"/>
      <c r="I34" s="20"/>
      <c r="J34" s="53"/>
    </row>
    <row r="35" spans="3:10" x14ac:dyDescent="0.25">
      <c r="C35" s="20"/>
      <c r="D35" s="37"/>
      <c r="E35" s="11"/>
      <c r="F35" s="20"/>
      <c r="G35" s="46"/>
      <c r="H35" s="11"/>
      <c r="I35" s="20"/>
      <c r="J35" s="53"/>
    </row>
    <row r="36" spans="3:10" x14ac:dyDescent="0.25">
      <c r="C36" s="20"/>
      <c r="D36" s="37"/>
      <c r="F36" s="20"/>
      <c r="G36" s="46"/>
      <c r="H36" s="11"/>
      <c r="I36" s="20"/>
      <c r="J36" s="53"/>
    </row>
    <row r="37" spans="3:10" x14ac:dyDescent="0.25">
      <c r="C37" s="20"/>
      <c r="D37" s="37"/>
      <c r="E37" s="11"/>
      <c r="F37" s="20"/>
      <c r="G37" s="46"/>
      <c r="H37" s="11"/>
      <c r="I37" s="20"/>
      <c r="J37" s="53"/>
    </row>
    <row r="38" spans="3:10" x14ac:dyDescent="0.25">
      <c r="C38" s="20"/>
      <c r="D38" s="50"/>
      <c r="E38" s="11"/>
      <c r="F38" s="20"/>
      <c r="G38" s="46"/>
      <c r="H38" s="11"/>
      <c r="I38" s="20"/>
      <c r="J38" s="53"/>
    </row>
    <row r="39" spans="3:10" x14ac:dyDescent="0.25">
      <c r="C39" s="20"/>
      <c r="D39" s="50"/>
      <c r="E39" s="11"/>
      <c r="F39" s="20"/>
      <c r="G39" s="46"/>
      <c r="H39" s="11"/>
      <c r="I39" s="20"/>
      <c r="J39" s="53"/>
    </row>
    <row r="40" spans="3:10" x14ac:dyDescent="0.25">
      <c r="C40" s="20"/>
      <c r="D40" s="37"/>
      <c r="E40" s="11"/>
      <c r="F40" s="20"/>
      <c r="G40" s="46"/>
      <c r="H40" s="11"/>
      <c r="I40" s="20"/>
      <c r="J40" s="53"/>
    </row>
    <row r="41" spans="3:10" x14ac:dyDescent="0.25">
      <c r="C41" s="20"/>
      <c r="D41" s="37"/>
      <c r="E41" s="11"/>
      <c r="F41" s="20"/>
      <c r="G41" s="46"/>
      <c r="H41" s="11"/>
      <c r="I41" s="20"/>
      <c r="J41" s="53"/>
    </row>
    <row r="42" spans="3:10" x14ac:dyDescent="0.25">
      <c r="C42" s="20"/>
      <c r="D42" s="50"/>
      <c r="E42" s="11"/>
      <c r="F42" s="20"/>
      <c r="G42" s="46"/>
      <c r="H42" s="11"/>
      <c r="I42" s="20"/>
      <c r="J42" s="53"/>
    </row>
    <row r="43" spans="3:10" x14ac:dyDescent="0.25">
      <c r="C43" s="20"/>
      <c r="D43" s="37"/>
      <c r="E43" s="11"/>
      <c r="F43" s="20"/>
      <c r="G43" s="46"/>
      <c r="H43" s="11"/>
      <c r="I43" s="20"/>
      <c r="J43" s="53"/>
    </row>
    <row r="44" spans="3:10" x14ac:dyDescent="0.25">
      <c r="C44" s="20"/>
      <c r="D44" s="37"/>
      <c r="E44" s="11"/>
      <c r="F44" s="20"/>
      <c r="G44" s="46"/>
      <c r="H44" s="11"/>
      <c r="I44" s="20"/>
      <c r="J44" s="53"/>
    </row>
    <row r="45" spans="3:10" x14ac:dyDescent="0.25">
      <c r="C45" s="20"/>
      <c r="D45" s="37"/>
      <c r="E45" s="11"/>
      <c r="F45" s="20"/>
      <c r="G45" s="46"/>
      <c r="H45" s="11"/>
      <c r="I45" s="20"/>
      <c r="J45" s="53"/>
    </row>
    <row r="46" spans="3:10" x14ac:dyDescent="0.25">
      <c r="C46" s="20"/>
      <c r="D46" s="37"/>
      <c r="E46" s="11"/>
      <c r="F46" s="20"/>
      <c r="G46" s="46"/>
      <c r="H46" s="11"/>
      <c r="I46" s="20"/>
      <c r="J46" s="53"/>
    </row>
    <row r="47" spans="3:10" x14ac:dyDescent="0.25">
      <c r="C47" s="20"/>
      <c r="D47" s="37"/>
      <c r="E47" s="11"/>
      <c r="F47" s="20"/>
      <c r="G47" s="46"/>
      <c r="H47" s="11"/>
      <c r="I47" s="20"/>
      <c r="J47" s="53"/>
    </row>
    <row r="48" spans="3:10" x14ac:dyDescent="0.25">
      <c r="C48" s="20"/>
      <c r="D48" s="37"/>
      <c r="E48" s="11"/>
      <c r="F48" s="20"/>
      <c r="G48" s="46"/>
      <c r="H48" s="11"/>
      <c r="I48" s="20"/>
      <c r="J48" s="53"/>
    </row>
    <row r="49" spans="3:10" x14ac:dyDescent="0.25">
      <c r="C49" s="20"/>
      <c r="D49" s="37"/>
      <c r="E49" s="11"/>
      <c r="F49" s="20"/>
      <c r="G49" s="46"/>
      <c r="H49" s="11"/>
      <c r="I49" s="20"/>
      <c r="J49" s="53"/>
    </row>
    <row r="50" spans="3:10" x14ac:dyDescent="0.25">
      <c r="C50" s="20"/>
      <c r="D50" s="37"/>
      <c r="F50" s="20"/>
      <c r="G50" s="46"/>
      <c r="J50" s="45"/>
    </row>
    <row r="51" spans="3:10" x14ac:dyDescent="0.25">
      <c r="C51" s="20"/>
      <c r="D51" s="37"/>
      <c r="F51" s="20"/>
      <c r="G51" s="46"/>
      <c r="J51" s="45"/>
    </row>
    <row r="52" spans="3:10" x14ac:dyDescent="0.25">
      <c r="C52" s="20"/>
      <c r="D52" s="37"/>
      <c r="F52" s="20"/>
      <c r="G52" s="46"/>
      <c r="J52" s="45"/>
    </row>
    <row r="53" spans="3:10" x14ac:dyDescent="0.25">
      <c r="C53" s="20"/>
      <c r="D53" s="37"/>
      <c r="F53" s="20"/>
      <c r="G53" s="46"/>
      <c r="J53" s="45"/>
    </row>
    <row r="54" spans="3:10" x14ac:dyDescent="0.25">
      <c r="C54" s="20"/>
      <c r="D54" s="37"/>
      <c r="F54" s="20"/>
      <c r="G54" s="46"/>
      <c r="J54" s="45"/>
    </row>
    <row r="55" spans="3:10" x14ac:dyDescent="0.25">
      <c r="C55" s="20"/>
      <c r="D55" s="37"/>
      <c r="F55" s="20"/>
      <c r="G55" s="46"/>
      <c r="J55" s="45"/>
    </row>
    <row r="56" spans="3:10" x14ac:dyDescent="0.25">
      <c r="C56" s="20"/>
      <c r="D56" s="37"/>
      <c r="F56" s="20"/>
      <c r="G56" s="46"/>
      <c r="J56" s="45"/>
    </row>
    <row r="57" spans="3:10" x14ac:dyDescent="0.25">
      <c r="C57" s="20"/>
      <c r="D57" s="37"/>
      <c r="F57" s="20"/>
      <c r="G57" s="46"/>
      <c r="J57" s="45"/>
    </row>
    <row r="58" spans="3:10" x14ac:dyDescent="0.25">
      <c r="C58" s="20"/>
      <c r="D58" s="37"/>
      <c r="F58" s="20"/>
      <c r="G58" s="46"/>
      <c r="J58" s="45"/>
    </row>
    <row r="59" spans="3:10" x14ac:dyDescent="0.25">
      <c r="C59" s="20"/>
      <c r="D59" s="37"/>
      <c r="F59" s="20"/>
      <c r="G59" s="46"/>
      <c r="J59" s="45"/>
    </row>
    <row r="60" spans="3:10" x14ac:dyDescent="0.25">
      <c r="C60" s="20"/>
      <c r="D60" s="37"/>
      <c r="F60" s="20"/>
      <c r="G60" s="46"/>
      <c r="J60" s="45"/>
    </row>
    <row r="61" spans="3:10" x14ac:dyDescent="0.25">
      <c r="C61" s="20"/>
      <c r="D61" s="37"/>
      <c r="F61" s="20"/>
      <c r="G61" s="46"/>
      <c r="J61" s="45"/>
    </row>
    <row r="62" spans="3:10" x14ac:dyDescent="0.25">
      <c r="C62" s="20"/>
      <c r="D62" s="37"/>
      <c r="F62" s="20"/>
      <c r="G62" s="46"/>
      <c r="J62" s="45"/>
    </row>
    <row r="63" spans="3:10" x14ac:dyDescent="0.25">
      <c r="C63" s="20"/>
      <c r="D63" s="37"/>
      <c r="F63" s="20"/>
      <c r="G63" s="46"/>
      <c r="J63" s="45"/>
    </row>
    <row r="64" spans="3:10" x14ac:dyDescent="0.25">
      <c r="C64" s="20"/>
      <c r="D64" s="37"/>
      <c r="F64" s="20"/>
      <c r="G64" s="46"/>
      <c r="J64" s="45"/>
    </row>
    <row r="65" spans="3:29" x14ac:dyDescent="0.25">
      <c r="C65" s="20"/>
      <c r="D65" s="37"/>
      <c r="F65" s="20"/>
      <c r="G65" s="46"/>
      <c r="J65" s="45"/>
    </row>
    <row r="66" spans="3:29" x14ac:dyDescent="0.25">
      <c r="C66" s="20"/>
      <c r="D66" s="37"/>
      <c r="F66" s="20"/>
      <c r="G66" s="46"/>
      <c r="J66" s="45"/>
    </row>
    <row r="67" spans="3:29" x14ac:dyDescent="0.25">
      <c r="C67" s="20"/>
      <c r="D67" s="37"/>
      <c r="F67" s="20"/>
      <c r="G67" s="46"/>
      <c r="J67" s="45"/>
      <c r="AA67" s="6"/>
      <c r="AC67" s="8"/>
    </row>
    <row r="68" spans="3:29" x14ac:dyDescent="0.25">
      <c r="C68" s="20"/>
      <c r="D68" s="37"/>
      <c r="F68" s="20"/>
      <c r="G68" s="46"/>
      <c r="J68" s="37"/>
    </row>
    <row r="69" spans="3:29" x14ac:dyDescent="0.25">
      <c r="C69" s="20"/>
      <c r="D69" s="37"/>
      <c r="F69" s="20"/>
      <c r="G69" s="46"/>
      <c r="J69" s="37"/>
    </row>
    <row r="70" spans="3:29" x14ac:dyDescent="0.25">
      <c r="C70" s="20"/>
      <c r="D70" s="37"/>
      <c r="F70" s="20"/>
      <c r="G70" s="46"/>
      <c r="J70" s="37"/>
    </row>
    <row r="71" spans="3:29" x14ac:dyDescent="0.25">
      <c r="C71" s="20"/>
      <c r="D71" s="37"/>
      <c r="F71" s="20"/>
      <c r="G71" s="46"/>
      <c r="J71" s="37"/>
    </row>
    <row r="72" spans="3:29" x14ac:dyDescent="0.25">
      <c r="C72" s="20"/>
      <c r="D72" s="37"/>
      <c r="F72" s="20"/>
      <c r="G72" s="46"/>
      <c r="J72" s="37"/>
    </row>
    <row r="73" spans="3:29" x14ac:dyDescent="0.25">
      <c r="C73" s="20"/>
      <c r="D73" s="37"/>
      <c r="F73" s="20"/>
      <c r="G73" s="46"/>
      <c r="J73" s="37"/>
    </row>
    <row r="74" spans="3:29" x14ac:dyDescent="0.25">
      <c r="C74" s="20"/>
      <c r="D74" s="37"/>
      <c r="F74" s="20"/>
      <c r="G74" s="46"/>
      <c r="J74" s="37"/>
    </row>
    <row r="75" spans="3:29" x14ac:dyDescent="0.25">
      <c r="C75" s="20"/>
      <c r="D75" s="37"/>
      <c r="F75" s="20"/>
      <c r="G75" s="46"/>
      <c r="J75" s="37"/>
    </row>
    <row r="76" spans="3:29" x14ac:dyDescent="0.25">
      <c r="C76" s="20"/>
      <c r="D76" s="37"/>
      <c r="F76" s="20"/>
      <c r="G76" s="46"/>
      <c r="J76" s="37"/>
    </row>
    <row r="77" spans="3:29" x14ac:dyDescent="0.25">
      <c r="D77" s="37"/>
      <c r="F77" s="20"/>
      <c r="G77" s="46"/>
      <c r="J77" s="37"/>
    </row>
    <row r="78" spans="3:29" x14ac:dyDescent="0.25">
      <c r="D78" s="37"/>
      <c r="F78" s="20"/>
      <c r="G78" s="46"/>
      <c r="J78" s="37"/>
    </row>
    <row r="79" spans="3:29" x14ac:dyDescent="0.25">
      <c r="D79" s="37"/>
      <c r="F79" s="20"/>
      <c r="G79" s="46"/>
      <c r="J79" s="37"/>
    </row>
    <row r="80" spans="3:29" x14ac:dyDescent="0.25">
      <c r="D80" s="37"/>
      <c r="F80" s="20"/>
      <c r="G80" s="46"/>
      <c r="J80" s="37"/>
    </row>
    <row r="81" spans="4:10" x14ac:dyDescent="0.25">
      <c r="D81" s="37"/>
      <c r="F81" s="20"/>
      <c r="G81" s="46"/>
      <c r="J81" s="37"/>
    </row>
    <row r="82" spans="4:10" x14ac:dyDescent="0.25">
      <c r="D82" s="37"/>
      <c r="F82" s="20"/>
      <c r="G82" s="46"/>
      <c r="J82" s="37"/>
    </row>
    <row r="83" spans="4:10" x14ac:dyDescent="0.25">
      <c r="D83" s="43"/>
      <c r="E83" s="51" t="s">
        <v>35</v>
      </c>
      <c r="F83" s="44"/>
      <c r="G83" s="57"/>
      <c r="H83" s="51" t="s">
        <v>35</v>
      </c>
      <c r="I83" s="51"/>
      <c r="J8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5FA9-E20E-4ED1-B672-7049E340B5B8}">
  <dimension ref="A1:X133"/>
  <sheetViews>
    <sheetView workbookViewId="0">
      <pane ySplit="15" topLeftCell="A16" activePane="bottomLeft" state="frozen"/>
      <selection activeCell="AB4" sqref="AB4"/>
      <selection pane="bottomLeft" activeCell="AB4" sqref="AB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.1406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401500</v>
      </c>
      <c r="K2">
        <f>J2-J3</f>
        <v>880</v>
      </c>
      <c r="L2" s="1">
        <f>K2/J2</f>
        <v>2.1917808219178081E-3</v>
      </c>
    </row>
    <row r="3" spans="1:24" x14ac:dyDescent="0.25">
      <c r="B3" t="s">
        <v>2</v>
      </c>
      <c r="D3" s="3" t="s">
        <v>123</v>
      </c>
      <c r="E3" s="4"/>
      <c r="F3" t="s">
        <v>124</v>
      </c>
      <c r="H3" s="2" t="s">
        <v>5</v>
      </c>
      <c r="I3" s="2"/>
      <c r="J3">
        <f>K11-L10+M11-N10+O11-P10+Q11-R10+S11-T10+U11-V10+W11-X10</f>
        <v>400620</v>
      </c>
      <c r="K3" s="5" t="s">
        <v>6</v>
      </c>
      <c r="L3" s="5" t="s">
        <v>7</v>
      </c>
      <c r="M3" s="5" t="s">
        <v>8</v>
      </c>
      <c r="N3" s="6">
        <f>N4*I4/O1</f>
        <v>174.34743896335044</v>
      </c>
      <c r="O3" s="6">
        <f>K7+M7+O7+Q7+S7+U7+W7</f>
        <v>174.07119519395317</v>
      </c>
      <c r="R3">
        <v>135</v>
      </c>
      <c r="S3">
        <f>N3/R3</f>
        <v>1.2914625108396329</v>
      </c>
      <c r="T3">
        <v>1290</v>
      </c>
      <c r="U3">
        <f>T3*R3</f>
        <v>174150</v>
      </c>
    </row>
    <row r="4" spans="1:24" x14ac:dyDescent="0.25">
      <c r="B4" t="s">
        <v>9</v>
      </c>
      <c r="D4" s="7" t="str">
        <f>[3]Summary!C2</f>
        <v>CPS</v>
      </c>
      <c r="E4" s="4"/>
      <c r="F4" s="8">
        <f>[3]Summary!C3</f>
        <v>2019</v>
      </c>
      <c r="I4" s="8">
        <f>[3]Summary!D2</f>
        <v>60</v>
      </c>
      <c r="J4" s="8">
        <f>J3/I4</f>
        <v>6677</v>
      </c>
      <c r="K4" s="9">
        <v>0.98</v>
      </c>
      <c r="L4" s="9">
        <f>IF(J5=0,L1,(L8+N8+P8+R8+T8+V8+X8)/J5/K4)</f>
        <v>0.10973640856672157</v>
      </c>
      <c r="M4" s="9">
        <f>IF(J5=0,0,(L9+N9+P9+R9+T9+V9+X9)/J5/K4)</f>
        <v>2.0980979481803202E-2</v>
      </c>
      <c r="N4" s="8">
        <f>IF(L4&gt;L1,J4*(1-L4)/(1-L1)*(1-M4)*K4,J4*K4*(1-M4))</f>
        <v>6406.1718000000001</v>
      </c>
      <c r="V4" s="6"/>
    </row>
    <row r="5" spans="1:24" x14ac:dyDescent="0.25">
      <c r="B5" t="s">
        <v>10</v>
      </c>
      <c r="D5" s="7">
        <v>43963</v>
      </c>
      <c r="E5" s="4"/>
      <c r="F5" s="52">
        <v>43964</v>
      </c>
      <c r="J5" s="6">
        <f>J3/O1</f>
        <v>181.71817526940049</v>
      </c>
      <c r="N5" s="8">
        <v>134.29</v>
      </c>
      <c r="O5" s="10">
        <f>N4/N5</f>
        <v>47.704012212376206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46.961440797528056</v>
      </c>
      <c r="M7" s="6">
        <f>IF(M8&gt;$L1,(N11-N10/$O1)*$K4*(1-M8)/(1-$L1)*(1-M9),(N11-N10/$O1)*$K4*(1-M9))</f>
        <v>127.10975439642512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0.15</v>
      </c>
      <c r="L8" s="6">
        <f>(L11-L10/$O1)*$K4*K8</f>
        <v>7.1572249343826178</v>
      </c>
      <c r="M8" s="1">
        <v>9.5000000000000001E-2</v>
      </c>
      <c r="N8" s="6">
        <f>(N11-N10/$O1)*$K4*M8</f>
        <v>12.385052992472191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0.47714832895884124</v>
      </c>
      <c r="M9" s="1">
        <v>2.5000000000000001E-2</v>
      </c>
      <c r="N9" s="6">
        <f>(N11-N10/$O1)*$K4*M9</f>
        <v>3.2592244717032082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133187.44109589042</v>
      </c>
      <c r="E10" s="22"/>
      <c r="F10" s="23"/>
      <c r="G10" s="21">
        <f>J3/J2*G11</f>
        <v>267432.55890410958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133480</v>
      </c>
      <c r="E11" s="26"/>
      <c r="F11" s="27"/>
      <c r="G11" s="25">
        <f>H14+I14</f>
        <v>268020</v>
      </c>
      <c r="H11" s="26"/>
      <c r="I11" s="26"/>
      <c r="J11" s="28"/>
      <c r="K11" s="29">
        <f>K14+L14</f>
        <v>107340</v>
      </c>
      <c r="L11" s="30">
        <f>K11/2204.62262184877</f>
        <v>48.688604995800127</v>
      </c>
      <c r="M11" s="29">
        <f>M14+N14</f>
        <v>293280</v>
      </c>
      <c r="N11" s="30">
        <f>M11/2204.62262184877</f>
        <v>133.02957027360034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21</v>
      </c>
      <c r="L12" s="36"/>
      <c r="M12" s="35" t="s">
        <v>125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133480</v>
      </c>
      <c r="F14" s="40">
        <f>SUM(F15:F133)</f>
        <v>0</v>
      </c>
      <c r="G14" s="37"/>
      <c r="H14" s="39">
        <f>SUM(H15:H133)</f>
        <v>268020</v>
      </c>
      <c r="I14" s="39">
        <f>SUM(I15:I133)</f>
        <v>0</v>
      </c>
      <c r="J14" s="28"/>
      <c r="K14" s="41">
        <f t="shared" ref="K14:X14" si="0">SUM(K15:K133)</f>
        <v>107340</v>
      </c>
      <c r="L14" s="42">
        <f t="shared" si="0"/>
        <v>0</v>
      </c>
      <c r="M14" s="41">
        <f t="shared" si="0"/>
        <v>293280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/>
      <c r="F16" s="20"/>
      <c r="G16" s="37">
        <v>759</v>
      </c>
      <c r="H16">
        <v>10660</v>
      </c>
      <c r="J16" s="37"/>
    </row>
    <row r="17" spans="2:21" x14ac:dyDescent="0.25">
      <c r="C17" s="20"/>
      <c r="D17" s="37"/>
      <c r="F17" s="20"/>
      <c r="G17" s="37">
        <v>760</v>
      </c>
      <c r="H17">
        <v>10300</v>
      </c>
      <c r="J17" s="37"/>
    </row>
    <row r="18" spans="2:21" x14ac:dyDescent="0.25">
      <c r="C18" s="20"/>
      <c r="D18" s="37"/>
      <c r="F18" s="20"/>
      <c r="G18" s="37">
        <v>761</v>
      </c>
      <c r="H18">
        <v>10460</v>
      </c>
      <c r="J18" s="37"/>
      <c r="K18">
        <v>31220</v>
      </c>
    </row>
    <row r="19" spans="2:21" x14ac:dyDescent="0.25">
      <c r="B19">
        <v>2</v>
      </c>
      <c r="C19" s="20"/>
      <c r="D19">
        <v>245</v>
      </c>
      <c r="E19">
        <v>12740</v>
      </c>
      <c r="F19" s="20"/>
      <c r="G19">
        <v>762</v>
      </c>
      <c r="H19">
        <v>9500</v>
      </c>
      <c r="J19" s="37"/>
      <c r="K19">
        <v>21960</v>
      </c>
    </row>
    <row r="20" spans="2:21" x14ac:dyDescent="0.25">
      <c r="B20">
        <v>3</v>
      </c>
      <c r="C20" s="20"/>
      <c r="D20">
        <v>246</v>
      </c>
      <c r="E20">
        <v>12720</v>
      </c>
      <c r="F20" s="20"/>
      <c r="G20">
        <v>763</v>
      </c>
      <c r="H20">
        <v>12740</v>
      </c>
      <c r="J20" s="37"/>
      <c r="K20">
        <v>25580</v>
      </c>
    </row>
    <row r="21" spans="2:21" x14ac:dyDescent="0.25">
      <c r="B21">
        <v>4</v>
      </c>
      <c r="C21" s="20"/>
      <c r="D21">
        <v>247</v>
      </c>
      <c r="E21">
        <v>14400</v>
      </c>
      <c r="F21" s="20"/>
      <c r="G21">
        <v>764</v>
      </c>
      <c r="H21">
        <v>14280</v>
      </c>
      <c r="J21" s="37"/>
      <c r="K21">
        <v>28580</v>
      </c>
    </row>
    <row r="22" spans="2:21" x14ac:dyDescent="0.25">
      <c r="B22">
        <v>5</v>
      </c>
      <c r="C22" s="20"/>
      <c r="D22">
        <v>248</v>
      </c>
      <c r="E22">
        <v>11680</v>
      </c>
      <c r="F22" s="20"/>
      <c r="G22">
        <v>765</v>
      </c>
      <c r="H22">
        <v>11560</v>
      </c>
      <c r="J22" s="37"/>
      <c r="M22">
        <v>23240</v>
      </c>
    </row>
    <row r="23" spans="2:21" x14ac:dyDescent="0.25">
      <c r="B23">
        <v>6</v>
      </c>
      <c r="C23" s="20"/>
      <c r="D23">
        <v>249</v>
      </c>
      <c r="E23">
        <v>13040</v>
      </c>
      <c r="F23" s="20"/>
      <c r="G23">
        <v>766</v>
      </c>
      <c r="H23">
        <v>13580</v>
      </c>
      <c r="J23" s="37"/>
    </row>
    <row r="24" spans="2:21" x14ac:dyDescent="0.25">
      <c r="C24" s="20"/>
      <c r="F24" s="20"/>
      <c r="G24">
        <v>767</v>
      </c>
      <c r="H24">
        <v>14240</v>
      </c>
      <c r="J24" s="37"/>
      <c r="M24">
        <v>41100</v>
      </c>
    </row>
    <row r="25" spans="2:21" x14ac:dyDescent="0.25">
      <c r="B25">
        <v>7</v>
      </c>
      <c r="C25" s="20"/>
      <c r="D25">
        <v>250</v>
      </c>
      <c r="E25">
        <v>18400</v>
      </c>
      <c r="F25" s="20"/>
      <c r="G25">
        <v>768</v>
      </c>
      <c r="H25">
        <v>15420</v>
      </c>
      <c r="J25" s="37"/>
      <c r="M25">
        <v>33400</v>
      </c>
    </row>
    <row r="26" spans="2:21" x14ac:dyDescent="0.25">
      <c r="B26">
        <v>8</v>
      </c>
      <c r="C26" s="20"/>
      <c r="F26" s="20"/>
      <c r="G26">
        <v>769</v>
      </c>
      <c r="H26">
        <v>16020</v>
      </c>
      <c r="J26" s="37"/>
      <c r="M26">
        <v>15720</v>
      </c>
    </row>
    <row r="27" spans="2:21" x14ac:dyDescent="0.25">
      <c r="B27">
        <v>9</v>
      </c>
      <c r="C27" s="20"/>
      <c r="F27" s="20"/>
      <c r="G27">
        <v>770</v>
      </c>
      <c r="H27">
        <v>16760</v>
      </c>
      <c r="I27" s="20"/>
      <c r="J27" s="37"/>
    </row>
    <row r="28" spans="2:21" x14ac:dyDescent="0.25">
      <c r="C28" s="20"/>
      <c r="F28" s="20"/>
      <c r="G28">
        <v>771</v>
      </c>
      <c r="H28">
        <v>16320</v>
      </c>
      <c r="I28" s="20"/>
      <c r="J28" s="37"/>
      <c r="M28">
        <v>32460</v>
      </c>
    </row>
    <row r="29" spans="2:21" x14ac:dyDescent="0.25">
      <c r="B29">
        <v>10</v>
      </c>
      <c r="C29" s="20"/>
      <c r="G29">
        <v>772</v>
      </c>
      <c r="H29">
        <v>17360</v>
      </c>
      <c r="J29" s="37"/>
    </row>
    <row r="30" spans="2:21" x14ac:dyDescent="0.25">
      <c r="C30" s="20"/>
      <c r="D30" s="49"/>
      <c r="F30" s="20"/>
      <c r="G30">
        <v>773</v>
      </c>
      <c r="H30">
        <v>16600</v>
      </c>
      <c r="J30" s="37"/>
      <c r="M30">
        <v>33700</v>
      </c>
    </row>
    <row r="31" spans="2:21" x14ac:dyDescent="0.25">
      <c r="B31">
        <v>11</v>
      </c>
      <c r="C31" s="20"/>
      <c r="D31">
        <v>251</v>
      </c>
      <c r="E31">
        <v>17320</v>
      </c>
      <c r="F31" s="20"/>
      <c r="G31">
        <v>774</v>
      </c>
      <c r="H31">
        <v>18560</v>
      </c>
      <c r="J31" s="37"/>
      <c r="M31">
        <v>36300</v>
      </c>
    </row>
    <row r="32" spans="2:21" x14ac:dyDescent="0.25">
      <c r="B32">
        <v>12</v>
      </c>
      <c r="C32" s="20"/>
      <c r="D32">
        <v>252</v>
      </c>
      <c r="E32">
        <v>17540</v>
      </c>
      <c r="F32" s="20"/>
      <c r="G32">
        <v>775</v>
      </c>
      <c r="H32">
        <v>14540</v>
      </c>
      <c r="J32" s="37"/>
      <c r="M32">
        <v>32920</v>
      </c>
      <c r="U32" t="s">
        <v>47</v>
      </c>
    </row>
    <row r="33" spans="2:13" x14ac:dyDescent="0.25">
      <c r="B33">
        <v>13</v>
      </c>
      <c r="C33" s="20"/>
      <c r="D33">
        <v>253</v>
      </c>
      <c r="E33">
        <v>15640</v>
      </c>
      <c r="F33" s="20"/>
      <c r="G33">
        <v>776</v>
      </c>
      <c r="H33">
        <v>14540</v>
      </c>
      <c r="J33" s="37"/>
      <c r="M33">
        <v>30720</v>
      </c>
    </row>
    <row r="34" spans="2:13" x14ac:dyDescent="0.25">
      <c r="B34">
        <v>14</v>
      </c>
      <c r="C34" s="20"/>
      <c r="F34" s="20"/>
      <c r="G34">
        <v>777</v>
      </c>
      <c r="H34">
        <v>14580</v>
      </c>
      <c r="J34" s="37"/>
      <c r="M34">
        <v>13720</v>
      </c>
    </row>
    <row r="35" spans="2:13" x14ac:dyDescent="0.25">
      <c r="C35" s="20"/>
      <c r="F35" s="20"/>
      <c r="J35" s="37"/>
    </row>
    <row r="36" spans="2:13" x14ac:dyDescent="0.25">
      <c r="C36" s="20"/>
      <c r="F36" s="20"/>
      <c r="J36" s="37"/>
    </row>
    <row r="37" spans="2:13" x14ac:dyDescent="0.25">
      <c r="C37" s="20"/>
      <c r="F37" s="20"/>
      <c r="J37" s="37"/>
    </row>
    <row r="38" spans="2:13" x14ac:dyDescent="0.25">
      <c r="C38" s="20"/>
      <c r="F38" s="20"/>
      <c r="J38" s="37"/>
    </row>
    <row r="39" spans="2:13" x14ac:dyDescent="0.25">
      <c r="C39" s="20"/>
      <c r="F39" s="20"/>
      <c r="J39" s="37"/>
    </row>
    <row r="40" spans="2:13" x14ac:dyDescent="0.25">
      <c r="C40" s="20"/>
      <c r="F40" s="20"/>
      <c r="J40" s="37"/>
    </row>
    <row r="41" spans="2:13" x14ac:dyDescent="0.25">
      <c r="C41" s="20"/>
      <c r="F41" s="20"/>
      <c r="J41" s="37"/>
    </row>
    <row r="42" spans="2:13" x14ac:dyDescent="0.25">
      <c r="C42" s="20"/>
      <c r="F42" s="20"/>
      <c r="J42" s="37"/>
    </row>
    <row r="43" spans="2:13" x14ac:dyDescent="0.25">
      <c r="C43" s="20"/>
      <c r="F43" s="20"/>
      <c r="J43" s="37"/>
    </row>
    <row r="44" spans="2:13" x14ac:dyDescent="0.25">
      <c r="C44" s="20"/>
      <c r="F44" s="20"/>
      <c r="J44" s="37"/>
    </row>
    <row r="45" spans="2:13" x14ac:dyDescent="0.25">
      <c r="C45" s="20"/>
      <c r="F45" s="20"/>
      <c r="J45" s="37"/>
    </row>
    <row r="46" spans="2:13" x14ac:dyDescent="0.25">
      <c r="C46" s="20"/>
      <c r="F46" s="20"/>
      <c r="J46" s="37"/>
    </row>
    <row r="47" spans="2:13" x14ac:dyDescent="0.25">
      <c r="C47" s="20"/>
      <c r="F47" s="20"/>
      <c r="J47" s="37"/>
    </row>
    <row r="48" spans="2:13" x14ac:dyDescent="0.25">
      <c r="C48" s="20"/>
      <c r="F48" s="20"/>
      <c r="J48" s="37"/>
    </row>
    <row r="49" spans="1:20" x14ac:dyDescent="0.25">
      <c r="C49" s="20"/>
      <c r="F49" s="20"/>
      <c r="J49" s="37"/>
    </row>
    <row r="50" spans="1:20" x14ac:dyDescent="0.25">
      <c r="C50" s="20"/>
      <c r="F50" s="20"/>
      <c r="J50" s="37"/>
    </row>
    <row r="51" spans="1:20" x14ac:dyDescent="0.25">
      <c r="C51" s="20"/>
      <c r="F51" s="20"/>
      <c r="J51" s="37"/>
    </row>
    <row r="52" spans="1:20" x14ac:dyDescent="0.25">
      <c r="C52" s="20"/>
      <c r="F52" s="20"/>
      <c r="J52" s="37"/>
    </row>
    <row r="53" spans="1:20" x14ac:dyDescent="0.25">
      <c r="C53" s="20"/>
      <c r="F53" s="20"/>
      <c r="J53" s="37"/>
    </row>
    <row r="54" spans="1:20" x14ac:dyDescent="0.25">
      <c r="C54" s="20"/>
      <c r="F54" s="20"/>
      <c r="J54" s="37"/>
    </row>
    <row r="55" spans="1:20" x14ac:dyDescent="0.25">
      <c r="C55" s="20"/>
      <c r="F55" s="20"/>
      <c r="J55" s="37"/>
      <c r="L55" s="11"/>
      <c r="M55" s="11"/>
    </row>
    <row r="56" spans="1:20" x14ac:dyDescent="0.25">
      <c r="C56" s="20"/>
      <c r="F56" s="20"/>
      <c r="J56" s="37"/>
    </row>
    <row r="57" spans="1:20" x14ac:dyDescent="0.25">
      <c r="C57" s="20"/>
      <c r="F57" s="20"/>
      <c r="J57" s="37"/>
    </row>
    <row r="58" spans="1:20" s="11" customFormat="1" x14ac:dyDescent="0.25">
      <c r="A58"/>
      <c r="C58" s="47"/>
      <c r="D58"/>
      <c r="E58"/>
      <c r="F58" s="20"/>
      <c r="G58"/>
      <c r="H58"/>
      <c r="I58"/>
      <c r="J58" s="37"/>
      <c r="K58"/>
      <c r="S58"/>
      <c r="T58"/>
    </row>
    <row r="59" spans="1:20" s="11" customFormat="1" x14ac:dyDescent="0.25">
      <c r="A59"/>
      <c r="C59" s="47"/>
      <c r="D59"/>
      <c r="E59"/>
      <c r="F59" s="20"/>
      <c r="G59"/>
      <c r="H59"/>
      <c r="I59"/>
      <c r="J59" s="37"/>
      <c r="K59"/>
      <c r="S59"/>
      <c r="T59"/>
    </row>
    <row r="60" spans="1:20" s="11" customFormat="1" x14ac:dyDescent="0.25">
      <c r="A60"/>
      <c r="C60" s="47"/>
      <c r="D60"/>
      <c r="E60"/>
      <c r="F60" s="20"/>
      <c r="G60"/>
      <c r="H60"/>
      <c r="I60"/>
      <c r="J60" s="37"/>
      <c r="K60"/>
      <c r="S60"/>
      <c r="T60"/>
    </row>
    <row r="61" spans="1:20" s="11" customFormat="1" x14ac:dyDescent="0.25">
      <c r="A61"/>
      <c r="C61" s="47"/>
      <c r="D61"/>
      <c r="E61"/>
      <c r="F61" s="20"/>
      <c r="G61"/>
      <c r="H61"/>
      <c r="J61" s="58"/>
      <c r="K61"/>
      <c r="S61"/>
      <c r="T61"/>
    </row>
    <row r="62" spans="1:20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  <c r="S62"/>
      <c r="T62"/>
    </row>
    <row r="63" spans="1:20" x14ac:dyDescent="0.25">
      <c r="C63" s="20"/>
      <c r="D63" s="37"/>
      <c r="F63" s="20"/>
      <c r="J63" s="37"/>
      <c r="O63" s="11"/>
    </row>
    <row r="64" spans="1:20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09F-B2B2-497A-AD32-CEE51801BF19}">
  <dimension ref="A1:X114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.1406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49520</v>
      </c>
      <c r="K2">
        <f>J2-J3</f>
        <v>480</v>
      </c>
      <c r="L2" s="1">
        <f>K2/J2</f>
        <v>9.6930533117932146E-3</v>
      </c>
    </row>
    <row r="3" spans="1:24" x14ac:dyDescent="0.25">
      <c r="B3" t="s">
        <v>2</v>
      </c>
      <c r="D3" s="3" t="s">
        <v>123</v>
      </c>
      <c r="E3" s="4"/>
      <c r="F3" t="s">
        <v>124</v>
      </c>
      <c r="H3" s="2" t="s">
        <v>5</v>
      </c>
      <c r="I3" s="2"/>
      <c r="J3">
        <f>K11-L10+M11-N10+O11-P10+Q11-R10+S11-T10+U11-V10+W11-X10</f>
        <v>49040</v>
      </c>
      <c r="K3" s="5" t="s">
        <v>6</v>
      </c>
      <c r="L3" s="5" t="s">
        <v>7</v>
      </c>
      <c r="M3" s="5" t="s">
        <v>8</v>
      </c>
      <c r="N3" s="6">
        <f>N4*I4/O1</f>
        <v>21.363300699737977</v>
      </c>
      <c r="O3" s="6">
        <f>K7+M7+O7+Q7+S7+U7+W7</f>
        <v>21.363300699737973</v>
      </c>
      <c r="R3">
        <v>23</v>
      </c>
      <c r="S3">
        <f>N3/R3</f>
        <v>0.92883916085817286</v>
      </c>
      <c r="T3">
        <v>930</v>
      </c>
      <c r="U3">
        <f>T3*R3</f>
        <v>21390</v>
      </c>
    </row>
    <row r="4" spans="1:24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I4" s="8">
        <f>[4]Summary!D2</f>
        <v>60</v>
      </c>
      <c r="J4" s="8">
        <f>J3/I4</f>
        <v>817.33333333333337</v>
      </c>
      <c r="K4" s="9">
        <v>0.98</v>
      </c>
      <c r="L4" s="9">
        <f>IF(J5=0,L1,(L8+N8+P8+R8+T8+V8+X8)/J5/K4)</f>
        <v>0.13999999999999999</v>
      </c>
      <c r="M4" s="9">
        <f>IF(J5=0,0,(L9+N9+P9+R9+T9+V9+X9)/J5/K4)</f>
        <v>0.02</v>
      </c>
      <c r="N4" s="8">
        <f>IF(L4&gt;L1,J4*(1-L4)/(1-L1)*(1-M4)*K4,J4*K4*(1-M4))</f>
        <v>784.96693333333337</v>
      </c>
      <c r="V4" s="6"/>
    </row>
    <row r="5" spans="1:24" x14ac:dyDescent="0.25">
      <c r="B5" t="s">
        <v>10</v>
      </c>
      <c r="D5" s="7">
        <v>43964</v>
      </c>
      <c r="E5" s="4"/>
      <c r="F5" s="52">
        <v>43964</v>
      </c>
      <c r="J5" s="6">
        <f>J3/O1</f>
        <v>22.244169824800057</v>
      </c>
      <c r="N5" s="8">
        <v>22</v>
      </c>
      <c r="O5" s="10">
        <f>N4/N5</f>
        <v>35.680315151515153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0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21.363300699737973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0.14000000000000001</v>
      </c>
      <c r="L8" s="6">
        <f>(L11-L10/$O1)*$K4*K8</f>
        <v>0</v>
      </c>
      <c r="M8" s="1">
        <v>0.14000000000000001</v>
      </c>
      <c r="N8" s="6">
        <f>(N11-N10/$O1)*$K4*M8</f>
        <v>0</v>
      </c>
      <c r="O8" s="1">
        <v>0.14000000000000001</v>
      </c>
      <c r="P8" s="6">
        <f>(P11-P10/$O1)*$K4*O8</f>
        <v>3.0519000999625678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0.02</v>
      </c>
      <c r="L9" s="6">
        <f>(L11-L10/$O1)*$K4*K9</f>
        <v>0</v>
      </c>
      <c r="M9" s="1">
        <v>0.02</v>
      </c>
      <c r="N9" s="6">
        <f>(N11-N10/$O1)*$K4*M9</f>
        <v>0</v>
      </c>
      <c r="O9" s="1">
        <v>0.02</v>
      </c>
      <c r="P9" s="6">
        <f>(P11-P10/$O1)*$K4*O9</f>
        <v>0.43598572856608109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28699.095315024231</v>
      </c>
      <c r="E10" s="22"/>
      <c r="F10" s="23"/>
      <c r="G10" s="21">
        <f>J3/J2*G11</f>
        <v>20340.904684975765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28980</v>
      </c>
      <c r="E11" s="26"/>
      <c r="F11" s="27"/>
      <c r="G11" s="25">
        <f>H14+I14</f>
        <v>20540</v>
      </c>
      <c r="H11" s="26"/>
      <c r="I11" s="26"/>
      <c r="J11" s="28"/>
      <c r="K11" s="29">
        <f>K14+L14</f>
        <v>0</v>
      </c>
      <c r="L11" s="30">
        <f>K11/2204.62262184877</f>
        <v>0</v>
      </c>
      <c r="M11" s="29">
        <f>M14+N14</f>
        <v>0</v>
      </c>
      <c r="N11" s="30">
        <f>M11/2204.62262184877</f>
        <v>0</v>
      </c>
      <c r="O11" s="29">
        <f>O14+P14</f>
        <v>49040</v>
      </c>
      <c r="P11" s="30">
        <f>O11/2204.62262184877</f>
        <v>22.244169824800057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21</v>
      </c>
      <c r="L12" s="36"/>
      <c r="M12" s="35" t="s">
        <v>125</v>
      </c>
      <c r="N12" s="36"/>
      <c r="O12" s="35" t="s">
        <v>154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SUM(E15:E114)</f>
        <v>28980</v>
      </c>
      <c r="F14" s="40">
        <f>SUM(F15:F114)</f>
        <v>0</v>
      </c>
      <c r="G14" s="37"/>
      <c r="H14" s="39">
        <f>SUM(H15:H114)</f>
        <v>20540</v>
      </c>
      <c r="I14" s="39">
        <f>SUM(I15:I114)</f>
        <v>0</v>
      </c>
      <c r="J14" s="28"/>
      <c r="K14" s="41">
        <f t="shared" ref="K14:X14" si="0">SUM(K15:K114)</f>
        <v>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49040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 t="s">
        <v>155</v>
      </c>
      <c r="C16" s="20"/>
      <c r="D16">
        <v>254</v>
      </c>
      <c r="E16">
        <v>15000</v>
      </c>
      <c r="F16" s="20"/>
      <c r="G16">
        <v>778</v>
      </c>
      <c r="H16">
        <v>13940</v>
      </c>
      <c r="J16" s="37"/>
    </row>
    <row r="17" spans="2:15" x14ac:dyDescent="0.25">
      <c r="C17" s="20"/>
      <c r="D17">
        <v>255</v>
      </c>
      <c r="E17">
        <v>8680</v>
      </c>
      <c r="F17" s="20"/>
      <c r="J17" s="37"/>
      <c r="O17">
        <v>37380</v>
      </c>
    </row>
    <row r="18" spans="2:15" x14ac:dyDescent="0.25">
      <c r="B18">
        <v>16</v>
      </c>
      <c r="C18" s="20"/>
      <c r="D18">
        <v>256</v>
      </c>
      <c r="E18">
        <v>5300</v>
      </c>
      <c r="F18" s="20"/>
      <c r="G18">
        <v>779</v>
      </c>
      <c r="H18">
        <v>6600</v>
      </c>
      <c r="J18" s="37"/>
      <c r="O18">
        <v>11660</v>
      </c>
    </row>
    <row r="19" spans="2:15" x14ac:dyDescent="0.25">
      <c r="C19" s="20"/>
      <c r="F19" s="20"/>
      <c r="J19" s="37"/>
    </row>
    <row r="20" spans="2:15" x14ac:dyDescent="0.25">
      <c r="C20" s="20"/>
      <c r="F20" s="20"/>
      <c r="J20" s="37"/>
    </row>
    <row r="21" spans="2:15" x14ac:dyDescent="0.25">
      <c r="C21" s="20"/>
      <c r="F21" s="20"/>
      <c r="J21" s="37"/>
    </row>
    <row r="22" spans="2:15" x14ac:dyDescent="0.25">
      <c r="C22" s="20"/>
      <c r="F22" s="20"/>
      <c r="J22" s="37"/>
    </row>
    <row r="23" spans="2:15" x14ac:dyDescent="0.25">
      <c r="C23" s="20"/>
      <c r="F23" s="20"/>
      <c r="J23" s="37"/>
    </row>
    <row r="24" spans="2:15" x14ac:dyDescent="0.25">
      <c r="C24" s="20"/>
      <c r="F24" s="20"/>
      <c r="J24" s="37"/>
    </row>
    <row r="25" spans="2:15" x14ac:dyDescent="0.25">
      <c r="C25" s="20"/>
      <c r="F25" s="20"/>
      <c r="J25" s="37"/>
    </row>
    <row r="26" spans="2:15" x14ac:dyDescent="0.25">
      <c r="C26" s="20"/>
      <c r="F26" s="20"/>
      <c r="J26" s="37"/>
    </row>
    <row r="27" spans="2:15" x14ac:dyDescent="0.25">
      <c r="C27" s="20"/>
      <c r="F27" s="20"/>
      <c r="J27" s="37"/>
    </row>
    <row r="28" spans="2:15" x14ac:dyDescent="0.25">
      <c r="C28" s="20"/>
      <c r="F28" s="20"/>
      <c r="J28" s="37"/>
    </row>
    <row r="29" spans="2:15" x14ac:dyDescent="0.25">
      <c r="C29" s="20"/>
      <c r="F29" s="20"/>
      <c r="J29" s="37"/>
    </row>
    <row r="30" spans="2:15" x14ac:dyDescent="0.25">
      <c r="C30" s="20"/>
      <c r="F30" s="20"/>
      <c r="J30" s="37"/>
    </row>
    <row r="31" spans="2:15" x14ac:dyDescent="0.25">
      <c r="C31" s="20"/>
      <c r="F31" s="20"/>
      <c r="J31" s="37"/>
    </row>
    <row r="32" spans="2:15" x14ac:dyDescent="0.25">
      <c r="C32" s="20"/>
      <c r="F32" s="20"/>
      <c r="J32" s="37"/>
    </row>
    <row r="33" spans="1:20" x14ac:dyDescent="0.25">
      <c r="C33" s="20"/>
      <c r="F33" s="20"/>
      <c r="J33" s="37"/>
    </row>
    <row r="34" spans="1:20" x14ac:dyDescent="0.25">
      <c r="C34" s="20"/>
      <c r="F34" s="20"/>
      <c r="J34" s="37"/>
    </row>
    <row r="35" spans="1:20" x14ac:dyDescent="0.25">
      <c r="C35" s="20"/>
      <c r="F35" s="20"/>
      <c r="J35" s="37"/>
    </row>
    <row r="36" spans="1:20" x14ac:dyDescent="0.25">
      <c r="C36" s="20"/>
      <c r="F36" s="20"/>
      <c r="J36" s="37"/>
      <c r="L36" s="11"/>
      <c r="M36" s="11"/>
    </row>
    <row r="37" spans="1:20" x14ac:dyDescent="0.25">
      <c r="C37" s="20"/>
      <c r="F37" s="20"/>
      <c r="J37" s="37"/>
    </row>
    <row r="38" spans="1:20" x14ac:dyDescent="0.25">
      <c r="C38" s="20"/>
      <c r="F38" s="20"/>
      <c r="J38" s="37"/>
    </row>
    <row r="39" spans="1:20" s="11" customFormat="1" x14ac:dyDescent="0.25">
      <c r="A39"/>
      <c r="C39" s="47"/>
      <c r="D39"/>
      <c r="E39"/>
      <c r="F39" s="20"/>
      <c r="G39"/>
      <c r="H39"/>
      <c r="I39"/>
      <c r="J39" s="37"/>
      <c r="K39"/>
      <c r="S39"/>
      <c r="T39"/>
    </row>
    <row r="40" spans="1:20" s="11" customFormat="1" x14ac:dyDescent="0.25">
      <c r="A40"/>
      <c r="C40" s="47"/>
      <c r="D40"/>
      <c r="E40"/>
      <c r="F40" s="20"/>
      <c r="G40"/>
      <c r="H40"/>
      <c r="I40"/>
      <c r="J40" s="37"/>
      <c r="K40"/>
      <c r="S40"/>
      <c r="T40"/>
    </row>
    <row r="41" spans="1:20" s="11" customFormat="1" x14ac:dyDescent="0.25">
      <c r="A41"/>
      <c r="C41" s="47"/>
      <c r="D41"/>
      <c r="E41"/>
      <c r="F41" s="20"/>
      <c r="G41"/>
      <c r="H41"/>
      <c r="I41"/>
      <c r="J41" s="37"/>
      <c r="K41"/>
      <c r="S41"/>
      <c r="T41"/>
    </row>
    <row r="42" spans="1:20" s="11" customFormat="1" x14ac:dyDescent="0.25">
      <c r="A42"/>
      <c r="C42" s="47"/>
      <c r="D42"/>
      <c r="E42"/>
      <c r="F42" s="20"/>
      <c r="G42"/>
      <c r="H42"/>
      <c r="J42" s="58"/>
      <c r="K42"/>
      <c r="S42"/>
      <c r="T42"/>
    </row>
    <row r="43" spans="1:20" s="11" customFormat="1" x14ac:dyDescent="0.25">
      <c r="A43"/>
      <c r="C43" s="47"/>
      <c r="D43" s="37"/>
      <c r="E43" s="8"/>
      <c r="F43" s="20"/>
      <c r="G43"/>
      <c r="H43" s="8"/>
      <c r="J43" s="58"/>
      <c r="K43"/>
      <c r="M43" s="48"/>
      <c r="S43"/>
      <c r="T43"/>
    </row>
    <row r="44" spans="1:20" x14ac:dyDescent="0.25">
      <c r="C44" s="20"/>
      <c r="D44" s="37"/>
      <c r="F44" s="20"/>
      <c r="J44" s="37"/>
      <c r="O44" s="11"/>
    </row>
    <row r="45" spans="1:20" x14ac:dyDescent="0.25">
      <c r="C45" s="20"/>
      <c r="D45" s="37"/>
      <c r="E45" s="8"/>
      <c r="F45" s="20"/>
      <c r="H45" s="8"/>
      <c r="J45" s="37"/>
      <c r="M45" s="48"/>
    </row>
    <row r="46" spans="1:20" x14ac:dyDescent="0.25">
      <c r="C46" s="20"/>
      <c r="D46" s="37"/>
      <c r="F46" s="20"/>
      <c r="J46" s="37"/>
    </row>
    <row r="47" spans="1:20" x14ac:dyDescent="0.25">
      <c r="C47" s="20"/>
      <c r="D47" s="37"/>
      <c r="F47" s="20"/>
      <c r="J47" s="37"/>
    </row>
    <row r="48" spans="1:20" x14ac:dyDescent="0.25">
      <c r="C48" s="20"/>
      <c r="D48" s="37"/>
      <c r="F48" s="20"/>
      <c r="J48" s="37"/>
    </row>
    <row r="49" spans="3:10" x14ac:dyDescent="0.25">
      <c r="C49" s="20"/>
      <c r="D49" s="37"/>
      <c r="F49" s="20"/>
      <c r="J49" s="37"/>
    </row>
    <row r="50" spans="3:10" x14ac:dyDescent="0.25">
      <c r="C50" s="20"/>
      <c r="D50" s="37"/>
      <c r="F50" s="20"/>
      <c r="J50" s="37"/>
    </row>
    <row r="51" spans="3:10" x14ac:dyDescent="0.25">
      <c r="C51" s="20"/>
      <c r="D51" s="37"/>
      <c r="F51" s="20"/>
      <c r="J51" s="37"/>
    </row>
    <row r="52" spans="3:10" x14ac:dyDescent="0.25">
      <c r="C52" s="20"/>
      <c r="D52" s="37"/>
      <c r="F52" s="20"/>
      <c r="J52" s="37"/>
    </row>
    <row r="53" spans="3:10" x14ac:dyDescent="0.25">
      <c r="C53" s="20"/>
      <c r="D53" s="37"/>
      <c r="F53" s="20"/>
      <c r="J53" s="37"/>
    </row>
    <row r="54" spans="3:10" x14ac:dyDescent="0.25">
      <c r="C54" s="20"/>
      <c r="D54" s="37"/>
      <c r="F54" s="20"/>
      <c r="J54" s="37"/>
    </row>
    <row r="55" spans="3:10" x14ac:dyDescent="0.25">
      <c r="C55" s="20"/>
      <c r="D55" s="37"/>
      <c r="F55" s="20"/>
      <c r="J55" s="37"/>
    </row>
    <row r="56" spans="3:10" x14ac:dyDescent="0.25">
      <c r="C56" s="20"/>
      <c r="D56" s="37"/>
      <c r="F56" s="20"/>
      <c r="J56" s="37"/>
    </row>
    <row r="57" spans="3:10" x14ac:dyDescent="0.25">
      <c r="C57" s="20"/>
      <c r="D57" s="37"/>
      <c r="F57" s="20"/>
      <c r="J57" s="37"/>
    </row>
    <row r="58" spans="3:10" x14ac:dyDescent="0.25">
      <c r="C58" s="20"/>
      <c r="D58" s="37"/>
      <c r="F58" s="20"/>
      <c r="J58" s="37"/>
    </row>
    <row r="59" spans="3:10" x14ac:dyDescent="0.25">
      <c r="C59" s="20"/>
      <c r="D59" s="37"/>
      <c r="F59" s="20"/>
      <c r="J59" s="37"/>
    </row>
    <row r="60" spans="3:10" x14ac:dyDescent="0.25">
      <c r="C60" s="20"/>
      <c r="D60" s="37"/>
      <c r="F60" s="20"/>
      <c r="G60" s="49"/>
      <c r="J60" s="37"/>
    </row>
    <row r="61" spans="3:10" x14ac:dyDescent="0.25">
      <c r="C61" s="20"/>
      <c r="G61" s="37"/>
      <c r="J61" s="37"/>
    </row>
    <row r="62" spans="3:10" x14ac:dyDescent="0.25">
      <c r="C62" s="20"/>
      <c r="D62" s="37"/>
      <c r="F62" s="20"/>
      <c r="G62" s="37"/>
      <c r="J62" s="37"/>
    </row>
    <row r="63" spans="3:10" x14ac:dyDescent="0.25">
      <c r="C63" s="20"/>
      <c r="D63" s="37"/>
      <c r="F63" s="20"/>
      <c r="G63" s="37"/>
      <c r="J63" s="37"/>
    </row>
    <row r="64" spans="3:10" x14ac:dyDescent="0.25">
      <c r="C64" s="20"/>
      <c r="D64" s="37"/>
      <c r="F64" s="20"/>
      <c r="G64" s="37"/>
      <c r="J64" s="37"/>
    </row>
    <row r="65" spans="3:10" x14ac:dyDescent="0.25">
      <c r="C65" s="20"/>
      <c r="D65" s="50"/>
      <c r="F65" s="20"/>
      <c r="G65" s="50"/>
      <c r="J65" s="37"/>
    </row>
    <row r="66" spans="3:10" x14ac:dyDescent="0.25">
      <c r="C66" s="20"/>
      <c r="D66" s="37"/>
      <c r="F66" s="20"/>
      <c r="G66" s="37"/>
      <c r="J66" s="37"/>
    </row>
    <row r="67" spans="3:10" x14ac:dyDescent="0.25">
      <c r="C67" s="20"/>
      <c r="D67" s="37"/>
      <c r="F67" s="20"/>
      <c r="G67" s="37"/>
      <c r="J67" s="37"/>
    </row>
    <row r="68" spans="3:10" x14ac:dyDescent="0.25">
      <c r="C68" s="20"/>
      <c r="D68" s="37"/>
      <c r="F68" s="20"/>
      <c r="G68" s="37"/>
      <c r="J68" s="37"/>
    </row>
    <row r="69" spans="3:10" x14ac:dyDescent="0.25">
      <c r="C69" s="20"/>
      <c r="D69" s="50"/>
      <c r="F69" s="20"/>
      <c r="G69" s="37"/>
      <c r="J69" s="37"/>
    </row>
    <row r="70" spans="3:10" x14ac:dyDescent="0.25">
      <c r="C70" s="20"/>
      <c r="D70" s="50"/>
      <c r="F70" s="20"/>
      <c r="G70" s="37"/>
      <c r="J70" s="37"/>
    </row>
    <row r="71" spans="3:10" x14ac:dyDescent="0.25">
      <c r="C71" s="20"/>
      <c r="D71" s="37"/>
      <c r="F71" s="20"/>
      <c r="G71" s="37"/>
      <c r="J71" s="37"/>
    </row>
    <row r="72" spans="3:10" x14ac:dyDescent="0.25">
      <c r="C72" s="20"/>
      <c r="D72" s="37"/>
      <c r="F72" s="20"/>
      <c r="G72" s="37"/>
      <c r="J72" s="37"/>
    </row>
    <row r="73" spans="3:10" x14ac:dyDescent="0.25">
      <c r="C73" s="20"/>
      <c r="D73" s="50"/>
      <c r="F73" s="20"/>
      <c r="G73" s="37"/>
      <c r="J73" s="37"/>
    </row>
    <row r="74" spans="3:10" x14ac:dyDescent="0.25">
      <c r="C74" s="20"/>
      <c r="D74" s="37"/>
      <c r="F74" s="20"/>
      <c r="G74" s="37"/>
      <c r="J74" s="37"/>
    </row>
    <row r="75" spans="3:10" x14ac:dyDescent="0.25">
      <c r="C75" s="20"/>
      <c r="D75" s="37"/>
      <c r="F75" s="20"/>
      <c r="G75" s="37"/>
      <c r="J75" s="37"/>
    </row>
    <row r="76" spans="3:10" x14ac:dyDescent="0.25">
      <c r="C76" s="20"/>
      <c r="D76" s="37"/>
      <c r="F76" s="20"/>
      <c r="G76" s="37"/>
      <c r="J76" s="37"/>
    </row>
    <row r="77" spans="3:10" x14ac:dyDescent="0.25">
      <c r="C77" s="20"/>
      <c r="D77" s="37"/>
      <c r="F77" s="20"/>
      <c r="G77" s="37"/>
      <c r="J77" s="37"/>
    </row>
    <row r="78" spans="3:10" x14ac:dyDescent="0.25">
      <c r="C78" s="20"/>
      <c r="D78" s="37"/>
      <c r="F78" s="20"/>
      <c r="G78" s="37"/>
      <c r="J78" s="37"/>
    </row>
    <row r="79" spans="3:10" x14ac:dyDescent="0.25">
      <c r="C79" s="20"/>
      <c r="D79" s="37"/>
      <c r="F79" s="20"/>
      <c r="G79" s="37"/>
      <c r="J79" s="37"/>
    </row>
    <row r="80" spans="3:10" x14ac:dyDescent="0.25">
      <c r="C80" s="20"/>
      <c r="D80" s="37"/>
      <c r="F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37"/>
      <c r="F84" s="20"/>
      <c r="G84" s="37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37"/>
      <c r="F88" s="20"/>
      <c r="G88" s="37"/>
      <c r="J88" s="37"/>
    </row>
    <row r="89" spans="3:10" x14ac:dyDescent="0.25">
      <c r="C89" s="20"/>
      <c r="D89" s="37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37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D108" s="37"/>
      <c r="F108" s="20"/>
      <c r="G108" s="37"/>
      <c r="J108" s="37"/>
    </row>
    <row r="109" spans="3:10" x14ac:dyDescent="0.25">
      <c r="D109" s="37"/>
      <c r="F109" s="20"/>
      <c r="G109" s="37"/>
      <c r="J109" s="37"/>
    </row>
    <row r="110" spans="3:10" x14ac:dyDescent="0.25">
      <c r="D110" s="37"/>
      <c r="F110" s="20"/>
      <c r="G110" s="37"/>
      <c r="J110" s="37"/>
    </row>
    <row r="111" spans="3:10" x14ac:dyDescent="0.25">
      <c r="D111" s="37"/>
      <c r="F111" s="20"/>
      <c r="G111" s="37"/>
      <c r="J111" s="37"/>
    </row>
    <row r="112" spans="3:10" x14ac:dyDescent="0.25">
      <c r="D112" s="37"/>
      <c r="F112" s="20"/>
      <c r="G112" s="37"/>
      <c r="J112" s="37"/>
    </row>
    <row r="113" spans="4:10" x14ac:dyDescent="0.25">
      <c r="D113" s="37"/>
      <c r="F113" s="20"/>
      <c r="G113" s="37"/>
      <c r="J113" s="37"/>
    </row>
    <row r="114" spans="4:10" x14ac:dyDescent="0.25">
      <c r="D114" s="43"/>
      <c r="E114" s="51"/>
      <c r="F114" s="44"/>
      <c r="G114" s="43"/>
      <c r="H114" s="51"/>
      <c r="I114" s="51"/>
      <c r="J114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5CF3-C40A-4C8A-90E3-78534EDA77F5}">
  <dimension ref="A1:X108"/>
  <sheetViews>
    <sheetView workbookViewId="0">
      <pane ySplit="15" topLeftCell="A22" activePane="bottomLeft" state="frozen"/>
      <selection pane="bottomLeft" activeCell="K9" sqref="K9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[5]Summary!E2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382700</v>
      </c>
      <c r="K2">
        <f>J2-J3</f>
        <v>680</v>
      </c>
      <c r="L2" s="1">
        <f>K2/J2</f>
        <v>1.7768487065586622E-3</v>
      </c>
    </row>
    <row r="3" spans="1:24" x14ac:dyDescent="0.25">
      <c r="B3" t="s">
        <v>2</v>
      </c>
      <c r="D3" s="3" t="s">
        <v>156</v>
      </c>
      <c r="E3" s="4"/>
      <c r="F3" t="s">
        <v>157</v>
      </c>
      <c r="H3" s="2" t="s">
        <v>5</v>
      </c>
      <c r="I3" s="2"/>
      <c r="J3">
        <f>K11-L10+M11-N10+O11-P10+Q11-R10+S11-T10+U11-V10+W11-X10</f>
        <v>382020</v>
      </c>
      <c r="K3" s="5" t="s">
        <v>6</v>
      </c>
      <c r="L3" s="5" t="s">
        <v>7</v>
      </c>
      <c r="M3" s="5" t="s">
        <v>8</v>
      </c>
      <c r="N3" s="6">
        <f>N4*I4/O1</f>
        <v>141.90368454881079</v>
      </c>
      <c r="O3" s="6">
        <f>K7+M7+O7+Q7+S7+U7+W7</f>
        <v>141.90368454881079</v>
      </c>
    </row>
    <row r="4" spans="1:24" x14ac:dyDescent="0.25">
      <c r="B4" t="s">
        <v>9</v>
      </c>
      <c r="D4" s="7" t="str">
        <f>[5]Summary!C2</f>
        <v>Canola</v>
      </c>
      <c r="E4" s="4"/>
      <c r="F4" s="8">
        <f>[5]Summary!C3</f>
        <v>2019</v>
      </c>
      <c r="I4" s="8">
        <f>[5]Summary!D2</f>
        <v>50</v>
      </c>
      <c r="J4" s="8">
        <f>J3/I4</f>
        <v>7640.4</v>
      </c>
      <c r="K4" s="9">
        <v>0.98</v>
      </c>
      <c r="L4" s="9">
        <f>IF(J5=0,L1,(L8+N8+P8+R8+T8+V8+X8)/J5/K4)</f>
        <v>0.20499999999999999</v>
      </c>
      <c r="M4" s="9">
        <f>IF(J5=0,0,(L9+N9+P9+R9+T9+V9+X9)/J5/K4)</f>
        <v>5.3999999999999999E-2</v>
      </c>
      <c r="N4" s="8">
        <f>IF(L4&gt;L1,J4*(1-L4)/(1-L1)*(1-M4)*K4,J4*K4*(1-M4))</f>
        <v>6256.8814616</v>
      </c>
      <c r="V4" s="6"/>
    </row>
    <row r="5" spans="1:24" x14ac:dyDescent="0.25">
      <c r="B5" t="s">
        <v>10</v>
      </c>
      <c r="D5" s="7"/>
      <c r="E5" s="4"/>
      <c r="J5" s="6">
        <f>J3/O1</f>
        <v>173.28135718740046</v>
      </c>
      <c r="N5" s="8">
        <v>158</v>
      </c>
      <c r="O5" s="10">
        <f>N4/N5</f>
        <v>39.600515579746833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141.90368454881079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0.20499999999999999</v>
      </c>
      <c r="L8" s="6">
        <f>(L11-L10/$O1)*$K4*K8</f>
        <v>34.81222465894875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5.3999999999999999E-2</v>
      </c>
      <c r="L9" s="6">
        <f>(L11-L10/$O1)*$K4*K9</f>
        <v>9.1700494223572324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190041.72354324535</v>
      </c>
      <c r="E10" s="22"/>
      <c r="F10" s="23"/>
      <c r="G10" s="21">
        <f>J3/J2*G11</f>
        <v>191978.27645675463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190380</v>
      </c>
      <c r="E11" s="26"/>
      <c r="F11" s="27"/>
      <c r="G11" s="25">
        <f>H14+I14</f>
        <v>192320</v>
      </c>
      <c r="H11" s="26"/>
      <c r="I11" s="26"/>
      <c r="J11" s="28"/>
      <c r="K11" s="29">
        <f>K14+L14</f>
        <v>382020</v>
      </c>
      <c r="L11" s="30">
        <f>K11/2204.62262184877</f>
        <v>173.28135718740046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73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190380</v>
      </c>
      <c r="F14" s="40">
        <f>SUM(F15:F133)</f>
        <v>0</v>
      </c>
      <c r="G14" s="37"/>
      <c r="H14" s="39">
        <f>SUM(H15:H133)</f>
        <v>192320</v>
      </c>
      <c r="I14" s="39">
        <f>SUM(I15:I133)</f>
        <v>0</v>
      </c>
      <c r="J14" s="28"/>
      <c r="K14" s="41">
        <f t="shared" ref="K14:X14" si="0">SUM(K15:K133)</f>
        <v>382020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/>
      <c r="F16" s="20"/>
      <c r="G16" s="37">
        <v>677</v>
      </c>
      <c r="H16">
        <v>13380</v>
      </c>
      <c r="J16" s="45"/>
    </row>
    <row r="17" spans="2:16" x14ac:dyDescent="0.25">
      <c r="C17" s="20"/>
      <c r="D17" s="37"/>
      <c r="F17" s="20"/>
      <c r="G17" s="37">
        <v>678</v>
      </c>
      <c r="H17">
        <v>11560</v>
      </c>
      <c r="J17" s="45"/>
    </row>
    <row r="18" spans="2:16" x14ac:dyDescent="0.25">
      <c r="C18" s="20"/>
      <c r="D18" s="37"/>
      <c r="F18" s="20"/>
      <c r="G18" s="37">
        <v>679</v>
      </c>
      <c r="H18">
        <v>11040</v>
      </c>
      <c r="J18" s="45"/>
      <c r="K18">
        <v>36040</v>
      </c>
    </row>
    <row r="19" spans="2:16" x14ac:dyDescent="0.25">
      <c r="B19">
        <v>2</v>
      </c>
      <c r="C19" s="20"/>
      <c r="D19">
        <v>202</v>
      </c>
      <c r="E19">
        <v>10940</v>
      </c>
      <c r="F19" s="20"/>
      <c r="G19">
        <v>680</v>
      </c>
      <c r="H19">
        <v>12800</v>
      </c>
      <c r="J19" s="45"/>
      <c r="K19">
        <v>23500</v>
      </c>
    </row>
    <row r="20" spans="2:16" x14ac:dyDescent="0.25">
      <c r="B20">
        <v>3</v>
      </c>
      <c r="C20" s="20"/>
      <c r="D20">
        <v>203</v>
      </c>
      <c r="E20">
        <v>12960</v>
      </c>
      <c r="F20" s="20"/>
      <c r="G20">
        <v>681</v>
      </c>
      <c r="H20">
        <v>13400</v>
      </c>
      <c r="J20" s="45"/>
    </row>
    <row r="21" spans="2:16" x14ac:dyDescent="0.25">
      <c r="C21" s="20"/>
      <c r="F21" s="20"/>
      <c r="G21" t="s">
        <v>158</v>
      </c>
      <c r="H21">
        <v>14160</v>
      </c>
      <c r="J21" s="46"/>
      <c r="K21">
        <v>40640</v>
      </c>
    </row>
    <row r="22" spans="2:16" x14ac:dyDescent="0.25">
      <c r="B22">
        <v>4</v>
      </c>
      <c r="C22" s="20"/>
      <c r="D22">
        <v>204</v>
      </c>
      <c r="E22">
        <v>12260</v>
      </c>
      <c r="F22" s="20"/>
      <c r="G22">
        <v>684</v>
      </c>
      <c r="H22">
        <v>11940</v>
      </c>
      <c r="J22" s="45"/>
      <c r="K22">
        <v>24200</v>
      </c>
    </row>
    <row r="23" spans="2:16" x14ac:dyDescent="0.25">
      <c r="B23">
        <v>5</v>
      </c>
      <c r="C23" s="20"/>
      <c r="D23">
        <v>205</v>
      </c>
      <c r="E23">
        <v>12700</v>
      </c>
      <c r="F23" s="20"/>
      <c r="G23">
        <v>685</v>
      </c>
      <c r="H23">
        <v>11760</v>
      </c>
      <c r="J23" s="45"/>
    </row>
    <row r="24" spans="2:16" x14ac:dyDescent="0.25">
      <c r="C24" s="20"/>
      <c r="D24">
        <v>206</v>
      </c>
      <c r="E24">
        <v>11380</v>
      </c>
      <c r="F24" s="20"/>
      <c r="J24" s="45"/>
      <c r="K24">
        <v>34620</v>
      </c>
    </row>
    <row r="25" spans="2:16" x14ac:dyDescent="0.25">
      <c r="B25">
        <v>6</v>
      </c>
      <c r="C25" s="20"/>
      <c r="D25">
        <v>207</v>
      </c>
      <c r="E25">
        <v>12180</v>
      </c>
      <c r="F25" s="20"/>
      <c r="G25">
        <v>686</v>
      </c>
      <c r="H25">
        <v>12040</v>
      </c>
      <c r="J25" s="45"/>
      <c r="K25">
        <v>24900</v>
      </c>
    </row>
    <row r="26" spans="2:16" x14ac:dyDescent="0.25">
      <c r="B26">
        <v>7</v>
      </c>
      <c r="C26" s="20"/>
      <c r="D26">
        <v>208</v>
      </c>
      <c r="E26">
        <v>11520</v>
      </c>
      <c r="F26" s="20"/>
      <c r="G26">
        <v>687</v>
      </c>
      <c r="H26">
        <v>12700</v>
      </c>
      <c r="J26" s="45"/>
      <c r="K26">
        <v>24920</v>
      </c>
      <c r="M26" s="11"/>
    </row>
    <row r="27" spans="2:16" x14ac:dyDescent="0.25">
      <c r="B27">
        <v>8</v>
      </c>
      <c r="C27" s="20"/>
      <c r="D27">
        <v>209</v>
      </c>
      <c r="E27">
        <v>11780</v>
      </c>
      <c r="F27" s="20"/>
      <c r="G27">
        <v>688</v>
      </c>
      <c r="H27">
        <v>12980</v>
      </c>
      <c r="J27" s="45"/>
      <c r="K27">
        <v>24680</v>
      </c>
      <c r="O27" s="11"/>
      <c r="P27" s="11"/>
    </row>
    <row r="28" spans="2:16" x14ac:dyDescent="0.25">
      <c r="B28">
        <v>9</v>
      </c>
      <c r="C28" s="20"/>
      <c r="D28">
        <v>210</v>
      </c>
      <c r="E28">
        <v>11700</v>
      </c>
      <c r="F28" s="20"/>
      <c r="G28">
        <v>689</v>
      </c>
      <c r="H28">
        <v>11880</v>
      </c>
      <c r="J28" s="45"/>
      <c r="O28" s="11"/>
      <c r="P28" s="11"/>
    </row>
    <row r="29" spans="2:16" x14ac:dyDescent="0.25">
      <c r="C29" s="20"/>
      <c r="D29">
        <v>211</v>
      </c>
      <c r="E29">
        <v>10780</v>
      </c>
      <c r="F29" s="20"/>
      <c r="J29" s="45"/>
      <c r="K29">
        <v>34160</v>
      </c>
      <c r="O29" s="11"/>
      <c r="P29" s="11"/>
    </row>
    <row r="30" spans="2:16" x14ac:dyDescent="0.25">
      <c r="B30">
        <v>10</v>
      </c>
      <c r="C30" s="20"/>
      <c r="D30">
        <v>212</v>
      </c>
      <c r="E30">
        <v>10360</v>
      </c>
      <c r="F30" s="20"/>
      <c r="G30">
        <v>690</v>
      </c>
      <c r="H30">
        <v>14920</v>
      </c>
      <c r="J30" s="45"/>
      <c r="K30">
        <v>25000</v>
      </c>
      <c r="M30" s="11"/>
      <c r="O30" s="11"/>
    </row>
    <row r="31" spans="2:16" x14ac:dyDescent="0.25">
      <c r="B31">
        <v>11</v>
      </c>
      <c r="C31" s="20"/>
      <c r="D31">
        <v>213</v>
      </c>
      <c r="E31">
        <v>10760</v>
      </c>
      <c r="F31" s="20"/>
      <c r="G31">
        <v>691</v>
      </c>
      <c r="H31">
        <v>12040</v>
      </c>
      <c r="J31" s="45"/>
      <c r="M31" s="11"/>
    </row>
    <row r="32" spans="2:16" x14ac:dyDescent="0.25">
      <c r="C32" s="20"/>
      <c r="F32" s="20"/>
      <c r="G32">
        <v>692</v>
      </c>
      <c r="H32">
        <v>11120</v>
      </c>
      <c r="J32" s="45"/>
      <c r="K32">
        <v>33880</v>
      </c>
    </row>
    <row r="33" spans="1:20" s="11" customFormat="1" x14ac:dyDescent="0.25">
      <c r="A33"/>
      <c r="B33">
        <v>12</v>
      </c>
      <c r="C33" s="47"/>
      <c r="D33">
        <v>214</v>
      </c>
      <c r="E33">
        <v>10180</v>
      </c>
      <c r="F33" s="20"/>
      <c r="G33"/>
      <c r="H33"/>
      <c r="I33"/>
      <c r="J33" s="45"/>
      <c r="K33">
        <v>10260</v>
      </c>
      <c r="Q33"/>
      <c r="R33"/>
      <c r="S33"/>
      <c r="T33"/>
    </row>
    <row r="34" spans="1:20" s="11" customFormat="1" x14ac:dyDescent="0.25">
      <c r="A34"/>
      <c r="B34">
        <v>13</v>
      </c>
      <c r="C34" s="47"/>
      <c r="D34">
        <v>215</v>
      </c>
      <c r="E34">
        <v>11260</v>
      </c>
      <c r="F34" s="20"/>
      <c r="G34">
        <v>693</v>
      </c>
      <c r="H34">
        <v>4600</v>
      </c>
      <c r="I34"/>
      <c r="J34" s="45"/>
      <c r="K34"/>
      <c r="Q34"/>
      <c r="R34"/>
      <c r="S34"/>
      <c r="T34"/>
    </row>
    <row r="35" spans="1:20" s="11" customFormat="1" x14ac:dyDescent="0.25">
      <c r="A35"/>
      <c r="B35"/>
      <c r="C35" s="47"/>
      <c r="D35">
        <v>216</v>
      </c>
      <c r="E35">
        <v>10620</v>
      </c>
      <c r="F35" s="20"/>
      <c r="G35"/>
      <c r="H35"/>
      <c r="I35"/>
      <c r="J35" s="45"/>
      <c r="K35"/>
      <c r="M35"/>
      <c r="S35"/>
      <c r="T35"/>
    </row>
    <row r="36" spans="1:20" s="11" customFormat="1" x14ac:dyDescent="0.25">
      <c r="A36"/>
      <c r="B36"/>
      <c r="C36" s="47"/>
      <c r="D36">
        <v>217</v>
      </c>
      <c r="E36">
        <v>10520</v>
      </c>
      <c r="F36" s="20"/>
      <c r="G36"/>
      <c r="H36"/>
      <c r="I36"/>
      <c r="J36" s="45"/>
      <c r="K36">
        <v>36320</v>
      </c>
      <c r="M36"/>
      <c r="S36"/>
      <c r="T36"/>
    </row>
    <row r="37" spans="1:20" s="11" customFormat="1" x14ac:dyDescent="0.25">
      <c r="A37"/>
      <c r="B37">
        <v>14</v>
      </c>
      <c r="C37" s="47"/>
      <c r="D37" s="37">
        <v>218</v>
      </c>
      <c r="E37" s="8">
        <v>8480</v>
      </c>
      <c r="F37" s="20"/>
      <c r="G37"/>
      <c r="H37" s="8"/>
      <c r="I37"/>
      <c r="J37" s="45"/>
      <c r="K37">
        <v>8900</v>
      </c>
      <c r="M37"/>
      <c r="O37" s="48"/>
      <c r="S37"/>
      <c r="T37"/>
    </row>
    <row r="38" spans="1:20" x14ac:dyDescent="0.25">
      <c r="C38" s="20"/>
      <c r="D38" s="37"/>
      <c r="E38" s="11"/>
      <c r="F38" s="20"/>
      <c r="J38" s="45"/>
    </row>
    <row r="39" spans="1:20" x14ac:dyDescent="0.25">
      <c r="C39" s="20"/>
      <c r="D39" s="37"/>
      <c r="E39" s="8"/>
      <c r="F39" s="20"/>
      <c r="H39" s="8"/>
      <c r="J39" s="45"/>
      <c r="O39" s="48"/>
    </row>
    <row r="40" spans="1:20" x14ac:dyDescent="0.25">
      <c r="C40" s="20"/>
      <c r="D40" s="37"/>
      <c r="E40" s="11"/>
      <c r="F40" s="20"/>
      <c r="H40" s="11"/>
      <c r="J40" s="45"/>
    </row>
    <row r="41" spans="1:20" x14ac:dyDescent="0.25">
      <c r="C41" s="20"/>
      <c r="D41" s="37"/>
      <c r="F41" s="20"/>
      <c r="J41" s="45"/>
    </row>
    <row r="42" spans="1:20" x14ac:dyDescent="0.25">
      <c r="C42" s="20"/>
      <c r="D42" s="37"/>
      <c r="F42" s="20"/>
      <c r="J42" s="45"/>
      <c r="R42" s="11"/>
    </row>
    <row r="43" spans="1:20" x14ac:dyDescent="0.25">
      <c r="C43" s="20"/>
      <c r="D43" s="37"/>
      <c r="F43" s="20"/>
      <c r="J43" s="45"/>
      <c r="R43" s="11"/>
    </row>
    <row r="44" spans="1:20" x14ac:dyDescent="0.25">
      <c r="C44" s="20"/>
      <c r="D44" s="37"/>
      <c r="F44" s="20"/>
      <c r="J44" s="45"/>
      <c r="Q44" s="11"/>
    </row>
    <row r="45" spans="1:20" x14ac:dyDescent="0.25">
      <c r="C45" s="20"/>
      <c r="D45" s="37"/>
      <c r="F45" s="20"/>
      <c r="J45" s="45"/>
    </row>
    <row r="46" spans="1:20" x14ac:dyDescent="0.25">
      <c r="C46" s="20"/>
      <c r="D46" s="37"/>
      <c r="F46" s="20"/>
      <c r="H46" s="11"/>
      <c r="J46" s="45"/>
    </row>
    <row r="47" spans="1:20" x14ac:dyDescent="0.25">
      <c r="C47" s="20"/>
      <c r="D47" s="37"/>
      <c r="F47" s="20"/>
      <c r="J47" s="45"/>
    </row>
    <row r="48" spans="1:20" x14ac:dyDescent="0.25">
      <c r="C48" s="20"/>
      <c r="D48" s="37"/>
      <c r="E48" s="11"/>
      <c r="F48" s="20"/>
      <c r="J48" s="45"/>
    </row>
    <row r="49" spans="3:10" x14ac:dyDescent="0.25">
      <c r="C49" s="20"/>
      <c r="D49" s="37"/>
      <c r="F49" s="20"/>
      <c r="J49" s="45"/>
    </row>
    <row r="50" spans="3:10" x14ac:dyDescent="0.25">
      <c r="C50" s="20"/>
      <c r="D50" s="37"/>
      <c r="F50" s="20"/>
      <c r="J50" s="45"/>
    </row>
    <row r="51" spans="3:10" x14ac:dyDescent="0.25">
      <c r="C51" s="20"/>
      <c r="D51" s="37"/>
      <c r="F51" s="20"/>
      <c r="J51" s="45"/>
    </row>
    <row r="52" spans="3:10" x14ac:dyDescent="0.25">
      <c r="C52" s="20"/>
      <c r="D52" s="37"/>
      <c r="F52" s="20"/>
      <c r="J52" s="45"/>
    </row>
    <row r="53" spans="3:10" x14ac:dyDescent="0.25">
      <c r="C53" s="20"/>
      <c r="D53" s="37"/>
      <c r="F53" s="20"/>
      <c r="J53" s="45"/>
    </row>
    <row r="54" spans="3:10" x14ac:dyDescent="0.25">
      <c r="C54" s="20"/>
      <c r="D54" s="37"/>
      <c r="F54" s="20"/>
      <c r="G54" s="49"/>
      <c r="J54" s="45"/>
    </row>
    <row r="55" spans="3:10" x14ac:dyDescent="0.25">
      <c r="C55" s="20"/>
      <c r="G55" s="37"/>
      <c r="J55" s="45"/>
    </row>
    <row r="56" spans="3:10" x14ac:dyDescent="0.25">
      <c r="C56" s="20"/>
      <c r="D56" s="37"/>
      <c r="F56" s="20"/>
      <c r="G56" s="37"/>
      <c r="J56" s="45"/>
    </row>
    <row r="57" spans="3:10" x14ac:dyDescent="0.25">
      <c r="C57" s="20"/>
      <c r="D57" s="37"/>
      <c r="F57" s="20"/>
      <c r="G57" s="37"/>
      <c r="J57" s="45"/>
    </row>
    <row r="58" spans="3:10" x14ac:dyDescent="0.25">
      <c r="C58" s="20"/>
      <c r="D58" s="37"/>
      <c r="F58" s="20"/>
      <c r="G58" s="37"/>
      <c r="J58" s="45"/>
    </row>
    <row r="59" spans="3:10" x14ac:dyDescent="0.25">
      <c r="C59" s="20"/>
      <c r="D59" s="50"/>
      <c r="F59" s="20"/>
      <c r="G59" s="50"/>
      <c r="J59" s="37"/>
    </row>
    <row r="60" spans="3:10" x14ac:dyDescent="0.25">
      <c r="C60" s="20"/>
      <c r="F60" s="20"/>
      <c r="J60" s="37"/>
    </row>
    <row r="61" spans="3:10" x14ac:dyDescent="0.25">
      <c r="C61" s="20"/>
      <c r="F61" s="20"/>
      <c r="J61" s="37"/>
    </row>
    <row r="62" spans="3:10" x14ac:dyDescent="0.25">
      <c r="C62" s="20"/>
      <c r="F62" s="20"/>
      <c r="J62" s="37"/>
    </row>
    <row r="63" spans="3:10" x14ac:dyDescent="0.25">
      <c r="C63" s="20"/>
      <c r="F63" s="20"/>
      <c r="J63" s="37"/>
    </row>
    <row r="64" spans="3:10" x14ac:dyDescent="0.25">
      <c r="C64" s="20"/>
      <c r="F64" s="20"/>
      <c r="J64" s="37"/>
    </row>
    <row r="65" spans="3:10" x14ac:dyDescent="0.25">
      <c r="C65" s="20"/>
      <c r="F65" s="20"/>
      <c r="J65" s="37"/>
    </row>
    <row r="66" spans="3:10" x14ac:dyDescent="0.25">
      <c r="C66" s="20"/>
      <c r="F66" s="20"/>
      <c r="J66" s="37"/>
    </row>
    <row r="67" spans="3:10" x14ac:dyDescent="0.25">
      <c r="C67" s="20"/>
      <c r="F67" s="20"/>
      <c r="J67" s="37"/>
    </row>
    <row r="68" spans="3:10" x14ac:dyDescent="0.25">
      <c r="C68" s="20"/>
      <c r="F68" s="20"/>
      <c r="J68" s="37"/>
    </row>
    <row r="69" spans="3:10" x14ac:dyDescent="0.25">
      <c r="C69" s="20"/>
      <c r="F69" s="20"/>
      <c r="J69" s="37"/>
    </row>
    <row r="70" spans="3:10" x14ac:dyDescent="0.25">
      <c r="C70" s="20"/>
      <c r="F70" s="20"/>
      <c r="J70" s="37"/>
    </row>
    <row r="71" spans="3:10" x14ac:dyDescent="0.25">
      <c r="C71" s="20"/>
      <c r="F71" s="20"/>
      <c r="J71" s="37"/>
    </row>
    <row r="72" spans="3:10" x14ac:dyDescent="0.25">
      <c r="C72" s="20"/>
      <c r="F72" s="20"/>
      <c r="J72" s="37"/>
    </row>
    <row r="73" spans="3:10" x14ac:dyDescent="0.25">
      <c r="C73" s="20"/>
      <c r="F73" s="20"/>
      <c r="J73" s="37"/>
    </row>
    <row r="74" spans="3:10" x14ac:dyDescent="0.25">
      <c r="C74" s="20"/>
      <c r="F74" s="20"/>
      <c r="J74" s="37"/>
    </row>
    <row r="75" spans="3:10" x14ac:dyDescent="0.25">
      <c r="C75" s="20"/>
      <c r="F75" s="20"/>
      <c r="J75" s="37"/>
    </row>
    <row r="76" spans="3:10" x14ac:dyDescent="0.25">
      <c r="C76" s="20"/>
      <c r="F76" s="20"/>
      <c r="J76" s="37"/>
    </row>
    <row r="77" spans="3:10" x14ac:dyDescent="0.25">
      <c r="C77" s="20"/>
      <c r="F77" s="20"/>
      <c r="J77" s="37"/>
    </row>
    <row r="78" spans="3:10" x14ac:dyDescent="0.25">
      <c r="C78" s="20"/>
      <c r="F78" s="20"/>
      <c r="J78" s="37"/>
    </row>
    <row r="79" spans="3:10" x14ac:dyDescent="0.25">
      <c r="C79" s="20"/>
      <c r="F79" s="20"/>
      <c r="J79" s="37"/>
    </row>
    <row r="80" spans="3:10" x14ac:dyDescent="0.25">
      <c r="C80" s="20"/>
      <c r="F80" s="20"/>
      <c r="J80" s="37"/>
    </row>
    <row r="81" spans="3:10" x14ac:dyDescent="0.25">
      <c r="C81" s="20"/>
      <c r="F81" s="20"/>
      <c r="J81" s="37"/>
    </row>
    <row r="82" spans="3:10" x14ac:dyDescent="0.25">
      <c r="C82" s="20"/>
      <c r="F82" s="20"/>
      <c r="J82" s="37"/>
    </row>
    <row r="83" spans="3:10" x14ac:dyDescent="0.25">
      <c r="C83" s="20"/>
      <c r="F83" s="20"/>
      <c r="J83" s="37"/>
    </row>
    <row r="84" spans="3:10" x14ac:dyDescent="0.25">
      <c r="C84" s="20"/>
      <c r="F84" s="20"/>
      <c r="J84" s="37"/>
    </row>
    <row r="85" spans="3:10" x14ac:dyDescent="0.25">
      <c r="C85" s="20"/>
      <c r="F85" s="20"/>
      <c r="J85" s="37"/>
    </row>
    <row r="86" spans="3:10" x14ac:dyDescent="0.25">
      <c r="C86" s="20"/>
      <c r="F86" s="20"/>
      <c r="J86" s="37"/>
    </row>
    <row r="87" spans="3:10" x14ac:dyDescent="0.25">
      <c r="C87" s="20"/>
      <c r="F87" s="20"/>
      <c r="J87" s="37"/>
    </row>
    <row r="88" spans="3:10" x14ac:dyDescent="0.25">
      <c r="C88" s="20"/>
      <c r="F88" s="20"/>
      <c r="J88" s="37"/>
    </row>
    <row r="89" spans="3:10" x14ac:dyDescent="0.25">
      <c r="C89" s="20"/>
      <c r="F89" s="20"/>
      <c r="J89" s="37"/>
    </row>
    <row r="90" spans="3:10" x14ac:dyDescent="0.25">
      <c r="C90" s="20"/>
      <c r="F90" s="20"/>
      <c r="J90" s="37"/>
    </row>
    <row r="91" spans="3:10" x14ac:dyDescent="0.25">
      <c r="C91" s="20"/>
      <c r="F91" s="20"/>
      <c r="J91" s="37"/>
    </row>
    <row r="92" spans="3:10" x14ac:dyDescent="0.25">
      <c r="C92" s="20"/>
      <c r="D92" s="37"/>
      <c r="F92" s="20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D102" s="37"/>
      <c r="F102" s="20"/>
      <c r="G102" s="37"/>
      <c r="J102" s="37"/>
    </row>
    <row r="103" spans="3:10" x14ac:dyDescent="0.25">
      <c r="D103" s="37"/>
      <c r="F103" s="20"/>
      <c r="G103" s="37"/>
      <c r="J103" s="37"/>
    </row>
    <row r="104" spans="3:10" x14ac:dyDescent="0.25">
      <c r="D104" s="37"/>
      <c r="F104" s="20"/>
      <c r="G104" s="37"/>
      <c r="J104" s="37"/>
    </row>
    <row r="105" spans="3:10" x14ac:dyDescent="0.25">
      <c r="D105" s="37"/>
      <c r="F105" s="20"/>
      <c r="G105" s="37"/>
      <c r="J105" s="37"/>
    </row>
    <row r="106" spans="3:10" x14ac:dyDescent="0.25">
      <c r="D106" s="37"/>
      <c r="F106" s="20"/>
      <c r="G106" s="37"/>
      <c r="J106" s="37"/>
    </row>
    <row r="107" spans="3:10" x14ac:dyDescent="0.25">
      <c r="D107" s="37"/>
      <c r="F107" s="20"/>
      <c r="G107" s="37"/>
      <c r="J107" s="37"/>
    </row>
    <row r="108" spans="3:10" x14ac:dyDescent="0.25">
      <c r="D108" s="43"/>
      <c r="E108" s="51" t="s">
        <v>35</v>
      </c>
      <c r="F108" s="44"/>
      <c r="G108" s="43"/>
      <c r="H108" s="51" t="s">
        <v>35</v>
      </c>
      <c r="I108" s="51"/>
      <c r="J108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AA55-F324-4D9A-870E-61F783B8C611}">
  <dimension ref="A1:AB133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" bestFit="1" customWidth="1"/>
    <col min="7" max="7" width="7.42578125" customWidth="1"/>
    <col min="11" max="11" width="9.28515625" customWidth="1"/>
  </cols>
  <sheetData>
    <row r="1" spans="1:28" x14ac:dyDescent="0.25">
      <c r="B1" t="s">
        <v>0</v>
      </c>
      <c r="L1" s="1">
        <f>[4]Summary!E2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28" x14ac:dyDescent="0.25">
      <c r="H2" s="2" t="s">
        <v>1</v>
      </c>
      <c r="I2" s="2" t="s">
        <v>1</v>
      </c>
      <c r="J2">
        <f>+D11+G11</f>
        <v>576880</v>
      </c>
      <c r="K2">
        <f>J2-J3</f>
        <v>9560</v>
      </c>
      <c r="L2" s="1">
        <f>K2/J2</f>
        <v>1.6571904035501319E-2</v>
      </c>
      <c r="S2" t="s">
        <v>77</v>
      </c>
      <c r="T2">
        <v>97</v>
      </c>
      <c r="U2" s="6">
        <f>K7</f>
        <v>150.31089010312735</v>
      </c>
      <c r="V2" s="8">
        <f>U2*2204.622/60</f>
        <v>5522.9782526822801</v>
      </c>
      <c r="W2" s="10">
        <f>V2/T2</f>
        <v>56.937920130745155</v>
      </c>
    </row>
    <row r="3" spans="1:28" x14ac:dyDescent="0.25">
      <c r="B3" t="s">
        <v>2</v>
      </c>
      <c r="D3" s="3" t="s">
        <v>146</v>
      </c>
      <c r="E3" s="4"/>
      <c r="F3" t="s">
        <v>147</v>
      </c>
      <c r="H3" s="2" t="s">
        <v>5</v>
      </c>
      <c r="I3" s="2"/>
      <c r="J3">
        <f>K11-L10+M11-N10+O11-P10+Q11-R10+S11-T10+U11-V10+W11-X10</f>
        <v>567320</v>
      </c>
      <c r="K3" s="5" t="s">
        <v>6</v>
      </c>
      <c r="L3" s="5" t="s">
        <v>7</v>
      </c>
      <c r="M3" s="5" t="s">
        <v>8</v>
      </c>
      <c r="N3" s="6">
        <f>N4*I4/O1</f>
        <v>236.96795808753615</v>
      </c>
      <c r="O3" s="6">
        <f>K7+M7+O7+Q7+S7+U7+W7</f>
        <v>236.41753807030125</v>
      </c>
      <c r="S3" t="s">
        <v>80</v>
      </c>
      <c r="T3">
        <v>57</v>
      </c>
      <c r="U3" s="6">
        <f>M7</f>
        <v>86.106647967173899</v>
      </c>
      <c r="V3" s="8">
        <f>U3*2204.622/60</f>
        <v>3163.8768409114473</v>
      </c>
      <c r="W3" s="10">
        <f>V3/T3</f>
        <v>55.50661124406048</v>
      </c>
      <c r="Y3">
        <v>57</v>
      </c>
      <c r="Z3">
        <f>U3/Y3</f>
        <v>1.5106429467925246</v>
      </c>
      <c r="AA3">
        <v>1510</v>
      </c>
      <c r="AB3">
        <f>AA3*Y3</f>
        <v>86070</v>
      </c>
    </row>
    <row r="4" spans="1:28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I4" s="8">
        <f>[4]Summary!D2</f>
        <v>60</v>
      </c>
      <c r="J4" s="8">
        <f>J3/I4</f>
        <v>9455.3333333333339</v>
      </c>
      <c r="K4" s="9">
        <v>0.98</v>
      </c>
      <c r="L4" s="9">
        <f>IF(J5=0,L1,(L8+N8+P8+R8+T8+V8+X8)/J5/K4)</f>
        <v>0.18561129521257844</v>
      </c>
      <c r="M4" s="9">
        <f>IF(J5=0,0,(L9+N9+P9+R9+T9+V9+X9)/J5/K4)</f>
        <v>1.3484100683917364E-2</v>
      </c>
      <c r="N4" s="8">
        <f>IF(L4&gt;L1,J4*(1-L4)/(1-L1)*(1-M4)*K4,J4*K4*(1-M4))</f>
        <v>8707.0820175515564</v>
      </c>
      <c r="S4" t="s">
        <v>81</v>
      </c>
      <c r="T4" s="61">
        <f>T2+T3</f>
        <v>154</v>
      </c>
      <c r="U4" s="61">
        <f t="shared" ref="U4:V4" si="0">U2+U3</f>
        <v>236.41753807030125</v>
      </c>
      <c r="V4" s="62">
        <f t="shared" si="0"/>
        <v>8686.8550935937274</v>
      </c>
      <c r="W4" s="63">
        <f>V4/T4</f>
        <v>56.408149958400827</v>
      </c>
    </row>
    <row r="5" spans="1:28" x14ac:dyDescent="0.25">
      <c r="B5" t="s">
        <v>10</v>
      </c>
      <c r="D5" s="7">
        <v>43791</v>
      </c>
      <c r="E5" s="4"/>
      <c r="F5" s="52">
        <v>43964</v>
      </c>
      <c r="J5" s="6">
        <f>J3/O1</f>
        <v>257.3320233484007</v>
      </c>
      <c r="N5" s="8">
        <v>154</v>
      </c>
      <c r="O5" s="10">
        <f>N4/N5</f>
        <v>56.539493620464654</v>
      </c>
      <c r="P5" t="s">
        <v>11</v>
      </c>
      <c r="V5" s="6"/>
    </row>
    <row r="6" spans="1:28" x14ac:dyDescent="0.25">
      <c r="D6" s="11"/>
      <c r="J6" s="6"/>
      <c r="K6" s="12"/>
      <c r="L6" s="13"/>
      <c r="M6" s="12"/>
      <c r="N6" s="8"/>
      <c r="O6" s="10"/>
    </row>
    <row r="7" spans="1:28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150.31089010312735</v>
      </c>
      <c r="M7" s="6">
        <f>IF(M8&gt;$L1,(N11-N10/$O1)*$K4*(1-M8)/(1-$L1)*(1-M9),(N11-N10/$O1)*$K4*(1-M9))</f>
        <v>86.106647967173899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8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0.21</v>
      </c>
      <c r="L8" s="6">
        <f>(L11-L10/$O1)*$K4*K8</f>
        <v>34.50750584070645</v>
      </c>
      <c r="M8" s="1">
        <v>0.14000000000000001</v>
      </c>
      <c r="N8" s="6">
        <f>(N11-N10/$O1)*$K4*M8</f>
        <v>12.300949709596273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8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1.6432145638431643</v>
      </c>
      <c r="M9" s="1">
        <v>0.02</v>
      </c>
      <c r="N9" s="6">
        <f>(N11-N10/$O1)*$K4*M9</f>
        <v>1.7572785299423246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8" x14ac:dyDescent="0.25">
      <c r="B10" t="s">
        <v>14</v>
      </c>
      <c r="C10" s="20"/>
      <c r="D10" s="21">
        <f>J3/J2*D11</f>
        <v>285489.17625849397</v>
      </c>
      <c r="E10" s="22"/>
      <c r="F10" s="23"/>
      <c r="G10" s="21">
        <f>J3/J2*G11</f>
        <v>281830.82374150603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8" x14ac:dyDescent="0.25">
      <c r="B11" t="s">
        <v>16</v>
      </c>
      <c r="C11" s="20"/>
      <c r="D11" s="25">
        <f>E14+F14</f>
        <v>290300</v>
      </c>
      <c r="E11" s="26"/>
      <c r="F11" s="27"/>
      <c r="G11" s="25">
        <f>H14+I14</f>
        <v>286580</v>
      </c>
      <c r="H11" s="26"/>
      <c r="I11" s="26"/>
      <c r="J11" s="28"/>
      <c r="K11" s="29">
        <f>K14+L14</f>
        <v>369660</v>
      </c>
      <c r="L11" s="30">
        <f>K11/2204.62262184877</f>
        <v>167.67495549420045</v>
      </c>
      <c r="M11" s="29">
        <f>M14+N14</f>
        <v>197660</v>
      </c>
      <c r="N11" s="30">
        <f>M11/2204.62262184877</f>
        <v>89.657067854200236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8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73</v>
      </c>
      <c r="L12" s="36"/>
      <c r="M12" s="35" t="s">
        <v>148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8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8" x14ac:dyDescent="0.25">
      <c r="C14" s="20"/>
      <c r="D14" s="37"/>
      <c r="E14" s="39">
        <f>SUM(E15:E133)</f>
        <v>290300</v>
      </c>
      <c r="F14" s="40">
        <f>SUM(F15:F133)</f>
        <v>0</v>
      </c>
      <c r="G14" s="37"/>
      <c r="H14" s="39">
        <f>SUM(H15:H133)</f>
        <v>286580</v>
      </c>
      <c r="I14" s="39">
        <f>SUM(I15:I133)</f>
        <v>0</v>
      </c>
      <c r="J14" s="28"/>
      <c r="K14" s="41">
        <f t="shared" ref="K14:X14" si="1">SUM(K15:K133)</f>
        <v>369660</v>
      </c>
      <c r="L14" s="42">
        <f t="shared" si="1"/>
        <v>0</v>
      </c>
      <c r="M14" s="41">
        <f t="shared" si="1"/>
        <v>197660</v>
      </c>
      <c r="N14" s="42">
        <f t="shared" si="1"/>
        <v>0</v>
      </c>
      <c r="O14" s="41">
        <f t="shared" si="1"/>
        <v>0</v>
      </c>
      <c r="P14" s="42">
        <f t="shared" si="1"/>
        <v>0</v>
      </c>
      <c r="Q14" s="41">
        <f t="shared" si="1"/>
        <v>0</v>
      </c>
      <c r="R14" s="42">
        <f t="shared" si="1"/>
        <v>0</v>
      </c>
      <c r="S14" s="41">
        <f t="shared" si="1"/>
        <v>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28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8" x14ac:dyDescent="0.25">
      <c r="B16">
        <v>1</v>
      </c>
      <c r="C16" s="20"/>
      <c r="D16" s="37">
        <v>197</v>
      </c>
      <c r="E16">
        <v>20900</v>
      </c>
      <c r="F16" s="20"/>
      <c r="G16" s="37" t="s">
        <v>149</v>
      </c>
      <c r="H16">
        <v>20760</v>
      </c>
      <c r="J16" s="37"/>
      <c r="K16">
        <v>41240</v>
      </c>
    </row>
    <row r="17" spans="2:19" x14ac:dyDescent="0.25">
      <c r="B17">
        <v>2</v>
      </c>
      <c r="C17" s="20"/>
      <c r="D17" s="37">
        <v>198</v>
      </c>
      <c r="E17">
        <v>13120</v>
      </c>
      <c r="F17" s="20"/>
      <c r="G17" s="37">
        <v>664</v>
      </c>
      <c r="H17">
        <v>20860</v>
      </c>
      <c r="J17" s="37"/>
      <c r="K17">
        <v>29600</v>
      </c>
    </row>
    <row r="18" spans="2:19" x14ac:dyDescent="0.25">
      <c r="B18">
        <v>3</v>
      </c>
      <c r="C18" s="20" t="s">
        <v>137</v>
      </c>
      <c r="D18" s="37">
        <v>199</v>
      </c>
      <c r="E18">
        <v>19260</v>
      </c>
      <c r="F18" s="20"/>
      <c r="G18" s="37">
        <v>665</v>
      </c>
      <c r="H18">
        <v>20640</v>
      </c>
      <c r="J18" s="37"/>
      <c r="K18">
        <v>40340</v>
      </c>
    </row>
    <row r="19" spans="2:19" x14ac:dyDescent="0.25">
      <c r="B19">
        <v>4</v>
      </c>
      <c r="C19" s="20"/>
      <c r="D19">
        <v>200</v>
      </c>
      <c r="E19">
        <v>21660</v>
      </c>
      <c r="F19" s="20"/>
      <c r="G19">
        <v>666</v>
      </c>
      <c r="H19">
        <v>17560</v>
      </c>
      <c r="J19" s="37"/>
      <c r="K19">
        <v>36280</v>
      </c>
    </row>
    <row r="20" spans="2:19" x14ac:dyDescent="0.25">
      <c r="B20">
        <v>5</v>
      </c>
      <c r="C20" s="20" t="s">
        <v>137</v>
      </c>
      <c r="D20" t="s">
        <v>150</v>
      </c>
      <c r="E20">
        <v>19300</v>
      </c>
      <c r="F20" s="20"/>
      <c r="G20">
        <v>667</v>
      </c>
      <c r="H20">
        <v>24700</v>
      </c>
      <c r="J20" s="37" t="s">
        <v>151</v>
      </c>
      <c r="K20">
        <v>40780</v>
      </c>
    </row>
    <row r="21" spans="2:19" x14ac:dyDescent="0.25">
      <c r="B21">
        <v>6</v>
      </c>
      <c r="C21" s="20"/>
      <c r="D21">
        <v>203</v>
      </c>
      <c r="E21">
        <v>21460</v>
      </c>
      <c r="F21" s="20"/>
      <c r="G21">
        <v>668</v>
      </c>
      <c r="H21">
        <v>20140</v>
      </c>
      <c r="J21" s="37"/>
      <c r="K21">
        <v>40060</v>
      </c>
    </row>
    <row r="22" spans="2:19" x14ac:dyDescent="0.25">
      <c r="B22">
        <v>7</v>
      </c>
      <c r="C22" s="20"/>
      <c r="D22">
        <v>204</v>
      </c>
      <c r="E22">
        <v>18900</v>
      </c>
      <c r="F22" s="20"/>
      <c r="G22">
        <v>669</v>
      </c>
      <c r="H22">
        <v>16180</v>
      </c>
      <c r="J22" s="37"/>
      <c r="K22">
        <v>36000</v>
      </c>
    </row>
    <row r="23" spans="2:19" x14ac:dyDescent="0.25">
      <c r="B23">
        <v>8</v>
      </c>
      <c r="C23" s="20"/>
      <c r="D23">
        <v>205</v>
      </c>
      <c r="E23">
        <v>18800</v>
      </c>
      <c r="F23" s="20"/>
      <c r="G23">
        <v>670</v>
      </c>
      <c r="H23">
        <v>20140</v>
      </c>
      <c r="J23" s="37"/>
      <c r="K23">
        <v>16240</v>
      </c>
    </row>
    <row r="24" spans="2:19" x14ac:dyDescent="0.25">
      <c r="C24" s="20"/>
      <c r="F24" s="20"/>
      <c r="G24" t="s">
        <v>152</v>
      </c>
      <c r="H24">
        <v>13740</v>
      </c>
      <c r="J24" s="37"/>
      <c r="K24">
        <v>36980</v>
      </c>
    </row>
    <row r="25" spans="2:19" x14ac:dyDescent="0.25">
      <c r="B25">
        <v>9</v>
      </c>
      <c r="C25" s="20"/>
      <c r="D25">
        <v>206</v>
      </c>
      <c r="E25">
        <v>19080</v>
      </c>
      <c r="F25" s="20"/>
      <c r="J25" s="37"/>
      <c r="K25">
        <v>17960</v>
      </c>
    </row>
    <row r="26" spans="2:19" x14ac:dyDescent="0.25">
      <c r="C26" s="20"/>
      <c r="F26" s="20"/>
      <c r="G26">
        <v>673</v>
      </c>
      <c r="H26">
        <v>17520</v>
      </c>
      <c r="J26" s="37"/>
      <c r="K26">
        <v>19300</v>
      </c>
    </row>
    <row r="27" spans="2:19" x14ac:dyDescent="0.25">
      <c r="B27">
        <v>10</v>
      </c>
      <c r="C27" s="20"/>
      <c r="D27">
        <v>207</v>
      </c>
      <c r="E27">
        <v>14880</v>
      </c>
      <c r="F27" s="20"/>
      <c r="I27" s="20"/>
      <c r="J27" s="37"/>
      <c r="K27">
        <v>14880</v>
      </c>
    </row>
    <row r="28" spans="2:19" x14ac:dyDescent="0.25">
      <c r="C28" s="20"/>
      <c r="F28" s="20"/>
      <c r="I28" s="20"/>
      <c r="J28" s="37"/>
    </row>
    <row r="29" spans="2:19" x14ac:dyDescent="0.25">
      <c r="B29" t="s">
        <v>141</v>
      </c>
      <c r="C29" s="20"/>
      <c r="J29" s="37"/>
    </row>
    <row r="30" spans="2:19" x14ac:dyDescent="0.25">
      <c r="B30">
        <v>1</v>
      </c>
      <c r="C30" s="20"/>
      <c r="D30" s="49">
        <v>222</v>
      </c>
      <c r="E30">
        <v>17000</v>
      </c>
      <c r="F30" s="20"/>
      <c r="G30">
        <v>691</v>
      </c>
      <c r="H30">
        <v>15880</v>
      </c>
      <c r="J30" s="37"/>
      <c r="M30">
        <v>33400</v>
      </c>
    </row>
    <row r="31" spans="2:19" x14ac:dyDescent="0.25">
      <c r="B31">
        <v>2</v>
      </c>
      <c r="C31" s="20"/>
      <c r="D31">
        <v>223</v>
      </c>
      <c r="E31">
        <v>20940</v>
      </c>
      <c r="F31" s="20"/>
      <c r="G31">
        <v>692</v>
      </c>
      <c r="H31">
        <v>14560</v>
      </c>
      <c r="J31" s="37"/>
      <c r="M31">
        <v>35520</v>
      </c>
    </row>
    <row r="32" spans="2:19" x14ac:dyDescent="0.25">
      <c r="B32">
        <v>3</v>
      </c>
      <c r="C32" s="20"/>
      <c r="D32" t="s">
        <v>153</v>
      </c>
      <c r="E32">
        <v>5100</v>
      </c>
      <c r="F32" s="20"/>
      <c r="G32">
        <v>693</v>
      </c>
      <c r="H32">
        <v>18220</v>
      </c>
      <c r="J32" s="37"/>
      <c r="S32" t="s">
        <v>47</v>
      </c>
    </row>
    <row r="33" spans="2:13" x14ac:dyDescent="0.25">
      <c r="C33" s="20"/>
      <c r="D33">
        <v>225</v>
      </c>
      <c r="E33">
        <v>15440</v>
      </c>
      <c r="F33" s="20"/>
      <c r="J33" s="37"/>
      <c r="M33">
        <v>38900</v>
      </c>
    </row>
    <row r="34" spans="2:13" x14ac:dyDescent="0.25">
      <c r="B34">
        <v>4</v>
      </c>
      <c r="C34" s="20"/>
      <c r="D34">
        <v>226</v>
      </c>
      <c r="E34">
        <v>17460</v>
      </c>
      <c r="F34" s="20"/>
      <c r="G34">
        <v>694</v>
      </c>
      <c r="H34">
        <v>14600</v>
      </c>
      <c r="J34" s="37"/>
      <c r="M34">
        <v>31940</v>
      </c>
    </row>
    <row r="35" spans="2:13" x14ac:dyDescent="0.25">
      <c r="B35">
        <v>5</v>
      </c>
      <c r="C35" s="20"/>
      <c r="D35">
        <v>227</v>
      </c>
      <c r="E35">
        <v>16440</v>
      </c>
      <c r="F35" s="20"/>
      <c r="G35">
        <v>695</v>
      </c>
      <c r="H35">
        <v>16280</v>
      </c>
      <c r="J35" s="37"/>
      <c r="M35">
        <v>32780</v>
      </c>
    </row>
    <row r="36" spans="2:13" x14ac:dyDescent="0.25">
      <c r="B36">
        <v>6</v>
      </c>
      <c r="C36" s="20"/>
      <c r="D36">
        <v>228</v>
      </c>
      <c r="E36">
        <v>10560</v>
      </c>
      <c r="F36" s="20"/>
      <c r="G36">
        <v>696</v>
      </c>
      <c r="H36">
        <v>14800</v>
      </c>
      <c r="J36" s="37"/>
      <c r="M36">
        <v>25120</v>
      </c>
    </row>
    <row r="37" spans="2:13" x14ac:dyDescent="0.25">
      <c r="C37" s="20"/>
      <c r="F37" s="20"/>
      <c r="H37" s="60"/>
      <c r="J37" s="37"/>
    </row>
    <row r="38" spans="2:13" x14ac:dyDescent="0.25">
      <c r="C38" s="20"/>
      <c r="F38" s="20"/>
      <c r="H38" s="60"/>
      <c r="J38" s="37"/>
    </row>
    <row r="39" spans="2:13" x14ac:dyDescent="0.25">
      <c r="C39" s="20"/>
      <c r="F39" s="20"/>
      <c r="H39" s="60"/>
      <c r="J39" s="37"/>
    </row>
    <row r="40" spans="2:13" x14ac:dyDescent="0.25">
      <c r="C40" s="20"/>
      <c r="F40" s="20"/>
      <c r="H40" s="60"/>
      <c r="J40" s="37"/>
    </row>
    <row r="41" spans="2:13" x14ac:dyDescent="0.25">
      <c r="C41" s="20"/>
      <c r="F41" s="20"/>
      <c r="H41" s="60"/>
      <c r="J41" s="37"/>
      <c r="M41" s="60"/>
    </row>
    <row r="42" spans="2:13" x14ac:dyDescent="0.25">
      <c r="C42" s="20"/>
      <c r="F42" s="20"/>
      <c r="J42" s="37"/>
    </row>
    <row r="43" spans="2:13" x14ac:dyDescent="0.25">
      <c r="C43" s="20"/>
      <c r="F43" s="20"/>
      <c r="J43" s="37"/>
    </row>
    <row r="44" spans="2:13" x14ac:dyDescent="0.25">
      <c r="C44" s="20"/>
      <c r="F44" s="20"/>
      <c r="J44" s="37"/>
    </row>
    <row r="45" spans="2:13" x14ac:dyDescent="0.25">
      <c r="C45" s="20"/>
      <c r="F45" s="20"/>
      <c r="J45" s="37"/>
    </row>
    <row r="46" spans="2:13" x14ac:dyDescent="0.25">
      <c r="C46" s="20"/>
      <c r="F46" s="20"/>
      <c r="J46" s="37"/>
    </row>
    <row r="47" spans="2:13" x14ac:dyDescent="0.25">
      <c r="C47" s="20"/>
      <c r="F47" s="20"/>
      <c r="J47" s="37"/>
    </row>
    <row r="48" spans="2:13" x14ac:dyDescent="0.25">
      <c r="C48" s="20"/>
      <c r="F48" s="20"/>
      <c r="J48" s="37"/>
    </row>
    <row r="49" spans="1:15" x14ac:dyDescent="0.25">
      <c r="C49" s="20"/>
      <c r="F49" s="20"/>
      <c r="J49" s="37"/>
    </row>
    <row r="50" spans="1:15" x14ac:dyDescent="0.25">
      <c r="C50" s="20"/>
      <c r="F50" s="20"/>
      <c r="J50" s="37"/>
    </row>
    <row r="51" spans="1:15" x14ac:dyDescent="0.25">
      <c r="C51" s="20"/>
      <c r="F51" s="20"/>
      <c r="J51" s="37"/>
    </row>
    <row r="52" spans="1:15" x14ac:dyDescent="0.25">
      <c r="C52" s="20"/>
      <c r="F52" s="20"/>
      <c r="J52" s="37"/>
    </row>
    <row r="53" spans="1:15" x14ac:dyDescent="0.25">
      <c r="C53" s="20"/>
      <c r="F53" s="20"/>
      <c r="J53" s="37"/>
    </row>
    <row r="54" spans="1:15" x14ac:dyDescent="0.25">
      <c r="C54" s="20"/>
      <c r="F54" s="20"/>
      <c r="J54" s="37"/>
    </row>
    <row r="55" spans="1:15" x14ac:dyDescent="0.25">
      <c r="C55" s="20"/>
      <c r="F55" s="20"/>
      <c r="J55" s="37"/>
      <c r="L55" s="11"/>
      <c r="M55" s="11"/>
    </row>
    <row r="56" spans="1:15" x14ac:dyDescent="0.25">
      <c r="C56" s="20"/>
      <c r="F56" s="20"/>
      <c r="J56" s="37"/>
    </row>
    <row r="57" spans="1:15" x14ac:dyDescent="0.25">
      <c r="C57" s="20"/>
      <c r="F57" s="20"/>
      <c r="J57" s="37"/>
    </row>
    <row r="58" spans="1:15" s="11" customFormat="1" x14ac:dyDescent="0.25">
      <c r="A58"/>
      <c r="C58" s="47"/>
      <c r="D58"/>
      <c r="E58"/>
      <c r="F58" s="20"/>
      <c r="G58"/>
      <c r="H58"/>
      <c r="I58"/>
      <c r="J58" s="37"/>
      <c r="K58"/>
    </row>
    <row r="59" spans="1:15" s="11" customFormat="1" x14ac:dyDescent="0.25">
      <c r="A59"/>
      <c r="C59" s="47"/>
      <c r="D59"/>
      <c r="E59"/>
      <c r="F59" s="20"/>
      <c r="G59"/>
      <c r="H59"/>
      <c r="I59"/>
      <c r="J59" s="37"/>
      <c r="K59"/>
    </row>
    <row r="60" spans="1:15" s="11" customFormat="1" x14ac:dyDescent="0.25">
      <c r="A60"/>
      <c r="C60" s="47"/>
      <c r="D60"/>
      <c r="E60"/>
      <c r="F60" s="20"/>
      <c r="G60"/>
      <c r="H60"/>
      <c r="I60"/>
      <c r="J60" s="37"/>
      <c r="K60"/>
    </row>
    <row r="61" spans="1:15" s="11" customFormat="1" x14ac:dyDescent="0.25">
      <c r="A61"/>
      <c r="C61" s="47"/>
      <c r="D61"/>
      <c r="E61"/>
      <c r="F61" s="20"/>
      <c r="G61"/>
      <c r="H61"/>
      <c r="J61" s="58"/>
      <c r="K61"/>
    </row>
    <row r="62" spans="1:15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</row>
    <row r="63" spans="1:15" x14ac:dyDescent="0.25">
      <c r="C63" s="20"/>
      <c r="D63" s="37"/>
      <c r="F63" s="20"/>
      <c r="J63" s="37"/>
      <c r="O63" s="11"/>
    </row>
    <row r="64" spans="1:15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235E-85E1-4D3F-A0BD-2E6F09AD94D9}">
  <dimension ref="A1:AC108"/>
  <sheetViews>
    <sheetView workbookViewId="0">
      <pane ySplit="15" topLeftCell="A70" activePane="bottomLeft" state="frozen"/>
      <selection activeCell="AB4" sqref="AB4"/>
      <selection pane="bottomLeft" activeCell="AB4" sqref="AB4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9" x14ac:dyDescent="0.25">
      <c r="B1" t="s">
        <v>0</v>
      </c>
      <c r="L1" s="1">
        <f>[3]Summary!E2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29" x14ac:dyDescent="0.25">
      <c r="H2" s="2" t="s">
        <v>1</v>
      </c>
      <c r="I2" s="2" t="s">
        <v>1</v>
      </c>
      <c r="J2">
        <f>+D11+G11</f>
        <v>2186336.7145762197</v>
      </c>
      <c r="K2">
        <f>J2-J3</f>
        <v>-288060</v>
      </c>
      <c r="L2" s="1">
        <f>K2/J2</f>
        <v>-0.13175463691366268</v>
      </c>
      <c r="S2" t="s">
        <v>77</v>
      </c>
      <c r="T2">
        <v>432</v>
      </c>
      <c r="U2">
        <v>736.70299999999997</v>
      </c>
      <c r="V2" s="8">
        <f>U2*2204.622/60</f>
        <v>27069.194021099996</v>
      </c>
      <c r="W2" s="10">
        <f>V2/T2</f>
        <v>62.660171345138878</v>
      </c>
      <c r="Y2">
        <v>54.5</v>
      </c>
      <c r="Z2">
        <v>76000</v>
      </c>
      <c r="AA2">
        <f>Z2/Y2</f>
        <v>1394.4954128440368</v>
      </c>
      <c r="AB2">
        <v>1390</v>
      </c>
      <c r="AC2">
        <f>AB2*Y2</f>
        <v>75755</v>
      </c>
    </row>
    <row r="3" spans="1:29" x14ac:dyDescent="0.25">
      <c r="B3" t="s">
        <v>2</v>
      </c>
      <c r="D3" s="3" t="s">
        <v>83</v>
      </c>
      <c r="E3" s="4"/>
      <c r="F3" t="s">
        <v>84</v>
      </c>
      <c r="H3" s="2" t="s">
        <v>5</v>
      </c>
      <c r="I3" s="2"/>
      <c r="J3">
        <f>K11-L10+M11-N10+O11-P10+Q11-R10+S11-T10+U11-V10+W11-X10</f>
        <v>2474396.7145762197</v>
      </c>
      <c r="K3" s="5" t="s">
        <v>6</v>
      </c>
      <c r="L3" s="5" t="s">
        <v>7</v>
      </c>
      <c r="M3" s="5" t="s">
        <v>8</v>
      </c>
      <c r="N3" s="6">
        <f>N4*I4/O1</f>
        <v>1014.331481931875</v>
      </c>
      <c r="O3" s="6">
        <f>K7+M7+O7+Q7+S7+U7+W7</f>
        <v>1014.2483393320388</v>
      </c>
      <c r="S3" t="s">
        <v>80</v>
      </c>
      <c r="T3">
        <f>624-T2</f>
        <v>192</v>
      </c>
      <c r="U3" s="6">
        <f>Q7+S7+U7+W7</f>
        <v>277.57127924703201</v>
      </c>
      <c r="V3" s="8">
        <f>U3*2204.622/60</f>
        <v>10198.99581326917</v>
      </c>
      <c r="W3" s="10">
        <f>V3/T3</f>
        <v>53.119769860776927</v>
      </c>
      <c r="Y3">
        <v>143.5</v>
      </c>
      <c r="Z3">
        <f>Z4-Z2</f>
        <v>201500</v>
      </c>
      <c r="AA3">
        <f t="shared" ref="AA3:AA4" si="0">Z3/Y3</f>
        <v>1404.1811846689895</v>
      </c>
      <c r="AB3">
        <v>1406</v>
      </c>
      <c r="AC3">
        <f>AB3*Y3</f>
        <v>201761</v>
      </c>
    </row>
    <row r="4" spans="1:29" x14ac:dyDescent="0.25">
      <c r="B4" t="s">
        <v>9</v>
      </c>
      <c r="D4" s="7" t="str">
        <f>[3]Summary!C2</f>
        <v>CPS</v>
      </c>
      <c r="E4" s="4"/>
      <c r="F4" s="8">
        <f>[3]Summary!C3</f>
        <v>2019</v>
      </c>
      <c r="I4" s="8">
        <f>[3]Summary!D2</f>
        <v>60</v>
      </c>
      <c r="J4" s="8">
        <f>J3/I4</f>
        <v>41239.945242936992</v>
      </c>
      <c r="K4" s="9">
        <v>0.98</v>
      </c>
      <c r="L4" s="9">
        <f>IF(J5=0,L1,(L8+N8+P8+R8+T8+V8+X8)/J5/K4)</f>
        <v>0.19762195252702411</v>
      </c>
      <c r="M4" s="9">
        <f>IF(J5=0,0,(L9+N9+P9+R9+T9+V9+X9)/J5/K4)</f>
        <v>1.7334214798754143E-2</v>
      </c>
      <c r="N4" s="8">
        <f>IF(L4&gt;L1,J4*(1-L4)/(1-L1)*(1-M4)*K4,J4*K4*(1-M4))</f>
        <v>37270.302185339977</v>
      </c>
      <c r="S4" t="s">
        <v>81</v>
      </c>
      <c r="T4" s="61">
        <f>T2+T3</f>
        <v>624</v>
      </c>
      <c r="U4" s="61">
        <f t="shared" ref="U4:V4" si="1">U2+U3</f>
        <v>1014.2742792470319</v>
      </c>
      <c r="V4" s="62">
        <f t="shared" si="1"/>
        <v>37268.189834369165</v>
      </c>
      <c r="W4" s="63">
        <f>V4/T4</f>
        <v>59.72466319610443</v>
      </c>
      <c r="Y4">
        <f>Y2+Y3</f>
        <v>198</v>
      </c>
      <c r="Z4">
        <v>277500</v>
      </c>
      <c r="AA4">
        <f t="shared" si="0"/>
        <v>1401.5151515151515</v>
      </c>
      <c r="AC4">
        <f>AC2+AC3</f>
        <v>277516</v>
      </c>
    </row>
    <row r="5" spans="1:29" x14ac:dyDescent="0.25">
      <c r="B5" t="s">
        <v>10</v>
      </c>
      <c r="D5" s="7"/>
      <c r="E5" s="4"/>
      <c r="J5" s="6">
        <f>J3/O1</f>
        <v>1122.3674700848439</v>
      </c>
      <c r="N5" s="8">
        <v>624</v>
      </c>
      <c r="O5" s="10">
        <f>N4/N5</f>
        <v>59.728048373942272</v>
      </c>
      <c r="P5" t="s">
        <v>11</v>
      </c>
      <c r="V5" s="6"/>
    </row>
    <row r="6" spans="1:29" x14ac:dyDescent="0.25">
      <c r="D6" s="11"/>
      <c r="J6" s="6"/>
      <c r="K6" s="12"/>
      <c r="L6" s="13"/>
      <c r="M6" s="12"/>
      <c r="N6" s="8"/>
      <c r="O6" s="10"/>
    </row>
    <row r="7" spans="1:29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360.20434085608355</v>
      </c>
      <c r="M7" s="6">
        <f>IF(M8&gt;$L1,(N11-N10/$O1)*$K4*(1-M8)/(1-$L1)*(1-M9),(N11-N10/$O1)*$K4*(1-M9))</f>
        <v>316.84915345760459</v>
      </c>
      <c r="O7" s="6">
        <f>IF(O8&gt;$L1,(P11-P10/$O1)*$K4*(1-O8)/(1-$L1)*(1-O9),(P11-P10/$O1)*$K4*(1-O9))</f>
        <v>59.623565771318525</v>
      </c>
      <c r="Q7" s="6">
        <f>IF(Q8&gt;$L1,(R11-R10/$O1)*$K4*(1-Q8)/(1-$L1)*(1-Q9),(R11-R10/$O1)*$K4*(1-Q9))</f>
        <v>81.280936293270543</v>
      </c>
      <c r="S7" s="6">
        <f>IF(S8&gt;$L1,(T11-T10/$O1)*$K4*(1-S8)/(1-$L1)*(1-S9),(T11-T10/$O1)*$K4*(1-S9))</f>
        <v>196.29034295376147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0.21</v>
      </c>
      <c r="L8" s="6">
        <f>(L11-L10/$O1)*$K4*K8</f>
        <v>83.2824979083789</v>
      </c>
      <c r="M8" s="1">
        <v>0.21</v>
      </c>
      <c r="N8" s="6">
        <f>(N11-N10/$O1)*$K4*M8</f>
        <v>73.258386885036629</v>
      </c>
      <c r="O8" s="1">
        <v>0.26</v>
      </c>
      <c r="P8" s="6">
        <f>(P11-P10/$O1)*$K4*O8</f>
        <v>18.092163078029085</v>
      </c>
      <c r="Q8" s="1">
        <v>0.15</v>
      </c>
      <c r="R8" s="6">
        <f>(R11-R10/$O1)*$K4*Q8</f>
        <v>12.514141752235231</v>
      </c>
      <c r="S8" s="1">
        <v>0.15</v>
      </c>
      <c r="T8" s="6">
        <f>(T11-T10/$O1)*$K4*S8</f>
        <v>30.221172249483679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1.7000000000000001E-2</v>
      </c>
      <c r="L9" s="6">
        <f>(L11-L10/$O1)*$K4*K9</f>
        <v>6.7419164973449597</v>
      </c>
      <c r="M9" s="1">
        <v>1.7000000000000001E-2</v>
      </c>
      <c r="N9" s="6">
        <f>(N11-N10/$O1)*$K4*M9</f>
        <v>5.9304408430743942</v>
      </c>
      <c r="O9" s="1">
        <v>0.01</v>
      </c>
      <c r="P9" s="6">
        <f>(P11-P10/$O1)*$K4*O9</f>
        <v>0.69585242607804176</v>
      </c>
      <c r="Q9" s="1">
        <v>0.02</v>
      </c>
      <c r="R9" s="6">
        <f>(R11-R10/$O1)*$K4*Q9</f>
        <v>1.6685522336313643</v>
      </c>
      <c r="S9" s="1">
        <v>0.02</v>
      </c>
      <c r="T9" s="6">
        <f>(T11-T10/$O1)*$K4*S9</f>
        <v>4.0294896332644905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0"/>
      <c r="D10" s="21">
        <f>J3/J2*D11</f>
        <v>943882.6331236246</v>
      </c>
      <c r="E10" s="22"/>
      <c r="F10" s="23"/>
      <c r="G10" s="21">
        <f>J3/J2*G11</f>
        <v>1530514.0814525948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9" x14ac:dyDescent="0.25">
      <c r="B11" t="s">
        <v>16</v>
      </c>
      <c r="C11" s="20"/>
      <c r="D11" s="25">
        <f>E14+F14</f>
        <v>833999.35139442235</v>
      </c>
      <c r="E11" s="26"/>
      <c r="F11" s="27"/>
      <c r="G11" s="25">
        <f>H14+I14</f>
        <v>1352337.3631817973</v>
      </c>
      <c r="H11" s="26"/>
      <c r="I11" s="26"/>
      <c r="J11" s="28"/>
      <c r="K11" s="29">
        <f>K14+L14</f>
        <v>892159.76138428086</v>
      </c>
      <c r="L11" s="30">
        <f>K11/2204.62262184877</f>
        <v>404.67686058493149</v>
      </c>
      <c r="M11" s="29">
        <f>M14+N14</f>
        <v>784776.95319193881</v>
      </c>
      <c r="N11" s="30">
        <f>M11/2204.62262184877</f>
        <v>355.96883811971151</v>
      </c>
      <c r="O11" s="29">
        <f>O14+P14</f>
        <v>156540</v>
      </c>
      <c r="P11" s="30">
        <f>O11/2204.62262184877</f>
        <v>71.005349599800184</v>
      </c>
      <c r="Q11" s="29">
        <f>Q14+R14</f>
        <v>187680</v>
      </c>
      <c r="R11" s="30">
        <f>Q11/2204.62262184877</f>
        <v>85.130216001600218</v>
      </c>
      <c r="S11" s="29">
        <f>S14+T14</f>
        <v>453240</v>
      </c>
      <c r="T11" s="30">
        <f>S11/2204.62262184877</f>
        <v>205.58620577880055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9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85</v>
      </c>
      <c r="L12" s="36"/>
      <c r="M12" s="35" t="s">
        <v>82</v>
      </c>
      <c r="N12" s="36"/>
      <c r="O12" s="35" t="s">
        <v>86</v>
      </c>
      <c r="P12" s="36"/>
      <c r="Q12" s="35" t="s">
        <v>87</v>
      </c>
      <c r="R12" s="36"/>
      <c r="S12" s="35" t="s">
        <v>88</v>
      </c>
      <c r="T12" s="36"/>
      <c r="U12" s="35" t="s">
        <v>25</v>
      </c>
      <c r="V12" s="36"/>
      <c r="W12" s="35" t="s">
        <v>26</v>
      </c>
      <c r="X12" s="36"/>
    </row>
    <row r="13" spans="1:29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9" x14ac:dyDescent="0.25">
      <c r="C14" s="20"/>
      <c r="D14" s="37"/>
      <c r="E14" s="39">
        <f>SUM(E15:E133)</f>
        <v>779800</v>
      </c>
      <c r="F14" s="40">
        <f>SUM(F15:F133)</f>
        <v>54199.351394422309</v>
      </c>
      <c r="G14" s="37"/>
      <c r="H14" s="39">
        <f>SUM(H15:H133)</f>
        <v>1352337.3631817973</v>
      </c>
      <c r="I14" s="39">
        <f>SUM(I15:I133)</f>
        <v>0</v>
      </c>
      <c r="J14" s="28"/>
      <c r="K14" s="41">
        <f t="shared" ref="K14:X14" si="2">SUM(K15:K133)</f>
        <v>0</v>
      </c>
      <c r="L14" s="42">
        <f t="shared" si="2"/>
        <v>892159.76138428086</v>
      </c>
      <c r="M14" s="41">
        <f t="shared" si="2"/>
        <v>743036.95319193881</v>
      </c>
      <c r="N14" s="42">
        <f t="shared" si="2"/>
        <v>41740</v>
      </c>
      <c r="O14" s="41">
        <f t="shared" si="2"/>
        <v>156540</v>
      </c>
      <c r="P14" s="42">
        <f t="shared" si="2"/>
        <v>0</v>
      </c>
      <c r="Q14" s="41">
        <f t="shared" si="2"/>
        <v>187680</v>
      </c>
      <c r="R14" s="42">
        <f t="shared" si="2"/>
        <v>0</v>
      </c>
      <c r="S14" s="41">
        <f t="shared" si="2"/>
        <v>453240</v>
      </c>
      <c r="T14" s="42">
        <f t="shared" si="2"/>
        <v>0</v>
      </c>
      <c r="U14" s="41">
        <f t="shared" si="2"/>
        <v>0</v>
      </c>
      <c r="V14" s="42">
        <f t="shared" si="2"/>
        <v>0</v>
      </c>
      <c r="W14" s="41">
        <f t="shared" si="2"/>
        <v>0</v>
      </c>
      <c r="X14" s="42">
        <f t="shared" si="2"/>
        <v>0</v>
      </c>
    </row>
    <row r="15" spans="1:29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89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9" x14ac:dyDescent="0.25">
      <c r="B16">
        <v>1</v>
      </c>
      <c r="C16" s="20"/>
      <c r="D16" s="37">
        <v>1</v>
      </c>
      <c r="E16">
        <v>26900</v>
      </c>
      <c r="F16" s="20"/>
      <c r="G16" s="37"/>
      <c r="J16" s="45"/>
      <c r="M16">
        <v>23220</v>
      </c>
    </row>
    <row r="17" spans="2:16" x14ac:dyDescent="0.25">
      <c r="B17">
        <v>2</v>
      </c>
      <c r="C17" s="20"/>
      <c r="D17" s="37">
        <v>127</v>
      </c>
      <c r="E17">
        <v>17720</v>
      </c>
      <c r="F17" s="20"/>
      <c r="G17" s="37">
        <v>601</v>
      </c>
      <c r="H17">
        <v>19760</v>
      </c>
      <c r="J17" s="45"/>
      <c r="M17">
        <v>37380</v>
      </c>
    </row>
    <row r="18" spans="2:16" x14ac:dyDescent="0.25">
      <c r="B18">
        <v>3</v>
      </c>
      <c r="C18" s="20"/>
      <c r="D18" s="37">
        <v>128</v>
      </c>
      <c r="E18">
        <v>16340</v>
      </c>
      <c r="F18" s="20"/>
      <c r="G18" s="37">
        <v>602</v>
      </c>
      <c r="H18">
        <v>16400</v>
      </c>
      <c r="J18" s="45"/>
      <c r="M18">
        <v>32000</v>
      </c>
    </row>
    <row r="19" spans="2:16" x14ac:dyDescent="0.25">
      <c r="B19">
        <v>4</v>
      </c>
      <c r="C19" s="20"/>
      <c r="D19">
        <v>129</v>
      </c>
      <c r="E19">
        <v>21400</v>
      </c>
      <c r="F19" s="20"/>
      <c r="G19" t="s">
        <v>90</v>
      </c>
      <c r="H19">
        <v>19400</v>
      </c>
      <c r="J19" s="45"/>
      <c r="M19">
        <v>40840</v>
      </c>
    </row>
    <row r="20" spans="2:16" x14ac:dyDescent="0.25">
      <c r="B20">
        <v>5</v>
      </c>
      <c r="C20" s="20"/>
      <c r="D20">
        <v>130</v>
      </c>
      <c r="E20">
        <v>25280</v>
      </c>
      <c r="F20" s="20"/>
      <c r="G20">
        <v>604</v>
      </c>
      <c r="H20">
        <v>5320</v>
      </c>
      <c r="J20" s="45"/>
    </row>
    <row r="21" spans="2:16" x14ac:dyDescent="0.25">
      <c r="C21" s="20"/>
      <c r="F21" s="20"/>
      <c r="G21">
        <v>605</v>
      </c>
      <c r="H21">
        <v>7420</v>
      </c>
      <c r="J21" s="46"/>
      <c r="M21">
        <v>38900</v>
      </c>
    </row>
    <row r="22" spans="2:16" x14ac:dyDescent="0.25">
      <c r="B22">
        <v>6</v>
      </c>
      <c r="C22" s="20"/>
      <c r="D22">
        <v>131</v>
      </c>
      <c r="E22">
        <v>21700</v>
      </c>
      <c r="F22" s="20"/>
      <c r="G22">
        <v>606</v>
      </c>
      <c r="H22">
        <v>17480</v>
      </c>
      <c r="J22" s="45"/>
      <c r="M22">
        <v>38540</v>
      </c>
    </row>
    <row r="23" spans="2:16" x14ac:dyDescent="0.25">
      <c r="B23">
        <v>7</v>
      </c>
      <c r="C23" s="20"/>
      <c r="D23">
        <v>132</v>
      </c>
      <c r="E23">
        <v>21020</v>
      </c>
      <c r="F23" s="20"/>
      <c r="G23">
        <v>607</v>
      </c>
      <c r="H23">
        <v>23440</v>
      </c>
      <c r="J23" s="45"/>
      <c r="M23">
        <v>44620</v>
      </c>
    </row>
    <row r="24" spans="2:16" x14ac:dyDescent="0.25">
      <c r="B24">
        <v>8</v>
      </c>
      <c r="C24" s="20"/>
      <c r="D24">
        <v>133</v>
      </c>
      <c r="E24">
        <v>27200</v>
      </c>
      <c r="F24" s="20"/>
      <c r="J24" s="45"/>
      <c r="M24">
        <v>27200</v>
      </c>
    </row>
    <row r="25" spans="2:16" x14ac:dyDescent="0.25">
      <c r="B25">
        <v>9</v>
      </c>
      <c r="C25" s="20"/>
      <c r="D25">
        <v>134</v>
      </c>
      <c r="E25">
        <v>17060</v>
      </c>
      <c r="F25" s="20"/>
      <c r="G25">
        <v>608</v>
      </c>
      <c r="H25">
        <v>26660</v>
      </c>
      <c r="J25" s="45"/>
      <c r="M25">
        <v>41240</v>
      </c>
    </row>
    <row r="26" spans="2:16" x14ac:dyDescent="0.25">
      <c r="B26">
        <v>10</v>
      </c>
      <c r="C26" s="20"/>
      <c r="D26">
        <v>135</v>
      </c>
      <c r="E26">
        <v>23320</v>
      </c>
      <c r="F26" s="20"/>
      <c r="G26">
        <v>609</v>
      </c>
      <c r="H26">
        <v>17560</v>
      </c>
      <c r="J26" s="45" t="s">
        <v>54</v>
      </c>
      <c r="M26">
        <v>36180</v>
      </c>
    </row>
    <row r="27" spans="2:16" x14ac:dyDescent="0.25">
      <c r="B27">
        <v>11</v>
      </c>
      <c r="C27" s="20"/>
      <c r="F27" s="20"/>
      <c r="G27">
        <v>610</v>
      </c>
      <c r="H27">
        <v>21180</v>
      </c>
      <c r="J27" s="45"/>
      <c r="L27">
        <v>26820</v>
      </c>
      <c r="O27" s="11"/>
      <c r="P27" s="11"/>
    </row>
    <row r="28" spans="2:16" x14ac:dyDescent="0.25">
      <c r="B28">
        <v>12</v>
      </c>
      <c r="C28" s="20"/>
      <c r="D28">
        <v>136</v>
      </c>
      <c r="E28">
        <v>21300</v>
      </c>
      <c r="F28" s="20"/>
      <c r="G28">
        <v>611</v>
      </c>
      <c r="H28">
        <v>16540</v>
      </c>
      <c r="J28" s="45"/>
      <c r="L28">
        <v>48840</v>
      </c>
      <c r="O28" s="11"/>
      <c r="P28" s="11"/>
    </row>
    <row r="29" spans="2:16" x14ac:dyDescent="0.25">
      <c r="B29">
        <v>13</v>
      </c>
      <c r="C29" s="20"/>
      <c r="D29">
        <v>137</v>
      </c>
      <c r="E29">
        <v>13180</v>
      </c>
      <c r="F29" s="20"/>
      <c r="G29">
        <v>612</v>
      </c>
      <c r="H29">
        <v>19240</v>
      </c>
      <c r="J29" s="45"/>
      <c r="L29">
        <v>32740</v>
      </c>
      <c r="O29" s="11"/>
      <c r="P29" s="11"/>
    </row>
    <row r="30" spans="2:16" x14ac:dyDescent="0.25">
      <c r="B30">
        <v>14</v>
      </c>
      <c r="C30" s="20"/>
      <c r="D30">
        <v>138</v>
      </c>
      <c r="E30">
        <v>21340</v>
      </c>
      <c r="F30" s="20"/>
      <c r="G30">
        <v>613</v>
      </c>
      <c r="H30">
        <v>23160</v>
      </c>
      <c r="J30" s="45"/>
      <c r="L30">
        <v>43560</v>
      </c>
      <c r="O30" s="11"/>
    </row>
    <row r="31" spans="2:16" x14ac:dyDescent="0.25">
      <c r="B31">
        <v>15</v>
      </c>
      <c r="C31" s="20"/>
      <c r="D31">
        <v>139</v>
      </c>
      <c r="E31">
        <v>21520</v>
      </c>
      <c r="F31" s="20"/>
      <c r="G31">
        <v>614</v>
      </c>
      <c r="H31">
        <v>22680</v>
      </c>
      <c r="J31" s="45"/>
      <c r="L31">
        <v>45080</v>
      </c>
    </row>
    <row r="32" spans="2:16" x14ac:dyDescent="0.25">
      <c r="B32">
        <v>16</v>
      </c>
      <c r="C32" s="20"/>
      <c r="D32">
        <v>140</v>
      </c>
      <c r="E32">
        <v>22140</v>
      </c>
      <c r="F32" s="20"/>
      <c r="G32">
        <v>615</v>
      </c>
      <c r="H32">
        <v>9660</v>
      </c>
      <c r="J32" s="45"/>
      <c r="L32">
        <v>31380</v>
      </c>
    </row>
    <row r="33" spans="1:20" s="11" customFormat="1" x14ac:dyDescent="0.25">
      <c r="A33"/>
      <c r="B33">
        <v>17</v>
      </c>
      <c r="C33" s="47"/>
      <c r="D33">
        <v>141</v>
      </c>
      <c r="E33">
        <v>18560</v>
      </c>
      <c r="F33" s="20"/>
      <c r="G33">
        <v>616</v>
      </c>
      <c r="H33">
        <v>19240</v>
      </c>
      <c r="I33"/>
      <c r="J33" s="45"/>
      <c r="K33"/>
      <c r="L33">
        <v>35520</v>
      </c>
      <c r="M33"/>
      <c r="N33"/>
      <c r="Q33"/>
      <c r="R33"/>
      <c r="S33"/>
      <c r="T33"/>
    </row>
    <row r="34" spans="1:20" s="11" customFormat="1" x14ac:dyDescent="0.25">
      <c r="A34"/>
      <c r="B34">
        <v>18</v>
      </c>
      <c r="C34" s="47"/>
      <c r="D34">
        <v>142</v>
      </c>
      <c r="E34">
        <v>19300</v>
      </c>
      <c r="F34" s="20"/>
      <c r="G34" t="s">
        <v>91</v>
      </c>
      <c r="H34">
        <v>15720</v>
      </c>
      <c r="I34"/>
      <c r="J34" s="45"/>
      <c r="K34"/>
      <c r="L34">
        <v>32800</v>
      </c>
      <c r="M34"/>
      <c r="N34"/>
      <c r="Q34"/>
      <c r="R34"/>
      <c r="S34"/>
      <c r="T34"/>
    </row>
    <row r="35" spans="1:20" s="11" customFormat="1" x14ac:dyDescent="0.25">
      <c r="A35"/>
      <c r="B35">
        <v>19</v>
      </c>
      <c r="C35" s="47"/>
      <c r="D35">
        <v>143</v>
      </c>
      <c r="E35">
        <v>9720</v>
      </c>
      <c r="F35" s="20"/>
      <c r="G35">
        <v>618</v>
      </c>
      <c r="H35">
        <v>13740</v>
      </c>
      <c r="I35"/>
      <c r="J35" s="45"/>
      <c r="K35"/>
      <c r="L35">
        <v>23180</v>
      </c>
      <c r="M35"/>
      <c r="N35"/>
      <c r="S35"/>
      <c r="T35"/>
    </row>
    <row r="36" spans="1:20" s="11" customFormat="1" x14ac:dyDescent="0.25">
      <c r="A36"/>
      <c r="B36">
        <v>20</v>
      </c>
      <c r="C36" s="47"/>
      <c r="D36">
        <v>144</v>
      </c>
      <c r="E36">
        <v>16760</v>
      </c>
      <c r="F36" s="20"/>
      <c r="G36">
        <v>619</v>
      </c>
      <c r="H36">
        <v>19380</v>
      </c>
      <c r="I36"/>
      <c r="J36" s="45"/>
      <c r="K36"/>
      <c r="L36">
        <v>36400</v>
      </c>
      <c r="M36"/>
      <c r="N36"/>
      <c r="S36"/>
      <c r="T36"/>
    </row>
    <row r="37" spans="1:20" s="11" customFormat="1" x14ac:dyDescent="0.25">
      <c r="A37"/>
      <c r="B37">
        <v>21</v>
      </c>
      <c r="C37" s="47"/>
      <c r="D37" s="37">
        <v>145</v>
      </c>
      <c r="E37" s="8">
        <v>19420</v>
      </c>
      <c r="F37" s="20"/>
      <c r="G37">
        <v>620</v>
      </c>
      <c r="H37" s="8">
        <v>20080</v>
      </c>
      <c r="I37"/>
      <c r="J37" s="45"/>
      <c r="K37"/>
      <c r="L37">
        <v>39560</v>
      </c>
      <c r="M37"/>
      <c r="N37"/>
      <c r="O37" s="48"/>
      <c r="S37"/>
      <c r="T37"/>
    </row>
    <row r="38" spans="1:20" x14ac:dyDescent="0.25">
      <c r="B38">
        <v>22</v>
      </c>
      <c r="C38" s="20"/>
      <c r="D38" s="37" t="s">
        <v>92</v>
      </c>
      <c r="E38">
        <v>17940</v>
      </c>
      <c r="F38" s="20"/>
      <c r="G38">
        <v>621</v>
      </c>
      <c r="H38">
        <v>19920</v>
      </c>
      <c r="J38" s="45"/>
      <c r="L38">
        <v>36980</v>
      </c>
    </row>
    <row r="39" spans="1:20" x14ac:dyDescent="0.25">
      <c r="B39">
        <v>23</v>
      </c>
      <c r="C39" s="20"/>
      <c r="D39" s="37">
        <v>147</v>
      </c>
      <c r="E39" s="8">
        <v>21360</v>
      </c>
      <c r="F39" s="20"/>
      <c r="G39">
        <v>622</v>
      </c>
      <c r="H39" s="8">
        <v>20560</v>
      </c>
      <c r="J39" s="45"/>
      <c r="L39">
        <v>40240</v>
      </c>
      <c r="O39" s="48"/>
    </row>
    <row r="40" spans="1:20" x14ac:dyDescent="0.25">
      <c r="B40">
        <v>24</v>
      </c>
      <c r="C40" s="20"/>
      <c r="D40" s="37">
        <v>148</v>
      </c>
      <c r="E40">
        <v>8260</v>
      </c>
      <c r="F40" s="20"/>
      <c r="G40">
        <v>623</v>
      </c>
      <c r="H40">
        <v>15380</v>
      </c>
      <c r="J40" s="45"/>
      <c r="L40">
        <v>29680</v>
      </c>
    </row>
    <row r="41" spans="1:20" x14ac:dyDescent="0.25">
      <c r="B41">
        <v>25</v>
      </c>
      <c r="C41" s="20"/>
      <c r="D41" s="37">
        <v>149</v>
      </c>
      <c r="E41">
        <v>23480</v>
      </c>
      <c r="F41" s="20"/>
      <c r="G41">
        <v>624</v>
      </c>
      <c r="H41">
        <v>19200</v>
      </c>
      <c r="J41" s="45"/>
      <c r="L41">
        <v>38420</v>
      </c>
    </row>
    <row r="42" spans="1:20" x14ac:dyDescent="0.25">
      <c r="B42">
        <v>26</v>
      </c>
      <c r="C42" s="20"/>
      <c r="D42" s="37">
        <v>150</v>
      </c>
      <c r="E42">
        <v>15420</v>
      </c>
      <c r="F42" s="20"/>
      <c r="G42">
        <v>625</v>
      </c>
      <c r="H42">
        <v>23960</v>
      </c>
      <c r="J42" s="45"/>
      <c r="L42">
        <v>38640</v>
      </c>
      <c r="R42" s="11"/>
    </row>
    <row r="43" spans="1:20" x14ac:dyDescent="0.25">
      <c r="B43">
        <v>27</v>
      </c>
      <c r="C43" s="20"/>
      <c r="D43" s="37">
        <v>151</v>
      </c>
      <c r="E43">
        <v>19560</v>
      </c>
      <c r="F43" s="20"/>
      <c r="G43">
        <v>626</v>
      </c>
      <c r="H43">
        <v>17540</v>
      </c>
      <c r="J43" s="45"/>
      <c r="L43">
        <v>34360</v>
      </c>
      <c r="R43" s="11"/>
    </row>
    <row r="44" spans="1:20" x14ac:dyDescent="0.25">
      <c r="B44">
        <v>28</v>
      </c>
      <c r="C44" s="20"/>
      <c r="D44" s="37">
        <v>152</v>
      </c>
      <c r="E44">
        <v>14660</v>
      </c>
      <c r="F44" s="20"/>
      <c r="G44">
        <v>627</v>
      </c>
      <c r="H44">
        <v>24740</v>
      </c>
      <c r="J44" s="45"/>
      <c r="L44">
        <v>39760</v>
      </c>
      <c r="Q44" s="11"/>
    </row>
    <row r="45" spans="1:20" x14ac:dyDescent="0.25">
      <c r="B45">
        <v>29</v>
      </c>
      <c r="C45" s="20"/>
      <c r="D45" s="37">
        <v>153</v>
      </c>
      <c r="E45">
        <v>21080</v>
      </c>
      <c r="F45" s="20"/>
      <c r="G45">
        <v>628</v>
      </c>
      <c r="H45">
        <v>19420</v>
      </c>
      <c r="J45" s="45"/>
      <c r="L45">
        <v>41040</v>
      </c>
    </row>
    <row r="46" spans="1:20" x14ac:dyDescent="0.25">
      <c r="B46">
        <v>30</v>
      </c>
      <c r="C46" s="20"/>
      <c r="D46" s="37">
        <v>154</v>
      </c>
      <c r="E46">
        <v>9440</v>
      </c>
      <c r="F46" s="20"/>
      <c r="G46">
        <v>629</v>
      </c>
      <c r="H46">
        <v>23260</v>
      </c>
      <c r="J46" s="45"/>
      <c r="L46">
        <v>33160</v>
      </c>
    </row>
    <row r="47" spans="1:20" x14ac:dyDescent="0.25">
      <c r="B47">
        <v>31</v>
      </c>
      <c r="C47" s="20"/>
      <c r="D47" s="37">
        <v>155</v>
      </c>
      <c r="E47">
        <v>16940</v>
      </c>
      <c r="F47" s="20"/>
      <c r="G47">
        <v>630</v>
      </c>
      <c r="H47">
        <v>20580</v>
      </c>
      <c r="J47" s="45"/>
      <c r="L47">
        <v>36280</v>
      </c>
    </row>
    <row r="48" spans="1:20" x14ac:dyDescent="0.25">
      <c r="B48">
        <v>32</v>
      </c>
      <c r="C48" s="20"/>
      <c r="D48" s="37">
        <v>156</v>
      </c>
      <c r="E48">
        <v>20780</v>
      </c>
      <c r="F48" s="20"/>
      <c r="G48">
        <v>631</v>
      </c>
      <c r="H48">
        <v>20720</v>
      </c>
      <c r="J48" s="45"/>
      <c r="L48">
        <v>42560</v>
      </c>
    </row>
    <row r="49" spans="2:14" x14ac:dyDescent="0.25">
      <c r="B49">
        <v>33</v>
      </c>
      <c r="C49" s="20"/>
      <c r="D49" s="37">
        <v>157</v>
      </c>
      <c r="E49">
        <v>18280</v>
      </c>
      <c r="F49" s="20"/>
      <c r="G49">
        <v>632</v>
      </c>
      <c r="H49">
        <v>20240</v>
      </c>
      <c r="J49" s="45"/>
      <c r="L49">
        <v>41460</v>
      </c>
    </row>
    <row r="50" spans="2:14" x14ac:dyDescent="0.25">
      <c r="B50">
        <v>34</v>
      </c>
      <c r="C50" s="20"/>
      <c r="D50" s="37">
        <v>158</v>
      </c>
      <c r="E50">
        <v>17500</v>
      </c>
      <c r="F50" s="20"/>
      <c r="G50">
        <v>633</v>
      </c>
      <c r="H50">
        <v>19140</v>
      </c>
      <c r="J50" s="45"/>
      <c r="L50">
        <v>38020</v>
      </c>
    </row>
    <row r="51" spans="2:14" x14ac:dyDescent="0.25">
      <c r="B51">
        <v>35</v>
      </c>
      <c r="C51" s="20"/>
      <c r="D51" s="37">
        <v>159</v>
      </c>
      <c r="E51">
        <v>11380</v>
      </c>
      <c r="F51" s="20"/>
      <c r="G51">
        <v>634</v>
      </c>
      <c r="H51">
        <v>13100</v>
      </c>
      <c r="J51" s="45" t="s">
        <v>54</v>
      </c>
      <c r="L51">
        <v>18120</v>
      </c>
    </row>
    <row r="52" spans="2:14" x14ac:dyDescent="0.25">
      <c r="B52">
        <v>36</v>
      </c>
      <c r="C52" s="20"/>
      <c r="D52" s="37" t="s">
        <v>93</v>
      </c>
      <c r="E52">
        <v>9000</v>
      </c>
      <c r="F52" s="65">
        <f>16688*11380/12550-E52</f>
        <v>6132.2262948207172</v>
      </c>
      <c r="G52">
        <v>635</v>
      </c>
      <c r="H52">
        <v>21020</v>
      </c>
      <c r="J52" s="45"/>
      <c r="L52" s="60">
        <f>F52</f>
        <v>6132.2262948207172</v>
      </c>
      <c r="N52">
        <v>41740</v>
      </c>
    </row>
    <row r="53" spans="2:14" x14ac:dyDescent="0.25">
      <c r="C53" s="20"/>
      <c r="D53" s="37">
        <v>160</v>
      </c>
      <c r="F53" s="65">
        <f>11380/12550*16840</f>
        <v>15270.055776892432</v>
      </c>
      <c r="J53" s="45"/>
      <c r="L53" s="60">
        <f>F53</f>
        <v>15270.055776892432</v>
      </c>
    </row>
    <row r="54" spans="2:14" x14ac:dyDescent="0.25">
      <c r="C54" s="20"/>
      <c r="D54" s="37">
        <v>162</v>
      </c>
      <c r="F54" s="65">
        <f>11380/12550*15598</f>
        <v>14143.843824701196</v>
      </c>
      <c r="G54" s="49"/>
      <c r="J54" s="45"/>
      <c r="L54" s="60">
        <f>F54</f>
        <v>14143.843824701196</v>
      </c>
    </row>
    <row r="55" spans="2:14" x14ac:dyDescent="0.25">
      <c r="C55" s="20"/>
      <c r="D55" s="37">
        <v>163</v>
      </c>
      <c r="F55" s="60">
        <f>11380/12550*20571</f>
        <v>18653.225498007971</v>
      </c>
      <c r="G55" s="37" t="s">
        <v>94</v>
      </c>
      <c r="H55" s="60">
        <f>(7293+14852)*21020/21799</f>
        <v>21353.635487866417</v>
      </c>
      <c r="J55" s="45"/>
      <c r="L55" s="60">
        <f>H55</f>
        <v>21353.635487866417</v>
      </c>
      <c r="M55" s="60">
        <f>F55</f>
        <v>18653.225498007971</v>
      </c>
    </row>
    <row r="56" spans="2:14" x14ac:dyDescent="0.25">
      <c r="C56" s="20"/>
      <c r="D56" s="37"/>
      <c r="F56" s="20"/>
      <c r="G56" s="37" t="s">
        <v>95</v>
      </c>
      <c r="H56" s="60">
        <f>(17232+13656+14791+15936+17192+12790)*21020/21799</f>
        <v>88323.727693930909</v>
      </c>
      <c r="J56" s="45"/>
      <c r="M56" s="60">
        <f>H56</f>
        <v>88323.727693930909</v>
      </c>
    </row>
    <row r="57" spans="2:14" x14ac:dyDescent="0.25">
      <c r="B57">
        <v>37</v>
      </c>
      <c r="C57" s="20"/>
      <c r="D57" s="37">
        <v>164</v>
      </c>
      <c r="E57">
        <v>15680</v>
      </c>
      <c r="F57" s="20"/>
      <c r="G57" s="37" t="s">
        <v>96</v>
      </c>
      <c r="H57">
        <v>19540</v>
      </c>
      <c r="J57" s="45"/>
      <c r="L57">
        <v>33160</v>
      </c>
    </row>
    <row r="58" spans="2:14" x14ac:dyDescent="0.25">
      <c r="B58">
        <v>38</v>
      </c>
      <c r="C58" s="20"/>
      <c r="D58" s="37">
        <v>165</v>
      </c>
      <c r="E58">
        <v>18600</v>
      </c>
      <c r="F58" s="20"/>
      <c r="G58" s="37">
        <v>646</v>
      </c>
      <c r="H58">
        <v>18300</v>
      </c>
      <c r="J58" s="45"/>
      <c r="L58">
        <v>37000</v>
      </c>
    </row>
    <row r="59" spans="2:14" x14ac:dyDescent="0.25">
      <c r="B59">
        <v>39</v>
      </c>
      <c r="C59" s="20"/>
      <c r="D59" s="50">
        <v>166</v>
      </c>
      <c r="E59">
        <v>18520</v>
      </c>
      <c r="F59" s="20"/>
      <c r="G59" s="50">
        <v>647</v>
      </c>
      <c r="H59">
        <v>16560</v>
      </c>
      <c r="J59" s="37"/>
      <c r="L59">
        <v>34880</v>
      </c>
    </row>
    <row r="60" spans="2:14" x14ac:dyDescent="0.25">
      <c r="B60">
        <v>40</v>
      </c>
      <c r="C60" s="20"/>
      <c r="D60">
        <v>167</v>
      </c>
      <c r="E60">
        <v>18220</v>
      </c>
      <c r="F60" s="20"/>
      <c r="G60">
        <v>648</v>
      </c>
      <c r="H60">
        <v>16800</v>
      </c>
      <c r="J60" s="37"/>
      <c r="L60">
        <v>35480</v>
      </c>
    </row>
    <row r="61" spans="2:14" x14ac:dyDescent="0.25">
      <c r="B61">
        <v>41</v>
      </c>
      <c r="C61" s="20"/>
      <c r="D61" t="s">
        <v>97</v>
      </c>
      <c r="E61">
        <v>21000</v>
      </c>
      <c r="F61" s="20"/>
      <c r="G61">
        <v>649</v>
      </c>
      <c r="H61">
        <v>12140</v>
      </c>
      <c r="J61" s="37"/>
      <c r="L61">
        <v>31740</v>
      </c>
    </row>
    <row r="62" spans="2:14" x14ac:dyDescent="0.25">
      <c r="B62">
        <v>42</v>
      </c>
      <c r="C62" s="20"/>
      <c r="F62" s="20"/>
      <c r="G62">
        <v>650</v>
      </c>
      <c r="H62">
        <v>21940</v>
      </c>
      <c r="J62" s="37"/>
      <c r="L62">
        <v>26340</v>
      </c>
    </row>
    <row r="63" spans="2:14" x14ac:dyDescent="0.25">
      <c r="J63" s="37"/>
      <c r="L63">
        <v>-42940</v>
      </c>
      <c r="M63">
        <f>-L63</f>
        <v>42940</v>
      </c>
    </row>
    <row r="64" spans="2:14" x14ac:dyDescent="0.25">
      <c r="J64" s="37"/>
      <c r="L64">
        <v>-40380</v>
      </c>
      <c r="M64">
        <f t="shared" ref="M64:M69" si="3">-L64</f>
        <v>40380</v>
      </c>
    </row>
    <row r="65" spans="2:15" x14ac:dyDescent="0.25">
      <c r="J65" s="37"/>
      <c r="L65">
        <v>-31560</v>
      </c>
      <c r="M65">
        <f t="shared" si="3"/>
        <v>31560</v>
      </c>
    </row>
    <row r="66" spans="2:15" x14ac:dyDescent="0.25">
      <c r="J66" s="37"/>
      <c r="L66">
        <v>-37440</v>
      </c>
      <c r="M66">
        <f t="shared" si="3"/>
        <v>37440</v>
      </c>
    </row>
    <row r="67" spans="2:15" x14ac:dyDescent="0.25">
      <c r="J67" s="37"/>
      <c r="L67">
        <v>-41020</v>
      </c>
      <c r="M67">
        <f t="shared" si="3"/>
        <v>41020</v>
      </c>
    </row>
    <row r="68" spans="2:15" x14ac:dyDescent="0.25">
      <c r="C68" s="20"/>
      <c r="F68" s="20"/>
      <c r="J68" s="37"/>
      <c r="L68">
        <v>-40260</v>
      </c>
      <c r="M68">
        <f t="shared" si="3"/>
        <v>40260</v>
      </c>
    </row>
    <row r="69" spans="2:15" x14ac:dyDescent="0.25">
      <c r="C69" s="20"/>
      <c r="F69" s="20"/>
      <c r="J69" s="37"/>
      <c r="L69">
        <v>-34340</v>
      </c>
      <c r="M69">
        <f t="shared" si="3"/>
        <v>34340</v>
      </c>
    </row>
    <row r="70" spans="2:15" x14ac:dyDescent="0.25">
      <c r="C70" s="20"/>
      <c r="F70" s="20"/>
      <c r="J70" s="37"/>
    </row>
    <row r="71" spans="2:15" x14ac:dyDescent="0.25">
      <c r="B71">
        <v>43</v>
      </c>
      <c r="C71" s="20"/>
      <c r="F71" s="20"/>
      <c r="G71">
        <v>677</v>
      </c>
      <c r="H71">
        <v>18340</v>
      </c>
      <c r="J71" s="37"/>
    </row>
    <row r="72" spans="2:15" x14ac:dyDescent="0.25">
      <c r="C72" s="20"/>
      <c r="F72" s="20"/>
      <c r="G72">
        <v>678</v>
      </c>
      <c r="H72">
        <v>23960</v>
      </c>
      <c r="J72" s="37"/>
      <c r="O72">
        <v>42160</v>
      </c>
    </row>
    <row r="73" spans="2:15" x14ac:dyDescent="0.25">
      <c r="B73">
        <v>44</v>
      </c>
      <c r="C73" s="20"/>
      <c r="D73">
        <v>202</v>
      </c>
      <c r="E73">
        <v>17600</v>
      </c>
      <c r="F73" s="20"/>
      <c r="G73">
        <v>679</v>
      </c>
      <c r="H73">
        <v>21880</v>
      </c>
      <c r="J73" s="37" t="s">
        <v>98</v>
      </c>
      <c r="O73">
        <v>32000</v>
      </c>
    </row>
    <row r="74" spans="2:15" x14ac:dyDescent="0.25">
      <c r="B74">
        <v>45</v>
      </c>
      <c r="C74" s="20"/>
      <c r="F74" s="20"/>
      <c r="G74" t="s">
        <v>99</v>
      </c>
      <c r="H74">
        <v>9060</v>
      </c>
      <c r="J74" s="37"/>
      <c r="O74">
        <v>7600</v>
      </c>
    </row>
    <row r="75" spans="2:15" x14ac:dyDescent="0.25">
      <c r="C75" s="20"/>
      <c r="D75">
        <v>203</v>
      </c>
      <c r="E75">
        <v>15920</v>
      </c>
      <c r="F75" s="20"/>
      <c r="J75" s="37"/>
      <c r="O75">
        <v>15920</v>
      </c>
    </row>
    <row r="76" spans="2:15" x14ac:dyDescent="0.25">
      <c r="C76" s="20"/>
      <c r="F76" s="20"/>
      <c r="H76">
        <v>28600</v>
      </c>
      <c r="J76" s="37"/>
      <c r="O76">
        <v>28600</v>
      </c>
    </row>
    <row r="77" spans="2:15" x14ac:dyDescent="0.25">
      <c r="C77" s="20"/>
      <c r="F77" s="20"/>
      <c r="H77">
        <v>30260</v>
      </c>
      <c r="J77" s="37"/>
      <c r="O77">
        <v>30260</v>
      </c>
    </row>
    <row r="78" spans="2:15" x14ac:dyDescent="0.25">
      <c r="C78" s="20"/>
      <c r="F78" s="20"/>
      <c r="J78" s="37"/>
    </row>
    <row r="79" spans="2:15" x14ac:dyDescent="0.25">
      <c r="C79" s="20"/>
      <c r="D79">
        <v>204</v>
      </c>
      <c r="E79">
        <v>8000</v>
      </c>
      <c r="F79" s="20"/>
      <c r="J79" s="37"/>
      <c r="M79">
        <v>8000</v>
      </c>
    </row>
    <row r="80" spans="2:15" x14ac:dyDescent="0.25">
      <c r="B80" s="64">
        <v>43957</v>
      </c>
      <c r="C80" s="20"/>
      <c r="F80" s="20"/>
      <c r="J80" s="37"/>
    </row>
    <row r="81" spans="2:19" x14ac:dyDescent="0.25">
      <c r="B81">
        <v>1</v>
      </c>
      <c r="C81" s="20"/>
      <c r="F81" s="20"/>
      <c r="H81">
        <v>33900</v>
      </c>
      <c r="J81" s="37"/>
      <c r="Q81">
        <v>33900</v>
      </c>
    </row>
    <row r="82" spans="2:19" x14ac:dyDescent="0.25">
      <c r="B82">
        <v>2</v>
      </c>
      <c r="C82" s="20"/>
      <c r="F82" s="20"/>
      <c r="H82">
        <v>28000</v>
      </c>
      <c r="J82" s="37"/>
      <c r="Q82">
        <v>28000</v>
      </c>
    </row>
    <row r="83" spans="2:19" x14ac:dyDescent="0.25">
      <c r="B83">
        <v>3</v>
      </c>
      <c r="C83" s="20"/>
      <c r="F83" s="20"/>
      <c r="H83">
        <v>36820</v>
      </c>
      <c r="J83" s="37"/>
      <c r="Q83">
        <v>36820</v>
      </c>
    </row>
    <row r="84" spans="2:19" x14ac:dyDescent="0.25">
      <c r="B84">
        <v>4</v>
      </c>
      <c r="C84" s="20"/>
      <c r="F84" s="20"/>
      <c r="H84">
        <v>26060</v>
      </c>
      <c r="J84" s="37"/>
      <c r="Q84">
        <v>26060</v>
      </c>
    </row>
    <row r="85" spans="2:19" x14ac:dyDescent="0.25">
      <c r="B85">
        <v>5</v>
      </c>
      <c r="C85" s="20"/>
      <c r="F85" s="20"/>
      <c r="H85">
        <v>34700</v>
      </c>
      <c r="J85" s="37"/>
      <c r="Q85">
        <v>34700</v>
      </c>
    </row>
    <row r="86" spans="2:19" x14ac:dyDescent="0.25">
      <c r="B86">
        <v>6</v>
      </c>
      <c r="C86" s="20"/>
      <c r="F86" s="20"/>
      <c r="H86">
        <v>29000</v>
      </c>
      <c r="J86" s="37"/>
      <c r="S86">
        <v>29000</v>
      </c>
    </row>
    <row r="87" spans="2:19" x14ac:dyDescent="0.25">
      <c r="B87">
        <v>7</v>
      </c>
      <c r="C87" s="20"/>
      <c r="F87" s="20"/>
      <c r="H87">
        <v>36600</v>
      </c>
      <c r="J87" s="37"/>
      <c r="S87">
        <v>36600</v>
      </c>
    </row>
    <row r="88" spans="2:19" x14ac:dyDescent="0.25">
      <c r="B88" s="64">
        <v>43960</v>
      </c>
      <c r="C88" s="20"/>
      <c r="F88" s="20"/>
      <c r="J88" s="37"/>
    </row>
    <row r="89" spans="2:19" x14ac:dyDescent="0.25">
      <c r="B89">
        <v>1</v>
      </c>
      <c r="C89" s="20"/>
      <c r="F89" s="20"/>
      <c r="H89">
        <v>28080</v>
      </c>
      <c r="J89" s="37"/>
      <c r="S89">
        <f>H89</f>
        <v>28080</v>
      </c>
    </row>
    <row r="90" spans="2:19" x14ac:dyDescent="0.25">
      <c r="B90">
        <v>2</v>
      </c>
      <c r="C90" s="20"/>
      <c r="F90" s="20"/>
      <c r="H90">
        <v>41000</v>
      </c>
      <c r="J90" s="37"/>
      <c r="S90">
        <f t="shared" ref="S90:S92" si="4">H90</f>
        <v>41000</v>
      </c>
    </row>
    <row r="91" spans="2:19" x14ac:dyDescent="0.25">
      <c r="B91">
        <v>3</v>
      </c>
      <c r="C91" s="20"/>
      <c r="F91" s="20"/>
      <c r="H91">
        <v>44280</v>
      </c>
      <c r="J91" s="37"/>
      <c r="S91">
        <f t="shared" si="4"/>
        <v>44280</v>
      </c>
    </row>
    <row r="92" spans="2:19" x14ac:dyDescent="0.25">
      <c r="B92">
        <v>4</v>
      </c>
      <c r="C92" s="20"/>
      <c r="D92" s="37"/>
      <c r="F92" s="20"/>
      <c r="H92">
        <v>14000</v>
      </c>
      <c r="J92" s="37"/>
      <c r="S92">
        <f t="shared" si="4"/>
        <v>14000</v>
      </c>
    </row>
    <row r="93" spans="2:19" x14ac:dyDescent="0.25">
      <c r="C93" s="20"/>
      <c r="D93" s="37"/>
      <c r="F93" s="20"/>
      <c r="G93" s="37"/>
      <c r="J93" s="37"/>
    </row>
    <row r="94" spans="2:19" x14ac:dyDescent="0.25">
      <c r="B94" s="64">
        <v>43962</v>
      </c>
      <c r="C94" s="20"/>
      <c r="D94" s="37"/>
      <c r="F94" s="20"/>
      <c r="G94" s="37"/>
      <c r="J94" s="37"/>
    </row>
    <row r="95" spans="2:19" x14ac:dyDescent="0.25">
      <c r="B95">
        <v>1</v>
      </c>
      <c r="C95" s="20"/>
      <c r="D95" s="37"/>
      <c r="F95" s="20"/>
      <c r="G95" s="37"/>
      <c r="J95" s="37"/>
      <c r="S95">
        <v>37820</v>
      </c>
    </row>
    <row r="96" spans="2:19" x14ac:dyDescent="0.25">
      <c r="B96">
        <v>2</v>
      </c>
      <c r="C96" s="20"/>
      <c r="D96" s="37"/>
      <c r="F96" s="20"/>
      <c r="G96" s="37"/>
      <c r="J96" s="37"/>
      <c r="S96">
        <v>25980</v>
      </c>
    </row>
    <row r="97" spans="2:19" x14ac:dyDescent="0.25">
      <c r="B97">
        <v>3</v>
      </c>
      <c r="C97" s="20"/>
      <c r="D97" s="37"/>
      <c r="F97" s="20"/>
      <c r="G97" s="37"/>
      <c r="J97" s="37"/>
      <c r="S97">
        <v>26100</v>
      </c>
    </row>
    <row r="98" spans="2:19" x14ac:dyDescent="0.25">
      <c r="B98">
        <v>4</v>
      </c>
      <c r="C98" s="20"/>
      <c r="D98" s="37"/>
      <c r="F98" s="20"/>
      <c r="G98" s="37"/>
      <c r="J98" s="37"/>
      <c r="S98">
        <v>32300</v>
      </c>
    </row>
    <row r="99" spans="2:19" x14ac:dyDescent="0.25">
      <c r="B99">
        <v>5</v>
      </c>
      <c r="C99" s="20"/>
      <c r="D99" s="37"/>
      <c r="F99" s="20"/>
      <c r="G99" s="37"/>
      <c r="J99" s="37"/>
      <c r="S99">
        <v>31700</v>
      </c>
    </row>
    <row r="100" spans="2:19" x14ac:dyDescent="0.25">
      <c r="B100">
        <v>6</v>
      </c>
      <c r="C100" s="20"/>
      <c r="D100" s="37"/>
      <c r="F100" s="20"/>
      <c r="G100" s="37"/>
      <c r="J100" s="37"/>
      <c r="S100">
        <v>43100</v>
      </c>
    </row>
    <row r="101" spans="2:19" x14ac:dyDescent="0.25">
      <c r="B101">
        <v>7</v>
      </c>
      <c r="C101" s="20"/>
      <c r="D101" s="37"/>
      <c r="F101" s="20"/>
      <c r="G101" s="37"/>
      <c r="J101" s="37"/>
      <c r="S101">
        <v>29220</v>
      </c>
    </row>
    <row r="102" spans="2:19" x14ac:dyDescent="0.25">
      <c r="B102">
        <v>8</v>
      </c>
      <c r="D102" s="37"/>
      <c r="F102" s="20"/>
      <c r="G102" s="37"/>
      <c r="J102" s="37"/>
      <c r="S102">
        <v>34060</v>
      </c>
    </row>
    <row r="103" spans="2:19" x14ac:dyDescent="0.25">
      <c r="B103">
        <v>9</v>
      </c>
      <c r="D103" s="37"/>
      <c r="F103" s="20"/>
      <c r="G103" s="37"/>
      <c r="J103" s="37"/>
      <c r="Q103">
        <v>28200</v>
      </c>
    </row>
    <row r="104" spans="2:19" x14ac:dyDescent="0.25">
      <c r="D104" s="37"/>
      <c r="F104" s="20"/>
      <c r="G104" s="37"/>
      <c r="J104" s="37"/>
    </row>
    <row r="105" spans="2:19" x14ac:dyDescent="0.25">
      <c r="D105" s="37"/>
      <c r="F105" s="20"/>
      <c r="G105" s="37"/>
      <c r="J105" s="37"/>
    </row>
    <row r="106" spans="2:19" x14ac:dyDescent="0.25">
      <c r="D106" s="37"/>
      <c r="F106" s="20"/>
      <c r="G106" s="37"/>
      <c r="J106" s="37"/>
    </row>
    <row r="107" spans="2:19" x14ac:dyDescent="0.25">
      <c r="D107" s="37"/>
      <c r="F107" s="20"/>
      <c r="G107" s="37"/>
      <c r="J107" s="37"/>
    </row>
    <row r="108" spans="2:19" x14ac:dyDescent="0.25">
      <c r="D108" s="43"/>
      <c r="E108" s="51" t="s">
        <v>35</v>
      </c>
      <c r="F108" s="44"/>
      <c r="G108" s="43"/>
      <c r="H108" s="51" t="s">
        <v>35</v>
      </c>
      <c r="I108" s="51"/>
      <c r="J108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5E8C-FDBB-4324-ACE3-C6EBDB893518}">
  <dimension ref="A1:X133"/>
  <sheetViews>
    <sheetView workbookViewId="0">
      <pane ySplit="15" topLeftCell="A107" activePane="bottomLeft" state="frozen"/>
      <selection activeCell="L1" sqref="L1"/>
      <selection pane="bottomLeft" activeCell="L1" sqref="L1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206880</v>
      </c>
      <c r="K2">
        <f>J2-J3</f>
        <v>1220</v>
      </c>
      <c r="L2" s="1">
        <f>K2/J2</f>
        <v>5.8971384377416863E-3</v>
      </c>
    </row>
    <row r="3" spans="1:24" x14ac:dyDescent="0.25">
      <c r="B3" t="s">
        <v>2</v>
      </c>
      <c r="D3" s="3" t="s">
        <v>41</v>
      </c>
      <c r="E3" s="4"/>
      <c r="F3" t="s">
        <v>42</v>
      </c>
      <c r="H3" s="2" t="s">
        <v>5</v>
      </c>
      <c r="I3" s="2"/>
      <c r="J3">
        <f>K11-L10+M11-N10+O11-P10+Q11-R10+S11-T10+U11-V10+W11-X10</f>
        <v>205660</v>
      </c>
      <c r="K3" s="5" t="s">
        <v>6</v>
      </c>
      <c r="L3" s="5" t="s">
        <v>7</v>
      </c>
      <c r="M3" s="5" t="s">
        <v>8</v>
      </c>
      <c r="N3" s="6">
        <f>N4*I4/O1</f>
        <v>78.986958345719628</v>
      </c>
      <c r="O3" s="6">
        <f>K7+M7+O7+Q7+S7+U7+W7</f>
        <v>78.986958345719628</v>
      </c>
    </row>
    <row r="4" spans="1:24" x14ac:dyDescent="0.25">
      <c r="B4" t="s">
        <v>9</v>
      </c>
      <c r="D4" s="7" t="str">
        <f>[1]Summary!C2</f>
        <v>Canola</v>
      </c>
      <c r="E4" s="4"/>
      <c r="F4" s="8">
        <f>[1]Summary!C3</f>
        <v>2019</v>
      </c>
      <c r="I4" s="8">
        <f>[1]Summary!D2</f>
        <v>50</v>
      </c>
      <c r="J4" s="8">
        <f>J3/I4</f>
        <v>4113.2</v>
      </c>
      <c r="K4" s="9">
        <v>0.98</v>
      </c>
      <c r="L4" s="9">
        <f>IF(J5=0,L1,(L8+N8+P8+R8+T8+V8+X8)/J5/K4)</f>
        <v>0.19</v>
      </c>
      <c r="M4" s="9">
        <f>IF(J5=0,0,(L9+N9+P9+R9+T9+V9+X9)/J5/K4)</f>
        <v>0.04</v>
      </c>
      <c r="N4" s="8">
        <f>IF(L4&gt;L1,J4*(1-L4)/(1-L1)*(1-M4)*K4,J4*K4*(1-M4))</f>
        <v>3482.7287039999997</v>
      </c>
      <c r="V4" s="6"/>
    </row>
    <row r="5" spans="1:24" x14ac:dyDescent="0.25">
      <c r="B5" t="s">
        <v>10</v>
      </c>
      <c r="D5" s="7">
        <v>43768</v>
      </c>
      <c r="E5" s="4"/>
      <c r="F5" s="52">
        <v>43769</v>
      </c>
      <c r="J5" s="6">
        <f>J3/O1</f>
        <v>93.285806814200242</v>
      </c>
      <c r="N5" s="8">
        <v>92</v>
      </c>
      <c r="O5" s="10">
        <f>N4/N5</f>
        <v>37.855746782608691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78.986958345719628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0.19</v>
      </c>
      <c r="L8" s="6">
        <f>(L11-L10/$O1)*$K4*K8</f>
        <v>17.369817228804084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0.04</v>
      </c>
      <c r="L9" s="6">
        <f>(L11-L10/$O1)*$K4*K9</f>
        <v>3.6568036271166493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108556.03248259862</v>
      </c>
      <c r="E10" s="22"/>
      <c r="F10" s="23"/>
      <c r="G10" s="21">
        <f>J3/J2*G11</f>
        <v>97103.967517401397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109200</v>
      </c>
      <c r="E11" s="26"/>
      <c r="F11" s="27"/>
      <c r="G11" s="25">
        <f>H14+I14</f>
        <v>97680</v>
      </c>
      <c r="H11" s="26"/>
      <c r="I11" s="26"/>
      <c r="J11" s="28"/>
      <c r="K11" s="29">
        <f>K14+L14</f>
        <v>205660</v>
      </c>
      <c r="L11" s="30">
        <f>K11/2204.62262184877</f>
        <v>93.285806814200242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21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109200</v>
      </c>
      <c r="F14" s="40">
        <f>SUM(F15:F133)</f>
        <v>0</v>
      </c>
      <c r="G14" s="37"/>
      <c r="H14" s="39">
        <f>SUM(H15:H133)</f>
        <v>97680</v>
      </c>
      <c r="I14" s="39">
        <f>SUM(I15:I133)</f>
        <v>0</v>
      </c>
      <c r="J14" s="28"/>
      <c r="K14" s="41">
        <f t="shared" ref="K14:X14" si="0">SUM(K15:K133)</f>
        <v>205660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C16" s="20"/>
      <c r="D16" s="37"/>
      <c r="F16" s="20"/>
      <c r="G16" s="37"/>
      <c r="J16" s="37"/>
    </row>
    <row r="17" spans="3:10" x14ac:dyDescent="0.25">
      <c r="C17" s="20"/>
      <c r="D17" s="37"/>
      <c r="F17" s="20"/>
      <c r="G17" s="37"/>
      <c r="J17" s="37"/>
    </row>
    <row r="18" spans="3:10" x14ac:dyDescent="0.25">
      <c r="C18" s="20"/>
      <c r="D18" s="37"/>
      <c r="F18" s="20"/>
      <c r="G18" s="37"/>
      <c r="J18" s="37"/>
    </row>
    <row r="19" spans="3:10" x14ac:dyDescent="0.25">
      <c r="C19" s="20"/>
      <c r="F19" s="20"/>
      <c r="G19" s="37"/>
      <c r="J19" s="37"/>
    </row>
    <row r="20" spans="3:10" x14ac:dyDescent="0.25">
      <c r="C20" s="20"/>
      <c r="F20" s="20"/>
      <c r="G20" s="37"/>
      <c r="J20" s="37"/>
    </row>
    <row r="21" spans="3:10" x14ac:dyDescent="0.25">
      <c r="C21" s="20"/>
      <c r="F21" s="20"/>
      <c r="G21" s="37"/>
      <c r="J21" s="37"/>
    </row>
    <row r="22" spans="3:10" x14ac:dyDescent="0.25">
      <c r="C22" s="20"/>
      <c r="F22" s="20"/>
      <c r="G22" s="37"/>
      <c r="J22" s="37"/>
    </row>
    <row r="23" spans="3:10" x14ac:dyDescent="0.25">
      <c r="C23" s="20"/>
      <c r="F23" s="20"/>
      <c r="G23" s="37"/>
      <c r="J23" s="37"/>
    </row>
    <row r="24" spans="3:10" x14ac:dyDescent="0.25">
      <c r="C24" s="20"/>
      <c r="F24" s="20"/>
      <c r="G24" s="37"/>
      <c r="J24" s="37"/>
    </row>
    <row r="25" spans="3:10" x14ac:dyDescent="0.25">
      <c r="C25" s="20"/>
      <c r="F25" s="20"/>
      <c r="J25" s="37"/>
    </row>
    <row r="26" spans="3:10" x14ac:dyDescent="0.25">
      <c r="C26" s="20"/>
      <c r="F26" s="20"/>
      <c r="J26" s="37"/>
    </row>
    <row r="27" spans="3:10" x14ac:dyDescent="0.25">
      <c r="C27" s="20"/>
      <c r="F27" s="20"/>
      <c r="I27" s="20"/>
      <c r="J27" s="37"/>
    </row>
    <row r="28" spans="3:10" x14ac:dyDescent="0.25">
      <c r="C28" s="20"/>
      <c r="F28" s="20"/>
      <c r="I28" s="20"/>
      <c r="J28" s="37"/>
    </row>
    <row r="29" spans="3:10" x14ac:dyDescent="0.25">
      <c r="C29" s="20"/>
      <c r="J29" s="37"/>
    </row>
    <row r="30" spans="3:10" x14ac:dyDescent="0.25">
      <c r="C30" s="20"/>
      <c r="D30" s="49"/>
      <c r="F30" s="20"/>
      <c r="J30" s="37"/>
    </row>
    <row r="31" spans="3:10" x14ac:dyDescent="0.25">
      <c r="C31" s="20"/>
      <c r="F31" s="20"/>
      <c r="J31" s="37"/>
    </row>
    <row r="32" spans="3:10" x14ac:dyDescent="0.25">
      <c r="C32" s="20"/>
      <c r="F32" s="20"/>
      <c r="J32" s="37"/>
    </row>
    <row r="33" spans="3:10" x14ac:dyDescent="0.25">
      <c r="C33" s="20"/>
      <c r="F33" s="20"/>
      <c r="J33" s="37"/>
    </row>
    <row r="34" spans="3:10" x14ac:dyDescent="0.25">
      <c r="C34" s="20"/>
      <c r="F34" s="20"/>
      <c r="J34" s="37"/>
    </row>
    <row r="35" spans="3:10" x14ac:dyDescent="0.25">
      <c r="C35" s="20"/>
      <c r="F35" s="20"/>
      <c r="J35" s="37"/>
    </row>
    <row r="36" spans="3:10" x14ac:dyDescent="0.25">
      <c r="C36" s="20"/>
      <c r="F36" s="20"/>
      <c r="J36" s="37"/>
    </row>
    <row r="37" spans="3:10" x14ac:dyDescent="0.25">
      <c r="C37" s="20"/>
      <c r="F37" s="20"/>
      <c r="J37" s="37"/>
    </row>
    <row r="38" spans="3:10" x14ac:dyDescent="0.25">
      <c r="C38" s="20"/>
      <c r="F38" s="20"/>
      <c r="J38" s="37"/>
    </row>
    <row r="39" spans="3:10" x14ac:dyDescent="0.25">
      <c r="C39" s="20"/>
      <c r="F39" s="20"/>
      <c r="J39" s="37"/>
    </row>
    <row r="40" spans="3:10" x14ac:dyDescent="0.25">
      <c r="C40" s="20"/>
      <c r="F40" s="20"/>
      <c r="J40" s="37"/>
    </row>
    <row r="41" spans="3:10" x14ac:dyDescent="0.25">
      <c r="C41" s="20"/>
      <c r="F41" s="20"/>
      <c r="J41" s="37"/>
    </row>
    <row r="42" spans="3:10" x14ac:dyDescent="0.25">
      <c r="C42" s="20"/>
      <c r="F42" s="20"/>
      <c r="J42" s="37"/>
    </row>
    <row r="43" spans="3:10" x14ac:dyDescent="0.25">
      <c r="C43" s="20"/>
      <c r="F43" s="20"/>
      <c r="J43" s="37"/>
    </row>
    <row r="44" spans="3:10" x14ac:dyDescent="0.25">
      <c r="C44" s="20"/>
      <c r="F44" s="20"/>
      <c r="J44" s="37"/>
    </row>
    <row r="45" spans="3:10" x14ac:dyDescent="0.25">
      <c r="C45" s="20"/>
      <c r="F45" s="20"/>
      <c r="J45" s="37"/>
    </row>
    <row r="46" spans="3:10" x14ac:dyDescent="0.25">
      <c r="C46" s="20"/>
      <c r="F46" s="20"/>
      <c r="J46" s="37"/>
    </row>
    <row r="47" spans="3:10" x14ac:dyDescent="0.25">
      <c r="C47" s="20"/>
      <c r="F47" s="20"/>
      <c r="J47" s="37"/>
    </row>
    <row r="48" spans="3:10" x14ac:dyDescent="0.25">
      <c r="C48" s="20"/>
      <c r="F48" s="20"/>
      <c r="J48" s="37"/>
    </row>
    <row r="49" spans="1:15" x14ac:dyDescent="0.25">
      <c r="C49" s="20"/>
      <c r="F49" s="20"/>
      <c r="J49" s="37"/>
    </row>
    <row r="50" spans="1:15" x14ac:dyDescent="0.25">
      <c r="C50" s="20"/>
      <c r="F50" s="20"/>
      <c r="J50" s="37"/>
    </row>
    <row r="51" spans="1:15" x14ac:dyDescent="0.25">
      <c r="C51" s="20"/>
      <c r="F51" s="20"/>
      <c r="J51" s="37"/>
    </row>
    <row r="52" spans="1:15" x14ac:dyDescent="0.25">
      <c r="C52" s="20"/>
      <c r="F52" s="20"/>
      <c r="J52" s="37"/>
    </row>
    <row r="53" spans="1:15" x14ac:dyDescent="0.25">
      <c r="C53" s="20"/>
      <c r="F53" s="20"/>
      <c r="J53" s="37"/>
    </row>
    <row r="54" spans="1:15" x14ac:dyDescent="0.25">
      <c r="C54" s="20"/>
      <c r="F54" s="20"/>
      <c r="J54" s="37"/>
    </row>
    <row r="55" spans="1:15" x14ac:dyDescent="0.25">
      <c r="C55" s="20"/>
      <c r="F55" s="20"/>
      <c r="J55" s="37"/>
      <c r="L55" s="11"/>
      <c r="M55" s="11"/>
    </row>
    <row r="56" spans="1:15" x14ac:dyDescent="0.25">
      <c r="C56" s="20"/>
      <c r="F56" s="20"/>
      <c r="J56" s="37"/>
    </row>
    <row r="57" spans="1:15" x14ac:dyDescent="0.25">
      <c r="C57" s="20"/>
      <c r="F57" s="20"/>
      <c r="J57" s="37"/>
    </row>
    <row r="58" spans="1:15" s="11" customFormat="1" x14ac:dyDescent="0.25">
      <c r="A58"/>
      <c r="C58" s="47"/>
      <c r="D58"/>
      <c r="E58"/>
      <c r="F58" s="20"/>
      <c r="G58"/>
      <c r="H58"/>
      <c r="I58"/>
      <c r="J58" s="37"/>
      <c r="K58"/>
    </row>
    <row r="59" spans="1:15" s="11" customFormat="1" x14ac:dyDescent="0.25">
      <c r="A59"/>
      <c r="C59" s="47"/>
      <c r="D59"/>
      <c r="E59"/>
      <c r="F59" s="20"/>
      <c r="G59"/>
      <c r="H59"/>
      <c r="I59"/>
      <c r="J59" s="37"/>
      <c r="K59"/>
    </row>
    <row r="60" spans="1:15" s="11" customFormat="1" x14ac:dyDescent="0.25">
      <c r="A60"/>
      <c r="C60" s="47"/>
      <c r="D60"/>
      <c r="E60"/>
      <c r="F60" s="20"/>
      <c r="G60"/>
      <c r="H60"/>
      <c r="I60"/>
      <c r="J60" s="37"/>
      <c r="K60"/>
    </row>
    <row r="61" spans="1:15" s="11" customFormat="1" x14ac:dyDescent="0.25">
      <c r="A61"/>
      <c r="C61" s="47"/>
      <c r="D61"/>
      <c r="E61"/>
      <c r="F61" s="20"/>
      <c r="G61"/>
      <c r="H61"/>
      <c r="J61" s="58"/>
      <c r="K61"/>
    </row>
    <row r="62" spans="1:15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</row>
    <row r="63" spans="1:15" x14ac:dyDescent="0.25">
      <c r="C63" s="20"/>
      <c r="D63" s="37"/>
      <c r="F63" s="20"/>
      <c r="J63" s="37"/>
      <c r="O63" s="11"/>
    </row>
    <row r="64" spans="1:15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2:11" x14ac:dyDescent="0.25">
      <c r="C97" s="20"/>
      <c r="D97" s="37"/>
      <c r="F97" s="20"/>
      <c r="G97" s="37"/>
      <c r="J97" s="37"/>
    </row>
    <row r="98" spans="2:11" x14ac:dyDescent="0.25">
      <c r="C98" s="20"/>
      <c r="D98" s="37"/>
      <c r="F98" s="20"/>
      <c r="G98" s="37"/>
      <c r="J98" s="37"/>
    </row>
    <row r="99" spans="2:11" x14ac:dyDescent="0.25">
      <c r="C99" s="20"/>
      <c r="D99" s="37"/>
      <c r="F99" s="20"/>
      <c r="G99" s="37"/>
      <c r="J99" s="37"/>
    </row>
    <row r="100" spans="2:11" x14ac:dyDescent="0.25">
      <c r="C100" s="20"/>
      <c r="D100" s="37"/>
      <c r="F100" s="20"/>
      <c r="G100" s="37"/>
      <c r="J100" s="37"/>
    </row>
    <row r="101" spans="2:11" x14ac:dyDescent="0.25">
      <c r="C101" s="20"/>
      <c r="D101" s="37"/>
      <c r="F101" s="20"/>
      <c r="G101" s="37"/>
      <c r="J101" s="37"/>
    </row>
    <row r="102" spans="2:11" x14ac:dyDescent="0.25">
      <c r="C102" s="20"/>
      <c r="D102" s="37"/>
      <c r="F102" s="20"/>
      <c r="G102" s="37"/>
      <c r="J102" s="37"/>
    </row>
    <row r="103" spans="2:11" x14ac:dyDescent="0.25">
      <c r="C103" s="20"/>
      <c r="D103" s="37"/>
      <c r="F103" s="20"/>
      <c r="G103" s="37"/>
      <c r="J103" s="37"/>
    </row>
    <row r="104" spans="2:11" x14ac:dyDescent="0.25">
      <c r="C104" s="20"/>
      <c r="D104" s="37"/>
      <c r="F104" s="20"/>
      <c r="G104" s="37"/>
      <c r="J104" s="37"/>
    </row>
    <row r="105" spans="2:11" x14ac:dyDescent="0.25">
      <c r="C105" s="20"/>
      <c r="D105" s="37"/>
      <c r="F105" s="20"/>
      <c r="G105" s="37"/>
      <c r="J105" s="37"/>
    </row>
    <row r="106" spans="2:11" x14ac:dyDescent="0.25">
      <c r="C106" s="20"/>
      <c r="D106" s="37"/>
      <c r="F106" s="20"/>
      <c r="G106" s="37"/>
      <c r="J106" s="37"/>
    </row>
    <row r="107" spans="2:11" x14ac:dyDescent="0.25">
      <c r="B107">
        <v>1</v>
      </c>
      <c r="C107" s="20"/>
      <c r="D107" s="37">
        <v>283</v>
      </c>
      <c r="E107">
        <v>17560</v>
      </c>
      <c r="F107" s="20"/>
      <c r="G107" s="37">
        <v>754</v>
      </c>
      <c r="H107">
        <v>15660</v>
      </c>
      <c r="J107" s="37"/>
      <c r="K107">
        <v>33000</v>
      </c>
    </row>
    <row r="108" spans="2:11" x14ac:dyDescent="0.25">
      <c r="B108">
        <v>2</v>
      </c>
      <c r="C108" s="20"/>
      <c r="D108" s="37">
        <v>284</v>
      </c>
      <c r="E108">
        <v>15060</v>
      </c>
      <c r="F108" s="20"/>
      <c r="G108" s="37">
        <v>755</v>
      </c>
      <c r="H108">
        <v>14940</v>
      </c>
      <c r="J108" s="37"/>
      <c r="K108">
        <v>29920</v>
      </c>
    </row>
    <row r="109" spans="2:11" x14ac:dyDescent="0.25">
      <c r="B109">
        <v>3</v>
      </c>
      <c r="C109" s="20"/>
      <c r="D109" s="37">
        <v>285</v>
      </c>
      <c r="E109">
        <v>14040</v>
      </c>
      <c r="F109" s="20"/>
      <c r="G109" s="37">
        <v>756</v>
      </c>
      <c r="H109">
        <v>11840</v>
      </c>
      <c r="J109" s="37"/>
      <c r="K109">
        <v>26400</v>
      </c>
    </row>
    <row r="110" spans="2:11" x14ac:dyDescent="0.25">
      <c r="B110">
        <v>4</v>
      </c>
      <c r="C110" s="20"/>
      <c r="D110" s="37">
        <v>286</v>
      </c>
      <c r="E110">
        <v>15280</v>
      </c>
      <c r="F110" s="20"/>
      <c r="G110" s="37">
        <v>757</v>
      </c>
      <c r="H110">
        <v>16440</v>
      </c>
      <c r="J110" s="37"/>
      <c r="K110">
        <v>31100</v>
      </c>
    </row>
    <row r="111" spans="2:11" x14ac:dyDescent="0.25">
      <c r="B111">
        <v>5</v>
      </c>
      <c r="C111" s="20"/>
      <c r="D111" s="37">
        <v>287</v>
      </c>
      <c r="E111">
        <v>16040</v>
      </c>
      <c r="F111" s="20"/>
      <c r="G111" s="37">
        <v>758</v>
      </c>
      <c r="H111">
        <v>15060</v>
      </c>
      <c r="J111" s="37"/>
      <c r="K111">
        <v>30580</v>
      </c>
    </row>
    <row r="112" spans="2:11" x14ac:dyDescent="0.25">
      <c r="B112">
        <v>6</v>
      </c>
      <c r="C112" s="20"/>
      <c r="D112" s="37">
        <v>288</v>
      </c>
      <c r="E112">
        <v>15040</v>
      </c>
      <c r="F112" s="20"/>
      <c r="G112" s="37">
        <v>759</v>
      </c>
      <c r="H112">
        <v>17200</v>
      </c>
      <c r="J112" s="37"/>
      <c r="K112">
        <v>31780</v>
      </c>
    </row>
    <row r="113" spans="2:11" x14ac:dyDescent="0.25">
      <c r="B113">
        <v>7</v>
      </c>
      <c r="C113" s="20"/>
      <c r="D113" s="37">
        <v>289</v>
      </c>
      <c r="E113">
        <v>16180</v>
      </c>
      <c r="F113" s="20"/>
      <c r="G113" s="37">
        <v>760</v>
      </c>
      <c r="H113">
        <v>6540</v>
      </c>
      <c r="J113" s="37"/>
      <c r="K113">
        <v>22880</v>
      </c>
    </row>
    <row r="114" spans="2:11" x14ac:dyDescent="0.25">
      <c r="C114" s="20"/>
      <c r="D114" s="37"/>
      <c r="F114" s="20"/>
      <c r="G114" s="37"/>
      <c r="J114" s="37"/>
    </row>
    <row r="115" spans="2:11" x14ac:dyDescent="0.25">
      <c r="C115" s="20"/>
      <c r="D115" s="37"/>
      <c r="F115" s="20"/>
      <c r="G115" s="37"/>
      <c r="J115" s="37"/>
    </row>
    <row r="116" spans="2:11" x14ac:dyDescent="0.25">
      <c r="C116" s="20"/>
      <c r="D116" s="37"/>
      <c r="F116" s="20"/>
      <c r="G116" s="37"/>
      <c r="J116" s="37"/>
    </row>
    <row r="117" spans="2:11" x14ac:dyDescent="0.25">
      <c r="C117" s="20"/>
      <c r="D117" s="37"/>
      <c r="F117" s="20"/>
      <c r="G117" s="37"/>
      <c r="J117" s="37"/>
    </row>
    <row r="118" spans="2:11" x14ac:dyDescent="0.25">
      <c r="C118" s="20"/>
      <c r="D118" s="37"/>
      <c r="F118" s="20"/>
      <c r="G118" s="37"/>
      <c r="J118" s="37"/>
    </row>
    <row r="119" spans="2:11" x14ac:dyDescent="0.25">
      <c r="C119" s="20"/>
      <c r="D119" s="37"/>
      <c r="F119" s="20"/>
      <c r="G119" s="37"/>
      <c r="J119" s="37"/>
    </row>
    <row r="120" spans="2:11" x14ac:dyDescent="0.25">
      <c r="C120" s="20"/>
      <c r="D120" s="37"/>
      <c r="F120" s="20"/>
      <c r="G120" s="37"/>
      <c r="J120" s="37"/>
    </row>
    <row r="121" spans="2:11" x14ac:dyDescent="0.25">
      <c r="C121" s="20"/>
      <c r="D121" s="37"/>
      <c r="F121" s="20"/>
      <c r="G121" s="37"/>
      <c r="J121" s="37"/>
    </row>
    <row r="122" spans="2:11" x14ac:dyDescent="0.25">
      <c r="C122" s="20"/>
      <c r="D122" s="37"/>
      <c r="F122" s="20"/>
      <c r="G122" s="37"/>
      <c r="J122" s="37"/>
    </row>
    <row r="123" spans="2:11" x14ac:dyDescent="0.25">
      <c r="C123" s="20"/>
      <c r="D123" s="37"/>
      <c r="F123" s="20"/>
      <c r="G123" s="37"/>
      <c r="J123" s="37"/>
    </row>
    <row r="124" spans="2:11" x14ac:dyDescent="0.25">
      <c r="C124" s="20"/>
      <c r="D124" s="37"/>
      <c r="F124" s="20"/>
      <c r="G124" s="37"/>
      <c r="J124" s="37"/>
    </row>
    <row r="125" spans="2:11" x14ac:dyDescent="0.25">
      <c r="C125" s="20"/>
      <c r="D125" s="37"/>
      <c r="F125" s="20"/>
      <c r="G125" s="37"/>
      <c r="J125" s="37"/>
    </row>
    <row r="126" spans="2:11" x14ac:dyDescent="0.25">
      <c r="C126" s="20"/>
      <c r="D126" s="37"/>
      <c r="F126" s="20"/>
      <c r="G126" s="37"/>
      <c r="J126" s="37"/>
    </row>
    <row r="127" spans="2:11" x14ac:dyDescent="0.25">
      <c r="D127" s="37"/>
      <c r="F127" s="20"/>
      <c r="G127" s="37"/>
      <c r="J127" s="37"/>
    </row>
    <row r="128" spans="2:11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62B0-779D-40B5-8AE0-BAB6AC0C62F2}">
  <dimension ref="A1:AD132"/>
  <sheetViews>
    <sheetView workbookViewId="0">
      <pane ySplit="15" topLeftCell="A25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30" x14ac:dyDescent="0.25">
      <c r="B1" t="s">
        <v>0</v>
      </c>
      <c r="L1" s="1">
        <f>[4]Summary!E2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30" x14ac:dyDescent="0.25">
      <c r="H2" s="2" t="s">
        <v>1</v>
      </c>
      <c r="I2" s="2" t="s">
        <v>1</v>
      </c>
      <c r="J2">
        <f>+D11+G11</f>
        <v>454160</v>
      </c>
      <c r="K2">
        <f>J2-J3</f>
        <v>-10590</v>
      </c>
      <c r="L2" s="1">
        <f>K2/J2</f>
        <v>-2.3317773471904175E-2</v>
      </c>
      <c r="S2" t="s">
        <v>77</v>
      </c>
      <c r="T2">
        <v>74</v>
      </c>
      <c r="U2">
        <v>77.478999999999999</v>
      </c>
      <c r="V2" s="8">
        <f>U2*2204.622/60</f>
        <v>2846.8651322999999</v>
      </c>
      <c r="W2" s="10">
        <f>V2/T2</f>
        <v>38.471150436486482</v>
      </c>
    </row>
    <row r="3" spans="1:30" x14ac:dyDescent="0.25">
      <c r="B3" t="s">
        <v>2</v>
      </c>
      <c r="D3" s="3" t="s">
        <v>138</v>
      </c>
      <c r="E3" s="4"/>
      <c r="F3" t="s">
        <v>42</v>
      </c>
      <c r="H3" s="2" t="s">
        <v>5</v>
      </c>
      <c r="I3" s="2"/>
      <c r="J3">
        <f>K11-L10+M11-N10+O11-P10+Q11-R10+S11-T10+U11-V10+W11-X10</f>
        <v>464750</v>
      </c>
      <c r="K3" s="5" t="s">
        <v>6</v>
      </c>
      <c r="L3" s="5" t="s">
        <v>7</v>
      </c>
      <c r="M3" s="5" t="s">
        <v>8</v>
      </c>
      <c r="N3" s="6">
        <f>N4*I4/O1</f>
        <v>196.49753765472943</v>
      </c>
      <c r="O3" s="6">
        <f>K7+M7+O7+Q7+S7+U7+W7</f>
        <v>193.38791282337317</v>
      </c>
      <c r="S3" t="s">
        <v>80</v>
      </c>
      <c r="T3">
        <v>113</v>
      </c>
      <c r="U3" s="6">
        <f>O7+Q7</f>
        <v>115.90857530878084</v>
      </c>
      <c r="V3" s="8">
        <f>U3*2204.622/60</f>
        <v>4258.9099185732503</v>
      </c>
      <c r="W3" s="10">
        <f>V3/T3</f>
        <v>37.689468305957966</v>
      </c>
      <c r="Z3">
        <v>12</v>
      </c>
      <c r="AA3">
        <f>U3*338.7/4742.5</f>
        <v>8.2779619308558932</v>
      </c>
      <c r="AB3">
        <f>AA3/Z3</f>
        <v>0.68983016090465776</v>
      </c>
      <c r="AC3">
        <v>690</v>
      </c>
      <c r="AD3">
        <f>AC3*Z3</f>
        <v>8280</v>
      </c>
    </row>
    <row r="4" spans="1:30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I4" s="8">
        <f>[4]Summary!D2</f>
        <v>60</v>
      </c>
      <c r="J4" s="8">
        <f>J3/I4</f>
        <v>7745.833333333333</v>
      </c>
      <c r="K4" s="9">
        <v>0.98</v>
      </c>
      <c r="L4" s="9">
        <f>IF(J5=0,L1,(L8+N8+P8+R8+T8+V8+X8)/J5/K4)</f>
        <v>0.16902082840236687</v>
      </c>
      <c r="M4" s="9">
        <f>IF(J5=0,0,(L9+N9+P9+R9+T9+V9+X9)/J5/K4)</f>
        <v>2.1362452931683699E-2</v>
      </c>
      <c r="N4" s="8">
        <f>IF(L4&gt;L1,J4*(1-L4)/(1-L1)*(1-M4)*K4,J4*K4*(1-M4))</f>
        <v>7220.0486108532832</v>
      </c>
      <c r="S4" t="s">
        <v>81</v>
      </c>
      <c r="T4" s="61">
        <f>T2+T3</f>
        <v>187</v>
      </c>
      <c r="U4" s="61">
        <f t="shared" ref="U4:V4" si="0">U2+U3</f>
        <v>193.38757530878084</v>
      </c>
      <c r="V4" s="62">
        <f t="shared" si="0"/>
        <v>7105.7750508732497</v>
      </c>
      <c r="W4" s="63">
        <f>V4/T4</f>
        <v>37.998797063493313</v>
      </c>
      <c r="Z4">
        <v>101</v>
      </c>
      <c r="AA4" s="6">
        <f>U3-AA3</f>
        <v>107.63061337792494</v>
      </c>
      <c r="AB4">
        <f>AA4/Z4</f>
        <v>1.0656496374051976</v>
      </c>
      <c r="AC4">
        <v>1070</v>
      </c>
      <c r="AD4">
        <f>AC4*Z4</f>
        <v>108070</v>
      </c>
    </row>
    <row r="5" spans="1:30" x14ac:dyDescent="0.25">
      <c r="B5" t="s">
        <v>10</v>
      </c>
      <c r="D5" s="7">
        <v>43776</v>
      </c>
      <c r="E5" s="4"/>
      <c r="F5" s="52">
        <v>43965</v>
      </c>
      <c r="J5" s="6">
        <f>J3/O1</f>
        <v>210.80705395750056</v>
      </c>
      <c r="N5" s="8">
        <v>187</v>
      </c>
      <c r="O5" s="10">
        <f>N4/N5</f>
        <v>38.609885619536271</v>
      </c>
      <c r="P5" t="s">
        <v>11</v>
      </c>
      <c r="V5" s="6"/>
      <c r="AD5">
        <f>AD3+AD4</f>
        <v>116350</v>
      </c>
    </row>
    <row r="6" spans="1:30" x14ac:dyDescent="0.25">
      <c r="D6" s="11"/>
      <c r="J6" s="6"/>
      <c r="K6" s="12"/>
      <c r="L6" s="13"/>
      <c r="M6" s="12"/>
      <c r="N6" s="8"/>
      <c r="O6" s="67">
        <v>0.98962000000000006</v>
      </c>
    </row>
    <row r="7" spans="1:30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37.085879284178517</v>
      </c>
      <c r="M7" s="6">
        <f>IF(M8&gt;$L1,(N11-N10/$O1)*$K4*(1-M8)/(1-$L1)*(1-M9),(N11-N10/$O1)*$K4*(1-M9))</f>
        <v>40.39345823041382</v>
      </c>
      <c r="O7" s="6">
        <f>IF(O8&gt;$L1,(P11-P10/$O1)*O6*(1-O8)/(1-$L1)*(1-O9),(P11-P10/$O1)*O6*(1-O9))</f>
        <v>88.605947002479724</v>
      </c>
      <c r="Q7" s="6">
        <f>IF(Q8&gt;$L1,(R11-R10/$O1)*$K4*(1-Q8)/(1-$L1)*(1-Q9),(R11-R10/$O1)*$K4*(1-Q9))</f>
        <v>27.302628306301113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30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0.25</v>
      </c>
      <c r="L8" s="6">
        <f>(L11-L10/$O1)*$K4*K8</f>
        <v>10.785179179582528</v>
      </c>
      <c r="M8" s="1">
        <v>0.23</v>
      </c>
      <c r="N8" s="6">
        <f>(N11-N10/$O1)*$K4*M8</f>
        <v>10.526601591586109</v>
      </c>
      <c r="O8" s="1">
        <v>0.11550000000000001</v>
      </c>
      <c r="P8" s="6">
        <f>(P11-P10/$O1)*$K4*O8</f>
        <v>10.341329882971655</v>
      </c>
      <c r="Q8" s="1">
        <v>0.11600000000000001</v>
      </c>
      <c r="R8" s="6">
        <f>(R11-R10/$O1)*$K4*Q8</f>
        <v>3.2650565809597207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30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0.02</v>
      </c>
      <c r="L9" s="6">
        <f>(L11-L10/$O1)*$K4*K9</f>
        <v>0.86281433436660226</v>
      </c>
      <c r="M9" s="1">
        <v>0.02</v>
      </c>
      <c r="N9" s="6">
        <f>(N11-N10/$O1)*$K4*M9</f>
        <v>0.9153566601379225</v>
      </c>
      <c r="O9" s="1">
        <v>0.02</v>
      </c>
      <c r="P9" s="6">
        <f>(P11-P10/$O1)*$K4*O9</f>
        <v>1.7907064732418447</v>
      </c>
      <c r="Q9" s="1">
        <v>0.03</v>
      </c>
      <c r="R9" s="6">
        <f>(R11-R10/$O1)*$K4*Q9</f>
        <v>0.84441118473096222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30" x14ac:dyDescent="0.25">
      <c r="B10" t="s">
        <v>14</v>
      </c>
      <c r="C10" s="20"/>
      <c r="D10" s="21">
        <f>J3/J2*D11</f>
        <v>325415.05196406553</v>
      </c>
      <c r="E10" s="22"/>
      <c r="F10" s="23"/>
      <c r="G10" s="21">
        <f>J3/J2*G11</f>
        <v>139334.94803593447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30" x14ac:dyDescent="0.25">
      <c r="B11" t="s">
        <v>16</v>
      </c>
      <c r="C11" s="20"/>
      <c r="D11" s="25">
        <f>E14+F14</f>
        <v>318000</v>
      </c>
      <c r="E11" s="26"/>
      <c r="F11" s="27"/>
      <c r="G11" s="25">
        <f>H14+I14</f>
        <v>136160</v>
      </c>
      <c r="H11" s="26"/>
      <c r="I11" s="26"/>
      <c r="J11" s="28"/>
      <c r="K11" s="29">
        <f>K14+L14</f>
        <v>97050</v>
      </c>
      <c r="L11" s="30">
        <f>K11/2204.62262184877</f>
        <v>44.021139508500113</v>
      </c>
      <c r="M11" s="29">
        <f>M14+N14</f>
        <v>102960</v>
      </c>
      <c r="N11" s="30">
        <f>M11/2204.62262184877</f>
        <v>46.701870415200126</v>
      </c>
      <c r="O11" s="29">
        <f>O14+P14</f>
        <v>201420</v>
      </c>
      <c r="P11" s="30">
        <f>O11/2204.62262184877</f>
        <v>91.362575165400244</v>
      </c>
      <c r="Q11" s="29">
        <f>Q14+R14</f>
        <v>63320</v>
      </c>
      <c r="R11" s="30">
        <f>Q11/2204.62262184877</f>
        <v>28.721468868400077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30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73</v>
      </c>
      <c r="L12" s="36"/>
      <c r="M12" s="35" t="s">
        <v>38</v>
      </c>
      <c r="N12" s="36"/>
      <c r="O12" s="35" t="s">
        <v>139</v>
      </c>
      <c r="P12" s="36"/>
      <c r="Q12" s="35" t="s">
        <v>140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30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30" x14ac:dyDescent="0.25">
      <c r="C14" s="20"/>
      <c r="D14" s="37"/>
      <c r="E14" s="39">
        <f>SUM(E15:E132)</f>
        <v>318000</v>
      </c>
      <c r="F14" s="40">
        <f>SUM(F15:F132)</f>
        <v>0</v>
      </c>
      <c r="G14" s="37"/>
      <c r="H14" s="39">
        <f>SUM(H15:H132)</f>
        <v>136160</v>
      </c>
      <c r="I14" s="39">
        <f>SUM(I15:I132)</f>
        <v>0</v>
      </c>
      <c r="J14" s="28"/>
      <c r="K14" s="41">
        <f t="shared" ref="K14:X14" si="1">SUM(K15:K132)</f>
        <v>97050</v>
      </c>
      <c r="L14" s="42">
        <f t="shared" si="1"/>
        <v>0</v>
      </c>
      <c r="M14" s="41">
        <f t="shared" si="1"/>
        <v>102960</v>
      </c>
      <c r="N14" s="42">
        <f t="shared" si="1"/>
        <v>0</v>
      </c>
      <c r="O14" s="41">
        <f t="shared" si="1"/>
        <v>201420</v>
      </c>
      <c r="P14" s="42">
        <f t="shared" si="1"/>
        <v>0</v>
      </c>
      <c r="Q14" s="41">
        <f t="shared" si="1"/>
        <v>63320</v>
      </c>
      <c r="R14" s="42">
        <f t="shared" si="1"/>
        <v>0</v>
      </c>
      <c r="S14" s="41">
        <f t="shared" si="1"/>
        <v>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30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30" x14ac:dyDescent="0.25">
      <c r="B16">
        <v>1</v>
      </c>
      <c r="C16" s="20"/>
      <c r="D16" s="37">
        <v>184</v>
      </c>
      <c r="E16">
        <f>ROUND(25578*0.78/10,0)*10</f>
        <v>19950</v>
      </c>
      <c r="F16" s="20"/>
      <c r="G16" s="37"/>
      <c r="J16" s="37">
        <f>E16+E17-K17</f>
        <v>-110</v>
      </c>
    </row>
    <row r="17" spans="2:15" x14ac:dyDescent="0.25">
      <c r="B17">
        <v>2</v>
      </c>
      <c r="C17" s="20"/>
      <c r="D17" s="37">
        <v>185</v>
      </c>
      <c r="E17">
        <f>ROUND(8178*0.78/10,0)*10</f>
        <v>6380</v>
      </c>
      <c r="F17" s="20"/>
      <c r="G17" s="37"/>
      <c r="J17" s="37">
        <f>K17/(E16+E17)</f>
        <v>1.0041777440182302</v>
      </c>
      <c r="K17">
        <v>26440</v>
      </c>
    </row>
    <row r="18" spans="2:15" x14ac:dyDescent="0.25">
      <c r="B18">
        <v>3</v>
      </c>
      <c r="C18" s="20"/>
      <c r="D18" s="37">
        <v>186</v>
      </c>
      <c r="E18">
        <f>ROUND(17546*0.762/10,0)*10</f>
        <v>13370</v>
      </c>
      <c r="F18" s="20"/>
      <c r="G18" s="37"/>
      <c r="J18" s="37"/>
    </row>
    <row r="19" spans="2:15" x14ac:dyDescent="0.25">
      <c r="C19" s="20"/>
      <c r="D19">
        <v>187</v>
      </c>
      <c r="E19">
        <f>ROUND(22564*0.762/10,0)*10</f>
        <v>17190</v>
      </c>
      <c r="F19" s="20"/>
      <c r="G19" s="37"/>
      <c r="J19" s="37">
        <f>K19/(E18+E19)</f>
        <v>1</v>
      </c>
      <c r="K19">
        <v>30560</v>
      </c>
    </row>
    <row r="20" spans="2:15" x14ac:dyDescent="0.25">
      <c r="C20" s="20"/>
      <c r="D20">
        <v>188</v>
      </c>
      <c r="E20">
        <f>ROUND(16605*0.781/10,0)*10</f>
        <v>12970</v>
      </c>
      <c r="F20" s="20"/>
      <c r="G20" s="37"/>
      <c r="J20" s="37"/>
    </row>
    <row r="21" spans="2:15" x14ac:dyDescent="0.25">
      <c r="C21" s="20"/>
      <c r="D21">
        <v>189</v>
      </c>
      <c r="E21">
        <f>ROUND(16365*0.781/10,0)*10</f>
        <v>12780</v>
      </c>
      <c r="F21" s="20"/>
      <c r="G21" s="37"/>
      <c r="J21" s="37">
        <f>(K21+K22)/(E20+E21+E22)</f>
        <v>1</v>
      </c>
      <c r="K21">
        <v>19820</v>
      </c>
    </row>
    <row r="22" spans="2:15" x14ac:dyDescent="0.25">
      <c r="C22" s="20"/>
      <c r="D22">
        <v>190</v>
      </c>
      <c r="E22">
        <f>ROUND(18305*0.781/10,0)*10</f>
        <v>14300</v>
      </c>
      <c r="F22" s="20"/>
      <c r="G22" s="37"/>
      <c r="J22" s="37">
        <f>SUM(E16:E22)-SUM(K17:K22)</f>
        <v>-110</v>
      </c>
      <c r="K22">
        <f>E22+E21+E20-K21</f>
        <v>20230</v>
      </c>
    </row>
    <row r="23" spans="2:15" x14ac:dyDescent="0.25">
      <c r="C23" s="20"/>
      <c r="F23" s="20"/>
      <c r="G23" s="37"/>
      <c r="J23" s="37"/>
    </row>
    <row r="24" spans="2:15" x14ac:dyDescent="0.25">
      <c r="C24" s="20"/>
      <c r="D24">
        <v>191</v>
      </c>
      <c r="E24">
        <v>22900</v>
      </c>
      <c r="F24" s="20"/>
      <c r="J24" s="37"/>
    </row>
    <row r="25" spans="2:15" x14ac:dyDescent="0.25">
      <c r="C25" s="20"/>
      <c r="D25">
        <v>192</v>
      </c>
      <c r="E25">
        <v>19000</v>
      </c>
      <c r="F25" s="20"/>
      <c r="J25" s="37"/>
      <c r="M25">
        <v>40140</v>
      </c>
    </row>
    <row r="26" spans="2:15" x14ac:dyDescent="0.25">
      <c r="C26" s="20"/>
      <c r="D26">
        <v>193</v>
      </c>
      <c r="E26">
        <v>11620</v>
      </c>
      <c r="F26" s="20"/>
      <c r="I26" s="20"/>
      <c r="J26" s="37"/>
    </row>
    <row r="27" spans="2:15" x14ac:dyDescent="0.25">
      <c r="C27" s="20"/>
      <c r="D27">
        <v>194</v>
      </c>
      <c r="E27">
        <v>22060</v>
      </c>
      <c r="F27" s="20"/>
      <c r="I27" s="20"/>
      <c r="J27" s="37"/>
      <c r="M27">
        <v>35720</v>
      </c>
    </row>
    <row r="28" spans="2:15" x14ac:dyDescent="0.25">
      <c r="C28" s="20"/>
      <c r="D28">
        <v>195</v>
      </c>
      <c r="E28">
        <v>15740</v>
      </c>
      <c r="J28" s="37"/>
      <c r="M28">
        <v>15600</v>
      </c>
    </row>
    <row r="29" spans="2:15" x14ac:dyDescent="0.25">
      <c r="C29" s="20"/>
      <c r="D29" s="49">
        <v>196</v>
      </c>
      <c r="E29">
        <v>10700</v>
      </c>
      <c r="F29" s="20"/>
      <c r="J29" s="37"/>
      <c r="M29">
        <v>11500</v>
      </c>
    </row>
    <row r="30" spans="2:15" x14ac:dyDescent="0.25">
      <c r="C30" s="20"/>
      <c r="F30" s="20"/>
      <c r="J30" s="37">
        <f>SUM(E24:E30)-SUM(K25:M30)</f>
        <v>-940</v>
      </c>
    </row>
    <row r="31" spans="2:15" x14ac:dyDescent="0.25">
      <c r="B31" t="s">
        <v>141</v>
      </c>
      <c r="C31" s="20"/>
      <c r="F31" s="20"/>
      <c r="J31" s="37"/>
      <c r="O31" t="s">
        <v>142</v>
      </c>
    </row>
    <row r="32" spans="2:15" x14ac:dyDescent="0.25">
      <c r="B32">
        <v>1</v>
      </c>
      <c r="C32" s="20"/>
      <c r="D32">
        <v>237</v>
      </c>
      <c r="E32">
        <v>18240</v>
      </c>
      <c r="F32" s="20"/>
      <c r="G32">
        <v>702</v>
      </c>
      <c r="H32">
        <v>16860</v>
      </c>
      <c r="J32" s="37"/>
      <c r="O32">
        <v>35300</v>
      </c>
    </row>
    <row r="33" spans="2:17" x14ac:dyDescent="0.25">
      <c r="B33">
        <v>2</v>
      </c>
      <c r="C33" s="20"/>
      <c r="D33">
        <v>238</v>
      </c>
      <c r="E33" t="s">
        <v>143</v>
      </c>
      <c r="F33" s="20"/>
      <c r="J33" s="37"/>
    </row>
    <row r="34" spans="2:17" x14ac:dyDescent="0.25">
      <c r="C34" s="20"/>
      <c r="D34">
        <v>239</v>
      </c>
      <c r="E34">
        <v>15380</v>
      </c>
      <c r="F34" s="20"/>
      <c r="G34">
        <v>703</v>
      </c>
      <c r="H34">
        <v>18280</v>
      </c>
      <c r="J34" s="37"/>
      <c r="O34">
        <v>43540</v>
      </c>
    </row>
    <row r="35" spans="2:17" x14ac:dyDescent="0.25">
      <c r="B35">
        <v>3</v>
      </c>
      <c r="C35" s="20"/>
      <c r="D35">
        <v>240</v>
      </c>
      <c r="E35">
        <v>18260</v>
      </c>
      <c r="F35" s="20"/>
      <c r="G35">
        <v>704</v>
      </c>
      <c r="H35">
        <v>17860</v>
      </c>
      <c r="J35" s="37"/>
      <c r="O35">
        <v>20820</v>
      </c>
    </row>
    <row r="36" spans="2:17" x14ac:dyDescent="0.25">
      <c r="C36" s="20"/>
      <c r="F36" s="20"/>
      <c r="J36" s="37"/>
      <c r="O36">
        <v>15160</v>
      </c>
    </row>
    <row r="37" spans="2:17" x14ac:dyDescent="0.25">
      <c r="B37">
        <v>4</v>
      </c>
      <c r="C37" s="20"/>
      <c r="D37">
        <v>241</v>
      </c>
      <c r="E37">
        <v>15640</v>
      </c>
      <c r="F37" s="20"/>
      <c r="G37">
        <v>705</v>
      </c>
      <c r="H37">
        <v>13960</v>
      </c>
      <c r="J37" s="37"/>
      <c r="O37">
        <v>29340</v>
      </c>
    </row>
    <row r="38" spans="2:17" x14ac:dyDescent="0.25">
      <c r="B38">
        <v>5</v>
      </c>
      <c r="C38" s="20"/>
      <c r="D38">
        <v>242</v>
      </c>
      <c r="E38">
        <v>18400</v>
      </c>
      <c r="F38" s="20"/>
      <c r="G38">
        <v>706</v>
      </c>
      <c r="H38">
        <v>8520</v>
      </c>
      <c r="J38" s="37"/>
    </row>
    <row r="39" spans="2:17" x14ac:dyDescent="0.25">
      <c r="C39" s="20"/>
      <c r="F39" s="20"/>
      <c r="G39">
        <v>707</v>
      </c>
      <c r="H39">
        <v>15720</v>
      </c>
      <c r="J39" s="37"/>
      <c r="O39">
        <v>42460</v>
      </c>
    </row>
    <row r="40" spans="2:17" x14ac:dyDescent="0.25">
      <c r="B40">
        <v>6</v>
      </c>
      <c r="C40" s="20"/>
      <c r="F40" s="20"/>
      <c r="G40">
        <v>708</v>
      </c>
      <c r="H40">
        <v>15140</v>
      </c>
      <c r="J40" s="37"/>
      <c r="O40">
        <v>14800</v>
      </c>
      <c r="Q40" t="s">
        <v>88</v>
      </c>
    </row>
    <row r="41" spans="2:17" x14ac:dyDescent="0.25">
      <c r="B41">
        <v>7</v>
      </c>
      <c r="C41" s="20"/>
      <c r="D41">
        <v>243</v>
      </c>
      <c r="E41">
        <v>14520</v>
      </c>
      <c r="F41" s="20"/>
      <c r="G41">
        <v>709</v>
      </c>
      <c r="H41">
        <v>16560</v>
      </c>
      <c r="J41" s="37"/>
      <c r="Q41">
        <v>31300</v>
      </c>
    </row>
    <row r="42" spans="2:17" x14ac:dyDescent="0.25">
      <c r="B42">
        <v>8</v>
      </c>
      <c r="C42" s="20"/>
      <c r="D42">
        <v>244</v>
      </c>
      <c r="E42">
        <v>11980</v>
      </c>
      <c r="F42" s="20"/>
      <c r="G42">
        <v>710</v>
      </c>
      <c r="H42">
        <v>13260</v>
      </c>
      <c r="J42" s="37"/>
    </row>
    <row r="43" spans="2:17" x14ac:dyDescent="0.25">
      <c r="C43" s="20"/>
      <c r="D43">
        <v>245</v>
      </c>
      <c r="E43">
        <v>6620</v>
      </c>
      <c r="F43" s="20"/>
      <c r="J43" s="37"/>
      <c r="Q43">
        <v>32020</v>
      </c>
    </row>
    <row r="44" spans="2:17" x14ac:dyDescent="0.25">
      <c r="C44" s="20"/>
      <c r="F44" s="20"/>
      <c r="J44" s="37"/>
    </row>
    <row r="45" spans="2:17" x14ac:dyDescent="0.25">
      <c r="C45" s="20"/>
      <c r="F45" s="20"/>
      <c r="J45" s="37"/>
    </row>
    <row r="46" spans="2:17" x14ac:dyDescent="0.25">
      <c r="C46" s="20"/>
      <c r="F46" s="20"/>
      <c r="J46" s="37"/>
    </row>
    <row r="47" spans="2:17" x14ac:dyDescent="0.25">
      <c r="C47" s="20"/>
      <c r="F47" s="20"/>
      <c r="J47" s="37"/>
    </row>
    <row r="48" spans="2:17" x14ac:dyDescent="0.25">
      <c r="C48" s="20"/>
      <c r="F48" s="20"/>
      <c r="J48" s="37"/>
    </row>
    <row r="49" spans="1:15" x14ac:dyDescent="0.25">
      <c r="C49" s="20"/>
      <c r="F49" s="20"/>
      <c r="J49" s="37"/>
    </row>
    <row r="50" spans="1:15" x14ac:dyDescent="0.25">
      <c r="C50" s="20"/>
      <c r="F50" s="20"/>
      <c r="J50" s="37"/>
    </row>
    <row r="51" spans="1:15" x14ac:dyDescent="0.25">
      <c r="C51" s="20"/>
      <c r="F51" s="20"/>
      <c r="J51" s="37"/>
    </row>
    <row r="52" spans="1:15" x14ac:dyDescent="0.25">
      <c r="C52" s="20"/>
      <c r="F52" s="20"/>
      <c r="J52" s="37"/>
    </row>
    <row r="53" spans="1:15" x14ac:dyDescent="0.25">
      <c r="C53" s="20"/>
      <c r="F53" s="20"/>
      <c r="J53" s="37"/>
    </row>
    <row r="54" spans="1:15" x14ac:dyDescent="0.25">
      <c r="C54" s="20"/>
      <c r="F54" s="20"/>
      <c r="J54" s="37"/>
      <c r="L54" s="11"/>
      <c r="M54" s="11"/>
    </row>
    <row r="55" spans="1:15" x14ac:dyDescent="0.25">
      <c r="C55" s="20"/>
      <c r="F55" s="20"/>
      <c r="J55" s="37"/>
    </row>
    <row r="56" spans="1:15" x14ac:dyDescent="0.25">
      <c r="C56" s="20"/>
      <c r="F56" s="20"/>
      <c r="J56" s="37"/>
    </row>
    <row r="57" spans="1:15" s="11" customFormat="1" x14ac:dyDescent="0.25">
      <c r="A57"/>
      <c r="C57" s="47"/>
      <c r="D57"/>
      <c r="E57"/>
      <c r="F57" s="20"/>
      <c r="G57"/>
      <c r="H57"/>
      <c r="I57"/>
      <c r="J57" s="37"/>
      <c r="K57"/>
    </row>
    <row r="58" spans="1:15" s="11" customFormat="1" x14ac:dyDescent="0.25">
      <c r="A58"/>
      <c r="C58" s="47"/>
      <c r="D58"/>
      <c r="E58"/>
      <c r="F58" s="20"/>
      <c r="G58"/>
      <c r="H58"/>
      <c r="I58"/>
      <c r="J58" s="37"/>
      <c r="K58"/>
    </row>
    <row r="59" spans="1:15" s="11" customFormat="1" x14ac:dyDescent="0.25">
      <c r="A59"/>
      <c r="C59" s="47"/>
      <c r="D59"/>
      <c r="E59"/>
      <c r="F59" s="20"/>
      <c r="G59"/>
      <c r="H59"/>
      <c r="I59"/>
      <c r="J59" s="37"/>
      <c r="K59"/>
    </row>
    <row r="60" spans="1:15" s="11" customFormat="1" x14ac:dyDescent="0.25">
      <c r="A60"/>
      <c r="C60" s="47"/>
      <c r="D60"/>
      <c r="E60"/>
      <c r="F60" s="20"/>
      <c r="G60"/>
      <c r="H60"/>
      <c r="J60" s="58"/>
      <c r="K60"/>
    </row>
    <row r="61" spans="1:15" s="11" customFormat="1" x14ac:dyDescent="0.25">
      <c r="A61"/>
      <c r="C61" s="47"/>
      <c r="D61" s="37"/>
      <c r="E61" s="8"/>
      <c r="F61" s="20"/>
      <c r="G61"/>
      <c r="H61" s="8"/>
      <c r="J61" s="58"/>
      <c r="K61"/>
      <c r="M61" s="48"/>
    </row>
    <row r="62" spans="1:15" x14ac:dyDescent="0.25">
      <c r="C62" s="20"/>
      <c r="D62" s="37"/>
      <c r="F62" s="20"/>
      <c r="J62" s="37"/>
      <c r="O62" s="11"/>
    </row>
    <row r="63" spans="1:15" x14ac:dyDescent="0.25">
      <c r="C63" s="20"/>
      <c r="D63" s="37"/>
      <c r="E63" s="8"/>
      <c r="F63" s="20"/>
      <c r="H63" s="8"/>
      <c r="J63" s="37"/>
      <c r="M63" s="48"/>
    </row>
    <row r="64" spans="1:15" x14ac:dyDescent="0.25">
      <c r="C64" s="20"/>
      <c r="D64" s="37"/>
      <c r="F64" s="20"/>
      <c r="J64" s="37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G78" s="49"/>
      <c r="J78" s="37"/>
    </row>
    <row r="79" spans="3:10" x14ac:dyDescent="0.25">
      <c r="C79" s="20"/>
      <c r="G79" s="37"/>
      <c r="J79" s="37"/>
    </row>
    <row r="80" spans="3:10" x14ac:dyDescent="0.25">
      <c r="C80" s="20"/>
      <c r="D80" s="37"/>
      <c r="F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50"/>
      <c r="F83" s="20"/>
      <c r="G83" s="50"/>
      <c r="J83" s="37"/>
    </row>
    <row r="84" spans="3:10" x14ac:dyDescent="0.25">
      <c r="C84" s="20"/>
      <c r="D84" s="37"/>
      <c r="F84" s="20"/>
      <c r="G84" s="37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50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37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50"/>
      <c r="F91" s="20"/>
      <c r="G91" s="37"/>
      <c r="J91" s="37"/>
    </row>
    <row r="92" spans="3:10" x14ac:dyDescent="0.25">
      <c r="C92" s="20"/>
      <c r="D92" s="37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43"/>
      <c r="E132" s="51" t="s">
        <v>35</v>
      </c>
      <c r="F132" s="44"/>
      <c r="G132" s="43"/>
      <c r="H132" s="51" t="s">
        <v>35</v>
      </c>
      <c r="I132" s="51"/>
      <c r="J132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9411-2E62-4FDF-BEA7-73D6DBD6BE2D}">
  <dimension ref="A1:AC100"/>
  <sheetViews>
    <sheetView workbookViewId="0">
      <pane ySplit="15" topLeftCell="A16" activePane="bottomLeft" state="frozen"/>
      <selection activeCell="L1" sqref="L1"/>
      <selection pane="bottomLeft" activeCell="P31" sqref="P31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[1]Summary!E2</f>
        <v>0.1</v>
      </c>
      <c r="O1">
        <v>2204.62262184877</v>
      </c>
    </row>
    <row r="2" spans="1:29" x14ac:dyDescent="0.25">
      <c r="G2"/>
      <c r="H2" s="2" t="s">
        <v>1</v>
      </c>
      <c r="I2" s="2" t="s">
        <v>1</v>
      </c>
      <c r="J2">
        <f>+D11+G11</f>
        <v>699480</v>
      </c>
      <c r="K2">
        <f>J2-J3</f>
        <v>8940</v>
      </c>
      <c r="L2" s="1">
        <f>K2/J2</f>
        <v>1.2780922971350146E-2</v>
      </c>
    </row>
    <row r="3" spans="1:29" x14ac:dyDescent="0.25">
      <c r="B3" t="s">
        <v>2</v>
      </c>
      <c r="D3" s="3" t="s">
        <v>36</v>
      </c>
      <c r="E3" s="4"/>
      <c r="F3" t="s">
        <v>37</v>
      </c>
      <c r="G3"/>
      <c r="H3" s="2" t="s">
        <v>5</v>
      </c>
      <c r="I3" s="2"/>
      <c r="J3">
        <f>K11-L10+M11-N10+O11-P10+Q11-R10+S11-T10+U11-V10+W11-X10</f>
        <v>690540</v>
      </c>
      <c r="K3" s="5" t="s">
        <v>6</v>
      </c>
      <c r="L3" s="5" t="s">
        <v>7</v>
      </c>
      <c r="M3" s="5" t="s">
        <v>8</v>
      </c>
      <c r="N3" s="6">
        <f>N4*I4/O1</f>
        <v>274.59205918834715</v>
      </c>
      <c r="O3" s="6">
        <f>K7+M7+O7+Q7+S7+U7+W7</f>
        <v>274.59205918834715</v>
      </c>
    </row>
    <row r="4" spans="1:29" x14ac:dyDescent="0.25">
      <c r="B4" t="s">
        <v>9</v>
      </c>
      <c r="D4" s="7" t="str">
        <f>[1]Summary!C2</f>
        <v>Canola</v>
      </c>
      <c r="E4" s="4"/>
      <c r="F4" s="8">
        <f>[1]Summary!C3</f>
        <v>2019</v>
      </c>
      <c r="G4"/>
      <c r="I4" s="8">
        <f>[1]Summary!D2</f>
        <v>50</v>
      </c>
      <c r="J4" s="8">
        <f>J3/I4</f>
        <v>13810.8</v>
      </c>
      <c r="K4" s="9">
        <v>0.98</v>
      </c>
      <c r="L4" s="9">
        <f>IF(J5=0,L1,(L8+N8+P8+R8+T8+V8+X8)/J5/K4)</f>
        <v>0.17</v>
      </c>
      <c r="M4" s="9">
        <f>IF(J5=0,0,(L9+N9+P9+R9+T9+V9+X9)/J5/K4)</f>
        <v>0.03</v>
      </c>
      <c r="N4" s="8">
        <f>IF(L4&gt;L1,J4*(1-L4)/(1-L1)*(1-M4)*K4,J4*K4*(1-M4))</f>
        <v>12107.437309333331</v>
      </c>
      <c r="V4" s="6"/>
    </row>
    <row r="5" spans="1:29" x14ac:dyDescent="0.25">
      <c r="B5" t="s">
        <v>10</v>
      </c>
      <c r="D5" s="7">
        <v>43767</v>
      </c>
      <c r="E5" s="4"/>
      <c r="F5" s="52">
        <v>43768</v>
      </c>
      <c r="G5"/>
      <c r="J5" s="6">
        <f>J3/O1</f>
        <v>313.22367517980081</v>
      </c>
      <c r="N5" s="8">
        <v>310</v>
      </c>
      <c r="O5" s="10">
        <f>N4/N5</f>
        <v>39.056249384946227</v>
      </c>
      <c r="P5" t="s">
        <v>11</v>
      </c>
      <c r="V5" s="6"/>
    </row>
    <row r="6" spans="1:29" x14ac:dyDescent="0.25">
      <c r="D6" s="11"/>
      <c r="G6"/>
      <c r="J6" s="6"/>
      <c r="K6" s="12"/>
      <c r="L6" s="13"/>
      <c r="M6" s="12"/>
      <c r="N6" s="8"/>
      <c r="O6" s="10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274.59205918834715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0.17</v>
      </c>
      <c r="L8" s="6">
        <f>(L11-L10/$O1)*$K4*K8</f>
        <v>52.183064284954817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0.03</v>
      </c>
      <c r="L9" s="6">
        <f>(L11-L10/$O1)*$K4*K9</f>
        <v>9.2087760502861435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0"/>
      <c r="D10" s="21">
        <f>J3/J2*D11</f>
        <v>360295.47435237607</v>
      </c>
      <c r="E10" s="22"/>
      <c r="F10" s="23"/>
      <c r="G10" s="21">
        <f>J3/J2*G11</f>
        <v>330244.52564762393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9" x14ac:dyDescent="0.25">
      <c r="B11" t="s">
        <v>16</v>
      </c>
      <c r="C11" s="20"/>
      <c r="D11" s="25">
        <f>E14+F14</f>
        <v>364960</v>
      </c>
      <c r="E11" s="26"/>
      <c r="F11" s="27"/>
      <c r="G11" s="25">
        <f>H14+I14</f>
        <v>334520</v>
      </c>
      <c r="H11" s="26"/>
      <c r="I11" s="26"/>
      <c r="J11" s="28"/>
      <c r="K11" s="29">
        <f>K14+L14</f>
        <v>690540</v>
      </c>
      <c r="L11" s="30">
        <f>K11/2204.62262184877</f>
        <v>313.22367517980081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9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21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9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9" x14ac:dyDescent="0.25">
      <c r="C14" s="20"/>
      <c r="D14" s="37"/>
      <c r="E14" s="39">
        <f>SUM(E15:E133)</f>
        <v>364960</v>
      </c>
      <c r="F14" s="40">
        <f>SUM(F15:F133)</f>
        <v>0</v>
      </c>
      <c r="G14" s="37"/>
      <c r="H14" s="39">
        <f>SUM(H15:H133)</f>
        <v>334520</v>
      </c>
      <c r="I14" s="39">
        <f>SUM(I15:I133)</f>
        <v>0</v>
      </c>
      <c r="J14" s="28"/>
      <c r="K14" s="41">
        <f t="shared" ref="K14:X14" si="0">SUM(K15:K133)</f>
        <v>690540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9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9" x14ac:dyDescent="0.25">
      <c r="B16">
        <v>1</v>
      </c>
      <c r="C16" s="20"/>
      <c r="D16">
        <v>255</v>
      </c>
      <c r="E16">
        <v>18240</v>
      </c>
      <c r="F16" s="20"/>
      <c r="G16" s="46">
        <v>729</v>
      </c>
      <c r="H16">
        <v>17420</v>
      </c>
      <c r="I16" s="20"/>
      <c r="J16" s="53"/>
      <c r="K16">
        <v>36180</v>
      </c>
      <c r="O16" s="11"/>
      <c r="AA16" s="6"/>
      <c r="AC16" s="8"/>
    </row>
    <row r="17" spans="2:29" x14ac:dyDescent="0.25">
      <c r="B17">
        <v>2</v>
      </c>
      <c r="C17" s="20"/>
      <c r="D17">
        <v>256</v>
      </c>
      <c r="E17">
        <v>9820</v>
      </c>
      <c r="F17" s="20"/>
      <c r="G17" s="46">
        <v>730</v>
      </c>
      <c r="H17">
        <v>5940</v>
      </c>
      <c r="I17" s="20"/>
      <c r="J17" s="6"/>
    </row>
    <row r="18" spans="2:29" x14ac:dyDescent="0.25">
      <c r="C18" s="20"/>
      <c r="D18">
        <v>257</v>
      </c>
      <c r="E18">
        <v>15460</v>
      </c>
      <c r="F18" s="20"/>
      <c r="G18" s="46">
        <v>731</v>
      </c>
      <c r="H18">
        <v>10480</v>
      </c>
      <c r="I18" s="20"/>
      <c r="J18" s="6"/>
      <c r="K18">
        <v>42480</v>
      </c>
    </row>
    <row r="19" spans="2:29" x14ac:dyDescent="0.25">
      <c r="B19">
        <v>3</v>
      </c>
      <c r="C19" s="20"/>
      <c r="D19">
        <v>258</v>
      </c>
      <c r="E19">
        <v>10680</v>
      </c>
      <c r="F19" s="20"/>
      <c r="G19" s="46">
        <v>732</v>
      </c>
      <c r="H19">
        <v>16440</v>
      </c>
      <c r="I19" s="20"/>
      <c r="J19" s="6"/>
      <c r="K19">
        <v>27320</v>
      </c>
    </row>
    <row r="20" spans="2:29" x14ac:dyDescent="0.25">
      <c r="B20">
        <v>4</v>
      </c>
      <c r="C20" s="20"/>
      <c r="D20">
        <v>259</v>
      </c>
      <c r="E20">
        <v>15360</v>
      </c>
      <c r="F20" s="20"/>
      <c r="G20" s="46">
        <v>733</v>
      </c>
      <c r="H20">
        <v>5960</v>
      </c>
      <c r="I20" s="20"/>
      <c r="J20" s="6"/>
    </row>
    <row r="21" spans="2:29" x14ac:dyDescent="0.25">
      <c r="C21" s="20"/>
      <c r="F21" s="20"/>
      <c r="G21" s="46">
        <v>734</v>
      </c>
      <c r="H21">
        <v>15340</v>
      </c>
      <c r="I21" s="20"/>
      <c r="J21" s="53"/>
      <c r="K21">
        <v>36860</v>
      </c>
      <c r="P21" s="11"/>
      <c r="Z21" s="8"/>
    </row>
    <row r="22" spans="2:29" x14ac:dyDescent="0.25">
      <c r="B22">
        <v>5</v>
      </c>
      <c r="C22" s="20"/>
      <c r="D22">
        <v>260</v>
      </c>
      <c r="E22">
        <v>16940</v>
      </c>
      <c r="F22" s="20"/>
      <c r="G22" s="46"/>
      <c r="I22" s="20"/>
      <c r="J22" s="6"/>
      <c r="Z22" s="8"/>
    </row>
    <row r="23" spans="2:29" x14ac:dyDescent="0.25">
      <c r="C23" s="20"/>
      <c r="D23">
        <v>261</v>
      </c>
      <c r="E23">
        <v>9460</v>
      </c>
      <c r="F23" s="20"/>
      <c r="G23" s="46">
        <v>735</v>
      </c>
      <c r="H23">
        <v>17620</v>
      </c>
      <c r="I23" s="20"/>
      <c r="J23" s="6"/>
      <c r="K23">
        <v>44220</v>
      </c>
      <c r="S23" s="11"/>
      <c r="AA23" s="6"/>
    </row>
    <row r="24" spans="2:29" x14ac:dyDescent="0.25">
      <c r="B24">
        <v>6</v>
      </c>
      <c r="C24" s="20"/>
      <c r="D24">
        <v>262</v>
      </c>
      <c r="E24">
        <v>15700</v>
      </c>
      <c r="F24" s="20"/>
      <c r="G24" s="46">
        <v>736</v>
      </c>
      <c r="H24">
        <v>16000</v>
      </c>
      <c r="I24" s="20"/>
      <c r="J24" s="6"/>
      <c r="K24">
        <v>32440</v>
      </c>
      <c r="S24" s="11"/>
    </row>
    <row r="25" spans="2:29" x14ac:dyDescent="0.25">
      <c r="B25">
        <v>7</v>
      </c>
      <c r="C25" s="20"/>
      <c r="D25">
        <v>263</v>
      </c>
      <c r="E25">
        <v>15940</v>
      </c>
      <c r="F25" s="20"/>
      <c r="G25" s="46">
        <v>737</v>
      </c>
      <c r="H25">
        <v>12680</v>
      </c>
      <c r="I25" s="20"/>
      <c r="J25" s="6"/>
      <c r="S25" s="11"/>
    </row>
    <row r="26" spans="2:29" x14ac:dyDescent="0.25">
      <c r="C26" s="20"/>
      <c r="D26">
        <v>264</v>
      </c>
      <c r="E26">
        <v>6300</v>
      </c>
      <c r="F26" s="20"/>
      <c r="G26" s="46"/>
      <c r="I26" s="20"/>
      <c r="J26" s="53"/>
      <c r="K26">
        <v>34180</v>
      </c>
    </row>
    <row r="27" spans="2:29" x14ac:dyDescent="0.25">
      <c r="B27">
        <v>8</v>
      </c>
      <c r="C27" s="20"/>
      <c r="D27">
        <v>265</v>
      </c>
      <c r="E27">
        <v>15300</v>
      </c>
      <c r="F27" s="20"/>
      <c r="G27" s="46">
        <v>738</v>
      </c>
      <c r="H27">
        <v>16000</v>
      </c>
      <c r="I27" s="20"/>
      <c r="J27" s="6"/>
      <c r="K27">
        <v>31760</v>
      </c>
    </row>
    <row r="28" spans="2:29" x14ac:dyDescent="0.25">
      <c r="B28">
        <v>9</v>
      </c>
      <c r="C28" s="20"/>
      <c r="D28">
        <v>266</v>
      </c>
      <c r="E28">
        <v>16900</v>
      </c>
      <c r="F28" s="20"/>
      <c r="G28" s="46">
        <v>739</v>
      </c>
      <c r="H28">
        <v>15620</v>
      </c>
      <c r="I28" s="20"/>
      <c r="J28" s="53"/>
    </row>
    <row r="29" spans="2:29" x14ac:dyDescent="0.25">
      <c r="C29" s="20"/>
      <c r="F29" s="20"/>
      <c r="G29" s="46">
        <v>740</v>
      </c>
      <c r="H29">
        <v>9140</v>
      </c>
      <c r="I29" s="20"/>
      <c r="J29" s="53"/>
      <c r="K29">
        <v>41520</v>
      </c>
      <c r="O29" s="11"/>
      <c r="P29" s="11"/>
      <c r="AA29" s="6"/>
      <c r="AC29" s="8"/>
    </row>
    <row r="30" spans="2:29" x14ac:dyDescent="0.25">
      <c r="B30">
        <v>10</v>
      </c>
      <c r="C30" s="20"/>
      <c r="D30">
        <v>267</v>
      </c>
      <c r="E30">
        <v>9680</v>
      </c>
      <c r="F30" s="20"/>
      <c r="G30" s="46">
        <v>741</v>
      </c>
      <c r="H30">
        <v>17960</v>
      </c>
      <c r="I30" s="20"/>
      <c r="J30" s="53"/>
      <c r="Z30" s="8"/>
      <c r="AB30" s="8"/>
    </row>
    <row r="31" spans="2:29" x14ac:dyDescent="0.25">
      <c r="C31" s="20"/>
      <c r="D31">
        <v>268</v>
      </c>
      <c r="E31">
        <v>12620</v>
      </c>
      <c r="F31" s="20"/>
      <c r="G31" s="46"/>
      <c r="I31" s="20"/>
      <c r="J31" s="6"/>
      <c r="K31">
        <v>40880</v>
      </c>
      <c r="P31" s="11"/>
      <c r="AA31" s="6"/>
    </row>
    <row r="32" spans="2:29" x14ac:dyDescent="0.25">
      <c r="B32">
        <v>11</v>
      </c>
      <c r="C32" s="20"/>
      <c r="D32" t="s">
        <v>39</v>
      </c>
      <c r="E32">
        <v>11220</v>
      </c>
      <c r="F32" s="20"/>
      <c r="G32" s="46">
        <v>742</v>
      </c>
      <c r="H32">
        <v>17820</v>
      </c>
      <c r="I32" s="20"/>
      <c r="J32" s="53"/>
      <c r="Z32" s="8"/>
      <c r="AB32" s="8"/>
    </row>
    <row r="33" spans="2:28" x14ac:dyDescent="0.25">
      <c r="B33">
        <v>12</v>
      </c>
      <c r="C33" s="20"/>
      <c r="D33">
        <v>271</v>
      </c>
      <c r="E33">
        <v>18100</v>
      </c>
      <c r="F33" s="20"/>
      <c r="G33" s="46">
        <v>743</v>
      </c>
      <c r="H33">
        <v>17900</v>
      </c>
      <c r="I33" s="20"/>
      <c r="J33" s="53"/>
      <c r="K33">
        <v>36100</v>
      </c>
      <c r="M33" s="11"/>
      <c r="N33" s="11"/>
      <c r="AA33" s="6"/>
    </row>
    <row r="34" spans="2:28" x14ac:dyDescent="0.25">
      <c r="B34">
        <v>13</v>
      </c>
      <c r="C34" s="20"/>
      <c r="D34">
        <v>272</v>
      </c>
      <c r="E34" t="s">
        <v>40</v>
      </c>
      <c r="F34" s="20"/>
      <c r="G34" s="46">
        <v>744</v>
      </c>
      <c r="H34">
        <v>860</v>
      </c>
      <c r="I34" s="20"/>
      <c r="J34" s="6"/>
      <c r="N34" s="11"/>
      <c r="Z34" s="8"/>
      <c r="AB34" s="8"/>
    </row>
    <row r="35" spans="2:28" x14ac:dyDescent="0.25">
      <c r="C35" s="20"/>
      <c r="D35">
        <v>273</v>
      </c>
      <c r="E35">
        <v>16360</v>
      </c>
      <c r="F35" s="20"/>
      <c r="G35" s="46"/>
      <c r="I35" s="20"/>
      <c r="J35" s="53"/>
      <c r="K35">
        <v>35740</v>
      </c>
      <c r="N35" s="11"/>
      <c r="AA35" s="6"/>
    </row>
    <row r="36" spans="2:28" x14ac:dyDescent="0.25">
      <c r="B36">
        <v>14</v>
      </c>
      <c r="C36" s="20"/>
      <c r="D36">
        <v>274</v>
      </c>
      <c r="E36">
        <v>16540</v>
      </c>
      <c r="F36" s="20"/>
      <c r="G36" s="46"/>
      <c r="I36" s="20"/>
      <c r="J36" s="6"/>
    </row>
    <row r="37" spans="2:28" x14ac:dyDescent="0.25">
      <c r="C37" s="20"/>
      <c r="D37">
        <v>275</v>
      </c>
      <c r="E37">
        <v>9040</v>
      </c>
      <c r="F37" s="20"/>
      <c r="G37" s="46"/>
      <c r="I37" s="20"/>
      <c r="J37" s="53"/>
      <c r="K37">
        <v>24760</v>
      </c>
      <c r="M37" s="11"/>
      <c r="P37" s="11"/>
      <c r="Z37" s="8"/>
      <c r="AB37" s="8"/>
    </row>
    <row r="38" spans="2:28" x14ac:dyDescent="0.25">
      <c r="B38">
        <v>15</v>
      </c>
      <c r="C38" s="20"/>
      <c r="D38">
        <v>276</v>
      </c>
      <c r="E38">
        <v>17920</v>
      </c>
      <c r="F38" s="20"/>
      <c r="G38" s="46">
        <v>745</v>
      </c>
      <c r="H38">
        <v>13100</v>
      </c>
      <c r="I38" s="20"/>
      <c r="J38" s="53"/>
      <c r="K38">
        <v>30900</v>
      </c>
      <c r="M38" s="11"/>
      <c r="P38" s="11"/>
      <c r="AA38" s="6"/>
    </row>
    <row r="39" spans="2:28" x14ac:dyDescent="0.25">
      <c r="B39">
        <v>16</v>
      </c>
      <c r="C39" s="20"/>
      <c r="D39">
        <v>277</v>
      </c>
      <c r="E39">
        <v>16780</v>
      </c>
      <c r="F39" s="20"/>
      <c r="G39" s="46">
        <v>746</v>
      </c>
      <c r="H39">
        <v>17100</v>
      </c>
      <c r="I39" s="20"/>
      <c r="J39" s="53"/>
      <c r="K39">
        <v>33380</v>
      </c>
      <c r="Z39" s="8"/>
      <c r="AB39" s="8"/>
    </row>
    <row r="40" spans="2:28" x14ac:dyDescent="0.25">
      <c r="B40">
        <v>17</v>
      </c>
      <c r="C40" s="20"/>
      <c r="D40" s="37">
        <v>278</v>
      </c>
      <c r="E40">
        <v>15160</v>
      </c>
      <c r="F40" s="20"/>
      <c r="G40" s="46">
        <v>747</v>
      </c>
      <c r="H40">
        <v>15040</v>
      </c>
      <c r="I40" s="20"/>
      <c r="J40" s="53"/>
      <c r="K40">
        <v>30120</v>
      </c>
    </row>
    <row r="41" spans="2:28" x14ac:dyDescent="0.25">
      <c r="B41">
        <v>18</v>
      </c>
      <c r="C41" s="20"/>
      <c r="D41" s="37">
        <v>279</v>
      </c>
      <c r="E41">
        <v>16740</v>
      </c>
      <c r="F41" s="20"/>
      <c r="G41" s="46">
        <v>748</v>
      </c>
      <c r="H41">
        <v>17100</v>
      </c>
      <c r="I41" s="20"/>
      <c r="J41" s="53"/>
      <c r="K41">
        <v>34280</v>
      </c>
    </row>
    <row r="42" spans="2:28" x14ac:dyDescent="0.25">
      <c r="B42">
        <v>19</v>
      </c>
      <c r="C42" s="20"/>
      <c r="D42" s="37">
        <v>280</v>
      </c>
      <c r="E42">
        <v>17580</v>
      </c>
      <c r="F42" s="20"/>
      <c r="G42" s="46">
        <v>749</v>
      </c>
      <c r="H42">
        <v>15280</v>
      </c>
      <c r="I42" s="20"/>
      <c r="J42" s="53"/>
    </row>
    <row r="43" spans="2:28" x14ac:dyDescent="0.25">
      <c r="C43" s="20"/>
      <c r="D43" s="37"/>
      <c r="F43" s="20"/>
      <c r="G43" s="46">
        <v>750</v>
      </c>
      <c r="H43">
        <v>8960</v>
      </c>
      <c r="I43" s="20"/>
      <c r="J43" s="53"/>
      <c r="K43">
        <v>41640</v>
      </c>
    </row>
    <row r="44" spans="2:28" x14ac:dyDescent="0.25">
      <c r="B44">
        <v>20</v>
      </c>
      <c r="C44" s="20"/>
      <c r="D44" s="37">
        <v>281</v>
      </c>
      <c r="E44">
        <v>17120</v>
      </c>
      <c r="F44" s="20"/>
      <c r="G44" s="46">
        <v>751</v>
      </c>
      <c r="H44">
        <v>15000</v>
      </c>
      <c r="I44" s="20"/>
      <c r="J44" s="53"/>
      <c r="K44">
        <v>31960</v>
      </c>
    </row>
    <row r="45" spans="2:28" x14ac:dyDescent="0.25">
      <c r="B45">
        <v>21</v>
      </c>
      <c r="C45" s="20"/>
      <c r="D45" s="37">
        <v>282</v>
      </c>
      <c r="E45">
        <v>4000</v>
      </c>
      <c r="F45" s="20"/>
      <c r="G45" s="46">
        <v>752</v>
      </c>
      <c r="H45">
        <v>11660</v>
      </c>
      <c r="I45" s="20"/>
      <c r="J45" s="53"/>
    </row>
    <row r="46" spans="2:28" x14ac:dyDescent="0.25">
      <c r="C46" s="20"/>
      <c r="D46" s="37"/>
      <c r="F46" s="20"/>
      <c r="G46" s="46">
        <v>753</v>
      </c>
      <c r="H46">
        <v>8100</v>
      </c>
      <c r="I46" s="20"/>
      <c r="J46" s="53"/>
      <c r="K46">
        <v>23820</v>
      </c>
    </row>
    <row r="47" spans="2:28" x14ac:dyDescent="0.25">
      <c r="C47" s="20"/>
      <c r="F47" s="20"/>
      <c r="G47" s="46"/>
      <c r="I47" s="20"/>
      <c r="J47" s="53"/>
    </row>
    <row r="48" spans="2:28" x14ac:dyDescent="0.25">
      <c r="C48" s="20"/>
      <c r="D48" s="37"/>
      <c r="F48" s="20"/>
      <c r="G48" s="46"/>
      <c r="I48" s="20"/>
      <c r="J48" s="53"/>
    </row>
    <row r="49" spans="3:10" x14ac:dyDescent="0.25">
      <c r="C49" s="20"/>
      <c r="D49" s="54"/>
      <c r="E49" s="55"/>
      <c r="F49" s="56"/>
      <c r="G49" s="46"/>
      <c r="I49" s="20"/>
      <c r="J49" s="53"/>
    </row>
    <row r="50" spans="3:10" x14ac:dyDescent="0.25">
      <c r="C50" s="20"/>
      <c r="D50" s="37"/>
      <c r="F50" s="20"/>
      <c r="G50" s="46"/>
      <c r="I50" s="20"/>
      <c r="J50" s="53"/>
    </row>
    <row r="51" spans="3:10" x14ac:dyDescent="0.25">
      <c r="C51" s="20"/>
      <c r="D51" s="50"/>
      <c r="F51" s="20"/>
      <c r="G51" s="46"/>
      <c r="I51" s="20"/>
      <c r="J51" s="53"/>
    </row>
    <row r="52" spans="3:10" x14ac:dyDescent="0.25">
      <c r="C52" s="20"/>
      <c r="D52" s="37"/>
      <c r="F52" s="20"/>
      <c r="G52" s="46"/>
      <c r="I52" s="20"/>
      <c r="J52" s="53"/>
    </row>
    <row r="53" spans="3:10" x14ac:dyDescent="0.25">
      <c r="C53" s="20"/>
      <c r="D53" s="37"/>
      <c r="F53" s="20"/>
      <c r="G53" s="46"/>
      <c r="I53" s="20"/>
      <c r="J53" s="53"/>
    </row>
    <row r="54" spans="3:10" x14ac:dyDescent="0.25">
      <c r="C54" s="20"/>
      <c r="D54" s="37"/>
      <c r="F54" s="20"/>
      <c r="G54" s="46"/>
      <c r="I54" s="20"/>
      <c r="J54" s="53"/>
    </row>
    <row r="55" spans="3:10" x14ac:dyDescent="0.25">
      <c r="C55" s="20"/>
      <c r="D55" s="50"/>
      <c r="F55" s="20"/>
      <c r="G55" s="46"/>
      <c r="I55" s="20"/>
      <c r="J55" s="53"/>
    </row>
    <row r="56" spans="3:10" x14ac:dyDescent="0.25">
      <c r="C56" s="20"/>
      <c r="D56" s="50"/>
      <c r="F56" s="20"/>
      <c r="G56" s="46"/>
      <c r="I56" s="20"/>
      <c r="J56" s="53"/>
    </row>
    <row r="57" spans="3:10" x14ac:dyDescent="0.25">
      <c r="C57" s="20"/>
      <c r="D57" s="37"/>
      <c r="F57" s="20"/>
      <c r="G57" s="46"/>
      <c r="I57" s="20"/>
      <c r="J57" s="53"/>
    </row>
    <row r="58" spans="3:10" x14ac:dyDescent="0.25">
      <c r="C58" s="20"/>
      <c r="D58" s="37"/>
      <c r="F58" s="20"/>
      <c r="G58" s="46"/>
      <c r="I58" s="20"/>
      <c r="J58" s="53"/>
    </row>
    <row r="59" spans="3:10" x14ac:dyDescent="0.25">
      <c r="C59" s="20"/>
      <c r="D59" s="50"/>
      <c r="F59" s="20"/>
      <c r="G59" s="46"/>
      <c r="I59" s="20"/>
      <c r="J59" s="53"/>
    </row>
    <row r="60" spans="3:10" x14ac:dyDescent="0.25">
      <c r="C60" s="20"/>
      <c r="D60" s="37"/>
      <c r="F60" s="20"/>
      <c r="G60" s="46"/>
      <c r="I60" s="20"/>
      <c r="J60" s="53"/>
    </row>
    <row r="61" spans="3:10" x14ac:dyDescent="0.25">
      <c r="C61" s="20"/>
      <c r="D61" s="37"/>
      <c r="F61" s="20"/>
      <c r="G61" s="46"/>
      <c r="I61" s="20"/>
      <c r="J61" s="53"/>
    </row>
    <row r="62" spans="3:10" x14ac:dyDescent="0.25">
      <c r="C62" s="20"/>
      <c r="D62" s="37"/>
      <c r="F62" s="20"/>
      <c r="G62" s="46"/>
      <c r="I62" s="20"/>
      <c r="J62" s="53"/>
    </row>
    <row r="63" spans="3:10" x14ac:dyDescent="0.25">
      <c r="C63" s="20"/>
      <c r="D63" s="37"/>
      <c r="F63" s="20"/>
      <c r="G63" s="46"/>
      <c r="I63" s="20"/>
      <c r="J63" s="53"/>
    </row>
    <row r="64" spans="3:10" x14ac:dyDescent="0.25">
      <c r="C64" s="20"/>
      <c r="D64" s="37"/>
      <c r="F64" s="20"/>
      <c r="G64" s="46"/>
      <c r="I64" s="20"/>
      <c r="J64" s="53"/>
    </row>
    <row r="65" spans="3:10" x14ac:dyDescent="0.25">
      <c r="C65" s="20"/>
      <c r="D65" s="37"/>
      <c r="F65" s="20"/>
      <c r="G65" s="46"/>
      <c r="I65" s="20"/>
      <c r="J65" s="53"/>
    </row>
    <row r="66" spans="3:10" x14ac:dyDescent="0.25">
      <c r="C66" s="20"/>
      <c r="D66" s="37"/>
      <c r="F66" s="20"/>
      <c r="G66" s="46"/>
      <c r="I66" s="20"/>
      <c r="J66" s="53"/>
    </row>
    <row r="67" spans="3:10" x14ac:dyDescent="0.25">
      <c r="C67" s="20"/>
      <c r="D67" s="37"/>
      <c r="F67" s="20"/>
      <c r="G67" s="46"/>
      <c r="J67" s="45"/>
    </row>
    <row r="68" spans="3:10" x14ac:dyDescent="0.25">
      <c r="C68" s="20"/>
      <c r="D68" s="37"/>
      <c r="F68" s="20"/>
      <c r="G68" s="46"/>
      <c r="J68" s="45"/>
    </row>
    <row r="69" spans="3:10" x14ac:dyDescent="0.25">
      <c r="C69" s="20"/>
      <c r="D69" s="37"/>
      <c r="F69" s="20"/>
      <c r="G69" s="46"/>
      <c r="J69" s="45"/>
    </row>
    <row r="70" spans="3:10" x14ac:dyDescent="0.25">
      <c r="C70" s="20"/>
      <c r="D70" s="37"/>
      <c r="F70" s="20"/>
      <c r="G70" s="46"/>
      <c r="J70" s="45"/>
    </row>
    <row r="71" spans="3:10" x14ac:dyDescent="0.25">
      <c r="C71" s="20"/>
      <c r="D71" s="37"/>
      <c r="F71" s="20"/>
      <c r="G71" s="46"/>
      <c r="J71" s="45"/>
    </row>
    <row r="72" spans="3:10" x14ac:dyDescent="0.25">
      <c r="C72" s="20"/>
      <c r="D72" s="37"/>
      <c r="F72" s="20"/>
      <c r="G72" s="46"/>
      <c r="J72" s="45"/>
    </row>
    <row r="73" spans="3:10" x14ac:dyDescent="0.25">
      <c r="C73" s="20"/>
      <c r="D73" s="37"/>
      <c r="F73" s="20"/>
      <c r="G73" s="46"/>
      <c r="J73" s="45"/>
    </row>
    <row r="74" spans="3:10" x14ac:dyDescent="0.25">
      <c r="C74" s="20"/>
      <c r="D74" s="37"/>
      <c r="F74" s="20"/>
      <c r="G74" s="46"/>
      <c r="J74" s="45"/>
    </row>
    <row r="75" spans="3:10" x14ac:dyDescent="0.25">
      <c r="C75" s="20"/>
      <c r="D75" s="37"/>
      <c r="F75" s="20"/>
      <c r="G75" s="46"/>
      <c r="J75" s="45"/>
    </row>
    <row r="76" spans="3:10" x14ac:dyDescent="0.25">
      <c r="C76" s="20"/>
      <c r="D76" s="37"/>
      <c r="F76" s="20"/>
      <c r="G76" s="46"/>
      <c r="J76" s="45"/>
    </row>
    <row r="77" spans="3:10" x14ac:dyDescent="0.25">
      <c r="C77" s="20"/>
      <c r="D77" s="37"/>
      <c r="F77" s="20"/>
      <c r="G77" s="46"/>
      <c r="J77" s="45"/>
    </row>
    <row r="78" spans="3:10" x14ac:dyDescent="0.25">
      <c r="C78" s="20"/>
      <c r="D78" s="37"/>
      <c r="F78" s="20"/>
      <c r="G78" s="46"/>
      <c r="J78" s="45"/>
    </row>
    <row r="79" spans="3:10" x14ac:dyDescent="0.25">
      <c r="C79" s="20"/>
      <c r="D79" s="37"/>
      <c r="F79" s="20"/>
      <c r="G79" s="46"/>
      <c r="J79" s="45"/>
    </row>
    <row r="80" spans="3:10" x14ac:dyDescent="0.25">
      <c r="C80" s="20"/>
      <c r="D80" s="37"/>
      <c r="F80" s="20"/>
      <c r="G80" s="46"/>
      <c r="J80" s="45"/>
    </row>
    <row r="81" spans="3:29" x14ac:dyDescent="0.25">
      <c r="C81" s="20"/>
      <c r="D81" s="37"/>
      <c r="F81" s="20"/>
      <c r="G81" s="46"/>
      <c r="J81" s="45"/>
    </row>
    <row r="82" spans="3:29" x14ac:dyDescent="0.25">
      <c r="C82" s="20"/>
      <c r="D82" s="37"/>
      <c r="F82" s="20"/>
      <c r="G82" s="46"/>
      <c r="J82" s="45"/>
    </row>
    <row r="83" spans="3:29" x14ac:dyDescent="0.25">
      <c r="C83" s="20"/>
      <c r="D83" s="37"/>
      <c r="F83" s="20"/>
      <c r="G83" s="46"/>
      <c r="J83" s="45"/>
    </row>
    <row r="84" spans="3:29" x14ac:dyDescent="0.25">
      <c r="C84" s="20"/>
      <c r="D84" s="37"/>
      <c r="F84" s="20"/>
      <c r="G84" s="46"/>
      <c r="J84" s="45"/>
      <c r="AA84" s="6"/>
      <c r="AC84" s="8"/>
    </row>
    <row r="85" spans="3:29" x14ac:dyDescent="0.25">
      <c r="C85" s="20"/>
      <c r="D85" s="37"/>
      <c r="F85" s="20"/>
      <c r="G85" s="46"/>
      <c r="J85" s="37"/>
    </row>
    <row r="86" spans="3:29" x14ac:dyDescent="0.25">
      <c r="C86" s="20"/>
      <c r="D86" s="37"/>
      <c r="F86" s="20"/>
      <c r="G86" s="46"/>
      <c r="J86" s="37"/>
    </row>
    <row r="87" spans="3:29" x14ac:dyDescent="0.25">
      <c r="C87" s="20"/>
      <c r="D87" s="37"/>
      <c r="F87" s="20"/>
      <c r="G87" s="46"/>
      <c r="J87" s="37"/>
    </row>
    <row r="88" spans="3:29" x14ac:dyDescent="0.25">
      <c r="C88" s="20"/>
      <c r="D88" s="37"/>
      <c r="F88" s="20"/>
      <c r="G88" s="46"/>
      <c r="J88" s="37"/>
    </row>
    <row r="89" spans="3:29" x14ac:dyDescent="0.25">
      <c r="C89" s="20"/>
      <c r="D89" s="37"/>
      <c r="F89" s="20"/>
      <c r="G89" s="46"/>
      <c r="J89" s="37"/>
    </row>
    <row r="90" spans="3:29" x14ac:dyDescent="0.25">
      <c r="C90" s="20"/>
      <c r="D90" s="37"/>
      <c r="F90" s="20"/>
      <c r="G90" s="46"/>
      <c r="J90" s="37"/>
    </row>
    <row r="91" spans="3:29" x14ac:dyDescent="0.25">
      <c r="C91" s="20"/>
      <c r="D91" s="37"/>
      <c r="F91" s="20"/>
      <c r="G91" s="46"/>
      <c r="J91" s="37"/>
    </row>
    <row r="92" spans="3:29" x14ac:dyDescent="0.25">
      <c r="C92" s="20"/>
      <c r="D92" s="37"/>
      <c r="F92" s="20"/>
      <c r="G92" s="46"/>
      <c r="J92" s="37"/>
    </row>
    <row r="93" spans="3:29" x14ac:dyDescent="0.25">
      <c r="C93" s="20"/>
      <c r="D93" s="37"/>
      <c r="F93" s="20"/>
      <c r="G93" s="46"/>
      <c r="J93" s="37"/>
    </row>
    <row r="94" spans="3:29" x14ac:dyDescent="0.25">
      <c r="D94" s="37"/>
      <c r="F94" s="20"/>
      <c r="G94" s="46"/>
      <c r="J94" s="37"/>
    </row>
    <row r="95" spans="3:29" x14ac:dyDescent="0.25">
      <c r="D95" s="37"/>
      <c r="F95" s="20"/>
      <c r="G95" s="46"/>
      <c r="J95" s="37"/>
    </row>
    <row r="96" spans="3:29" x14ac:dyDescent="0.25">
      <c r="D96" s="37"/>
      <c r="F96" s="20"/>
      <c r="G96" s="46"/>
      <c r="J96" s="37"/>
    </row>
    <row r="97" spans="4:10" x14ac:dyDescent="0.25">
      <c r="D97" s="37"/>
      <c r="F97" s="20"/>
      <c r="G97" s="46"/>
      <c r="J97" s="37"/>
    </row>
    <row r="98" spans="4:10" x14ac:dyDescent="0.25">
      <c r="D98" s="37"/>
      <c r="F98" s="20"/>
      <c r="G98" s="46"/>
      <c r="J98" s="37"/>
    </row>
    <row r="99" spans="4:10" x14ac:dyDescent="0.25">
      <c r="D99" s="37"/>
      <c r="F99" s="20"/>
      <c r="G99" s="46"/>
      <c r="J99" s="37"/>
    </row>
    <row r="100" spans="4:10" x14ac:dyDescent="0.25">
      <c r="D100" s="43"/>
      <c r="E100" s="51" t="s">
        <v>35</v>
      </c>
      <c r="F100" s="44"/>
      <c r="G100" s="57"/>
      <c r="H100" s="51" t="s">
        <v>35</v>
      </c>
      <c r="I100" s="51"/>
      <c r="J100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B61B-6EB9-461A-9F6E-4C1E0AC52632}">
  <dimension ref="A1:X133"/>
  <sheetViews>
    <sheetView workbookViewId="0">
      <pane ySplit="15" topLeftCell="A16" activePane="bottomLeft" state="frozen"/>
      <selection activeCell="AB4" sqref="AB4"/>
      <selection pane="bottomLeft" activeCell="AB4" sqref="AB4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10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[3]Summary!E2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24" x14ac:dyDescent="0.25">
      <c r="H2" s="2" t="s">
        <v>1</v>
      </c>
      <c r="I2" s="2" t="s">
        <v>1</v>
      </c>
      <c r="J2">
        <f>+D11+G11</f>
        <v>455220</v>
      </c>
      <c r="K2">
        <f>J2-J3</f>
        <v>-11847</v>
      </c>
      <c r="L2" s="1">
        <f>K2/J2</f>
        <v>-2.6024779227626204E-2</v>
      </c>
      <c r="S2" t="s">
        <v>77</v>
      </c>
      <c r="T2">
        <v>14.64</v>
      </c>
      <c r="U2">
        <v>19.184000000000001</v>
      </c>
      <c r="V2" s="8">
        <f>U2*2204.622/60</f>
        <v>704.89114080000002</v>
      </c>
      <c r="W2" s="10">
        <f>V2/T2</f>
        <v>48.148301967213115</v>
      </c>
    </row>
    <row r="3" spans="1:24" x14ac:dyDescent="0.25">
      <c r="B3" t="s">
        <v>2</v>
      </c>
      <c r="D3" s="3" t="s">
        <v>115</v>
      </c>
      <c r="E3" s="4"/>
      <c r="F3" t="s">
        <v>116</v>
      </c>
      <c r="H3" s="2" t="s">
        <v>5</v>
      </c>
      <c r="I3" s="2"/>
      <c r="J3">
        <f>K11-L10+M11-N10+O11-P10+Q11-R10+S11-T10+U11-V10+W11-X10</f>
        <v>467067</v>
      </c>
      <c r="K3" s="5" t="s">
        <v>6</v>
      </c>
      <c r="L3" s="5" t="s">
        <v>7</v>
      </c>
      <c r="M3" s="5" t="s">
        <v>8</v>
      </c>
      <c r="N3" s="6">
        <f>N4*I4/O1</f>
        <v>204.04125740249123</v>
      </c>
      <c r="O3" s="6">
        <f>K7+M7+O7+Q7+S7+U7+W7</f>
        <v>201.4441579471092</v>
      </c>
      <c r="S3" t="s">
        <v>80</v>
      </c>
      <c r="T3">
        <v>135.91999999999999</v>
      </c>
      <c r="U3" s="6">
        <f>Q7+O7+S7</f>
        <v>182.26233001412226</v>
      </c>
      <c r="V3" s="8">
        <f>U3*2204.622/60</f>
        <v>6696.9923753399034</v>
      </c>
      <c r="W3" s="10">
        <f>V3/T3</f>
        <v>49.271574274131133</v>
      </c>
    </row>
    <row r="4" spans="1:24" x14ac:dyDescent="0.25">
      <c r="B4" t="s">
        <v>9</v>
      </c>
      <c r="D4" s="7" t="str">
        <f>[3]Summary!C2</f>
        <v>CPS</v>
      </c>
      <c r="E4" s="4"/>
      <c r="F4" s="8">
        <f>[3]Summary!C3</f>
        <v>2019</v>
      </c>
      <c r="I4" s="8">
        <f>[3]Summary!D2</f>
        <v>60</v>
      </c>
      <c r="J4" s="8">
        <f>J3/I4</f>
        <v>7784.45</v>
      </c>
      <c r="K4" s="9">
        <v>0.98</v>
      </c>
      <c r="L4" s="9">
        <f>IF(J5=0,L1,(L8+N8+P8+R8+T8+V8+X8)/J5/K4)</f>
        <v>0.14242319838481418</v>
      </c>
      <c r="M4" s="9">
        <f>IF(J5=0,0,(L9+N9+P9+R9+T9+V9+X9)/J5/K4)</f>
        <v>1.7241087467108573E-2</v>
      </c>
      <c r="N4" s="8">
        <f>IF(L4&gt;L1,J4*(1-L4)/(1-L1)*(1-M4)*K4,J4*K4*(1-M4))</f>
        <v>7497.2328643333321</v>
      </c>
      <c r="S4" t="s">
        <v>117</v>
      </c>
      <c r="T4">
        <f>157-T2-T3</f>
        <v>6.4400000000000261</v>
      </c>
      <c r="U4" s="6"/>
      <c r="V4" s="8">
        <f>U4*2204.622/60</f>
        <v>0</v>
      </c>
      <c r="W4" s="10">
        <f>V4/T4</f>
        <v>0</v>
      </c>
    </row>
    <row r="5" spans="1:24" x14ac:dyDescent="0.25">
      <c r="B5" t="s">
        <v>10</v>
      </c>
      <c r="D5" s="7">
        <v>43774</v>
      </c>
      <c r="E5" s="4"/>
      <c r="F5" s="52">
        <v>43794</v>
      </c>
      <c r="J5" s="6">
        <f>J3/O1</f>
        <v>211.85802747879055</v>
      </c>
      <c r="N5" s="8">
        <f>T2+T3</f>
        <v>150.56</v>
      </c>
      <c r="O5" s="10">
        <f>N4/N5</f>
        <v>49.795648673839878</v>
      </c>
      <c r="P5" t="s">
        <v>11</v>
      </c>
      <c r="S5" t="s">
        <v>81</v>
      </c>
      <c r="T5" s="61">
        <f>SUM(T2:T4)</f>
        <v>157.00000000000003</v>
      </c>
      <c r="U5" s="66">
        <f t="shared" ref="U5:V5" si="0">SUM(U2:U4)</f>
        <v>201.44633001412225</v>
      </c>
      <c r="V5" s="62">
        <f t="shared" si="0"/>
        <v>7401.8835161399038</v>
      </c>
      <c r="W5" s="63">
        <f>V5/T5</f>
        <v>47.145754879871987</v>
      </c>
    </row>
    <row r="6" spans="1:24" x14ac:dyDescent="0.25">
      <c r="D6" s="11"/>
      <c r="J6" s="6"/>
      <c r="K6" s="12"/>
      <c r="L6" s="13"/>
      <c r="M6" s="12"/>
      <c r="N6" s="8"/>
      <c r="O6" s="10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7.8829584979061726</v>
      </c>
      <c r="M7" s="6">
        <f>IF(M8&gt;$L1,(N11-N10/$O1)*$K4*(1-M8)/(1-$L1)*(1-M9),(N11-N10/$O1)*$K4*(1-M9))</f>
        <v>11.298869435080787</v>
      </c>
      <c r="O7" s="6">
        <f>IF(O8&gt;$L1,(P11-P10/$O1)*$K4*(1-O8)/(1-$L1)*(1-O9),(P11-P10/$O1)*$K4*(1-O9))</f>
        <v>5.2536991525048942</v>
      </c>
      <c r="Q7" s="6">
        <f>IF(Q8&gt;$L1,(R11-R10/$O1)*$K4*(1-Q8)/(1-$L1)*(1-Q9),(R11-R10/$O1)*$K4*(1-Q9))</f>
        <v>29.207068466893823</v>
      </c>
      <c r="S7" s="6">
        <f>IF(S8&gt;$L1,(T11-T10/$O1)*$K4*(1-S8)/(1-$L1)*(1-S9),(T11-T10/$O1)*$K4*(1-S9))</f>
        <v>147.80156239472353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0.27</v>
      </c>
      <c r="L8" s="6">
        <f>(L11-L10/$O1)*$K4*K8</f>
        <v>2.5180309523199669</v>
      </c>
      <c r="M8" s="1">
        <v>0.23</v>
      </c>
      <c r="N8" s="6">
        <f>(N11-N10/$O1)*$K4*M8</f>
        <v>2.9445039417024077</v>
      </c>
      <c r="O8" s="1">
        <v>0.14000000000000001</v>
      </c>
      <c r="P8" s="6">
        <f>(P11-P10/$O1)*$K4*O8</f>
        <v>0.7505284503578421</v>
      </c>
      <c r="Q8" s="1">
        <v>0.128</v>
      </c>
      <c r="R8" s="6">
        <f>(R11-R10/$O1)*$K4*Q8</f>
        <v>3.8501593859551075</v>
      </c>
      <c r="S8" s="1">
        <v>0.13</v>
      </c>
      <c r="T8" s="6">
        <f>(T11-T10/$O1)*$K4*S8</f>
        <v>19.506805189151333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9.3260405641480248E-2</v>
      </c>
      <c r="M9" s="1">
        <v>0.02</v>
      </c>
      <c r="N9" s="6">
        <f>(N11-N10/$O1)*$K4*M9</f>
        <v>0.25604382101760065</v>
      </c>
      <c r="O9" s="1">
        <v>0.02</v>
      </c>
      <c r="P9" s="6">
        <f>(P11-P10/$O1)*$K4*O9</f>
        <v>0.10721835005112029</v>
      </c>
      <c r="Q9" s="1">
        <v>2.9000000000000001E-2</v>
      </c>
      <c r="R9" s="6">
        <f>(R11-R10/$O1)*$K4*Q9</f>
        <v>0.87230173588045412</v>
      </c>
      <c r="S9" s="1">
        <v>1.4999999999999999E-2</v>
      </c>
      <c r="T9" s="6">
        <f>(T11-T10/$O1)*$K4*S9</f>
        <v>2.2507852141328457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404971.98036114406</v>
      </c>
      <c r="E10" s="22"/>
      <c r="F10" s="23"/>
      <c r="G10" s="21">
        <f>J3/J2*G11</f>
        <v>62095.019638855942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394700</v>
      </c>
      <c r="E11" s="26"/>
      <c r="F11" s="27"/>
      <c r="G11" s="25">
        <f>H14+I14</f>
        <v>60520</v>
      </c>
      <c r="H11" s="26"/>
      <c r="I11" s="26"/>
      <c r="J11" s="28"/>
      <c r="K11" s="29">
        <f>K14+L14</f>
        <v>20980</v>
      </c>
      <c r="L11" s="30">
        <f>K11/2204.62262184877</f>
        <v>9.5163679226000255</v>
      </c>
      <c r="M11" s="29">
        <f>M14+N14</f>
        <v>28800</v>
      </c>
      <c r="N11" s="30">
        <f>M11/2204.62262184877</f>
        <v>13.063460256000035</v>
      </c>
      <c r="O11" s="29">
        <f>O14+P14</f>
        <v>12060</v>
      </c>
      <c r="P11" s="30">
        <f>O11/2204.62262184877</f>
        <v>5.4703239822000143</v>
      </c>
      <c r="Q11" s="29">
        <f>Q14+R14</f>
        <v>67667</v>
      </c>
      <c r="R11" s="30">
        <f>Q11/2204.62262184877</f>
        <v>30.693234900790081</v>
      </c>
      <c r="S11" s="29">
        <f>S14+T14</f>
        <v>337560</v>
      </c>
      <c r="T11" s="30">
        <f>S11/2204.62262184877</f>
        <v>153.11464041720041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118</v>
      </c>
      <c r="L12" s="36"/>
      <c r="M12" s="35" t="s">
        <v>119</v>
      </c>
      <c r="N12" s="36"/>
      <c r="O12" s="35" t="s">
        <v>87</v>
      </c>
      <c r="P12" s="36"/>
      <c r="Q12" s="35" t="s">
        <v>120</v>
      </c>
      <c r="R12" s="36"/>
      <c r="S12" s="35" t="s">
        <v>121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394700</v>
      </c>
      <c r="F14" s="40">
        <f>SUM(F15:F133)</f>
        <v>0</v>
      </c>
      <c r="G14" s="37"/>
      <c r="H14" s="39">
        <f>SUM(H15:H133)</f>
        <v>60520</v>
      </c>
      <c r="I14" s="39">
        <f>SUM(I15:I133)</f>
        <v>0</v>
      </c>
      <c r="J14" s="28"/>
      <c r="K14" s="41">
        <f t="shared" ref="K14:X14" si="1">SUM(K15:K133)</f>
        <v>20980</v>
      </c>
      <c r="L14" s="42">
        <f t="shared" si="1"/>
        <v>0</v>
      </c>
      <c r="M14" s="41">
        <f t="shared" si="1"/>
        <v>28800</v>
      </c>
      <c r="N14" s="42">
        <f t="shared" si="1"/>
        <v>0</v>
      </c>
      <c r="O14" s="41">
        <f t="shared" si="1"/>
        <v>12060</v>
      </c>
      <c r="P14" s="42">
        <f t="shared" si="1"/>
        <v>0</v>
      </c>
      <c r="Q14" s="41">
        <f t="shared" si="1"/>
        <v>67667</v>
      </c>
      <c r="R14" s="42">
        <f t="shared" si="1"/>
        <v>0</v>
      </c>
      <c r="S14" s="41">
        <f t="shared" si="1"/>
        <v>337560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/>
      <c r="F16" s="20"/>
      <c r="G16" s="37"/>
      <c r="H16">
        <v>20980</v>
      </c>
      <c r="J16" s="37"/>
      <c r="K16">
        <v>20980</v>
      </c>
    </row>
    <row r="17" spans="2:19" x14ac:dyDescent="0.25">
      <c r="B17">
        <v>2</v>
      </c>
      <c r="C17" s="20"/>
      <c r="D17" s="37">
        <v>219</v>
      </c>
      <c r="E17">
        <v>16980</v>
      </c>
      <c r="F17" s="20"/>
      <c r="G17" s="37" t="s">
        <v>122</v>
      </c>
      <c r="H17">
        <v>11820</v>
      </c>
      <c r="J17" s="37"/>
      <c r="M17">
        <v>28800</v>
      </c>
    </row>
    <row r="18" spans="2:19" x14ac:dyDescent="0.25">
      <c r="C18" s="20"/>
      <c r="D18" s="37"/>
      <c r="F18" s="20"/>
      <c r="G18" s="37"/>
      <c r="J18" s="37"/>
    </row>
    <row r="19" spans="2:19" x14ac:dyDescent="0.25">
      <c r="B19" s="64">
        <v>43962</v>
      </c>
      <c r="C19" s="20"/>
      <c r="D19">
        <v>231</v>
      </c>
      <c r="F19" s="20"/>
      <c r="G19" s="37">
        <v>741</v>
      </c>
      <c r="J19" s="37"/>
      <c r="O19">
        <v>12060</v>
      </c>
    </row>
    <row r="20" spans="2:19" x14ac:dyDescent="0.25">
      <c r="B20" s="64">
        <v>43965</v>
      </c>
      <c r="C20" s="20"/>
      <c r="F20" s="20"/>
      <c r="G20" s="37"/>
      <c r="J20" s="37"/>
    </row>
    <row r="21" spans="2:19" x14ac:dyDescent="0.25">
      <c r="B21">
        <v>1</v>
      </c>
      <c r="C21" s="20"/>
      <c r="D21">
        <v>257</v>
      </c>
      <c r="E21">
        <v>9600</v>
      </c>
      <c r="F21" s="20"/>
      <c r="G21" s="37">
        <v>780</v>
      </c>
      <c r="H21">
        <v>11980</v>
      </c>
      <c r="J21" s="37"/>
    </row>
    <row r="22" spans="2:19" x14ac:dyDescent="0.25">
      <c r="C22" s="20"/>
      <c r="F22" s="20"/>
      <c r="G22" s="37">
        <v>781</v>
      </c>
      <c r="H22">
        <v>12660</v>
      </c>
      <c r="J22" s="37"/>
      <c r="Q22">
        <v>34340</v>
      </c>
    </row>
    <row r="23" spans="2:19" x14ac:dyDescent="0.25">
      <c r="B23">
        <v>2</v>
      </c>
      <c r="C23" s="20"/>
      <c r="D23">
        <v>258</v>
      </c>
      <c r="E23">
        <v>13320</v>
      </c>
      <c r="F23" s="20"/>
      <c r="G23" s="37">
        <v>782</v>
      </c>
      <c r="H23">
        <v>3080</v>
      </c>
      <c r="J23" s="37"/>
    </row>
    <row r="24" spans="2:19" x14ac:dyDescent="0.25">
      <c r="C24" s="20"/>
      <c r="D24">
        <v>259</v>
      </c>
      <c r="E24">
        <v>4460</v>
      </c>
      <c r="F24" s="20"/>
      <c r="G24" s="37"/>
      <c r="J24" s="37"/>
      <c r="Q24">
        <v>627</v>
      </c>
    </row>
    <row r="25" spans="2:19" x14ac:dyDescent="0.25">
      <c r="C25" s="20"/>
      <c r="D25">
        <v>260</v>
      </c>
      <c r="E25">
        <v>12780</v>
      </c>
      <c r="F25" s="20"/>
      <c r="J25" s="37">
        <f>E21+E23+E24+E25</f>
        <v>40160</v>
      </c>
      <c r="Q25">
        <v>32700</v>
      </c>
    </row>
    <row r="26" spans="2:19" x14ac:dyDescent="0.25">
      <c r="C26" s="20"/>
      <c r="F26" s="20"/>
      <c r="J26" s="37"/>
    </row>
    <row r="27" spans="2:19" x14ac:dyDescent="0.25">
      <c r="B27" s="64">
        <v>43980</v>
      </c>
      <c r="C27" s="20"/>
      <c r="E27">
        <f>5626*60</f>
        <v>337560</v>
      </c>
      <c r="F27" s="20"/>
      <c r="I27" s="20"/>
      <c r="J27" s="37"/>
      <c r="S27">
        <v>337560</v>
      </c>
    </row>
    <row r="28" spans="2:19" x14ac:dyDescent="0.25">
      <c r="C28" s="20"/>
      <c r="F28" s="20"/>
      <c r="I28" s="20"/>
      <c r="J28" s="37"/>
    </row>
    <row r="29" spans="2:19" x14ac:dyDescent="0.25">
      <c r="C29" s="20"/>
      <c r="J29" s="37"/>
    </row>
    <row r="30" spans="2:19" x14ac:dyDescent="0.25">
      <c r="C30" s="20"/>
      <c r="D30" s="49"/>
      <c r="F30" s="20"/>
      <c r="J30" s="37"/>
    </row>
    <row r="31" spans="2:19" x14ac:dyDescent="0.25">
      <c r="C31" s="20"/>
      <c r="F31" s="20"/>
      <c r="J31" s="37"/>
    </row>
    <row r="32" spans="2:19" x14ac:dyDescent="0.25">
      <c r="C32" s="20"/>
      <c r="F32" s="20"/>
      <c r="J32" s="37"/>
    </row>
    <row r="33" spans="3:10" x14ac:dyDescent="0.25">
      <c r="C33" s="20"/>
      <c r="F33" s="20"/>
      <c r="J33" s="37"/>
    </row>
    <row r="34" spans="3:10" x14ac:dyDescent="0.25">
      <c r="C34" s="20"/>
      <c r="F34" s="20"/>
      <c r="J34" s="37"/>
    </row>
    <row r="35" spans="3:10" x14ac:dyDescent="0.25">
      <c r="C35" s="20"/>
      <c r="F35" s="20"/>
      <c r="J35" s="37"/>
    </row>
    <row r="36" spans="3:10" x14ac:dyDescent="0.25">
      <c r="C36" s="20"/>
      <c r="F36" s="20"/>
      <c r="J36" s="37"/>
    </row>
    <row r="37" spans="3:10" x14ac:dyDescent="0.25">
      <c r="C37" s="20"/>
      <c r="F37" s="20"/>
      <c r="J37" s="37"/>
    </row>
    <row r="38" spans="3:10" x14ac:dyDescent="0.25">
      <c r="C38" s="20"/>
      <c r="F38" s="20"/>
      <c r="J38" s="37"/>
    </row>
    <row r="39" spans="3:10" x14ac:dyDescent="0.25">
      <c r="C39" s="20"/>
      <c r="F39" s="20"/>
      <c r="J39" s="37"/>
    </row>
    <row r="40" spans="3:10" x14ac:dyDescent="0.25">
      <c r="C40" s="20"/>
      <c r="F40" s="20"/>
      <c r="J40" s="37"/>
    </row>
    <row r="41" spans="3:10" x14ac:dyDescent="0.25">
      <c r="C41" s="20"/>
      <c r="F41" s="20"/>
      <c r="J41" s="37"/>
    </row>
    <row r="42" spans="3:10" x14ac:dyDescent="0.25">
      <c r="C42" s="20"/>
      <c r="F42" s="20"/>
      <c r="J42" s="37"/>
    </row>
    <row r="43" spans="3:10" x14ac:dyDescent="0.25">
      <c r="C43" s="20"/>
      <c r="F43" s="20"/>
      <c r="J43" s="37"/>
    </row>
    <row r="44" spans="3:10" x14ac:dyDescent="0.25">
      <c r="C44" s="20"/>
      <c r="F44" s="20"/>
      <c r="J44" s="37"/>
    </row>
    <row r="45" spans="3:10" x14ac:dyDescent="0.25">
      <c r="C45" s="20"/>
      <c r="F45" s="20"/>
      <c r="J45" s="37"/>
    </row>
    <row r="46" spans="3:10" x14ac:dyDescent="0.25">
      <c r="C46" s="20"/>
      <c r="F46" s="20"/>
      <c r="J46" s="37"/>
    </row>
    <row r="47" spans="3:10" x14ac:dyDescent="0.25">
      <c r="C47" s="20"/>
      <c r="F47" s="20"/>
      <c r="J47" s="37"/>
    </row>
    <row r="48" spans="3:10" x14ac:dyDescent="0.25">
      <c r="C48" s="20"/>
      <c r="F48" s="20"/>
      <c r="J48" s="37"/>
    </row>
    <row r="49" spans="1:15" x14ac:dyDescent="0.25">
      <c r="C49" s="20"/>
      <c r="F49" s="20"/>
      <c r="J49" s="37"/>
    </row>
    <row r="50" spans="1:15" x14ac:dyDescent="0.25">
      <c r="C50" s="20"/>
      <c r="F50" s="20"/>
      <c r="J50" s="37"/>
    </row>
    <row r="51" spans="1:15" x14ac:dyDescent="0.25">
      <c r="C51" s="20"/>
      <c r="F51" s="20"/>
      <c r="J51" s="37"/>
    </row>
    <row r="52" spans="1:15" x14ac:dyDescent="0.25">
      <c r="C52" s="20"/>
      <c r="F52" s="20"/>
      <c r="J52" s="37"/>
    </row>
    <row r="53" spans="1:15" x14ac:dyDescent="0.25">
      <c r="C53" s="20"/>
      <c r="F53" s="20"/>
      <c r="J53" s="37"/>
    </row>
    <row r="54" spans="1:15" x14ac:dyDescent="0.25">
      <c r="C54" s="20"/>
      <c r="F54" s="20"/>
      <c r="J54" s="37"/>
    </row>
    <row r="55" spans="1:15" x14ac:dyDescent="0.25">
      <c r="C55" s="20"/>
      <c r="F55" s="20"/>
      <c r="J55" s="37"/>
      <c r="L55" s="11"/>
      <c r="M55" s="11"/>
    </row>
    <row r="56" spans="1:15" x14ac:dyDescent="0.25">
      <c r="C56" s="20"/>
      <c r="F56" s="20"/>
      <c r="J56" s="37"/>
    </row>
    <row r="57" spans="1:15" x14ac:dyDescent="0.25">
      <c r="C57" s="20"/>
      <c r="F57" s="20"/>
      <c r="J57" s="37"/>
    </row>
    <row r="58" spans="1:15" s="11" customFormat="1" x14ac:dyDescent="0.25">
      <c r="A58"/>
      <c r="C58" s="47"/>
      <c r="D58"/>
      <c r="E58"/>
      <c r="F58" s="20"/>
      <c r="G58"/>
      <c r="H58"/>
      <c r="I58"/>
      <c r="J58" s="37"/>
      <c r="K58"/>
    </row>
    <row r="59" spans="1:15" s="11" customFormat="1" x14ac:dyDescent="0.25">
      <c r="A59"/>
      <c r="C59" s="47"/>
      <c r="D59"/>
      <c r="E59"/>
      <c r="F59" s="20"/>
      <c r="G59"/>
      <c r="H59"/>
      <c r="I59"/>
      <c r="J59" s="37"/>
      <c r="K59"/>
    </row>
    <row r="60" spans="1:15" s="11" customFormat="1" x14ac:dyDescent="0.25">
      <c r="A60"/>
      <c r="C60" s="47"/>
      <c r="D60"/>
      <c r="E60"/>
      <c r="F60" s="20"/>
      <c r="G60"/>
      <c r="H60"/>
      <c r="I60"/>
      <c r="J60" s="37"/>
      <c r="K60"/>
    </row>
    <row r="61" spans="1:15" s="11" customFormat="1" x14ac:dyDescent="0.25">
      <c r="A61"/>
      <c r="C61" s="47"/>
      <c r="D61"/>
      <c r="E61"/>
      <c r="F61" s="20"/>
      <c r="G61"/>
      <c r="H61"/>
      <c r="J61" s="58"/>
      <c r="K61"/>
    </row>
    <row r="62" spans="1:15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</row>
    <row r="63" spans="1:15" x14ac:dyDescent="0.25">
      <c r="C63" s="20"/>
      <c r="D63" s="37"/>
      <c r="F63" s="20"/>
      <c r="J63" s="37"/>
      <c r="O63" s="11"/>
    </row>
    <row r="64" spans="1:15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50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17AE-7418-4259-88A9-B8A582E16A27}">
  <dimension ref="A1:X108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710937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1077370</v>
      </c>
      <c r="K2">
        <f>J2-J3</f>
        <v>-3190</v>
      </c>
      <c r="L2" s="1">
        <f>K2/J2</f>
        <v>-2.9609140778005701E-3</v>
      </c>
    </row>
    <row r="3" spans="1:24" x14ac:dyDescent="0.25">
      <c r="B3" t="s">
        <v>2</v>
      </c>
      <c r="D3" s="3" t="s">
        <v>48</v>
      </c>
      <c r="E3" s="4"/>
      <c r="F3" t="s">
        <v>49</v>
      </c>
      <c r="H3" s="2" t="s">
        <v>5</v>
      </c>
      <c r="I3" s="2"/>
      <c r="J3">
        <f>K11-L10+M11-N10+O11-P10+Q11-R10+S11-T10+U11-V10+W11-X10</f>
        <v>1080560</v>
      </c>
      <c r="K3" s="5" t="s">
        <v>6</v>
      </c>
      <c r="L3" s="5" t="s">
        <v>7</v>
      </c>
      <c r="M3" s="5" t="s">
        <v>8</v>
      </c>
      <c r="N3" s="6">
        <f>N4*I4/O1</f>
        <v>466.11143050789678</v>
      </c>
      <c r="O3" s="6">
        <f>K7+M7+O7+Q7+S7+U7+W7</f>
        <v>466.11143050789673</v>
      </c>
    </row>
    <row r="4" spans="1:24" x14ac:dyDescent="0.25">
      <c r="B4" t="s">
        <v>9</v>
      </c>
      <c r="D4" s="7" t="str">
        <f>[2]Summary!C2</f>
        <v>Peas</v>
      </c>
      <c r="E4" s="4"/>
      <c r="F4" s="8">
        <f>[2]Summary!C3</f>
        <v>2019</v>
      </c>
      <c r="I4" s="8">
        <f>[2]Summary!D2</f>
        <v>60</v>
      </c>
      <c r="J4" s="8">
        <f>J3/I4</f>
        <v>18009.333333333332</v>
      </c>
      <c r="K4" s="9">
        <v>0.98</v>
      </c>
      <c r="L4" s="9">
        <f>IF(J5=0,L1,(L8+N8+P8+R8+T8+V8+X8)/J5/K4)</f>
        <v>0.17663359739394385</v>
      </c>
      <c r="M4" s="9">
        <f>IF(J5=0,0,(L9+N9+P9+R9+T9+V9+X9)/J5/K4)</f>
        <v>0.01</v>
      </c>
      <c r="N4" s="8">
        <f>IF(L4&gt;L1,J4*(1-L4)/(1-L1)*(1-M4)*K4,J4*K4*(1-M4))</f>
        <v>17126.663400000001</v>
      </c>
      <c r="V4" s="6"/>
    </row>
    <row r="5" spans="1:24" x14ac:dyDescent="0.25">
      <c r="B5" t="s">
        <v>10</v>
      </c>
      <c r="D5" s="7">
        <v>43732</v>
      </c>
      <c r="E5" s="4"/>
      <c r="F5" s="52">
        <v>43738</v>
      </c>
      <c r="J5" s="6">
        <f>J3/O1</f>
        <v>490.13377132720132</v>
      </c>
      <c r="N5" s="8">
        <v>276</v>
      </c>
      <c r="O5" s="10">
        <f>N4/N5</f>
        <v>62.05312826086957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298.11477369712117</v>
      </c>
      <c r="M7" s="6">
        <f>IF(M8&gt;$L1,(N11-N10/$O1)*$K4*(1-M8)/(1-$L1)*(1-M9),(N11-N10/$O1)*$K4*(1-M9))</f>
        <v>42.753526642559159</v>
      </c>
      <c r="O7" s="6">
        <f>IF(O8&gt;$L1,(P11-P10/$O1)*$K4*(1-O8)/(1-$L1)*(1-O9),(P11-P10/$O1)*$K4*(1-O9))</f>
        <v>45.202231444233064</v>
      </c>
      <c r="Q7" s="6">
        <f>IF(Q8&gt;$L1,(R11-R10/$O1)*$K4*(1-Q8)/(1-$L1)*(1-Q9),(R11-R10/$O1)*$K4*(1-Q9))</f>
        <v>80.040898723983332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0.18</v>
      </c>
      <c r="L8" s="6">
        <f>(L11-L10/$O1)*$K4*K8</f>
        <v>55.524702861548057</v>
      </c>
      <c r="M8" s="1">
        <v>0.18</v>
      </c>
      <c r="N8" s="6">
        <f>(N11-N10/$O1)*$K4*M8</f>
        <v>7.9629628336473797</v>
      </c>
      <c r="O8" s="1">
        <v>0.18</v>
      </c>
      <c r="P8" s="6">
        <f>(P11-P10/$O1)*$K4*O8</f>
        <v>8.4190408898349816</v>
      </c>
      <c r="Q8" s="1">
        <v>0.16</v>
      </c>
      <c r="R8" s="6">
        <f>(R11-R10/$O1)*$K4*Q8</f>
        <v>12.935902824078115</v>
      </c>
      <c r="S8" s="1">
        <v>0.16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3.0847057145304477</v>
      </c>
      <c r="M9" s="1">
        <v>0.01</v>
      </c>
      <c r="N9" s="6">
        <f>(N11-N10/$O1)*$K4*M9</f>
        <v>0.44238682409152114</v>
      </c>
      <c r="O9" s="1">
        <v>0.01</v>
      </c>
      <c r="P9" s="6">
        <f>(P11-P10/$O1)*$K4*O9</f>
        <v>0.46772449387972126</v>
      </c>
      <c r="Q9" s="1">
        <v>0.01</v>
      </c>
      <c r="R9" s="6">
        <f>(R11-R10/$O1)*$K4*Q9</f>
        <v>0.80849392650488217</v>
      </c>
      <c r="S9" s="1">
        <v>0.01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460860.54001874937</v>
      </c>
      <c r="E10" s="22"/>
      <c r="F10" s="23"/>
      <c r="G10" s="21">
        <f>J3/J2*G11</f>
        <v>619699.45998125069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459500</v>
      </c>
      <c r="E11" s="26"/>
      <c r="F11" s="27"/>
      <c r="G11" s="25">
        <f>H14+I14</f>
        <v>617870</v>
      </c>
      <c r="H11" s="26"/>
      <c r="I11" s="26"/>
      <c r="J11" s="28"/>
      <c r="K11" s="29">
        <f>K14+L14</f>
        <v>693940</v>
      </c>
      <c r="L11" s="30">
        <f>K11/2204.62262184877</f>
        <v>314.76588923780082</v>
      </c>
      <c r="M11" s="29">
        <f>M14+N14</f>
        <v>99520</v>
      </c>
      <c r="N11" s="30">
        <f>M11/2204.62262184877</f>
        <v>45.141512662400118</v>
      </c>
      <c r="O11" s="29">
        <f>O14+P14</f>
        <v>105220</v>
      </c>
      <c r="P11" s="30">
        <f>O11/2204.62262184877</f>
        <v>47.726989171400128</v>
      </c>
      <c r="Q11" s="29">
        <f>Q14+R14</f>
        <v>181880</v>
      </c>
      <c r="R11" s="30">
        <f>Q11/2204.62262184877</f>
        <v>82.499380255600215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50</v>
      </c>
      <c r="L12" s="36"/>
      <c r="M12" s="35" t="s">
        <v>51</v>
      </c>
      <c r="N12" s="36"/>
      <c r="O12" s="35" t="s">
        <v>52</v>
      </c>
      <c r="P12" s="36"/>
      <c r="Q12" s="35" t="s">
        <v>53</v>
      </c>
      <c r="R12" s="36"/>
      <c r="S12" s="35" t="s">
        <v>54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459500</v>
      </c>
      <c r="F14" s="40">
        <f>SUM(F15:F133)</f>
        <v>0</v>
      </c>
      <c r="G14" s="37"/>
      <c r="H14" s="39">
        <f>SUM(H15:H133)</f>
        <v>617870</v>
      </c>
      <c r="I14" s="39">
        <f>SUM(I15:I133)</f>
        <v>0</v>
      </c>
      <c r="J14" s="28"/>
      <c r="K14" s="41">
        <f t="shared" ref="K14:X14" si="0">SUM(K15:K133)</f>
        <v>693940</v>
      </c>
      <c r="L14" s="42">
        <f t="shared" si="0"/>
        <v>0</v>
      </c>
      <c r="M14" s="41">
        <f t="shared" si="0"/>
        <v>99520</v>
      </c>
      <c r="N14" s="42">
        <f t="shared" si="0"/>
        <v>0</v>
      </c>
      <c r="O14" s="41">
        <f t="shared" si="0"/>
        <v>33460</v>
      </c>
      <c r="P14" s="42">
        <f t="shared" si="0"/>
        <v>71760</v>
      </c>
      <c r="Q14" s="41">
        <f t="shared" si="0"/>
        <v>73660</v>
      </c>
      <c r="R14" s="42">
        <f t="shared" si="0"/>
        <v>108220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55</v>
      </c>
      <c r="N15" s="44" t="s">
        <v>31</v>
      </c>
      <c r="O15" s="43" t="s">
        <v>56</v>
      </c>
      <c r="P15" s="44" t="s">
        <v>57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>
        <v>65</v>
      </c>
      <c r="E16">
        <v>24080</v>
      </c>
      <c r="F16" s="20"/>
      <c r="G16" s="37"/>
      <c r="J16" s="45"/>
    </row>
    <row r="17" spans="2:16" x14ac:dyDescent="0.25">
      <c r="C17" s="20"/>
      <c r="D17" s="37">
        <v>66</v>
      </c>
      <c r="E17">
        <v>17780</v>
      </c>
      <c r="F17" s="20"/>
      <c r="G17" s="37"/>
      <c r="J17" s="45"/>
      <c r="K17">
        <v>8560</v>
      </c>
      <c r="O17">
        <v>33460</v>
      </c>
    </row>
    <row r="18" spans="2:16" x14ac:dyDescent="0.25">
      <c r="B18">
        <v>2</v>
      </c>
      <c r="C18" s="20"/>
      <c r="D18" s="37">
        <v>67</v>
      </c>
      <c r="E18">
        <v>18940</v>
      </c>
      <c r="F18" s="20"/>
      <c r="G18" s="37"/>
      <c r="J18" s="45"/>
    </row>
    <row r="19" spans="2:16" x14ac:dyDescent="0.25">
      <c r="C19" s="20"/>
      <c r="D19">
        <v>68</v>
      </c>
      <c r="E19">
        <v>13340</v>
      </c>
      <c r="F19" s="20"/>
      <c r="J19" s="45"/>
      <c r="K19">
        <v>32060</v>
      </c>
    </row>
    <row r="20" spans="2:16" x14ac:dyDescent="0.25">
      <c r="B20">
        <v>3</v>
      </c>
      <c r="C20" s="20"/>
      <c r="F20" s="20"/>
      <c r="G20">
        <v>523</v>
      </c>
      <c r="H20">
        <v>19340</v>
      </c>
      <c r="J20" s="45"/>
    </row>
    <row r="21" spans="2:16" x14ac:dyDescent="0.25">
      <c r="C21" s="20"/>
      <c r="F21" s="20"/>
      <c r="G21">
        <v>524</v>
      </c>
      <c r="H21">
        <v>13100</v>
      </c>
      <c r="J21" s="46"/>
      <c r="K21">
        <v>32720</v>
      </c>
    </row>
    <row r="22" spans="2:16" x14ac:dyDescent="0.25">
      <c r="B22">
        <v>4</v>
      </c>
      <c r="C22" s="20"/>
      <c r="D22">
        <v>69</v>
      </c>
      <c r="E22">
        <v>18040</v>
      </c>
      <c r="F22" s="20"/>
      <c r="G22">
        <v>525</v>
      </c>
      <c r="H22">
        <v>16380</v>
      </c>
      <c r="J22" s="45"/>
      <c r="K22">
        <v>34340</v>
      </c>
    </row>
    <row r="23" spans="2:16" x14ac:dyDescent="0.25">
      <c r="B23">
        <v>5</v>
      </c>
      <c r="C23" s="20"/>
      <c r="D23" t="s">
        <v>58</v>
      </c>
      <c r="E23">
        <v>21420</v>
      </c>
      <c r="F23" s="20"/>
      <c r="G23">
        <v>526</v>
      </c>
      <c r="H23">
        <v>14760</v>
      </c>
      <c r="J23" s="45"/>
      <c r="K23">
        <v>36540</v>
      </c>
    </row>
    <row r="24" spans="2:16" x14ac:dyDescent="0.25">
      <c r="B24">
        <v>6</v>
      </c>
      <c r="C24" s="20"/>
      <c r="D24">
        <v>72</v>
      </c>
      <c r="E24">
        <v>21200</v>
      </c>
      <c r="F24" s="20"/>
      <c r="G24">
        <v>527</v>
      </c>
      <c r="H24">
        <v>22940</v>
      </c>
      <c r="J24" s="45"/>
      <c r="K24">
        <v>44860</v>
      </c>
    </row>
    <row r="25" spans="2:16" x14ac:dyDescent="0.25">
      <c r="B25">
        <v>7</v>
      </c>
      <c r="C25" s="20"/>
      <c r="D25">
        <v>73</v>
      </c>
      <c r="E25">
        <v>23780</v>
      </c>
      <c r="F25" s="20"/>
      <c r="G25">
        <v>528</v>
      </c>
      <c r="H25">
        <v>19240</v>
      </c>
      <c r="J25" s="45"/>
      <c r="K25">
        <v>43280</v>
      </c>
    </row>
    <row r="26" spans="2:16" x14ac:dyDescent="0.25">
      <c r="B26">
        <v>8</v>
      </c>
      <c r="C26" s="20"/>
      <c r="D26">
        <v>74</v>
      </c>
      <c r="E26">
        <v>19200</v>
      </c>
      <c r="F26" s="20"/>
      <c r="G26">
        <v>529</v>
      </c>
      <c r="H26">
        <v>20580</v>
      </c>
      <c r="J26" s="45"/>
      <c r="P26">
        <v>39780</v>
      </c>
    </row>
    <row r="27" spans="2:16" x14ac:dyDescent="0.25">
      <c r="B27">
        <v>9</v>
      </c>
      <c r="C27" s="20"/>
      <c r="D27">
        <v>75</v>
      </c>
      <c r="E27">
        <v>20360</v>
      </c>
      <c r="F27" s="20"/>
      <c r="G27">
        <v>530</v>
      </c>
      <c r="H27">
        <v>24540</v>
      </c>
      <c r="J27" s="45"/>
      <c r="K27">
        <v>13360</v>
      </c>
      <c r="O27" s="11"/>
      <c r="P27">
        <v>31980</v>
      </c>
    </row>
    <row r="28" spans="2:16" x14ac:dyDescent="0.25">
      <c r="B28">
        <v>10</v>
      </c>
      <c r="C28" s="20"/>
      <c r="D28">
        <v>76</v>
      </c>
      <c r="E28">
        <v>11080</v>
      </c>
      <c r="F28" s="20"/>
      <c r="G28">
        <v>531</v>
      </c>
      <c r="H28">
        <v>19260</v>
      </c>
      <c r="J28" s="45"/>
      <c r="O28" s="11"/>
      <c r="P28" s="11"/>
    </row>
    <row r="29" spans="2:16" x14ac:dyDescent="0.25">
      <c r="C29" s="20"/>
      <c r="F29" s="20"/>
      <c r="G29">
        <v>532</v>
      </c>
      <c r="H29">
        <v>3840</v>
      </c>
      <c r="J29" s="45"/>
      <c r="K29">
        <v>34480</v>
      </c>
      <c r="O29" s="11"/>
      <c r="P29" s="11"/>
    </row>
    <row r="30" spans="2:16" x14ac:dyDescent="0.25">
      <c r="B30">
        <v>11</v>
      </c>
      <c r="C30" s="20"/>
      <c r="D30">
        <v>77</v>
      </c>
      <c r="E30">
        <v>16960</v>
      </c>
      <c r="F30" s="20"/>
      <c r="G30">
        <v>533</v>
      </c>
      <c r="H30">
        <v>18360</v>
      </c>
      <c r="J30" s="45"/>
      <c r="M30">
        <v>34960</v>
      </c>
      <c r="O30" s="11"/>
    </row>
    <row r="31" spans="2:16" x14ac:dyDescent="0.25">
      <c r="B31">
        <v>12</v>
      </c>
      <c r="C31" s="20"/>
      <c r="F31" s="20"/>
      <c r="G31">
        <v>534</v>
      </c>
      <c r="H31">
        <v>22120</v>
      </c>
      <c r="J31" s="45"/>
    </row>
    <row r="32" spans="2:16" x14ac:dyDescent="0.25">
      <c r="C32" s="20"/>
      <c r="F32" s="20"/>
      <c r="G32">
        <v>535</v>
      </c>
      <c r="H32">
        <v>22880</v>
      </c>
      <c r="J32" s="45"/>
      <c r="M32">
        <v>44560</v>
      </c>
    </row>
    <row r="33" spans="1:20" s="11" customFormat="1" x14ac:dyDescent="0.25">
      <c r="A33"/>
      <c r="B33">
        <v>13</v>
      </c>
      <c r="C33" s="47"/>
      <c r="D33"/>
      <c r="E33"/>
      <c r="F33" s="20"/>
      <c r="G33">
        <v>536</v>
      </c>
      <c r="H33">
        <v>22960</v>
      </c>
      <c r="I33"/>
      <c r="J33" s="45"/>
      <c r="K33"/>
      <c r="M33">
        <v>20000</v>
      </c>
      <c r="N33"/>
      <c r="Q33"/>
      <c r="R33"/>
      <c r="S33"/>
      <c r="T33"/>
    </row>
    <row r="34" spans="1:20" s="11" customFormat="1" x14ac:dyDescent="0.25">
      <c r="A34"/>
      <c r="B34">
        <v>14</v>
      </c>
      <c r="C34" s="47"/>
      <c r="D34"/>
      <c r="E34"/>
      <c r="F34" s="20"/>
      <c r="G34">
        <v>537</v>
      </c>
      <c r="H34">
        <v>22420</v>
      </c>
      <c r="I34"/>
      <c r="J34" s="45"/>
      <c r="K34"/>
      <c r="L34"/>
      <c r="M34"/>
      <c r="N34"/>
      <c r="Q34"/>
      <c r="R34"/>
      <c r="S34"/>
      <c r="T34"/>
    </row>
    <row r="35" spans="1:20" s="11" customFormat="1" x14ac:dyDescent="0.25">
      <c r="A35"/>
      <c r="B35"/>
      <c r="C35" s="47"/>
      <c r="D35"/>
      <c r="E35"/>
      <c r="F35" s="20"/>
      <c r="G35">
        <v>538</v>
      </c>
      <c r="H35">
        <v>21100</v>
      </c>
      <c r="I35"/>
      <c r="J35" s="45"/>
      <c r="K35">
        <v>46260</v>
      </c>
      <c r="L35"/>
      <c r="M35"/>
      <c r="N35"/>
      <c r="S35"/>
      <c r="T35"/>
    </row>
    <row r="36" spans="1:20" s="11" customFormat="1" x14ac:dyDescent="0.25">
      <c r="A36"/>
      <c r="B36">
        <v>15</v>
      </c>
      <c r="C36" s="47"/>
      <c r="D36" t="s">
        <v>59</v>
      </c>
      <c r="E36">
        <v>15320</v>
      </c>
      <c r="F36" s="20"/>
      <c r="G36">
        <v>539</v>
      </c>
      <c r="H36">
        <v>17840</v>
      </c>
      <c r="I36"/>
      <c r="J36" s="45"/>
      <c r="K36"/>
      <c r="L36"/>
      <c r="M36"/>
      <c r="N36"/>
      <c r="S36"/>
      <c r="T36"/>
    </row>
    <row r="37" spans="1:20" s="11" customFormat="1" x14ac:dyDescent="0.25">
      <c r="A37"/>
      <c r="B37"/>
      <c r="C37" s="47"/>
      <c r="D37" s="37"/>
      <c r="E37" s="8"/>
      <c r="F37" s="20"/>
      <c r="G37">
        <v>540</v>
      </c>
      <c r="H37" s="8">
        <v>15080</v>
      </c>
      <c r="I37"/>
      <c r="J37" s="45"/>
      <c r="K37">
        <v>47720</v>
      </c>
      <c r="L37"/>
      <c r="M37"/>
      <c r="N37"/>
      <c r="O37" s="48"/>
      <c r="S37"/>
      <c r="T37"/>
    </row>
    <row r="38" spans="1:20" x14ac:dyDescent="0.25">
      <c r="B38">
        <v>16</v>
      </c>
      <c r="C38" s="20"/>
      <c r="D38" s="37">
        <v>80</v>
      </c>
      <c r="E38">
        <v>19060</v>
      </c>
      <c r="F38" s="20"/>
      <c r="G38">
        <v>541</v>
      </c>
      <c r="H38">
        <v>16140</v>
      </c>
      <c r="J38" s="45"/>
      <c r="K38">
        <v>35540</v>
      </c>
    </row>
    <row r="39" spans="1:20" x14ac:dyDescent="0.25">
      <c r="B39">
        <v>17</v>
      </c>
      <c r="C39" s="20"/>
      <c r="D39" s="37">
        <v>81</v>
      </c>
      <c r="E39" s="8">
        <v>16980</v>
      </c>
      <c r="F39" s="20"/>
      <c r="G39">
        <v>542</v>
      </c>
      <c r="H39" s="8">
        <v>17940</v>
      </c>
      <c r="J39" s="45"/>
      <c r="K39">
        <v>36200</v>
      </c>
      <c r="O39" s="48"/>
    </row>
    <row r="40" spans="1:20" x14ac:dyDescent="0.25">
      <c r="B40">
        <v>18</v>
      </c>
      <c r="C40" s="20"/>
      <c r="D40" s="37">
        <v>82</v>
      </c>
      <c r="E40">
        <v>13740</v>
      </c>
      <c r="F40" s="20"/>
      <c r="G40">
        <v>543</v>
      </c>
      <c r="H40">
        <v>19880</v>
      </c>
      <c r="J40" s="45"/>
      <c r="K40">
        <v>33780</v>
      </c>
    </row>
    <row r="41" spans="1:20" x14ac:dyDescent="0.25">
      <c r="B41">
        <v>19</v>
      </c>
      <c r="C41" s="20"/>
      <c r="D41" s="37">
        <v>83</v>
      </c>
      <c r="E41">
        <v>16640</v>
      </c>
      <c r="F41" s="20"/>
      <c r="G41">
        <v>544</v>
      </c>
      <c r="H41">
        <v>20140</v>
      </c>
      <c r="J41" s="45"/>
      <c r="K41">
        <v>35820</v>
      </c>
    </row>
    <row r="42" spans="1:20" x14ac:dyDescent="0.25">
      <c r="B42">
        <v>20</v>
      </c>
      <c r="C42" s="20"/>
      <c r="D42" s="37">
        <v>84</v>
      </c>
      <c r="E42">
        <v>21440</v>
      </c>
      <c r="F42" s="20"/>
      <c r="G42">
        <v>545</v>
      </c>
      <c r="H42">
        <v>16200</v>
      </c>
      <c r="J42" s="45"/>
      <c r="K42">
        <v>37080</v>
      </c>
      <c r="R42" s="11"/>
    </row>
    <row r="43" spans="1:20" x14ac:dyDescent="0.25">
      <c r="B43">
        <v>21</v>
      </c>
      <c r="C43" s="20"/>
      <c r="D43" s="37">
        <v>85</v>
      </c>
      <c r="E43">
        <v>18920</v>
      </c>
      <c r="F43" s="20"/>
      <c r="G43">
        <v>546</v>
      </c>
      <c r="H43">
        <v>21980</v>
      </c>
      <c r="J43" s="45"/>
      <c r="K43">
        <v>41740</v>
      </c>
      <c r="R43" s="11"/>
    </row>
    <row r="44" spans="1:20" x14ac:dyDescent="0.25">
      <c r="B44">
        <v>22</v>
      </c>
      <c r="C44" s="20"/>
      <c r="D44" s="37">
        <v>86</v>
      </c>
      <c r="E44">
        <v>22680</v>
      </c>
      <c r="F44" s="20"/>
      <c r="J44" s="45"/>
      <c r="K44">
        <v>22480</v>
      </c>
      <c r="Q44" s="11"/>
    </row>
    <row r="45" spans="1:20" x14ac:dyDescent="0.25">
      <c r="B45">
        <v>23</v>
      </c>
      <c r="C45" s="20"/>
      <c r="D45" s="37">
        <v>87</v>
      </c>
      <c r="E45">
        <v>19220</v>
      </c>
      <c r="F45" s="20"/>
      <c r="G45">
        <v>547</v>
      </c>
      <c r="H45">
        <v>16700</v>
      </c>
      <c r="J45" s="45"/>
      <c r="K45">
        <v>36440</v>
      </c>
    </row>
    <row r="46" spans="1:20" x14ac:dyDescent="0.25">
      <c r="B46">
        <v>24</v>
      </c>
      <c r="C46" s="20"/>
      <c r="D46" s="37">
        <v>88</v>
      </c>
      <c r="E46">
        <v>11240</v>
      </c>
      <c r="F46" s="20"/>
      <c r="G46">
        <v>548</v>
      </c>
      <c r="H46">
        <v>19220</v>
      </c>
      <c r="J46" s="45"/>
      <c r="K46">
        <v>29800</v>
      </c>
    </row>
    <row r="47" spans="1:20" x14ac:dyDescent="0.25">
      <c r="B47">
        <v>25</v>
      </c>
      <c r="C47" s="20"/>
      <c r="D47" s="37">
        <v>89</v>
      </c>
      <c r="E47">
        <v>3920</v>
      </c>
      <c r="F47" s="20"/>
      <c r="G47">
        <v>549</v>
      </c>
      <c r="H47">
        <v>6540</v>
      </c>
      <c r="J47" s="45"/>
      <c r="K47">
        <v>10880</v>
      </c>
    </row>
    <row r="48" spans="1:20" x14ac:dyDescent="0.25">
      <c r="B48">
        <v>26</v>
      </c>
      <c r="C48" s="20"/>
      <c r="D48" s="37">
        <v>90</v>
      </c>
      <c r="E48">
        <v>17660</v>
      </c>
      <c r="F48" s="20"/>
      <c r="G48">
        <v>550</v>
      </c>
      <c r="H48">
        <v>19840</v>
      </c>
      <c r="J48" s="45"/>
      <c r="Q48">
        <v>37640</v>
      </c>
    </row>
    <row r="49" spans="2:19" x14ac:dyDescent="0.25">
      <c r="B49">
        <v>27</v>
      </c>
      <c r="C49" s="20"/>
      <c r="D49" s="37">
        <v>91</v>
      </c>
      <c r="E49">
        <v>20720</v>
      </c>
      <c r="F49" s="20"/>
      <c r="G49">
        <v>551</v>
      </c>
      <c r="H49">
        <v>4240</v>
      </c>
      <c r="J49" s="45"/>
    </row>
    <row r="50" spans="2:19" x14ac:dyDescent="0.25">
      <c r="C50" s="20"/>
      <c r="D50" s="37">
        <v>92</v>
      </c>
      <c r="E50">
        <v>15780</v>
      </c>
      <c r="F50" s="20"/>
      <c r="J50" s="45"/>
      <c r="Q50">
        <v>36020</v>
      </c>
      <c r="S50">
        <v>4720</v>
      </c>
    </row>
    <row r="51" spans="2:19" x14ac:dyDescent="0.25">
      <c r="B51">
        <v>28</v>
      </c>
      <c r="C51" s="20"/>
      <c r="D51" s="37"/>
      <c r="F51" s="20"/>
      <c r="G51">
        <v>552</v>
      </c>
      <c r="H51">
        <v>20860</v>
      </c>
      <c r="J51" s="45"/>
    </row>
    <row r="52" spans="2:19" x14ac:dyDescent="0.25">
      <c r="C52" s="20"/>
      <c r="D52" s="37"/>
      <c r="F52" s="20"/>
      <c r="G52">
        <v>553</v>
      </c>
      <c r="H52">
        <v>20450</v>
      </c>
      <c r="J52" s="45"/>
      <c r="R52">
        <v>46900</v>
      </c>
      <c r="S52">
        <v>-4720</v>
      </c>
    </row>
    <row r="53" spans="2:19" x14ac:dyDescent="0.25">
      <c r="B53">
        <v>29</v>
      </c>
      <c r="C53" s="20"/>
      <c r="D53" s="37"/>
      <c r="F53" s="20"/>
      <c r="G53">
        <v>554</v>
      </c>
      <c r="H53">
        <v>22600</v>
      </c>
      <c r="J53" s="45"/>
    </row>
    <row r="54" spans="2:19" x14ac:dyDescent="0.25">
      <c r="C54" s="20"/>
      <c r="D54" s="37"/>
      <c r="F54" s="20"/>
      <c r="G54" s="49">
        <v>555</v>
      </c>
      <c r="H54">
        <v>20440</v>
      </c>
      <c r="J54" s="45"/>
      <c r="R54">
        <v>35480</v>
      </c>
      <c r="S54">
        <f>H53+H54-R54</f>
        <v>7560</v>
      </c>
    </row>
    <row r="55" spans="2:19" x14ac:dyDescent="0.25">
      <c r="B55">
        <v>30</v>
      </c>
      <c r="C55" s="20"/>
      <c r="G55" s="37">
        <v>556</v>
      </c>
      <c r="H55">
        <v>17960</v>
      </c>
      <c r="J55" s="45"/>
      <c r="S55">
        <v>17960</v>
      </c>
    </row>
    <row r="56" spans="2:19" x14ac:dyDescent="0.25">
      <c r="C56" s="20"/>
      <c r="D56" s="37"/>
      <c r="F56" s="20"/>
      <c r="G56" s="37"/>
      <c r="J56" s="45"/>
      <c r="R56">
        <v>25840</v>
      </c>
      <c r="S56">
        <v>-25520</v>
      </c>
    </row>
    <row r="57" spans="2:19" x14ac:dyDescent="0.25">
      <c r="C57" s="20"/>
      <c r="D57" s="37"/>
      <c r="F57" s="20"/>
      <c r="G57" s="37"/>
      <c r="J57" s="45"/>
    </row>
    <row r="58" spans="2:19" x14ac:dyDescent="0.25">
      <c r="C58" s="20"/>
      <c r="D58" s="37"/>
      <c r="F58" s="20"/>
      <c r="G58" s="37"/>
      <c r="J58" s="45"/>
    </row>
    <row r="59" spans="2:19" x14ac:dyDescent="0.25">
      <c r="C59" s="20"/>
      <c r="D59" s="50"/>
      <c r="F59" s="20"/>
      <c r="G59" s="50"/>
      <c r="J59" s="37"/>
    </row>
    <row r="60" spans="2:19" x14ac:dyDescent="0.25">
      <c r="C60" s="20"/>
      <c r="F60" s="20"/>
      <c r="J60" s="37"/>
    </row>
    <row r="61" spans="2:19" x14ac:dyDescent="0.25">
      <c r="C61" s="20"/>
      <c r="F61" s="20"/>
      <c r="J61" s="37"/>
    </row>
    <row r="62" spans="2:19" x14ac:dyDescent="0.25">
      <c r="C62" s="20"/>
      <c r="F62" s="20"/>
      <c r="J62" s="37"/>
    </row>
    <row r="63" spans="2:19" x14ac:dyDescent="0.25">
      <c r="C63" s="20"/>
      <c r="F63" s="20"/>
      <c r="J63" s="37"/>
    </row>
    <row r="64" spans="2:19" x14ac:dyDescent="0.25">
      <c r="C64" s="20"/>
      <c r="F64" s="20"/>
      <c r="J64" s="37"/>
    </row>
    <row r="65" spans="3:10" x14ac:dyDescent="0.25">
      <c r="C65" s="20"/>
      <c r="F65" s="20"/>
      <c r="J65" s="37"/>
    </row>
    <row r="66" spans="3:10" x14ac:dyDescent="0.25">
      <c r="C66" s="20"/>
      <c r="F66" s="20"/>
      <c r="J66" s="37"/>
    </row>
    <row r="67" spans="3:10" x14ac:dyDescent="0.25">
      <c r="C67" s="20"/>
      <c r="F67" s="20"/>
      <c r="J67" s="37"/>
    </row>
    <row r="68" spans="3:10" x14ac:dyDescent="0.25">
      <c r="C68" s="20"/>
      <c r="F68" s="20"/>
      <c r="J68" s="37"/>
    </row>
    <row r="69" spans="3:10" x14ac:dyDescent="0.25">
      <c r="C69" s="20"/>
      <c r="F69" s="20"/>
      <c r="J69" s="37"/>
    </row>
    <row r="70" spans="3:10" x14ac:dyDescent="0.25">
      <c r="C70" s="20"/>
      <c r="F70" s="20"/>
      <c r="J70" s="37"/>
    </row>
    <row r="71" spans="3:10" x14ac:dyDescent="0.25">
      <c r="C71" s="20"/>
      <c r="F71" s="20"/>
      <c r="J71" s="37"/>
    </row>
    <row r="72" spans="3:10" x14ac:dyDescent="0.25">
      <c r="C72" s="20"/>
      <c r="F72" s="20"/>
      <c r="J72" s="37"/>
    </row>
    <row r="73" spans="3:10" x14ac:dyDescent="0.25">
      <c r="C73" s="20"/>
      <c r="F73" s="20"/>
      <c r="J73" s="37"/>
    </row>
    <row r="74" spans="3:10" x14ac:dyDescent="0.25">
      <c r="C74" s="20"/>
      <c r="F74" s="20"/>
      <c r="J74" s="37"/>
    </row>
    <row r="75" spans="3:10" x14ac:dyDescent="0.25">
      <c r="C75" s="20"/>
      <c r="F75" s="20"/>
      <c r="J75" s="37"/>
    </row>
    <row r="76" spans="3:10" x14ac:dyDescent="0.25">
      <c r="C76" s="20"/>
      <c r="F76" s="20"/>
      <c r="J76" s="37"/>
    </row>
    <row r="77" spans="3:10" x14ac:dyDescent="0.25">
      <c r="C77" s="20"/>
      <c r="F77" s="20"/>
      <c r="J77" s="37"/>
    </row>
    <row r="78" spans="3:10" x14ac:dyDescent="0.25">
      <c r="C78" s="20"/>
      <c r="F78" s="20"/>
      <c r="J78" s="37"/>
    </row>
    <row r="79" spans="3:10" x14ac:dyDescent="0.25">
      <c r="C79" s="20"/>
      <c r="F79" s="20"/>
      <c r="J79" s="37"/>
    </row>
    <row r="80" spans="3:10" x14ac:dyDescent="0.25">
      <c r="C80" s="20"/>
      <c r="F80" s="20"/>
      <c r="J80" s="37"/>
    </row>
    <row r="81" spans="3:10" x14ac:dyDescent="0.25">
      <c r="C81" s="20"/>
      <c r="F81" s="20"/>
      <c r="J81" s="37"/>
    </row>
    <row r="82" spans="3:10" x14ac:dyDescent="0.25">
      <c r="C82" s="20"/>
      <c r="F82" s="20"/>
      <c r="J82" s="37"/>
    </row>
    <row r="83" spans="3:10" x14ac:dyDescent="0.25">
      <c r="C83" s="20"/>
      <c r="F83" s="20"/>
      <c r="J83" s="37"/>
    </row>
    <row r="84" spans="3:10" x14ac:dyDescent="0.25">
      <c r="C84" s="20"/>
      <c r="F84" s="20"/>
      <c r="J84" s="37"/>
    </row>
    <row r="85" spans="3:10" x14ac:dyDescent="0.25">
      <c r="C85" s="20"/>
      <c r="F85" s="20"/>
      <c r="J85" s="37"/>
    </row>
    <row r="86" spans="3:10" x14ac:dyDescent="0.25">
      <c r="C86" s="20"/>
      <c r="F86" s="20"/>
      <c r="J86" s="37"/>
    </row>
    <row r="87" spans="3:10" x14ac:dyDescent="0.25">
      <c r="C87" s="20"/>
      <c r="F87" s="20"/>
      <c r="J87" s="37"/>
    </row>
    <row r="88" spans="3:10" x14ac:dyDescent="0.25">
      <c r="C88" s="20"/>
      <c r="F88" s="20"/>
      <c r="J88" s="37"/>
    </row>
    <row r="89" spans="3:10" x14ac:dyDescent="0.25">
      <c r="C89" s="20"/>
      <c r="F89" s="20"/>
      <c r="J89" s="37"/>
    </row>
    <row r="90" spans="3:10" x14ac:dyDescent="0.25">
      <c r="C90" s="20"/>
      <c r="F90" s="20"/>
      <c r="J90" s="37"/>
    </row>
    <row r="91" spans="3:10" x14ac:dyDescent="0.25">
      <c r="C91" s="20"/>
      <c r="F91" s="20"/>
      <c r="J91" s="37"/>
    </row>
    <row r="92" spans="3:10" x14ac:dyDescent="0.25">
      <c r="C92" s="20"/>
      <c r="D92" s="37"/>
      <c r="F92" s="20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D102" s="37"/>
      <c r="F102" s="20"/>
      <c r="G102" s="37"/>
      <c r="J102" s="37"/>
    </row>
    <row r="103" spans="3:10" x14ac:dyDescent="0.25">
      <c r="D103" s="37"/>
      <c r="F103" s="20"/>
      <c r="G103" s="37"/>
      <c r="J103" s="37"/>
    </row>
    <row r="104" spans="3:10" x14ac:dyDescent="0.25">
      <c r="D104" s="37"/>
      <c r="F104" s="20"/>
      <c r="G104" s="37"/>
      <c r="J104" s="37"/>
    </row>
    <row r="105" spans="3:10" x14ac:dyDescent="0.25">
      <c r="D105" s="37"/>
      <c r="F105" s="20"/>
      <c r="G105" s="37"/>
      <c r="J105" s="37"/>
    </row>
    <row r="106" spans="3:10" x14ac:dyDescent="0.25">
      <c r="D106" s="37"/>
      <c r="F106" s="20"/>
      <c r="G106" s="37"/>
      <c r="J106" s="37"/>
    </row>
    <row r="107" spans="3:10" x14ac:dyDescent="0.25">
      <c r="D107" s="37"/>
      <c r="F107" s="20"/>
      <c r="G107" s="37"/>
      <c r="J107" s="37"/>
    </row>
    <row r="108" spans="3:10" x14ac:dyDescent="0.25">
      <c r="D108" s="43"/>
      <c r="E108" s="51" t="s">
        <v>35</v>
      </c>
      <c r="F108" s="44"/>
      <c r="G108" s="43"/>
      <c r="H108" s="51" t="s">
        <v>35</v>
      </c>
      <c r="I108" s="51"/>
      <c r="J108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FF1C-BEBB-4BFF-891D-1148B7009F40}">
  <dimension ref="A1:X42"/>
  <sheetViews>
    <sheetView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6.570312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433540</v>
      </c>
      <c r="K2">
        <f>J2-J3</f>
        <v>-2900</v>
      </c>
      <c r="L2" s="1">
        <f>K2/J2</f>
        <v>-6.6891174978087374E-3</v>
      </c>
    </row>
    <row r="3" spans="1:24" x14ac:dyDescent="0.25">
      <c r="B3" t="s">
        <v>2</v>
      </c>
      <c r="D3" s="3" t="s">
        <v>65</v>
      </c>
      <c r="E3" s="4"/>
      <c r="F3" t="s">
        <v>66</v>
      </c>
      <c r="H3" s="2" t="s">
        <v>5</v>
      </c>
      <c r="I3" s="2"/>
      <c r="J3">
        <f>K11-L10+M11-N10+O11-P10+Q11-R10+S11-T10+U11-V10+W11-X10</f>
        <v>436440</v>
      </c>
      <c r="K3" s="5" t="s">
        <v>6</v>
      </c>
      <c r="L3" s="5" t="s">
        <v>7</v>
      </c>
      <c r="M3" s="5" t="s">
        <v>8</v>
      </c>
      <c r="N3" s="6">
        <f>N4*I4/O1</f>
        <v>189.77996590143871</v>
      </c>
      <c r="O3" s="6">
        <f>K7+M7+O7+Q7+S7+U7+W7</f>
        <v>189.77996590143869</v>
      </c>
    </row>
    <row r="4" spans="1:24" x14ac:dyDescent="0.25">
      <c r="B4" t="s">
        <v>9</v>
      </c>
      <c r="D4" s="7" t="str">
        <f>[2]Summary!C2</f>
        <v>Peas</v>
      </c>
      <c r="E4" s="4"/>
      <c r="F4" s="8">
        <f>[2]Summary!C3</f>
        <v>2019</v>
      </c>
      <c r="I4" s="8">
        <f>[2]Summary!D2</f>
        <v>60</v>
      </c>
      <c r="J4" s="8">
        <f>J3/I4</f>
        <v>7274</v>
      </c>
      <c r="K4" s="9">
        <v>0.98</v>
      </c>
      <c r="L4" s="9">
        <f>IF(J5=0,L1,(L8+N8+P8+R8+T8+V8+X8)/J5/K4)</f>
        <v>0.17000000000000004</v>
      </c>
      <c r="M4" s="9">
        <f>IF(J5=0,0,(L9+N9+P9+R9+T9+V9+X9)/J5/K4)</f>
        <v>0.01</v>
      </c>
      <c r="N4" s="8">
        <f>IF(L4&gt;L1,J4*(1-L4)/(1-L1)*(1-M4)*K4,J4*K4*(1-M4))</f>
        <v>6973.2201000000005</v>
      </c>
      <c r="V4" s="6"/>
    </row>
    <row r="5" spans="1:24" x14ac:dyDescent="0.25">
      <c r="B5" t="s">
        <v>10</v>
      </c>
      <c r="D5" s="7">
        <v>43739</v>
      </c>
      <c r="E5" s="4"/>
      <c r="F5" s="52">
        <v>43740</v>
      </c>
      <c r="J5" s="6">
        <f>J3/O1</f>
        <v>197.96585396280051</v>
      </c>
      <c r="N5" s="8">
        <v>158.13999999999999</v>
      </c>
      <c r="O5" s="10">
        <f>N4/N5</f>
        <v>44.09523270519793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ht="14.25" customHeight="1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32.464880061867412</v>
      </c>
      <c r="M7" s="6">
        <f>IF(M8&gt;$L1,(N11-N10/$O1)*$K4*(1-M8)/(1-$L1)*(1-M9),(N11-N10/$O1)*$K4*(1-M9))</f>
        <v>157.31508583957128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0.17</v>
      </c>
      <c r="L8" s="6">
        <f>(L11-L10/$O1)*$K4*K8</f>
        <v>5.6419433769437353</v>
      </c>
      <c r="M8" s="1">
        <v>0.17</v>
      </c>
      <c r="N8" s="6">
        <f>(N11-N10/$O1)*$K4*M8</f>
        <v>27.339167893258832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0.33187902217316084</v>
      </c>
      <c r="M9" s="1">
        <v>0.01</v>
      </c>
      <c r="N9" s="6">
        <f>(N11-N10/$O1)*$K4*M9</f>
        <v>1.6081863466622841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167976.14614568438</v>
      </c>
      <c r="E10" s="22"/>
      <c r="F10" s="23"/>
      <c r="G10" s="21">
        <f>J3/J2*G11</f>
        <v>268463.85385431565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166860</v>
      </c>
      <c r="E11" s="26"/>
      <c r="F11" s="27"/>
      <c r="G11" s="25">
        <f>H14+I14</f>
        <v>266680</v>
      </c>
      <c r="H11" s="26"/>
      <c r="I11" s="26"/>
      <c r="J11" s="28"/>
      <c r="K11" s="29">
        <f>K14+L14</f>
        <v>74660</v>
      </c>
      <c r="L11" s="30">
        <f>K11/2204.62262184877</f>
        <v>33.865206344200089</v>
      </c>
      <c r="M11" s="29">
        <f>M14+N14</f>
        <v>361780</v>
      </c>
      <c r="N11" s="30">
        <f>M11/2204.62262184877</f>
        <v>164.10064761860042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62</v>
      </c>
      <c r="L12" s="36"/>
      <c r="M12" s="35" t="s">
        <v>63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SUM(E15:E42)</f>
        <v>166860</v>
      </c>
      <c r="F14" s="40">
        <f>SUM(F15:F42)</f>
        <v>0</v>
      </c>
      <c r="G14" s="37"/>
      <c r="H14" s="39">
        <f>SUM(H15:H42)</f>
        <v>266680</v>
      </c>
      <c r="I14" s="39">
        <f>SUM(I15:I42)</f>
        <v>0</v>
      </c>
      <c r="J14" s="28"/>
      <c r="K14" s="41">
        <f t="shared" ref="K14:X14" si="0">SUM(K15:K42)</f>
        <v>74660</v>
      </c>
      <c r="L14" s="42">
        <f t="shared" si="0"/>
        <v>0</v>
      </c>
      <c r="M14" s="41">
        <f t="shared" si="0"/>
        <v>361780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>
        <v>93</v>
      </c>
      <c r="E16">
        <v>4500</v>
      </c>
      <c r="F16" s="20"/>
      <c r="G16" s="46">
        <v>557</v>
      </c>
      <c r="H16">
        <v>17420</v>
      </c>
      <c r="I16" s="20"/>
      <c r="J16" s="53"/>
    </row>
    <row r="17" spans="2:13" x14ac:dyDescent="0.25">
      <c r="C17" s="20"/>
      <c r="F17" s="20"/>
      <c r="G17" s="46">
        <v>558</v>
      </c>
      <c r="H17">
        <v>13300</v>
      </c>
      <c r="I17" s="20"/>
      <c r="J17" s="6"/>
      <c r="K17">
        <v>35460</v>
      </c>
    </row>
    <row r="18" spans="2:13" x14ac:dyDescent="0.25">
      <c r="B18">
        <v>2</v>
      </c>
      <c r="C18" s="20"/>
      <c r="D18">
        <v>94</v>
      </c>
      <c r="E18">
        <v>18600</v>
      </c>
      <c r="F18" s="20"/>
      <c r="G18" s="46">
        <v>559</v>
      </c>
      <c r="H18">
        <v>21640</v>
      </c>
      <c r="I18" s="20"/>
      <c r="J18" s="6"/>
      <c r="K18">
        <v>39200</v>
      </c>
    </row>
    <row r="19" spans="2:13" x14ac:dyDescent="0.25">
      <c r="B19">
        <v>3</v>
      </c>
      <c r="C19" s="20"/>
      <c r="D19">
        <v>95</v>
      </c>
      <c r="E19">
        <v>1780</v>
      </c>
      <c r="F19" s="20"/>
      <c r="G19" s="46">
        <v>560</v>
      </c>
      <c r="H19">
        <v>6760</v>
      </c>
      <c r="I19" s="20"/>
      <c r="J19" s="6"/>
      <c r="M19">
        <v>8960</v>
      </c>
    </row>
    <row r="20" spans="2:13" x14ac:dyDescent="0.25">
      <c r="B20">
        <v>4</v>
      </c>
      <c r="C20" s="20"/>
      <c r="D20">
        <v>96</v>
      </c>
      <c r="E20">
        <v>22780</v>
      </c>
      <c r="F20" s="20"/>
      <c r="G20" s="46">
        <v>561</v>
      </c>
      <c r="H20">
        <v>20680</v>
      </c>
      <c r="I20" s="20"/>
      <c r="J20" s="6"/>
      <c r="M20">
        <v>42620</v>
      </c>
    </row>
    <row r="21" spans="2:13" x14ac:dyDescent="0.25">
      <c r="B21">
        <v>5</v>
      </c>
      <c r="C21" s="20"/>
      <c r="D21">
        <v>97</v>
      </c>
      <c r="E21">
        <v>18960</v>
      </c>
      <c r="F21" s="20"/>
      <c r="G21" s="46">
        <v>562</v>
      </c>
      <c r="H21">
        <v>17960</v>
      </c>
      <c r="I21" s="20"/>
      <c r="J21" s="53"/>
      <c r="M21">
        <v>37320</v>
      </c>
    </row>
    <row r="22" spans="2:13" x14ac:dyDescent="0.25">
      <c r="B22">
        <v>6</v>
      </c>
      <c r="C22" s="20"/>
      <c r="D22">
        <v>98</v>
      </c>
      <c r="E22">
        <v>14860</v>
      </c>
      <c r="F22" s="20"/>
      <c r="G22" s="46">
        <v>563</v>
      </c>
      <c r="H22">
        <v>24980</v>
      </c>
      <c r="I22" s="20"/>
      <c r="J22" s="6"/>
      <c r="M22">
        <v>40040</v>
      </c>
    </row>
    <row r="23" spans="2:13" x14ac:dyDescent="0.25">
      <c r="B23">
        <v>7</v>
      </c>
      <c r="C23" s="20"/>
      <c r="D23">
        <v>99</v>
      </c>
      <c r="E23">
        <v>15300</v>
      </c>
      <c r="F23" s="20"/>
      <c r="G23" s="46">
        <v>564</v>
      </c>
      <c r="H23">
        <v>20560</v>
      </c>
      <c r="I23" s="20"/>
      <c r="J23" s="6"/>
      <c r="M23">
        <v>34880</v>
      </c>
    </row>
    <row r="24" spans="2:13" x14ac:dyDescent="0.25">
      <c r="B24">
        <v>8</v>
      </c>
      <c r="C24" s="20"/>
      <c r="D24">
        <v>100</v>
      </c>
      <c r="E24">
        <v>9460</v>
      </c>
      <c r="F24" s="20"/>
      <c r="G24" s="46">
        <v>565</v>
      </c>
      <c r="H24">
        <v>22300</v>
      </c>
      <c r="I24" s="20"/>
      <c r="J24" s="6"/>
      <c r="M24">
        <v>33600</v>
      </c>
    </row>
    <row r="25" spans="2:13" x14ac:dyDescent="0.25">
      <c r="B25">
        <v>9</v>
      </c>
      <c r="C25" s="20"/>
      <c r="D25">
        <v>101</v>
      </c>
      <c r="E25">
        <v>20040</v>
      </c>
      <c r="F25" s="20"/>
      <c r="G25" s="46">
        <v>566</v>
      </c>
      <c r="H25">
        <v>20940</v>
      </c>
      <c r="I25" s="20"/>
      <c r="J25" s="6"/>
      <c r="M25">
        <v>40780</v>
      </c>
    </row>
    <row r="26" spans="2:13" x14ac:dyDescent="0.25">
      <c r="B26">
        <v>10</v>
      </c>
      <c r="C26" s="20"/>
      <c r="D26">
        <v>102</v>
      </c>
      <c r="E26">
        <v>18260</v>
      </c>
      <c r="F26" s="20"/>
      <c r="G26" s="46">
        <v>567</v>
      </c>
      <c r="H26">
        <v>17960</v>
      </c>
      <c r="I26" s="20"/>
      <c r="J26" s="53"/>
      <c r="M26">
        <v>36020</v>
      </c>
    </row>
    <row r="27" spans="2:13" x14ac:dyDescent="0.25">
      <c r="B27">
        <v>11</v>
      </c>
      <c r="C27" s="20"/>
      <c r="D27">
        <v>103</v>
      </c>
      <c r="E27">
        <v>15860</v>
      </c>
      <c r="F27" s="20"/>
      <c r="G27" s="46">
        <v>568</v>
      </c>
      <c r="H27">
        <v>17440</v>
      </c>
      <c r="I27" s="20"/>
      <c r="J27" s="6"/>
      <c r="M27">
        <v>33700</v>
      </c>
    </row>
    <row r="28" spans="2:13" x14ac:dyDescent="0.25">
      <c r="B28">
        <v>12</v>
      </c>
      <c r="C28" s="20"/>
      <c r="D28">
        <v>104</v>
      </c>
      <c r="E28">
        <v>6460</v>
      </c>
      <c r="F28" s="20"/>
      <c r="G28" s="46">
        <v>569</v>
      </c>
      <c r="H28">
        <v>20520</v>
      </c>
      <c r="I28" s="20"/>
      <c r="J28" s="53"/>
      <c r="M28">
        <v>27860</v>
      </c>
    </row>
    <row r="29" spans="2:13" x14ac:dyDescent="0.25">
      <c r="B29">
        <v>13</v>
      </c>
      <c r="C29" s="20"/>
      <c r="F29" s="20"/>
      <c r="G29" s="46">
        <v>570</v>
      </c>
      <c r="H29">
        <v>23660</v>
      </c>
      <c r="I29" s="20"/>
      <c r="J29" s="53"/>
    </row>
    <row r="30" spans="2:13" x14ac:dyDescent="0.25">
      <c r="C30" s="20"/>
      <c r="F30" s="20"/>
      <c r="G30" s="46" t="s">
        <v>67</v>
      </c>
      <c r="H30" t="s">
        <v>68</v>
      </c>
      <c r="I30" s="20"/>
      <c r="J30" s="53"/>
    </row>
    <row r="31" spans="2:13" x14ac:dyDescent="0.25">
      <c r="C31" s="20"/>
      <c r="F31" s="20"/>
      <c r="G31" s="46">
        <v>573</v>
      </c>
      <c r="H31">
        <v>560</v>
      </c>
      <c r="I31" s="20"/>
      <c r="J31" s="6"/>
      <c r="M31">
        <v>26000</v>
      </c>
    </row>
    <row r="32" spans="2:13" x14ac:dyDescent="0.25">
      <c r="C32" s="20"/>
      <c r="D32" s="37"/>
      <c r="F32" s="20"/>
      <c r="G32" s="37"/>
      <c r="J32" s="37"/>
    </row>
    <row r="33" spans="3:10" x14ac:dyDescent="0.25">
      <c r="C33" s="20"/>
      <c r="D33" s="37"/>
      <c r="F33" s="20"/>
      <c r="G33" s="37"/>
      <c r="J33" s="37"/>
    </row>
    <row r="34" spans="3:10" x14ac:dyDescent="0.25">
      <c r="C34" s="20"/>
      <c r="D34" s="37"/>
      <c r="F34" s="20"/>
      <c r="G34" s="37"/>
      <c r="J34" s="37"/>
    </row>
    <row r="35" spans="3:10" x14ac:dyDescent="0.25">
      <c r="C35" s="20"/>
      <c r="D35" s="37"/>
      <c r="F35" s="20"/>
      <c r="G35" s="37"/>
      <c r="J35" s="37"/>
    </row>
    <row r="36" spans="3:10" x14ac:dyDescent="0.25">
      <c r="D36" s="37"/>
      <c r="F36" s="20"/>
      <c r="G36" s="37"/>
      <c r="J36" s="37"/>
    </row>
    <row r="37" spans="3:10" x14ac:dyDescent="0.25">
      <c r="D37" s="37"/>
      <c r="F37" s="20"/>
      <c r="G37" s="37"/>
      <c r="J37" s="37"/>
    </row>
    <row r="38" spans="3:10" x14ac:dyDescent="0.25">
      <c r="D38" s="37"/>
      <c r="F38" s="20"/>
      <c r="G38" s="37"/>
      <c r="J38" s="37"/>
    </row>
    <row r="39" spans="3:10" x14ac:dyDescent="0.25">
      <c r="D39" s="37"/>
      <c r="F39" s="20"/>
      <c r="G39" s="37"/>
      <c r="J39" s="37"/>
    </row>
    <row r="40" spans="3:10" x14ac:dyDescent="0.25">
      <c r="D40" s="37"/>
      <c r="F40" s="20"/>
      <c r="G40" s="37"/>
      <c r="J40" s="37"/>
    </row>
    <row r="41" spans="3:10" x14ac:dyDescent="0.25">
      <c r="D41" s="37"/>
      <c r="F41" s="20"/>
      <c r="G41" s="37"/>
      <c r="J41" s="37"/>
    </row>
    <row r="42" spans="3:10" x14ac:dyDescent="0.25">
      <c r="D42" s="43"/>
      <c r="E42" s="51" t="s">
        <v>35</v>
      </c>
      <c r="F42" s="44"/>
      <c r="G42" s="43"/>
      <c r="H42" s="51" t="s">
        <v>35</v>
      </c>
      <c r="I42" s="51"/>
      <c r="J42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70EC-7E3A-46D3-8600-68C0F8F9EF3B}">
  <dimension ref="A1:X133"/>
  <sheetViews>
    <sheetView workbookViewId="0">
      <pane ySplit="15" topLeftCell="A19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  <c r="T1" t="s">
        <v>74</v>
      </c>
      <c r="U1" t="s">
        <v>75</v>
      </c>
      <c r="V1" t="s">
        <v>76</v>
      </c>
    </row>
    <row r="2" spans="1:24" x14ac:dyDescent="0.25">
      <c r="H2" s="2" t="s">
        <v>1</v>
      </c>
      <c r="I2" s="2" t="s">
        <v>1</v>
      </c>
      <c r="J2">
        <f>+D11+G11</f>
        <v>1365587.9591836734</v>
      </c>
      <c r="K2">
        <f>J2-J3</f>
        <v>380</v>
      </c>
      <c r="L2" s="1">
        <f>K2/J2</f>
        <v>2.782684172370397E-4</v>
      </c>
      <c r="S2" t="s">
        <v>77</v>
      </c>
      <c r="T2">
        <v>132</v>
      </c>
      <c r="U2">
        <v>142.809</v>
      </c>
      <c r="V2" s="8">
        <f>U2*2204.622/60</f>
        <v>5247.3310532999994</v>
      </c>
      <c r="W2" s="10">
        <f>V2/T2</f>
        <v>39.752507979545449</v>
      </c>
    </row>
    <row r="3" spans="1:24" x14ac:dyDescent="0.25">
      <c r="B3" t="s">
        <v>2</v>
      </c>
      <c r="D3" s="3" t="s">
        <v>78</v>
      </c>
      <c r="E3" s="4"/>
      <c r="F3" t="s">
        <v>79</v>
      </c>
      <c r="H3" s="2" t="s">
        <v>5</v>
      </c>
      <c r="I3" s="2"/>
      <c r="J3">
        <f>K11-L10+M11-N10+O11-P10+Q11-R10+S11-T10+U11-V10+W11-X10</f>
        <v>1365207.9591836734</v>
      </c>
      <c r="K3" s="5" t="s">
        <v>6</v>
      </c>
      <c r="L3" s="5" t="s">
        <v>7</v>
      </c>
      <c r="M3" s="5" t="s">
        <v>8</v>
      </c>
      <c r="N3" s="6">
        <f>N4*I4/O1</f>
        <v>605.373545010984</v>
      </c>
      <c r="O3" s="6">
        <f>K7+M7+O7+Q7+S7+U7+W7</f>
        <v>600.73106475220072</v>
      </c>
      <c r="S3" t="s">
        <v>80</v>
      </c>
      <c r="T3">
        <v>600.92999999999995</v>
      </c>
      <c r="U3" s="6">
        <f>O7</f>
        <v>457.92190917165118</v>
      </c>
      <c r="V3" s="8">
        <f>U3*2204.622/60</f>
        <v>16825.7452540304</v>
      </c>
      <c r="W3" s="10">
        <f>V3/T3</f>
        <v>27.99950951696604</v>
      </c>
    </row>
    <row r="4" spans="1:24" x14ac:dyDescent="0.25">
      <c r="B4" t="s">
        <v>9</v>
      </c>
      <c r="D4" s="7" t="str">
        <f>[2]Summary!C2</f>
        <v>Peas</v>
      </c>
      <c r="E4" s="4"/>
      <c r="F4" s="8">
        <f>[2]Summary!C3</f>
        <v>2019</v>
      </c>
      <c r="I4" s="8">
        <f>[2]Summary!D2</f>
        <v>60</v>
      </c>
      <c r="J4" s="8">
        <f>J3/I4</f>
        <v>22753.465986394556</v>
      </c>
      <c r="K4" s="9">
        <v>0.98</v>
      </c>
      <c r="L4" s="9">
        <f>IF(J5=0,L1,(L8+N8+P8+R8+T8+V8+X8)/J5/K4)</f>
        <v>0.12498940880502768</v>
      </c>
      <c r="M4" s="9">
        <f>IF(J5=0,0,(L9+N9+P9+R9+T9+V9+X9)/J5/K4)</f>
        <v>2.4542781028052993E-3</v>
      </c>
      <c r="N4" s="8">
        <f>IF(L4&gt;L1,J4*(1-L4)/(1-L1)*(1-M4)*K4,J4*K4*(1-M4))</f>
        <v>22243.670199999997</v>
      </c>
      <c r="S4" t="s">
        <v>81</v>
      </c>
      <c r="T4" s="61">
        <f>T2+T3</f>
        <v>732.93</v>
      </c>
      <c r="U4" s="61">
        <f t="shared" ref="U4:V4" si="0">U2+U3</f>
        <v>600.73090917165121</v>
      </c>
      <c r="V4" s="62">
        <f t="shared" si="0"/>
        <v>22073.076307330401</v>
      </c>
      <c r="W4" s="63">
        <f>V4/T4</f>
        <v>30.116213427381062</v>
      </c>
    </row>
    <row r="5" spans="1:24" x14ac:dyDescent="0.25">
      <c r="B5" t="s">
        <v>10</v>
      </c>
      <c r="D5" s="7">
        <v>43742</v>
      </c>
      <c r="E5" s="4"/>
      <c r="F5" s="64">
        <v>43981</v>
      </c>
      <c r="J5" s="6">
        <f>J3/O1</f>
        <v>619.24791374898734</v>
      </c>
      <c r="N5" s="8">
        <f>T4</f>
        <v>732.93</v>
      </c>
      <c r="O5" s="10">
        <f>N4/N5</f>
        <v>30.348969478667811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130.68350888933375</v>
      </c>
      <c r="M7" s="6">
        <f>IF(M8&gt;$L1,(N11-N10/$O1)*$K4*(1-M8)/(1-$L1)*(1-M9),(N11-N10/$O1)*$K4*(1-M9))</f>
        <v>12.125646691215783</v>
      </c>
      <c r="O7" s="6">
        <f>IF(O8&gt;$L1,(P11-P10/$O1)*$K4*(1-O8)/(1-$L1)*(1-O9),(P11-P10/$O1)*$K4*(1-O9))</f>
        <v>457.92190917165118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0.18</v>
      </c>
      <c r="L8" s="6">
        <f>(L11-L10/$O1)*$K4*K8</f>
        <v>24.340165735485666</v>
      </c>
      <c r="M8" s="1">
        <v>0.25</v>
      </c>
      <c r="N8" s="6">
        <f>(N11-N10/$O1)*$K4*M8</f>
        <v>3.4294758318590088</v>
      </c>
      <c r="O8" s="1">
        <v>0.105</v>
      </c>
      <c r="P8" s="6">
        <f>(P11-P10/$O1)*$K4*O8</f>
        <v>48.08180046302337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1.3522314297492037</v>
      </c>
      <c r="M9" s="1">
        <v>0.01</v>
      </c>
      <c r="N9" s="6">
        <f>(N11-N10/$O1)*$K4*M9</f>
        <v>0.13717903327436035</v>
      </c>
      <c r="O9" s="1">
        <v>0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565929.61868388182</v>
      </c>
      <c r="E10" s="22"/>
      <c r="F10" s="23"/>
      <c r="G10" s="21">
        <f>J3/J2*G11</f>
        <v>799278.34049979178</v>
      </c>
      <c r="H10" s="22"/>
      <c r="I10" s="23"/>
      <c r="J10" t="s">
        <v>15</v>
      </c>
      <c r="L10" s="24">
        <v>0</v>
      </c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566087.14285714284</v>
      </c>
      <c r="E11" s="26"/>
      <c r="F11" s="27"/>
      <c r="G11" s="25">
        <f>H14+I14</f>
        <v>799500.81632653065</v>
      </c>
      <c r="H11" s="26"/>
      <c r="I11" s="26"/>
      <c r="J11" s="28"/>
      <c r="K11" s="29">
        <f>K14+L14</f>
        <v>304200</v>
      </c>
      <c r="L11" s="30">
        <f>K11/2204.62262184877</f>
        <v>137.98279895400037</v>
      </c>
      <c r="M11" s="29">
        <f>M14+N14</f>
        <v>30860</v>
      </c>
      <c r="N11" s="30">
        <f>M11/2204.62262184877</f>
        <v>13.997860538200037</v>
      </c>
      <c r="O11" s="29">
        <f>O14+P14</f>
        <v>1030147.9591836735</v>
      </c>
      <c r="P11" s="30">
        <f>O11/2204.62262184877</f>
        <v>467.26725425678694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63</v>
      </c>
      <c r="L12" s="36"/>
      <c r="M12" s="35" t="s">
        <v>82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566087.14285714284</v>
      </c>
      <c r="F14" s="40">
        <f>SUM(F15:F133)</f>
        <v>0</v>
      </c>
      <c r="G14" s="37"/>
      <c r="H14" s="39">
        <f>SUM(H15:H133)</f>
        <v>799500.81632653065</v>
      </c>
      <c r="I14" s="39">
        <f>SUM(I15:I133)</f>
        <v>0</v>
      </c>
      <c r="J14" s="28"/>
      <c r="K14" s="41">
        <f t="shared" ref="K14:X14" si="1">SUM(K15:K133)</f>
        <v>286740</v>
      </c>
      <c r="L14" s="42">
        <f t="shared" si="1"/>
        <v>17460</v>
      </c>
      <c r="M14" s="41">
        <f t="shared" si="1"/>
        <v>30860</v>
      </c>
      <c r="N14" s="42">
        <f t="shared" si="1"/>
        <v>0</v>
      </c>
      <c r="O14" s="41">
        <f t="shared" si="1"/>
        <v>1030147.9591836735</v>
      </c>
      <c r="P14" s="42">
        <f t="shared" si="1"/>
        <v>0</v>
      </c>
      <c r="Q14" s="41">
        <f t="shared" si="1"/>
        <v>0</v>
      </c>
      <c r="R14" s="42">
        <f t="shared" si="1"/>
        <v>0</v>
      </c>
      <c r="S14" s="41">
        <f t="shared" si="1"/>
        <v>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0</v>
      </c>
      <c r="C16" s="20"/>
      <c r="D16" s="37">
        <v>116</v>
      </c>
      <c r="E16">
        <v>17460</v>
      </c>
      <c r="F16" s="20"/>
      <c r="G16" s="37"/>
      <c r="J16" s="37"/>
      <c r="L16">
        <v>17460</v>
      </c>
    </row>
    <row r="17" spans="2:13" x14ac:dyDescent="0.25">
      <c r="B17">
        <v>1</v>
      </c>
      <c r="C17" s="20"/>
      <c r="D17" s="37">
        <v>117</v>
      </c>
      <c r="E17">
        <v>22980</v>
      </c>
      <c r="F17" s="20"/>
      <c r="G17" s="37">
        <v>587</v>
      </c>
      <c r="H17">
        <v>20020</v>
      </c>
      <c r="J17" s="37"/>
    </row>
    <row r="18" spans="2:13" x14ac:dyDescent="0.25">
      <c r="C18" s="20"/>
      <c r="D18" s="37">
        <v>118</v>
      </c>
      <c r="E18">
        <v>11220</v>
      </c>
      <c r="F18" s="20"/>
      <c r="G18" s="37"/>
      <c r="J18" s="37"/>
      <c r="K18">
        <v>53460</v>
      </c>
    </row>
    <row r="19" spans="2:13" x14ac:dyDescent="0.25">
      <c r="B19">
        <v>2</v>
      </c>
      <c r="C19" s="20"/>
      <c r="D19" s="37">
        <v>119</v>
      </c>
      <c r="E19">
        <v>24280</v>
      </c>
      <c r="F19" s="20"/>
      <c r="G19" s="37">
        <v>588</v>
      </c>
      <c r="H19">
        <v>21760</v>
      </c>
      <c r="J19" s="37"/>
      <c r="K19">
        <v>46460</v>
      </c>
    </row>
    <row r="20" spans="2:13" x14ac:dyDescent="0.25">
      <c r="B20">
        <v>3</v>
      </c>
      <c r="C20" s="20"/>
      <c r="D20">
        <v>120</v>
      </c>
      <c r="E20">
        <v>12240</v>
      </c>
      <c r="F20" s="20"/>
      <c r="G20">
        <v>589</v>
      </c>
      <c r="H20">
        <v>15580</v>
      </c>
      <c r="J20" s="37"/>
    </row>
    <row r="21" spans="2:13" x14ac:dyDescent="0.25">
      <c r="C21" s="20"/>
      <c r="F21" s="20"/>
      <c r="G21">
        <v>590</v>
      </c>
      <c r="H21">
        <v>13220</v>
      </c>
      <c r="J21" s="37"/>
    </row>
    <row r="22" spans="2:13" x14ac:dyDescent="0.25">
      <c r="C22" s="20"/>
      <c r="F22" s="20"/>
      <c r="G22">
        <v>591</v>
      </c>
      <c r="H22">
        <v>13040</v>
      </c>
      <c r="J22" s="37"/>
      <c r="K22">
        <v>54020</v>
      </c>
    </row>
    <row r="23" spans="2:13" x14ac:dyDescent="0.25">
      <c r="B23">
        <v>4</v>
      </c>
      <c r="C23" s="20"/>
      <c r="D23">
        <v>121</v>
      </c>
      <c r="E23">
        <v>11580</v>
      </c>
      <c r="F23" s="20"/>
      <c r="G23">
        <v>592</v>
      </c>
      <c r="H23">
        <v>15600</v>
      </c>
      <c r="J23" s="37"/>
    </row>
    <row r="24" spans="2:13" x14ac:dyDescent="0.25">
      <c r="C24" s="20"/>
      <c r="F24" s="20"/>
      <c r="G24">
        <v>593</v>
      </c>
      <c r="H24">
        <v>13560</v>
      </c>
      <c r="J24" s="37"/>
      <c r="K24">
        <v>40940</v>
      </c>
    </row>
    <row r="25" spans="2:13" x14ac:dyDescent="0.25">
      <c r="B25">
        <v>5</v>
      </c>
      <c r="C25" s="20"/>
      <c r="D25">
        <v>122</v>
      </c>
      <c r="E25">
        <v>16920</v>
      </c>
      <c r="F25" s="20"/>
      <c r="G25">
        <v>594</v>
      </c>
      <c r="H25">
        <v>19520</v>
      </c>
      <c r="J25" s="37"/>
      <c r="K25">
        <v>36440</v>
      </c>
    </row>
    <row r="26" spans="2:13" x14ac:dyDescent="0.25">
      <c r="B26">
        <v>6</v>
      </c>
      <c r="C26" s="20"/>
      <c r="D26">
        <v>123</v>
      </c>
      <c r="E26">
        <v>12380</v>
      </c>
      <c r="F26" s="20"/>
      <c r="G26">
        <v>595</v>
      </c>
      <c r="H26">
        <v>10700</v>
      </c>
      <c r="J26" s="37"/>
      <c r="K26">
        <v>22900</v>
      </c>
    </row>
    <row r="27" spans="2:13" x14ac:dyDescent="0.25">
      <c r="B27">
        <v>7</v>
      </c>
      <c r="C27" s="20"/>
      <c r="D27">
        <v>124</v>
      </c>
      <c r="E27">
        <v>9260</v>
      </c>
      <c r="F27" s="20"/>
      <c r="G27">
        <v>597</v>
      </c>
      <c r="H27">
        <v>2300</v>
      </c>
      <c r="J27" s="37"/>
    </row>
    <row r="28" spans="2:13" x14ac:dyDescent="0.25">
      <c r="C28" s="20"/>
      <c r="D28">
        <v>125</v>
      </c>
      <c r="E28">
        <v>16100</v>
      </c>
      <c r="F28" s="20"/>
      <c r="I28" s="20"/>
      <c r="J28" s="37"/>
    </row>
    <row r="29" spans="2:13" x14ac:dyDescent="0.25">
      <c r="C29" s="20"/>
      <c r="D29">
        <v>126</v>
      </c>
      <c r="E29">
        <v>4860</v>
      </c>
      <c r="F29" s="20"/>
      <c r="I29" s="20"/>
      <c r="J29" s="37"/>
      <c r="K29">
        <v>32520</v>
      </c>
    </row>
    <row r="30" spans="2:13" x14ac:dyDescent="0.25">
      <c r="C30" s="20"/>
      <c r="D30" s="49"/>
      <c r="E30">
        <v>17740</v>
      </c>
      <c r="F30" s="20"/>
      <c r="J30" s="37"/>
      <c r="M30">
        <v>17740</v>
      </c>
    </row>
    <row r="31" spans="2:13" x14ac:dyDescent="0.25">
      <c r="C31" s="20"/>
      <c r="E31">
        <v>10960</v>
      </c>
      <c r="F31" s="20"/>
      <c r="J31" s="37"/>
      <c r="M31">
        <v>10960</v>
      </c>
    </row>
    <row r="32" spans="2:13" x14ac:dyDescent="0.25">
      <c r="C32" s="20"/>
      <c r="F32" s="20"/>
      <c r="H32">
        <v>2160</v>
      </c>
      <c r="J32" s="37"/>
      <c r="M32">
        <v>2160</v>
      </c>
    </row>
    <row r="33" spans="3:15" x14ac:dyDescent="0.25">
      <c r="C33" s="20"/>
      <c r="F33" s="20"/>
      <c r="J33" s="37"/>
    </row>
    <row r="34" spans="3:15" x14ac:dyDescent="0.25">
      <c r="C34" s="20"/>
      <c r="F34" s="20"/>
      <c r="J34" s="37"/>
    </row>
    <row r="35" spans="3:15" x14ac:dyDescent="0.25">
      <c r="C35" s="20"/>
      <c r="E35">
        <f>370545/0.98</f>
        <v>378107.14285714284</v>
      </c>
      <c r="F35" s="20"/>
      <c r="H35">
        <f>639000/0.98</f>
        <v>652040.81632653065</v>
      </c>
      <c r="J35" s="37"/>
      <c r="O35">
        <f>H35+E35</f>
        <v>1030147.9591836735</v>
      </c>
    </row>
    <row r="36" spans="3:15" x14ac:dyDescent="0.25">
      <c r="C36" s="20"/>
      <c r="F36" s="20"/>
      <c r="J36" s="37"/>
    </row>
    <row r="37" spans="3:15" x14ac:dyDescent="0.25">
      <c r="C37" s="20"/>
      <c r="F37" s="20"/>
      <c r="J37" s="37"/>
    </row>
    <row r="38" spans="3:15" x14ac:dyDescent="0.25">
      <c r="C38" s="20"/>
      <c r="F38" s="20"/>
      <c r="J38" s="37"/>
    </row>
    <row r="39" spans="3:15" x14ac:dyDescent="0.25">
      <c r="C39" s="20"/>
      <c r="F39" s="20"/>
      <c r="J39" s="37"/>
    </row>
    <row r="40" spans="3:15" x14ac:dyDescent="0.25">
      <c r="C40" s="20"/>
      <c r="F40" s="20"/>
      <c r="J40" s="37"/>
    </row>
    <row r="41" spans="3:15" x14ac:dyDescent="0.25">
      <c r="C41" s="20"/>
      <c r="F41" s="20"/>
      <c r="J41" s="37"/>
    </row>
    <row r="42" spans="3:15" x14ac:dyDescent="0.25">
      <c r="C42" s="20"/>
      <c r="F42" s="20"/>
      <c r="J42" s="37"/>
    </row>
    <row r="43" spans="3:15" x14ac:dyDescent="0.25">
      <c r="C43" s="20"/>
      <c r="F43" s="20"/>
      <c r="J43" s="37"/>
    </row>
    <row r="44" spans="3:15" x14ac:dyDescent="0.25">
      <c r="C44" s="20"/>
      <c r="F44" s="20"/>
      <c r="J44" s="37"/>
    </row>
    <row r="45" spans="3:15" x14ac:dyDescent="0.25">
      <c r="C45" s="20"/>
      <c r="F45" s="20"/>
      <c r="J45" s="37"/>
    </row>
    <row r="46" spans="3:15" x14ac:dyDescent="0.25">
      <c r="C46" s="20"/>
      <c r="F46" s="20"/>
      <c r="J46" s="37"/>
    </row>
    <row r="47" spans="3:15" x14ac:dyDescent="0.25">
      <c r="C47" s="20"/>
      <c r="F47" s="20"/>
      <c r="J47" s="37"/>
    </row>
    <row r="48" spans="3:15" x14ac:dyDescent="0.25">
      <c r="C48" s="20"/>
      <c r="F48" s="20"/>
      <c r="J48" s="37"/>
    </row>
    <row r="49" spans="1:20" x14ac:dyDescent="0.25">
      <c r="C49" s="20"/>
      <c r="F49" s="20"/>
      <c r="J49" s="37"/>
    </row>
    <row r="50" spans="1:20" x14ac:dyDescent="0.25">
      <c r="C50" s="20"/>
      <c r="F50" s="20"/>
      <c r="J50" s="37"/>
    </row>
    <row r="51" spans="1:20" x14ac:dyDescent="0.25">
      <c r="C51" s="20"/>
      <c r="F51" s="20"/>
      <c r="J51" s="37"/>
    </row>
    <row r="52" spans="1:20" x14ac:dyDescent="0.25">
      <c r="C52" s="20"/>
      <c r="F52" s="20"/>
      <c r="J52" s="37"/>
    </row>
    <row r="53" spans="1:20" x14ac:dyDescent="0.25">
      <c r="C53" s="20"/>
      <c r="F53" s="20"/>
      <c r="J53" s="37"/>
    </row>
    <row r="54" spans="1:20" x14ac:dyDescent="0.25">
      <c r="C54" s="20"/>
      <c r="F54" s="20"/>
      <c r="J54" s="37"/>
    </row>
    <row r="55" spans="1:20" x14ac:dyDescent="0.25">
      <c r="C55" s="20"/>
      <c r="F55" s="20"/>
      <c r="J55" s="37"/>
      <c r="L55" s="11"/>
      <c r="M55" s="11"/>
    </row>
    <row r="56" spans="1:20" x14ac:dyDescent="0.25">
      <c r="C56" s="20"/>
      <c r="F56" s="20"/>
      <c r="J56" s="37"/>
    </row>
    <row r="57" spans="1:20" x14ac:dyDescent="0.25">
      <c r="C57" s="20"/>
      <c r="F57" s="20"/>
      <c r="J57" s="37"/>
    </row>
    <row r="58" spans="1:20" s="11" customFormat="1" x14ac:dyDescent="0.25">
      <c r="A58"/>
      <c r="C58" s="47"/>
      <c r="D58"/>
      <c r="E58"/>
      <c r="F58" s="20"/>
      <c r="G58"/>
      <c r="H58"/>
      <c r="I58"/>
      <c r="J58" s="37"/>
      <c r="K58"/>
      <c r="S58"/>
      <c r="T58"/>
    </row>
    <row r="59" spans="1:20" s="11" customFormat="1" x14ac:dyDescent="0.25">
      <c r="A59"/>
      <c r="C59" s="47"/>
      <c r="D59"/>
      <c r="E59"/>
      <c r="F59" s="20"/>
      <c r="G59"/>
      <c r="H59"/>
      <c r="I59"/>
      <c r="J59" s="37"/>
      <c r="K59"/>
      <c r="S59"/>
      <c r="T59"/>
    </row>
    <row r="60" spans="1:20" s="11" customFormat="1" x14ac:dyDescent="0.25">
      <c r="A60"/>
      <c r="C60" s="47"/>
      <c r="D60"/>
      <c r="E60"/>
      <c r="F60" s="20"/>
      <c r="G60"/>
      <c r="H60"/>
      <c r="I60"/>
      <c r="J60" s="37"/>
      <c r="K60"/>
      <c r="S60"/>
      <c r="T60"/>
    </row>
    <row r="61" spans="1:20" s="11" customFormat="1" x14ac:dyDescent="0.25">
      <c r="A61"/>
      <c r="C61" s="47"/>
      <c r="D61"/>
      <c r="E61"/>
      <c r="F61" s="20"/>
      <c r="G61"/>
      <c r="H61"/>
      <c r="J61" s="58"/>
      <c r="K61"/>
      <c r="S61"/>
      <c r="T61"/>
    </row>
    <row r="62" spans="1:20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  <c r="S62"/>
      <c r="T62"/>
    </row>
    <row r="63" spans="1:20" x14ac:dyDescent="0.25">
      <c r="C63" s="20"/>
      <c r="D63" s="37"/>
      <c r="F63" s="20"/>
      <c r="J63" s="37"/>
      <c r="O63" s="11"/>
    </row>
    <row r="64" spans="1:20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/>
      <c r="F133" s="44"/>
      <c r="G133" s="43"/>
      <c r="H133" s="51"/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81BC-9C69-49E2-AF1B-5641B3A36E93}">
  <dimension ref="A1:X133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.1406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[4]Summary!E2</f>
        <v>0.14499999999999999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145360</v>
      </c>
      <c r="K2">
        <f>J2-J3</f>
        <v>-580</v>
      </c>
      <c r="L2" s="1">
        <f>K2/J2</f>
        <v>-3.9900935608145295E-3</v>
      </c>
    </row>
    <row r="3" spans="1:24" x14ac:dyDescent="0.25">
      <c r="B3" t="s">
        <v>2</v>
      </c>
      <c r="D3" s="3" t="s">
        <v>72</v>
      </c>
      <c r="E3" s="4"/>
      <c r="F3" t="s">
        <v>144</v>
      </c>
      <c r="H3" s="2" t="s">
        <v>5</v>
      </c>
      <c r="I3" s="2"/>
      <c r="J3">
        <f>K11-L10+M11-N10+O11-P10+Q11-R10+S11-T10+U11-V10+W11-X10</f>
        <v>145940</v>
      </c>
      <c r="K3" s="5" t="s">
        <v>6</v>
      </c>
      <c r="L3" s="5" t="s">
        <v>7</v>
      </c>
      <c r="M3" s="5" t="s">
        <v>8</v>
      </c>
      <c r="N3" s="6">
        <f>N4*I4/O1</f>
        <v>63.57585856687929</v>
      </c>
      <c r="O3" s="6">
        <f>K7+M7+O7+Q7+S7+U7+W7</f>
        <v>63.575858566879283</v>
      </c>
      <c r="Q3">
        <v>49</v>
      </c>
      <c r="R3">
        <f>N3/Q3</f>
        <v>1.2974665013648834</v>
      </c>
      <c r="S3">
        <v>1300</v>
      </c>
      <c r="T3">
        <f>S3*Q3</f>
        <v>63700</v>
      </c>
    </row>
    <row r="4" spans="1:24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I4" s="8">
        <f>[4]Summary!D2</f>
        <v>60</v>
      </c>
      <c r="J4" s="8">
        <f>J3/I4</f>
        <v>2432.3333333333335</v>
      </c>
      <c r="K4" s="9">
        <v>0.98</v>
      </c>
      <c r="L4" s="9">
        <f>IF(J5=0,L1,(L8+N8+P8+R8+T8+V8+X8)/J5/K4)</f>
        <v>0.14000000000000001</v>
      </c>
      <c r="M4" s="9">
        <f>IF(J5=0,0,(L9+N9+P9+R9+T9+V9+X9)/J5/K4)</f>
        <v>0.02</v>
      </c>
      <c r="N4" s="8">
        <f>IF(L4&gt;L1,J4*(1-L4)/(1-L1)*(1-M4)*K4,J4*K4*(1-M4))</f>
        <v>2336.0129333333334</v>
      </c>
      <c r="V4" s="6"/>
    </row>
    <row r="5" spans="1:24" x14ac:dyDescent="0.25">
      <c r="B5" t="s">
        <v>10</v>
      </c>
      <c r="D5" s="7">
        <v>43964</v>
      </c>
      <c r="E5" s="4"/>
      <c r="F5" s="52">
        <v>43964</v>
      </c>
      <c r="J5" s="6">
        <f>J3/O1</f>
        <v>66.197270477800174</v>
      </c>
      <c r="N5" s="8">
        <v>49</v>
      </c>
      <c r="O5" s="10">
        <f>N4/N5</f>
        <v>47.673733333333338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63.575858566879283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0.14000000000000001</v>
      </c>
      <c r="L8" s="6">
        <f>(L11-L10/$O1)*$K4*K8</f>
        <v>9.0822655095541851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0.02</v>
      </c>
      <c r="L9" s="6">
        <f>(L11-L10/$O1)*$K4*K9</f>
        <v>1.2974665013648834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74977.980187121633</v>
      </c>
      <c r="E10" s="22"/>
      <c r="F10" s="23"/>
      <c r="G10" s="21">
        <f>J3/J2*G11</f>
        <v>70962.019812878381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74680</v>
      </c>
      <c r="E11" s="26"/>
      <c r="F11" s="27"/>
      <c r="G11" s="25">
        <f>H14+I14</f>
        <v>70680</v>
      </c>
      <c r="H11" s="26"/>
      <c r="I11" s="26"/>
      <c r="J11" s="28"/>
      <c r="K11" s="29">
        <f>K14+L14</f>
        <v>145940</v>
      </c>
      <c r="L11" s="30">
        <f>K11/2204.62262184877</f>
        <v>66.197270477800174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145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74680</v>
      </c>
      <c r="F14" s="40">
        <f>SUM(F15:F133)</f>
        <v>0</v>
      </c>
      <c r="G14" s="37"/>
      <c r="H14" s="39">
        <f>SUM(H15:H133)</f>
        <v>70680</v>
      </c>
      <c r="I14" s="39">
        <f>SUM(I15:I133)</f>
        <v>0</v>
      </c>
      <c r="J14" s="28"/>
      <c r="K14" s="41">
        <f t="shared" ref="K14:X14" si="0">SUM(K15:K133)</f>
        <v>145940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>
        <v>229</v>
      </c>
      <c r="E16">
        <v>4480</v>
      </c>
      <c r="F16" s="20"/>
      <c r="G16" s="37"/>
      <c r="J16" s="37"/>
    </row>
    <row r="17" spans="2:21" x14ac:dyDescent="0.25">
      <c r="C17" s="20"/>
      <c r="D17" s="37">
        <v>230</v>
      </c>
      <c r="E17">
        <v>10400</v>
      </c>
      <c r="F17" s="20"/>
      <c r="G17" s="37">
        <v>697</v>
      </c>
      <c r="H17">
        <v>18380</v>
      </c>
      <c r="J17" s="37"/>
      <c r="K17">
        <v>32900</v>
      </c>
    </row>
    <row r="18" spans="2:21" x14ac:dyDescent="0.25">
      <c r="B18">
        <v>2</v>
      </c>
      <c r="C18" s="20"/>
      <c r="D18" s="37">
        <v>231</v>
      </c>
      <c r="E18">
        <v>6760</v>
      </c>
      <c r="F18" s="20"/>
      <c r="G18" s="37">
        <v>698</v>
      </c>
      <c r="H18">
        <v>13460</v>
      </c>
      <c r="J18" s="37"/>
    </row>
    <row r="19" spans="2:21" x14ac:dyDescent="0.25">
      <c r="C19" s="20"/>
      <c r="D19">
        <v>232</v>
      </c>
      <c r="E19">
        <v>11320</v>
      </c>
      <c r="F19" s="20"/>
      <c r="J19" s="37"/>
      <c r="K19">
        <v>32420</v>
      </c>
    </row>
    <row r="20" spans="2:21" x14ac:dyDescent="0.25">
      <c r="B20">
        <v>3</v>
      </c>
      <c r="C20" s="20"/>
      <c r="D20">
        <v>233</v>
      </c>
      <c r="E20">
        <v>15020</v>
      </c>
      <c r="F20" s="20"/>
      <c r="G20">
        <v>699</v>
      </c>
      <c r="H20">
        <v>17160</v>
      </c>
      <c r="J20" s="37"/>
      <c r="K20">
        <v>32260</v>
      </c>
    </row>
    <row r="21" spans="2:21" x14ac:dyDescent="0.25">
      <c r="B21">
        <v>4</v>
      </c>
      <c r="C21" s="20"/>
      <c r="D21">
        <v>234</v>
      </c>
      <c r="E21">
        <v>13600</v>
      </c>
      <c r="F21" s="20"/>
      <c r="G21">
        <v>700</v>
      </c>
      <c r="H21">
        <v>15380</v>
      </c>
      <c r="J21" s="37"/>
      <c r="K21">
        <v>29040</v>
      </c>
    </row>
    <row r="22" spans="2:21" x14ac:dyDescent="0.25">
      <c r="B22">
        <v>5</v>
      </c>
      <c r="C22" s="20"/>
      <c r="D22">
        <v>235</v>
      </c>
      <c r="E22">
        <v>7540</v>
      </c>
      <c r="F22" s="20"/>
      <c r="G22">
        <v>701</v>
      </c>
      <c r="H22">
        <v>6300</v>
      </c>
      <c r="J22" s="37"/>
    </row>
    <row r="23" spans="2:21" x14ac:dyDescent="0.25">
      <c r="C23" s="20"/>
      <c r="D23">
        <v>236</v>
      </c>
      <c r="E23">
        <v>5560</v>
      </c>
      <c r="F23" s="20"/>
      <c r="J23" s="37"/>
      <c r="K23">
        <v>19320</v>
      </c>
    </row>
    <row r="24" spans="2:21" x14ac:dyDescent="0.25">
      <c r="C24" s="20"/>
      <c r="F24" s="20"/>
      <c r="J24" s="37"/>
    </row>
    <row r="25" spans="2:21" x14ac:dyDescent="0.25">
      <c r="C25" s="20"/>
      <c r="F25" s="20"/>
      <c r="J25" s="37"/>
    </row>
    <row r="26" spans="2:21" x14ac:dyDescent="0.25">
      <c r="C26" s="20"/>
      <c r="F26" s="20"/>
      <c r="J26" s="37"/>
    </row>
    <row r="27" spans="2:21" x14ac:dyDescent="0.25">
      <c r="C27" s="20"/>
      <c r="F27" s="20"/>
      <c r="I27" s="20"/>
      <c r="J27" s="37"/>
    </row>
    <row r="28" spans="2:21" x14ac:dyDescent="0.25">
      <c r="C28" s="20"/>
      <c r="F28" s="20"/>
      <c r="I28" s="20"/>
      <c r="J28" s="37"/>
    </row>
    <row r="29" spans="2:21" x14ac:dyDescent="0.25">
      <c r="C29" s="20"/>
      <c r="J29" s="37"/>
    </row>
    <row r="30" spans="2:21" x14ac:dyDescent="0.25">
      <c r="C30" s="20"/>
      <c r="D30" s="49"/>
      <c r="F30" s="20"/>
      <c r="J30" s="37"/>
    </row>
    <row r="31" spans="2:21" x14ac:dyDescent="0.25">
      <c r="C31" s="20"/>
      <c r="F31" s="20"/>
      <c r="J31" s="37"/>
    </row>
    <row r="32" spans="2:21" x14ac:dyDescent="0.25">
      <c r="C32" s="20"/>
      <c r="F32" s="20"/>
      <c r="J32" s="37"/>
      <c r="U32" t="s">
        <v>47</v>
      </c>
    </row>
    <row r="33" spans="3:10" x14ac:dyDescent="0.25">
      <c r="C33" s="20"/>
      <c r="F33" s="20"/>
      <c r="J33" s="37"/>
    </row>
    <row r="34" spans="3:10" x14ac:dyDescent="0.25">
      <c r="C34" s="20"/>
      <c r="F34" s="20"/>
      <c r="J34" s="37"/>
    </row>
    <row r="35" spans="3:10" x14ac:dyDescent="0.25">
      <c r="C35" s="20"/>
      <c r="F35" s="20"/>
      <c r="J35" s="37"/>
    </row>
    <row r="36" spans="3:10" x14ac:dyDescent="0.25">
      <c r="C36" s="20"/>
      <c r="F36" s="20"/>
      <c r="J36" s="37"/>
    </row>
    <row r="37" spans="3:10" x14ac:dyDescent="0.25">
      <c r="C37" s="20"/>
      <c r="F37" s="20"/>
      <c r="J37" s="37"/>
    </row>
    <row r="38" spans="3:10" x14ac:dyDescent="0.25">
      <c r="C38" s="20"/>
      <c r="F38" s="20"/>
      <c r="J38" s="37"/>
    </row>
    <row r="39" spans="3:10" x14ac:dyDescent="0.25">
      <c r="C39" s="20"/>
      <c r="F39" s="20"/>
      <c r="J39" s="37"/>
    </row>
    <row r="40" spans="3:10" x14ac:dyDescent="0.25">
      <c r="C40" s="20"/>
      <c r="F40" s="20"/>
      <c r="J40" s="37"/>
    </row>
    <row r="41" spans="3:10" x14ac:dyDescent="0.25">
      <c r="C41" s="20"/>
      <c r="F41" s="20"/>
      <c r="J41" s="37"/>
    </row>
    <row r="42" spans="3:10" x14ac:dyDescent="0.25">
      <c r="C42" s="20"/>
      <c r="F42" s="20"/>
      <c r="J42" s="37"/>
    </row>
    <row r="43" spans="3:10" x14ac:dyDescent="0.25">
      <c r="C43" s="20"/>
      <c r="F43" s="20"/>
      <c r="J43" s="37"/>
    </row>
    <row r="44" spans="3:10" x14ac:dyDescent="0.25">
      <c r="C44" s="20"/>
      <c r="F44" s="20"/>
      <c r="J44" s="37"/>
    </row>
    <row r="45" spans="3:10" x14ac:dyDescent="0.25">
      <c r="C45" s="20"/>
      <c r="F45" s="20"/>
      <c r="J45" s="37"/>
    </row>
    <row r="46" spans="3:10" x14ac:dyDescent="0.25">
      <c r="C46" s="20"/>
      <c r="F46" s="20"/>
      <c r="J46" s="37"/>
    </row>
    <row r="47" spans="3:10" x14ac:dyDescent="0.25">
      <c r="C47" s="20"/>
      <c r="F47" s="20"/>
      <c r="J47" s="37"/>
    </row>
    <row r="48" spans="3:10" x14ac:dyDescent="0.25">
      <c r="C48" s="20"/>
      <c r="F48" s="20"/>
      <c r="J48" s="37"/>
    </row>
    <row r="49" spans="1:20" x14ac:dyDescent="0.25">
      <c r="C49" s="20"/>
      <c r="F49" s="20"/>
      <c r="J49" s="37"/>
    </row>
    <row r="50" spans="1:20" x14ac:dyDescent="0.25">
      <c r="C50" s="20"/>
      <c r="F50" s="20"/>
      <c r="J50" s="37"/>
    </row>
    <row r="51" spans="1:20" x14ac:dyDescent="0.25">
      <c r="C51" s="20"/>
      <c r="F51" s="20"/>
      <c r="J51" s="37"/>
    </row>
    <row r="52" spans="1:20" x14ac:dyDescent="0.25">
      <c r="C52" s="20"/>
      <c r="F52" s="20"/>
      <c r="J52" s="37"/>
    </row>
    <row r="53" spans="1:20" x14ac:dyDescent="0.25">
      <c r="C53" s="20"/>
      <c r="F53" s="20"/>
      <c r="J53" s="37"/>
    </row>
    <row r="54" spans="1:20" x14ac:dyDescent="0.25">
      <c r="C54" s="20"/>
      <c r="F54" s="20"/>
      <c r="J54" s="37"/>
    </row>
    <row r="55" spans="1:20" x14ac:dyDescent="0.25">
      <c r="C55" s="20"/>
      <c r="F55" s="20"/>
      <c r="J55" s="37"/>
      <c r="L55" s="11"/>
      <c r="M55" s="11"/>
    </row>
    <row r="56" spans="1:20" x14ac:dyDescent="0.25">
      <c r="C56" s="20"/>
      <c r="F56" s="20"/>
      <c r="J56" s="37"/>
    </row>
    <row r="57" spans="1:20" x14ac:dyDescent="0.25">
      <c r="C57" s="20"/>
      <c r="F57" s="20"/>
      <c r="J57" s="37"/>
    </row>
    <row r="58" spans="1:20" s="11" customFormat="1" x14ac:dyDescent="0.25">
      <c r="A58"/>
      <c r="C58" s="47"/>
      <c r="D58"/>
      <c r="E58"/>
      <c r="F58" s="20"/>
      <c r="G58"/>
      <c r="H58"/>
      <c r="I58"/>
      <c r="J58" s="37"/>
      <c r="K58"/>
      <c r="S58"/>
      <c r="T58"/>
    </row>
    <row r="59" spans="1:20" s="11" customFormat="1" x14ac:dyDescent="0.25">
      <c r="A59"/>
      <c r="C59" s="47"/>
      <c r="D59"/>
      <c r="E59"/>
      <c r="F59" s="20"/>
      <c r="G59"/>
      <c r="H59"/>
      <c r="I59"/>
      <c r="J59" s="37"/>
      <c r="K59"/>
      <c r="S59"/>
      <c r="T59"/>
    </row>
    <row r="60" spans="1:20" s="11" customFormat="1" x14ac:dyDescent="0.25">
      <c r="A60"/>
      <c r="C60" s="47"/>
      <c r="D60"/>
      <c r="E60"/>
      <c r="F60" s="20"/>
      <c r="G60"/>
      <c r="H60"/>
      <c r="I60"/>
      <c r="J60" s="37"/>
      <c r="K60"/>
      <c r="S60"/>
      <c r="T60"/>
    </row>
    <row r="61" spans="1:20" s="11" customFormat="1" x14ac:dyDescent="0.25">
      <c r="A61"/>
      <c r="C61" s="47"/>
      <c r="D61"/>
      <c r="E61"/>
      <c r="F61" s="20"/>
      <c r="G61"/>
      <c r="H61"/>
      <c r="J61" s="58"/>
      <c r="K61"/>
      <c r="S61"/>
      <c r="T61"/>
    </row>
    <row r="62" spans="1:20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  <c r="S62"/>
      <c r="T62"/>
    </row>
    <row r="63" spans="1:20" x14ac:dyDescent="0.25">
      <c r="C63" s="20"/>
      <c r="D63" s="37"/>
      <c r="F63" s="20"/>
      <c r="J63" s="37"/>
      <c r="O63" s="11"/>
    </row>
    <row r="64" spans="1:20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74B8-62ED-4768-BDB7-424EE8839DA8}">
  <dimension ref="A1:AC100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10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[4]Summary!E2</f>
        <v>0.14499999999999999</v>
      </c>
      <c r="O1">
        <v>2204.62262184877</v>
      </c>
    </row>
    <row r="2" spans="1:29" x14ac:dyDescent="0.25">
      <c r="G2"/>
      <c r="H2" s="2" t="s">
        <v>1</v>
      </c>
      <c r="I2" s="2" t="s">
        <v>1</v>
      </c>
      <c r="J2">
        <f>+D11+G11</f>
        <v>439080</v>
      </c>
      <c r="K2">
        <f>J2-J3</f>
        <v>-15120</v>
      </c>
      <c r="L2" s="1">
        <f>K2/J2</f>
        <v>-3.4435638152500683E-2</v>
      </c>
    </row>
    <row r="3" spans="1:29" x14ac:dyDescent="0.25">
      <c r="B3" t="s">
        <v>2</v>
      </c>
      <c r="D3" s="3" t="s">
        <v>134</v>
      </c>
      <c r="E3" s="4"/>
      <c r="F3" t="s">
        <v>135</v>
      </c>
      <c r="G3"/>
      <c r="H3" s="2" t="s">
        <v>5</v>
      </c>
      <c r="I3" s="2"/>
      <c r="J3">
        <f>K11-L10+M11-N10+O11-P10+Q11-R10+S11-T10+U11-V10+W11-X10</f>
        <v>454200</v>
      </c>
      <c r="K3" s="5" t="s">
        <v>6</v>
      </c>
      <c r="L3" s="5" t="s">
        <v>7</v>
      </c>
      <c r="M3" s="5" t="s">
        <v>8</v>
      </c>
      <c r="N3" s="6">
        <f>N4*I4/O1</f>
        <v>184.68648564854311</v>
      </c>
      <c r="O3" s="6">
        <f>K7+M7+O7+Q7+S7+U7+W7</f>
        <v>184.68648564854308</v>
      </c>
    </row>
    <row r="4" spans="1:29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G4"/>
      <c r="I4" s="8">
        <f>[4]Summary!D2</f>
        <v>60</v>
      </c>
      <c r="J4" s="8">
        <f>J3/I4</f>
        <v>7570</v>
      </c>
      <c r="K4" s="9">
        <v>0.98</v>
      </c>
      <c r="L4" s="9">
        <f>IF(J5=0,L1,(L8+N8+P8+R8+T8+V8+X8)/J5/K4)</f>
        <v>0.20999999999999996</v>
      </c>
      <c r="M4" s="9">
        <f>IF(J5=0,0,(L9+N9+P9+R9+T9+V9+X9)/J5/K4)</f>
        <v>9.9999999999999985E-3</v>
      </c>
      <c r="N4" s="8">
        <f>IF(L4&gt;L1,J4*(1-L4)/(1-L1)*(1-M4)*K4,J4*K4*(1-M4))</f>
        <v>6786.0667368421055</v>
      </c>
      <c r="V4" s="6"/>
    </row>
    <row r="5" spans="1:29" x14ac:dyDescent="0.25">
      <c r="B5" t="s">
        <v>10</v>
      </c>
      <c r="D5" s="7">
        <v>43792</v>
      </c>
      <c r="E5" s="4"/>
      <c r="F5" s="52">
        <v>43792</v>
      </c>
      <c r="G5"/>
      <c r="J5" s="6">
        <f>J3/O1</f>
        <v>206.02165445400055</v>
      </c>
      <c r="N5" s="8">
        <v>120.3</v>
      </c>
      <c r="O5" s="10">
        <f>N4/N5</f>
        <v>56.409532309576939</v>
      </c>
      <c r="P5" t="s">
        <v>11</v>
      </c>
      <c r="V5" s="6"/>
    </row>
    <row r="6" spans="1:29" x14ac:dyDescent="0.25">
      <c r="D6" s="11"/>
      <c r="G6"/>
      <c r="J6" s="6"/>
      <c r="K6" s="12"/>
      <c r="L6" s="13"/>
      <c r="M6" s="12"/>
      <c r="N6" s="8"/>
      <c r="O6" s="10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184.68648564854308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0.21</v>
      </c>
      <c r="L8" s="6">
        <f>(L11-L10/$O1)*$K4*K8</f>
        <v>42.399256486633305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2.019012213649205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0"/>
      <c r="D10" s="21">
        <f>J3/J2*D11</f>
        <v>194784.23066411586</v>
      </c>
      <c r="E10" s="22"/>
      <c r="F10" s="23"/>
      <c r="G10" s="21">
        <f>J3/J2*G11</f>
        <v>259415.76933588411</v>
      </c>
      <c r="H10" s="22"/>
      <c r="I10" s="23"/>
      <c r="J10" t="s">
        <v>15</v>
      </c>
      <c r="L10" s="24">
        <v>14880</v>
      </c>
      <c r="N10" s="24"/>
      <c r="P10" s="24"/>
      <c r="R10" s="24"/>
      <c r="T10" s="24"/>
      <c r="V10" s="24"/>
      <c r="X10" s="24"/>
    </row>
    <row r="11" spans="1:29" x14ac:dyDescent="0.25">
      <c r="B11" t="s">
        <v>16</v>
      </c>
      <c r="C11" s="20"/>
      <c r="D11" s="25">
        <f>E14+F14</f>
        <v>188300</v>
      </c>
      <c r="E11" s="26"/>
      <c r="F11" s="27"/>
      <c r="G11" s="25">
        <f>H14+I14</f>
        <v>250780</v>
      </c>
      <c r="H11" s="26"/>
      <c r="I11" s="26"/>
      <c r="J11" s="28"/>
      <c r="K11" s="29">
        <f>K14+L14</f>
        <v>469080</v>
      </c>
      <c r="L11" s="30">
        <f>K11/2204.62262184877</f>
        <v>212.77110891960055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9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73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9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9" x14ac:dyDescent="0.25">
      <c r="C14" s="20"/>
      <c r="D14" s="37"/>
      <c r="E14" s="39">
        <f>SUM(E15:E133)</f>
        <v>188300</v>
      </c>
      <c r="F14" s="40">
        <f>SUM(F15:F133)</f>
        <v>0</v>
      </c>
      <c r="G14" s="37"/>
      <c r="H14" s="39">
        <f>SUM(H15:H133)</f>
        <v>250780</v>
      </c>
      <c r="I14" s="39">
        <f>SUM(I15:I133)</f>
        <v>0</v>
      </c>
      <c r="J14" s="28"/>
      <c r="K14" s="41">
        <f t="shared" ref="K14:X14" si="0">SUM(K15:K133)</f>
        <v>469080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9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9" x14ac:dyDescent="0.25">
      <c r="C16" s="20"/>
      <c r="E16" s="11"/>
      <c r="F16" s="20"/>
      <c r="G16" s="46">
        <v>687</v>
      </c>
      <c r="H16">
        <v>13560</v>
      </c>
      <c r="I16" s="20"/>
      <c r="J16" s="53"/>
      <c r="K16">
        <v>29760</v>
      </c>
      <c r="O16" s="11"/>
      <c r="AA16" s="6"/>
      <c r="AC16" s="8"/>
    </row>
    <row r="17" spans="2:29" x14ac:dyDescent="0.25">
      <c r="B17">
        <v>11</v>
      </c>
      <c r="C17" s="20"/>
      <c r="D17">
        <v>205</v>
      </c>
      <c r="E17">
        <v>12400</v>
      </c>
      <c r="F17" s="20"/>
      <c r="G17" s="46">
        <v>688</v>
      </c>
      <c r="H17">
        <v>18000</v>
      </c>
      <c r="I17" s="20"/>
      <c r="J17" s="6"/>
      <c r="K17">
        <v>31680</v>
      </c>
    </row>
    <row r="18" spans="2:29" x14ac:dyDescent="0.25">
      <c r="B18">
        <v>12</v>
      </c>
      <c r="C18" s="20"/>
      <c r="D18">
        <v>206</v>
      </c>
      <c r="E18">
        <v>13860</v>
      </c>
      <c r="F18" s="20"/>
      <c r="G18" s="46">
        <v>689</v>
      </c>
      <c r="H18">
        <v>18300</v>
      </c>
      <c r="I18" s="20"/>
      <c r="J18" s="6"/>
      <c r="K18">
        <v>35040</v>
      </c>
    </row>
    <row r="19" spans="2:29" x14ac:dyDescent="0.25">
      <c r="B19">
        <v>13</v>
      </c>
      <c r="C19" s="20"/>
      <c r="D19">
        <v>207</v>
      </c>
      <c r="E19">
        <v>16860</v>
      </c>
      <c r="F19" s="20"/>
      <c r="G19" s="46">
        <v>690</v>
      </c>
      <c r="H19">
        <v>20000</v>
      </c>
      <c r="I19" s="20"/>
      <c r="J19" s="6"/>
      <c r="K19">
        <v>38060</v>
      </c>
    </row>
    <row r="20" spans="2:29" x14ac:dyDescent="0.25">
      <c r="B20">
        <v>14</v>
      </c>
      <c r="C20" s="20"/>
      <c r="D20">
        <v>208</v>
      </c>
      <c r="E20">
        <v>11220</v>
      </c>
      <c r="F20" s="20"/>
      <c r="G20" s="46">
        <v>691</v>
      </c>
      <c r="H20">
        <v>20020</v>
      </c>
      <c r="I20" s="20"/>
      <c r="J20" s="6"/>
    </row>
    <row r="21" spans="2:29" x14ac:dyDescent="0.25">
      <c r="C21" s="20"/>
      <c r="D21">
        <v>209</v>
      </c>
      <c r="E21">
        <v>6580</v>
      </c>
      <c r="F21" s="20"/>
      <c r="G21" s="46"/>
      <c r="I21" s="20"/>
      <c r="J21" s="53"/>
      <c r="K21">
        <v>39080</v>
      </c>
      <c r="P21" s="11"/>
      <c r="Z21" s="8"/>
    </row>
    <row r="22" spans="2:29" x14ac:dyDescent="0.25">
      <c r="B22">
        <v>15</v>
      </c>
      <c r="C22" s="20"/>
      <c r="D22">
        <v>210</v>
      </c>
      <c r="E22">
        <v>16420</v>
      </c>
      <c r="F22" s="20"/>
      <c r="G22" s="46">
        <v>692</v>
      </c>
      <c r="H22">
        <v>18480</v>
      </c>
      <c r="I22" s="20"/>
      <c r="J22" s="6"/>
      <c r="K22">
        <v>35820</v>
      </c>
      <c r="Z22" s="8"/>
    </row>
    <row r="23" spans="2:29" x14ac:dyDescent="0.25">
      <c r="B23">
        <v>16</v>
      </c>
      <c r="C23" s="20"/>
      <c r="D23">
        <v>211</v>
      </c>
      <c r="E23">
        <v>18120</v>
      </c>
      <c r="F23" s="20"/>
      <c r="G23" s="46">
        <v>693</v>
      </c>
      <c r="H23">
        <v>19300</v>
      </c>
      <c r="I23" s="20"/>
      <c r="J23" s="6"/>
      <c r="K23">
        <v>39600</v>
      </c>
      <c r="S23" s="11"/>
      <c r="AA23" s="6"/>
    </row>
    <row r="24" spans="2:29" x14ac:dyDescent="0.25">
      <c r="B24">
        <v>17</v>
      </c>
      <c r="C24" s="20"/>
      <c r="D24">
        <v>212</v>
      </c>
      <c r="E24" s="11">
        <v>18220</v>
      </c>
      <c r="F24" s="20"/>
      <c r="G24" s="46">
        <v>694</v>
      </c>
      <c r="H24">
        <v>19240</v>
      </c>
      <c r="I24" s="20"/>
      <c r="J24" s="6"/>
      <c r="K24">
        <v>38160</v>
      </c>
      <c r="S24" s="11"/>
    </row>
    <row r="25" spans="2:29" x14ac:dyDescent="0.25">
      <c r="B25">
        <v>18</v>
      </c>
      <c r="C25" s="20"/>
      <c r="D25" t="s">
        <v>136</v>
      </c>
      <c r="E25">
        <v>16960</v>
      </c>
      <c r="F25" s="20"/>
      <c r="G25" s="46">
        <v>695</v>
      </c>
      <c r="H25">
        <v>17060</v>
      </c>
      <c r="I25" s="20"/>
      <c r="J25" s="6"/>
      <c r="S25" s="11"/>
    </row>
    <row r="26" spans="2:29" x14ac:dyDescent="0.25">
      <c r="C26" s="20"/>
      <c r="F26" s="20"/>
      <c r="G26" s="46">
        <v>696</v>
      </c>
      <c r="H26">
        <v>9380</v>
      </c>
      <c r="I26" s="20"/>
      <c r="J26" s="53" t="s">
        <v>137</v>
      </c>
      <c r="K26">
        <v>44540</v>
      </c>
    </row>
    <row r="27" spans="2:29" x14ac:dyDescent="0.25">
      <c r="B27">
        <v>19</v>
      </c>
      <c r="C27" s="20"/>
      <c r="D27">
        <v>215</v>
      </c>
      <c r="E27">
        <v>15960</v>
      </c>
      <c r="F27" s="20"/>
      <c r="G27" s="46">
        <v>697</v>
      </c>
      <c r="H27">
        <v>18480</v>
      </c>
      <c r="I27" s="20"/>
      <c r="J27" s="6"/>
      <c r="K27">
        <v>35120</v>
      </c>
    </row>
    <row r="28" spans="2:29" x14ac:dyDescent="0.25">
      <c r="B28">
        <v>20</v>
      </c>
      <c r="C28" s="20"/>
      <c r="D28">
        <v>216</v>
      </c>
      <c r="E28" s="11">
        <v>19160</v>
      </c>
      <c r="F28" s="20"/>
      <c r="G28" s="46">
        <v>698</v>
      </c>
      <c r="H28">
        <v>21400</v>
      </c>
      <c r="I28" s="20"/>
      <c r="J28" s="53"/>
      <c r="K28">
        <v>41460</v>
      </c>
    </row>
    <row r="29" spans="2:29" x14ac:dyDescent="0.25">
      <c r="B29">
        <v>21</v>
      </c>
      <c r="C29" s="20"/>
      <c r="D29">
        <v>217</v>
      </c>
      <c r="E29" s="11">
        <v>18620</v>
      </c>
      <c r="F29" s="20"/>
      <c r="G29" s="46">
        <v>699</v>
      </c>
      <c r="H29">
        <v>18840</v>
      </c>
      <c r="I29" s="20"/>
      <c r="J29" s="53"/>
      <c r="K29">
        <v>38120</v>
      </c>
      <c r="O29" s="11"/>
      <c r="P29" s="11"/>
      <c r="AA29" s="6"/>
      <c r="AC29" s="8"/>
    </row>
    <row r="30" spans="2:29" x14ac:dyDescent="0.25">
      <c r="B30">
        <v>22</v>
      </c>
      <c r="C30" s="20"/>
      <c r="D30">
        <v>218</v>
      </c>
      <c r="E30" s="11">
        <v>3920</v>
      </c>
      <c r="F30" s="20"/>
      <c r="G30" s="46">
        <v>700</v>
      </c>
      <c r="H30">
        <v>18720</v>
      </c>
      <c r="I30" s="20"/>
      <c r="J30" s="53"/>
      <c r="K30">
        <v>22640</v>
      </c>
      <c r="Z30" s="8"/>
      <c r="AB30" s="8"/>
    </row>
    <row r="31" spans="2:29" x14ac:dyDescent="0.25">
      <c r="C31" s="20"/>
      <c r="E31" s="11"/>
      <c r="F31" s="20"/>
      <c r="G31" s="46"/>
      <c r="I31" s="20"/>
      <c r="J31" s="6"/>
      <c r="P31" s="11"/>
      <c r="AA31" s="6"/>
    </row>
    <row r="32" spans="2:29" x14ac:dyDescent="0.25">
      <c r="C32" s="20"/>
      <c r="E32" s="11"/>
      <c r="F32" s="20"/>
      <c r="G32" s="46"/>
      <c r="H32" s="11"/>
      <c r="I32" s="20"/>
      <c r="J32" s="53"/>
      <c r="Z32" s="8"/>
      <c r="AB32" s="8"/>
    </row>
    <row r="33" spans="3:28" x14ac:dyDescent="0.25">
      <c r="C33" s="20"/>
      <c r="F33" s="20"/>
      <c r="G33" s="46"/>
      <c r="H33" s="11"/>
      <c r="I33" s="20"/>
      <c r="J33" s="53"/>
      <c r="M33" s="11"/>
      <c r="N33" s="11"/>
      <c r="AA33" s="6"/>
    </row>
    <row r="34" spans="3:28" x14ac:dyDescent="0.25">
      <c r="C34" s="20"/>
      <c r="E34" s="11"/>
      <c r="F34" s="20"/>
      <c r="G34" s="46"/>
      <c r="I34" s="20"/>
      <c r="J34" s="6"/>
      <c r="N34" s="11"/>
      <c r="Z34" s="8"/>
      <c r="AB34" s="8"/>
    </row>
    <row r="35" spans="3:28" x14ac:dyDescent="0.25">
      <c r="C35" s="20"/>
      <c r="E35" s="11"/>
      <c r="F35" s="20"/>
      <c r="G35" s="46"/>
      <c r="H35" s="11"/>
      <c r="I35" s="20"/>
      <c r="J35" s="53"/>
      <c r="N35" s="11"/>
      <c r="AA35" s="6"/>
    </row>
    <row r="36" spans="3:28" x14ac:dyDescent="0.25">
      <c r="C36" s="20"/>
      <c r="E36" s="11"/>
      <c r="F36" s="20"/>
      <c r="G36" s="46"/>
      <c r="I36" s="20"/>
      <c r="J36" s="6"/>
    </row>
    <row r="37" spans="3:28" x14ac:dyDescent="0.25">
      <c r="C37" s="20"/>
      <c r="E37" s="11"/>
      <c r="F37" s="20"/>
      <c r="G37" s="46"/>
      <c r="H37" s="11"/>
      <c r="I37" s="20"/>
      <c r="J37" s="53"/>
      <c r="M37" s="11"/>
      <c r="P37" s="11"/>
      <c r="Z37" s="8"/>
      <c r="AB37" s="8"/>
    </row>
    <row r="38" spans="3:28" x14ac:dyDescent="0.25">
      <c r="C38" s="20"/>
      <c r="E38" s="11"/>
      <c r="F38" s="20"/>
      <c r="G38" s="46"/>
      <c r="H38" s="11"/>
      <c r="I38" s="20"/>
      <c r="J38" s="53"/>
      <c r="M38" s="11"/>
      <c r="P38" s="11"/>
      <c r="AA38" s="6"/>
    </row>
    <row r="39" spans="3:28" x14ac:dyDescent="0.25">
      <c r="C39" s="20"/>
      <c r="E39" s="11"/>
      <c r="F39" s="20"/>
      <c r="G39" s="46"/>
      <c r="H39" s="11"/>
      <c r="I39" s="20"/>
      <c r="J39" s="53"/>
      <c r="Z39" s="8"/>
      <c r="AB39" s="8"/>
    </row>
    <row r="40" spans="3:28" x14ac:dyDescent="0.25">
      <c r="C40" s="20"/>
      <c r="D40" s="37"/>
      <c r="E40" s="11"/>
      <c r="F40" s="20"/>
      <c r="G40" s="46"/>
      <c r="H40" s="11"/>
      <c r="I40" s="20"/>
      <c r="J40" s="53"/>
    </row>
    <row r="41" spans="3:28" x14ac:dyDescent="0.25">
      <c r="C41" s="20"/>
      <c r="D41" s="37"/>
      <c r="E41" s="11"/>
      <c r="F41" s="20"/>
      <c r="G41" s="46"/>
      <c r="H41" s="11"/>
      <c r="I41" s="20"/>
      <c r="J41" s="53"/>
    </row>
    <row r="42" spans="3:28" x14ac:dyDescent="0.25">
      <c r="C42" s="20"/>
      <c r="D42" s="37"/>
      <c r="E42" s="11"/>
      <c r="F42" s="20"/>
      <c r="G42" s="46"/>
      <c r="H42" s="11"/>
      <c r="I42" s="20"/>
      <c r="J42" s="53"/>
    </row>
    <row r="43" spans="3:28" x14ac:dyDescent="0.25">
      <c r="C43" s="20"/>
      <c r="D43" s="37"/>
      <c r="F43" s="20"/>
      <c r="G43" s="46"/>
      <c r="H43" s="11"/>
      <c r="I43" s="20"/>
      <c r="J43" s="53"/>
    </row>
    <row r="44" spans="3:28" x14ac:dyDescent="0.25">
      <c r="C44" s="20"/>
      <c r="D44" s="37"/>
      <c r="E44" s="11"/>
      <c r="F44" s="20"/>
      <c r="G44" s="46"/>
      <c r="H44" s="11"/>
      <c r="I44" s="20"/>
      <c r="J44" s="53"/>
    </row>
    <row r="45" spans="3:28" x14ac:dyDescent="0.25">
      <c r="C45" s="20"/>
      <c r="D45" s="37"/>
      <c r="E45" s="11"/>
      <c r="F45" s="20"/>
      <c r="G45" s="46"/>
      <c r="H45" s="11"/>
      <c r="I45" s="20"/>
      <c r="J45" s="53"/>
    </row>
    <row r="46" spans="3:28" x14ac:dyDescent="0.25">
      <c r="C46" s="20"/>
      <c r="D46" s="37"/>
      <c r="E46" s="11"/>
      <c r="F46" s="20"/>
      <c r="G46" s="46"/>
      <c r="H46" s="11"/>
      <c r="I46" s="20"/>
      <c r="J46" s="53"/>
    </row>
    <row r="47" spans="3:28" x14ac:dyDescent="0.25">
      <c r="C47" s="20"/>
      <c r="E47" s="11"/>
      <c r="F47" s="20"/>
      <c r="G47" s="46"/>
      <c r="H47" s="11"/>
      <c r="I47" s="20"/>
      <c r="J47" s="53"/>
    </row>
    <row r="48" spans="3:28" x14ac:dyDescent="0.25">
      <c r="C48" s="20"/>
      <c r="D48" s="37"/>
      <c r="E48" s="11"/>
      <c r="F48" s="20"/>
      <c r="G48" s="46"/>
      <c r="H48" s="11"/>
      <c r="I48" s="20"/>
      <c r="J48" s="53"/>
    </row>
    <row r="49" spans="3:10" x14ac:dyDescent="0.25">
      <c r="C49" s="20"/>
      <c r="D49" s="54"/>
      <c r="E49" s="59"/>
      <c r="F49" s="56"/>
      <c r="G49" s="46"/>
      <c r="H49" s="11"/>
      <c r="I49" s="20"/>
      <c r="J49" s="53"/>
    </row>
    <row r="50" spans="3:10" x14ac:dyDescent="0.25">
      <c r="C50" s="20"/>
      <c r="D50" s="37"/>
      <c r="E50" s="11"/>
      <c r="F50" s="20"/>
      <c r="G50" s="46"/>
      <c r="H50" s="11"/>
      <c r="I50" s="20"/>
      <c r="J50" s="53"/>
    </row>
    <row r="51" spans="3:10" x14ac:dyDescent="0.25">
      <c r="C51" s="20"/>
      <c r="D51" s="50"/>
      <c r="E51" s="11"/>
      <c r="F51" s="20"/>
      <c r="G51" s="46"/>
      <c r="H51" s="11"/>
      <c r="I51" s="20"/>
      <c r="J51" s="53"/>
    </row>
    <row r="52" spans="3:10" x14ac:dyDescent="0.25">
      <c r="C52" s="20"/>
      <c r="D52" s="37"/>
      <c r="E52" s="11"/>
      <c r="F52" s="20"/>
      <c r="G52" s="46"/>
      <c r="H52" s="11"/>
      <c r="I52" s="20"/>
      <c r="J52" s="53"/>
    </row>
    <row r="53" spans="3:10" x14ac:dyDescent="0.25">
      <c r="C53" s="20"/>
      <c r="D53" s="37"/>
      <c r="F53" s="20"/>
      <c r="G53" s="46"/>
      <c r="H53" s="11"/>
      <c r="I53" s="20"/>
      <c r="J53" s="53"/>
    </row>
    <row r="54" spans="3:10" x14ac:dyDescent="0.25">
      <c r="C54" s="20"/>
      <c r="D54" s="37"/>
      <c r="E54" s="11"/>
      <c r="F54" s="20"/>
      <c r="G54" s="46"/>
      <c r="H54" s="11"/>
      <c r="I54" s="20"/>
      <c r="J54" s="53"/>
    </row>
    <row r="55" spans="3:10" x14ac:dyDescent="0.25">
      <c r="C55" s="20"/>
      <c r="D55" s="50"/>
      <c r="E55" s="11"/>
      <c r="F55" s="20"/>
      <c r="G55" s="46"/>
      <c r="H55" s="11"/>
      <c r="I55" s="20"/>
      <c r="J55" s="53"/>
    </row>
    <row r="56" spans="3:10" x14ac:dyDescent="0.25">
      <c r="C56" s="20"/>
      <c r="D56" s="50"/>
      <c r="E56" s="11"/>
      <c r="F56" s="20"/>
      <c r="G56" s="46"/>
      <c r="H56" s="11"/>
      <c r="I56" s="20"/>
      <c r="J56" s="53"/>
    </row>
    <row r="57" spans="3:10" x14ac:dyDescent="0.25">
      <c r="C57" s="20"/>
      <c r="D57" s="37"/>
      <c r="E57" s="11"/>
      <c r="F57" s="20"/>
      <c r="G57" s="46"/>
      <c r="H57" s="11"/>
      <c r="I57" s="20"/>
      <c r="J57" s="53"/>
    </row>
    <row r="58" spans="3:10" x14ac:dyDescent="0.25">
      <c r="C58" s="20"/>
      <c r="D58" s="37"/>
      <c r="E58" s="11"/>
      <c r="F58" s="20"/>
      <c r="G58" s="46"/>
      <c r="H58" s="11"/>
      <c r="I58" s="20"/>
      <c r="J58" s="53"/>
    </row>
    <row r="59" spans="3:10" x14ac:dyDescent="0.25">
      <c r="C59" s="20"/>
      <c r="D59" s="50"/>
      <c r="E59" s="11"/>
      <c r="F59" s="20"/>
      <c r="G59" s="46"/>
      <c r="H59" s="11"/>
      <c r="I59" s="20"/>
      <c r="J59" s="53"/>
    </row>
    <row r="60" spans="3:10" x14ac:dyDescent="0.25">
      <c r="C60" s="20"/>
      <c r="D60" s="37"/>
      <c r="E60" s="11"/>
      <c r="F60" s="20"/>
      <c r="G60" s="46"/>
      <c r="H60" s="11"/>
      <c r="I60" s="20"/>
      <c r="J60" s="53"/>
    </row>
    <row r="61" spans="3:10" x14ac:dyDescent="0.25">
      <c r="C61" s="20"/>
      <c r="D61" s="37"/>
      <c r="E61" s="11"/>
      <c r="F61" s="20"/>
      <c r="G61" s="46"/>
      <c r="H61" s="11"/>
      <c r="I61" s="20"/>
      <c r="J61" s="53"/>
    </row>
    <row r="62" spans="3:10" x14ac:dyDescent="0.25">
      <c r="C62" s="20"/>
      <c r="D62" s="37"/>
      <c r="E62" s="11"/>
      <c r="F62" s="20"/>
      <c r="G62" s="46"/>
      <c r="H62" s="11"/>
      <c r="I62" s="20"/>
      <c r="J62" s="53"/>
    </row>
    <row r="63" spans="3:10" x14ac:dyDescent="0.25">
      <c r="C63" s="20"/>
      <c r="D63" s="37"/>
      <c r="E63" s="11"/>
      <c r="F63" s="20"/>
      <c r="G63" s="46"/>
      <c r="H63" s="11"/>
      <c r="I63" s="20"/>
      <c r="J63" s="53"/>
    </row>
    <row r="64" spans="3:10" x14ac:dyDescent="0.25">
      <c r="C64" s="20"/>
      <c r="D64" s="37"/>
      <c r="E64" s="11"/>
      <c r="F64" s="20"/>
      <c r="G64" s="46"/>
      <c r="H64" s="11"/>
      <c r="I64" s="20"/>
      <c r="J64" s="53"/>
    </row>
    <row r="65" spans="3:10" x14ac:dyDescent="0.25">
      <c r="C65" s="20"/>
      <c r="D65" s="37"/>
      <c r="E65" s="11"/>
      <c r="F65" s="20"/>
      <c r="G65" s="46"/>
      <c r="H65" s="11"/>
      <c r="I65" s="20"/>
      <c r="J65" s="53"/>
    </row>
    <row r="66" spans="3:10" x14ac:dyDescent="0.25">
      <c r="C66" s="20"/>
      <c r="D66" s="37"/>
      <c r="E66" s="11"/>
      <c r="F66" s="20"/>
      <c r="G66" s="46"/>
      <c r="H66" s="11"/>
      <c r="I66" s="20"/>
      <c r="J66" s="53"/>
    </row>
    <row r="67" spans="3:10" x14ac:dyDescent="0.25">
      <c r="C67" s="20"/>
      <c r="D67" s="37"/>
      <c r="F67" s="20"/>
      <c r="G67" s="46"/>
      <c r="J67" s="45"/>
    </row>
    <row r="68" spans="3:10" x14ac:dyDescent="0.25">
      <c r="C68" s="20"/>
      <c r="D68" s="37"/>
      <c r="F68" s="20"/>
      <c r="G68" s="46"/>
      <c r="J68" s="45"/>
    </row>
    <row r="69" spans="3:10" x14ac:dyDescent="0.25">
      <c r="C69" s="20"/>
      <c r="D69" s="37"/>
      <c r="F69" s="20"/>
      <c r="G69" s="46"/>
      <c r="J69" s="45"/>
    </row>
    <row r="70" spans="3:10" x14ac:dyDescent="0.25">
      <c r="C70" s="20"/>
      <c r="D70" s="37"/>
      <c r="F70" s="20"/>
      <c r="G70" s="46"/>
      <c r="J70" s="45"/>
    </row>
    <row r="71" spans="3:10" x14ac:dyDescent="0.25">
      <c r="C71" s="20"/>
      <c r="D71" s="37"/>
      <c r="F71" s="20"/>
      <c r="G71" s="46"/>
      <c r="J71" s="45"/>
    </row>
    <row r="72" spans="3:10" x14ac:dyDescent="0.25">
      <c r="C72" s="20"/>
      <c r="D72" s="37"/>
      <c r="F72" s="20"/>
      <c r="G72" s="46"/>
      <c r="J72" s="45"/>
    </row>
    <row r="73" spans="3:10" x14ac:dyDescent="0.25">
      <c r="C73" s="20"/>
      <c r="D73" s="37"/>
      <c r="F73" s="20"/>
      <c r="G73" s="46"/>
      <c r="J73" s="45"/>
    </row>
    <row r="74" spans="3:10" x14ac:dyDescent="0.25">
      <c r="C74" s="20"/>
      <c r="D74" s="37"/>
      <c r="F74" s="20"/>
      <c r="G74" s="46"/>
      <c r="J74" s="45"/>
    </row>
    <row r="75" spans="3:10" x14ac:dyDescent="0.25">
      <c r="C75" s="20"/>
      <c r="D75" s="37"/>
      <c r="F75" s="20"/>
      <c r="G75" s="46"/>
      <c r="J75" s="45"/>
    </row>
    <row r="76" spans="3:10" x14ac:dyDescent="0.25">
      <c r="C76" s="20"/>
      <c r="D76" s="37"/>
      <c r="F76" s="20"/>
      <c r="G76" s="46"/>
      <c r="J76" s="45"/>
    </row>
    <row r="77" spans="3:10" x14ac:dyDescent="0.25">
      <c r="C77" s="20"/>
      <c r="D77" s="37"/>
      <c r="F77" s="20"/>
      <c r="G77" s="46"/>
      <c r="J77" s="45"/>
    </row>
    <row r="78" spans="3:10" x14ac:dyDescent="0.25">
      <c r="C78" s="20"/>
      <c r="D78" s="37"/>
      <c r="F78" s="20"/>
      <c r="G78" s="46"/>
      <c r="J78" s="45"/>
    </row>
    <row r="79" spans="3:10" x14ac:dyDescent="0.25">
      <c r="C79" s="20"/>
      <c r="D79" s="37"/>
      <c r="F79" s="20"/>
      <c r="G79" s="46"/>
      <c r="J79" s="45"/>
    </row>
    <row r="80" spans="3:10" x14ac:dyDescent="0.25">
      <c r="C80" s="20"/>
      <c r="D80" s="37"/>
      <c r="F80" s="20"/>
      <c r="G80" s="46"/>
      <c r="J80" s="45"/>
    </row>
    <row r="81" spans="3:29" x14ac:dyDescent="0.25">
      <c r="C81" s="20"/>
      <c r="D81" s="37"/>
      <c r="F81" s="20"/>
      <c r="G81" s="46"/>
      <c r="J81" s="45"/>
    </row>
    <row r="82" spans="3:29" x14ac:dyDescent="0.25">
      <c r="C82" s="20"/>
      <c r="D82" s="37"/>
      <c r="F82" s="20"/>
      <c r="G82" s="46"/>
      <c r="J82" s="45"/>
    </row>
    <row r="83" spans="3:29" x14ac:dyDescent="0.25">
      <c r="C83" s="20"/>
      <c r="D83" s="37"/>
      <c r="F83" s="20"/>
      <c r="G83" s="46"/>
      <c r="J83" s="45"/>
    </row>
    <row r="84" spans="3:29" x14ac:dyDescent="0.25">
      <c r="C84" s="20"/>
      <c r="D84" s="37"/>
      <c r="F84" s="20"/>
      <c r="G84" s="46"/>
      <c r="J84" s="45"/>
      <c r="AA84" s="6"/>
      <c r="AC84" s="8"/>
    </row>
    <row r="85" spans="3:29" x14ac:dyDescent="0.25">
      <c r="C85" s="20"/>
      <c r="D85" s="37"/>
      <c r="F85" s="20"/>
      <c r="G85" s="46"/>
      <c r="J85" s="37"/>
    </row>
    <row r="86" spans="3:29" x14ac:dyDescent="0.25">
      <c r="C86" s="20"/>
      <c r="D86" s="37"/>
      <c r="F86" s="20"/>
      <c r="G86" s="46"/>
      <c r="J86" s="37"/>
    </row>
    <row r="87" spans="3:29" x14ac:dyDescent="0.25">
      <c r="C87" s="20"/>
      <c r="D87" s="37"/>
      <c r="F87" s="20"/>
      <c r="G87" s="46"/>
      <c r="J87" s="37"/>
    </row>
    <row r="88" spans="3:29" x14ac:dyDescent="0.25">
      <c r="C88" s="20"/>
      <c r="D88" s="37"/>
      <c r="F88" s="20"/>
      <c r="G88" s="46"/>
      <c r="J88" s="37"/>
    </row>
    <row r="89" spans="3:29" x14ac:dyDescent="0.25">
      <c r="C89" s="20"/>
      <c r="D89" s="37"/>
      <c r="F89" s="20"/>
      <c r="G89" s="46"/>
      <c r="J89" s="37"/>
    </row>
    <row r="90" spans="3:29" x14ac:dyDescent="0.25">
      <c r="C90" s="20"/>
      <c r="D90" s="37"/>
      <c r="F90" s="20"/>
      <c r="G90" s="46"/>
      <c r="J90" s="37"/>
    </row>
    <row r="91" spans="3:29" x14ac:dyDescent="0.25">
      <c r="C91" s="20"/>
      <c r="D91" s="37"/>
      <c r="F91" s="20"/>
      <c r="G91" s="46"/>
      <c r="J91" s="37"/>
    </row>
    <row r="92" spans="3:29" x14ac:dyDescent="0.25">
      <c r="C92" s="20"/>
      <c r="D92" s="37"/>
      <c r="F92" s="20"/>
      <c r="G92" s="46"/>
      <c r="J92" s="37"/>
    </row>
    <row r="93" spans="3:29" x14ac:dyDescent="0.25">
      <c r="C93" s="20"/>
      <c r="D93" s="37"/>
      <c r="F93" s="20"/>
      <c r="G93" s="46"/>
      <c r="J93" s="37"/>
    </row>
    <row r="94" spans="3:29" x14ac:dyDescent="0.25">
      <c r="D94" s="37"/>
      <c r="F94" s="20"/>
      <c r="G94" s="46"/>
      <c r="J94" s="37"/>
    </row>
    <row r="95" spans="3:29" x14ac:dyDescent="0.25">
      <c r="D95" s="37"/>
      <c r="F95" s="20"/>
      <c r="G95" s="46"/>
      <c r="J95" s="37"/>
    </row>
    <row r="96" spans="3:29" x14ac:dyDescent="0.25">
      <c r="D96" s="37"/>
      <c r="F96" s="20"/>
      <c r="G96" s="46"/>
      <c r="J96" s="37"/>
    </row>
    <row r="97" spans="4:10" x14ac:dyDescent="0.25">
      <c r="D97" s="37"/>
      <c r="F97" s="20"/>
      <c r="G97" s="46"/>
      <c r="J97" s="37"/>
    </row>
    <row r="98" spans="4:10" x14ac:dyDescent="0.25">
      <c r="D98" s="37"/>
      <c r="F98" s="20"/>
      <c r="G98" s="46"/>
      <c r="J98" s="37"/>
    </row>
    <row r="99" spans="4:10" x14ac:dyDescent="0.25">
      <c r="D99" s="37"/>
      <c r="F99" s="20"/>
      <c r="G99" s="46"/>
      <c r="J99" s="37"/>
    </row>
    <row r="100" spans="4:10" x14ac:dyDescent="0.25">
      <c r="D100" s="43"/>
      <c r="E100" s="51" t="s">
        <v>35</v>
      </c>
      <c r="F100" s="44"/>
      <c r="G100" s="57"/>
      <c r="H100" s="51" t="s">
        <v>35</v>
      </c>
      <c r="I100" s="51"/>
      <c r="J100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3D00-DFAF-4D0D-ACE4-B5E1E87638DD}">
  <sheetPr>
    <pageSetUpPr fitToPage="1"/>
  </sheetPr>
  <dimension ref="A1:Z46"/>
  <sheetViews>
    <sheetView workbookViewId="0">
      <pane ySplit="15" topLeftCell="A16" activePane="bottomLeft" state="frozen"/>
      <selection pane="bottomLeft" activeCell="P5" sqref="P5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3" width="9.28515625" customWidth="1"/>
  </cols>
  <sheetData>
    <row r="1" spans="1:26" x14ac:dyDescent="0.25">
      <c r="B1" t="s">
        <v>0</v>
      </c>
      <c r="L1" s="68">
        <v>0.16</v>
      </c>
      <c r="M1" s="68"/>
      <c r="N1" s="11"/>
      <c r="O1" s="11"/>
      <c r="P1" s="11">
        <v>2204.62262184877</v>
      </c>
    </row>
    <row r="2" spans="1:26" x14ac:dyDescent="0.25">
      <c r="H2" s="2" t="s">
        <v>1</v>
      </c>
      <c r="I2" s="2" t="s">
        <v>1</v>
      </c>
      <c r="J2">
        <f>+D11+G11</f>
        <v>582760</v>
      </c>
      <c r="K2">
        <f>J2-J3</f>
        <v>-2740</v>
      </c>
      <c r="L2" s="1">
        <f>K2/J2</f>
        <v>-4.7017640194934448E-3</v>
      </c>
      <c r="M2" s="1"/>
      <c r="W2" t="e">
        <f>SUM(#REF!)</f>
        <v>#REF!</v>
      </c>
    </row>
    <row r="3" spans="1:26" x14ac:dyDescent="0.25">
      <c r="B3" t="s">
        <v>2</v>
      </c>
      <c r="D3" s="4" t="s">
        <v>159</v>
      </c>
      <c r="E3" s="4"/>
      <c r="H3" s="2" t="s">
        <v>5</v>
      </c>
      <c r="I3" s="2"/>
      <c r="J3">
        <f>K11-N10+O11-P10+Q11-R10+S11-T10+U11-V10+W11-X10+Y11-Z10</f>
        <v>585500</v>
      </c>
      <c r="K3" s="5" t="s">
        <v>6</v>
      </c>
      <c r="L3" s="5" t="s">
        <v>7</v>
      </c>
      <c r="M3" s="5"/>
      <c r="N3" s="5" t="s">
        <v>8</v>
      </c>
      <c r="O3" s="6">
        <f>O4*I4/P1</f>
        <v>254.95490068237891</v>
      </c>
      <c r="P3" s="6">
        <f>K7+O7+Q7+S7+U7+W7+Y7</f>
        <v>254.9560063202357</v>
      </c>
      <c r="W3" t="e">
        <f>W2/W11</f>
        <v>#REF!</v>
      </c>
    </row>
    <row r="4" spans="1:26" x14ac:dyDescent="0.25">
      <c r="B4" t="s">
        <v>9</v>
      </c>
      <c r="D4" s="7" t="s">
        <v>160</v>
      </c>
      <c r="E4" s="4"/>
      <c r="I4">
        <v>60</v>
      </c>
      <c r="J4" s="8">
        <f>J3/I4</f>
        <v>9758.3333333333339</v>
      </c>
      <c r="K4" s="9">
        <v>0.98799999999999999</v>
      </c>
      <c r="L4" s="9">
        <f>(N8+P8+R8+T8+V8+X8+Z8)/J5/K4</f>
        <v>0.17042538001707944</v>
      </c>
      <c r="M4" s="9"/>
      <c r="N4" s="9">
        <f>(N9+P9+R9+T9+V9+X9+Z9)/J5/K4</f>
        <v>1.6130247651579849E-2</v>
      </c>
      <c r="O4" s="8">
        <f>IF(L4&gt;L1,J4*(1-L4)/(1-L1)*(1-N4)*K4,J4*K4*(1-N4))</f>
        <v>9367.9890265929826</v>
      </c>
      <c r="W4" s="6" t="e">
        <f>W7*W3</f>
        <v>#REF!</v>
      </c>
    </row>
    <row r="5" spans="1:26" x14ac:dyDescent="0.25">
      <c r="B5" t="s">
        <v>10</v>
      </c>
      <c r="D5" s="3">
        <v>43731</v>
      </c>
      <c r="E5" s="4"/>
      <c r="J5" s="6">
        <f>J3/P1</f>
        <v>265.57833263500072</v>
      </c>
      <c r="O5" s="8">
        <v>248</v>
      </c>
      <c r="P5" s="10">
        <f>O4/O5</f>
        <v>37.774149300778156</v>
      </c>
      <c r="Q5" t="s">
        <v>11</v>
      </c>
      <c r="W5" s="6" t="e">
        <f>W7-W4</f>
        <v>#REF!</v>
      </c>
    </row>
    <row r="6" spans="1:26" x14ac:dyDescent="0.25">
      <c r="D6" s="11"/>
      <c r="J6" s="6"/>
      <c r="K6" s="12"/>
      <c r="L6" s="12"/>
      <c r="M6" s="12"/>
      <c r="N6" s="13"/>
      <c r="O6" s="12"/>
      <c r="P6" s="8"/>
      <c r="Q6" s="10"/>
    </row>
    <row r="7" spans="1:26" x14ac:dyDescent="0.25">
      <c r="F7">
        <f>F8*E8</f>
        <v>0</v>
      </c>
      <c r="I7">
        <f>I8*H8</f>
        <v>0</v>
      </c>
      <c r="K7" s="6">
        <f>IF(K8&gt;$L1,(N11-N10/$P1)*$K4*(1-K8)/(1-$L1)*(1-K9),(N11-N10/$P1)*$K4*(1-K9))</f>
        <v>177.59741700556634</v>
      </c>
      <c r="L7" s="6"/>
      <c r="M7" s="6"/>
      <c r="O7" s="6">
        <f>IF(O8&gt;$L1,(P11-P10/$P1)*$K4*(1-O8)/(1-$L1)*(1-O9),(P11-P10/$P1)*$K4*(1-O9))</f>
        <v>61.544298396814661</v>
      </c>
      <c r="Q7" s="6">
        <f>IF(Q8&gt;$L1,(R11-R10/$P1)*$K4*(1-Q8)/(1-$L1)*(1-Q9),(R11-R10/$P1)*$K4*(1-Q9))</f>
        <v>15.814290917854695</v>
      </c>
      <c r="S7" s="6">
        <f>IF(S8&gt;$L1,(T11-T10/$P1)*$K4*(1-S8)/(1-$L1)*(1-S9),(T11-T10/$P1)*$K4*(1-S9))</f>
        <v>0</v>
      </c>
      <c r="U7" s="6">
        <f>IF(U8&gt;$L1,(V11-V10/$P1)*$K4*(1-U8)/(1-$L1)*(1-U9),(V11-V10/$P1)*$K4*(1-U9))</f>
        <v>0</v>
      </c>
      <c r="W7" s="6">
        <f>IF(W8&gt;$L1,(X11-X10/$P1)*$K4*(1-W8)/(1-$L1)*(1-W9),(X11-X10/$P1)*$K4*(1-W9))</f>
        <v>0</v>
      </c>
      <c r="Y7" s="6">
        <f>IF(Y8&gt;$L1,(Z11-Z10/$P1)*$K4*(1-Y8)/(1-$L1)*(1-Y9),(Z11-Z10/$P1)*$K4*(1-Y9))</f>
        <v>0</v>
      </c>
    </row>
    <row r="8" spans="1:26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0.17</v>
      </c>
      <c r="L8" s="1"/>
      <c r="M8" s="1"/>
      <c r="N8" s="6">
        <f>(N11-N10/$P1)*$K4*K8</f>
        <v>30.989162917464839</v>
      </c>
      <c r="O8" s="1">
        <v>0.17199999999999999</v>
      </c>
      <c r="P8" s="6">
        <f>(P11-P10/$P1)*$K4*O8</f>
        <v>10.991846568134461</v>
      </c>
      <c r="Q8" s="1">
        <v>0.16900000000000001</v>
      </c>
      <c r="R8" s="6">
        <f>(R11-R10/$P1)*$K4*Q8</f>
        <v>2.7371433188595575</v>
      </c>
      <c r="S8" s="1">
        <v>0.155</v>
      </c>
      <c r="T8" s="6">
        <f>(T11-T10/$P1)*$K4*S8</f>
        <v>0</v>
      </c>
      <c r="U8" s="1">
        <v>0.16</v>
      </c>
      <c r="V8" s="6">
        <f>(V11-V10/$P1)*$K4*U8</f>
        <v>0</v>
      </c>
      <c r="W8" s="1">
        <v>0.15</v>
      </c>
      <c r="X8" s="6">
        <f>(X11-X10/$P1)*$K4*W8</f>
        <v>0</v>
      </c>
      <c r="Y8" s="1">
        <v>0.15</v>
      </c>
      <c r="Z8" s="6">
        <f>(Z11-Z10/$P1)*$K4*Y8</f>
        <v>0</v>
      </c>
    </row>
    <row r="9" spans="1:26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1.4E-2</v>
      </c>
      <c r="L9" s="1"/>
      <c r="M9" s="1"/>
      <c r="N9" s="6">
        <f>(N11-N10/$P1)*$K4*K9</f>
        <v>2.5520487108500456</v>
      </c>
      <c r="O9" s="1">
        <v>2.3E-2</v>
      </c>
      <c r="P9" s="6">
        <f>(P11-P10/$P1)*$K4*O9</f>
        <v>1.4698399480644919</v>
      </c>
      <c r="Q9" s="1">
        <v>1.2999999999999999E-2</v>
      </c>
      <c r="R9" s="6">
        <f>(R11-R10/$P1)*$K4*Q9</f>
        <v>0.21054948606611976</v>
      </c>
      <c r="S9" s="1">
        <v>0.01</v>
      </c>
      <c r="T9" s="6">
        <f>(T11-T10/$P1)*$K4*S9</f>
        <v>0</v>
      </c>
      <c r="U9" s="1">
        <v>0.01</v>
      </c>
      <c r="V9" s="6">
        <f>(V11-V10/$P1)*$K4*U9</f>
        <v>0</v>
      </c>
      <c r="W9" s="1">
        <v>2.5000000000000001E-2</v>
      </c>
      <c r="X9" s="6">
        <f>(X11-X10/$P1)*$K4*W9</f>
        <v>0</v>
      </c>
      <c r="Y9" s="1">
        <v>2.5000000000000001E-2</v>
      </c>
      <c r="Z9" s="6">
        <f>(Z11-Z10/$P1)*$K4*Y9</f>
        <v>0</v>
      </c>
    </row>
    <row r="10" spans="1:26" x14ac:dyDescent="0.25">
      <c r="B10" t="s">
        <v>14</v>
      </c>
      <c r="C10" s="20"/>
      <c r="D10" s="21">
        <f>J3/J2*D11</f>
        <v>322248.04379161238</v>
      </c>
      <c r="E10" s="22"/>
      <c r="F10" s="23"/>
      <c r="G10" s="21">
        <f>J3/J2*G11</f>
        <v>263251.95620838768</v>
      </c>
      <c r="H10" s="22"/>
      <c r="I10" s="23"/>
      <c r="J10" t="s">
        <v>15</v>
      </c>
      <c r="N10" s="24"/>
      <c r="P10" s="24"/>
      <c r="R10" s="24"/>
      <c r="T10" s="24"/>
      <c r="V10" s="24"/>
      <c r="X10" s="24"/>
      <c r="Z10" s="24"/>
    </row>
    <row r="11" spans="1:26" x14ac:dyDescent="0.25">
      <c r="B11" t="s">
        <v>16</v>
      </c>
      <c r="C11" s="20"/>
      <c r="D11" s="25">
        <f>E14+F14</f>
        <v>320740</v>
      </c>
      <c r="E11" s="26"/>
      <c r="F11" s="27"/>
      <c r="G11" s="25">
        <f>H14+I14</f>
        <v>262020</v>
      </c>
      <c r="H11" s="26"/>
      <c r="I11" s="26"/>
      <c r="J11" s="28"/>
      <c r="K11" s="29">
        <f>K14+N14+L14+M14</f>
        <v>406760</v>
      </c>
      <c r="L11" s="69"/>
      <c r="M11" s="69"/>
      <c r="N11" s="30">
        <f>K11/2204.62262184877</f>
        <v>184.50323242120049</v>
      </c>
      <c r="O11" s="29">
        <f>O14+P14</f>
        <v>142600</v>
      </c>
      <c r="P11" s="30">
        <f>O11/2204.62262184877</f>
        <v>64.682271962000172</v>
      </c>
      <c r="Q11" s="29">
        <f>Q14+R14</f>
        <v>36140</v>
      </c>
      <c r="R11" s="30">
        <f>Q11/2204.62262184877</f>
        <v>16.392828251800044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  <c r="Y11" s="29">
        <f>Y14+Z14</f>
        <v>0</v>
      </c>
      <c r="Z11" s="30">
        <f>Y11/2204.62262184877</f>
        <v>0</v>
      </c>
    </row>
    <row r="12" spans="1:26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161</v>
      </c>
      <c r="H12" s="32"/>
      <c r="I12" s="32"/>
      <c r="J12" s="34"/>
      <c r="K12" s="35" t="s">
        <v>162</v>
      </c>
      <c r="L12" s="70"/>
      <c r="M12" s="70"/>
      <c r="N12" s="36"/>
      <c r="O12" s="35" t="s">
        <v>162</v>
      </c>
      <c r="P12" s="36"/>
      <c r="Q12" s="35" t="s">
        <v>54</v>
      </c>
      <c r="R12" s="36"/>
      <c r="S12" s="35" t="s">
        <v>163</v>
      </c>
      <c r="T12" s="36"/>
      <c r="U12" s="35" t="s">
        <v>164</v>
      </c>
      <c r="V12" s="36"/>
      <c r="W12" s="35" t="s">
        <v>165</v>
      </c>
      <c r="X12" s="36"/>
      <c r="Y12" s="35" t="s">
        <v>166</v>
      </c>
      <c r="Z12" s="36"/>
    </row>
    <row r="13" spans="1:26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70"/>
      <c r="M13" s="70"/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  <c r="Y13" s="35" t="s">
        <v>29</v>
      </c>
      <c r="Z13" s="36"/>
    </row>
    <row r="14" spans="1:26" x14ac:dyDescent="0.25">
      <c r="C14" s="20"/>
      <c r="D14" s="37"/>
      <c r="E14" s="39">
        <f>SUM(E15:E46)</f>
        <v>320740</v>
      </c>
      <c r="F14" s="40">
        <f>SUM(F15:F46)</f>
        <v>0</v>
      </c>
      <c r="G14" s="37"/>
      <c r="H14" s="39">
        <f>SUM(H15:H46)</f>
        <v>262020</v>
      </c>
      <c r="I14" s="39">
        <f>SUM(I15:I46)</f>
        <v>0</v>
      </c>
      <c r="J14" s="28"/>
      <c r="K14" s="41">
        <f t="shared" ref="K14:Z14" si="0">SUM(K15:K46)</f>
        <v>98040</v>
      </c>
      <c r="L14" s="71">
        <f t="shared" si="0"/>
        <v>102240</v>
      </c>
      <c r="M14" s="71">
        <f t="shared" si="0"/>
        <v>101600</v>
      </c>
      <c r="N14" s="42">
        <f t="shared" si="0"/>
        <v>104880</v>
      </c>
      <c r="O14" s="41">
        <f t="shared" si="0"/>
        <v>69820</v>
      </c>
      <c r="P14" s="42">
        <f t="shared" si="0"/>
        <v>72780</v>
      </c>
      <c r="Q14" s="41">
        <f t="shared" si="0"/>
        <v>36140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  <c r="Y14" s="41">
        <f t="shared" si="0"/>
        <v>0</v>
      </c>
      <c r="Z14" s="42">
        <f t="shared" si="0"/>
        <v>0</v>
      </c>
    </row>
    <row r="15" spans="1:26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167</v>
      </c>
      <c r="L15" s="51" t="s">
        <v>168</v>
      </c>
      <c r="M15" s="44" t="s">
        <v>169</v>
      </c>
      <c r="N15" s="44" t="s">
        <v>170</v>
      </c>
      <c r="O15" s="43" t="s">
        <v>171</v>
      </c>
      <c r="P15" s="44"/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  <c r="Y15" s="43" t="s">
        <v>30</v>
      </c>
      <c r="Z15" s="44" t="s">
        <v>31</v>
      </c>
    </row>
    <row r="16" spans="1:26" x14ac:dyDescent="0.25">
      <c r="B16">
        <v>1</v>
      </c>
      <c r="C16" s="20"/>
      <c r="D16" s="37">
        <v>39</v>
      </c>
      <c r="E16">
        <v>17400</v>
      </c>
      <c r="F16" s="20"/>
      <c r="G16" s="37"/>
      <c r="J16" s="37"/>
    </row>
    <row r="17" spans="2:17" x14ac:dyDescent="0.25">
      <c r="C17" s="20"/>
      <c r="D17" s="37">
        <v>40</v>
      </c>
      <c r="E17">
        <v>11840</v>
      </c>
      <c r="F17" s="20"/>
      <c r="G17" s="37"/>
      <c r="J17" s="37"/>
    </row>
    <row r="18" spans="2:17" x14ac:dyDescent="0.25">
      <c r="C18" s="20"/>
      <c r="D18" s="37">
        <v>41</v>
      </c>
      <c r="E18">
        <v>13940</v>
      </c>
      <c r="F18" s="20"/>
      <c r="G18" s="37"/>
      <c r="J18" s="37"/>
      <c r="O18">
        <v>43080</v>
      </c>
    </row>
    <row r="19" spans="2:17" x14ac:dyDescent="0.25">
      <c r="B19">
        <v>2</v>
      </c>
      <c r="C19" s="20"/>
      <c r="D19" s="37">
        <v>42</v>
      </c>
      <c r="E19">
        <v>10640</v>
      </c>
      <c r="F19" s="20"/>
      <c r="G19" s="37"/>
      <c r="J19" s="37"/>
    </row>
    <row r="20" spans="2:17" x14ac:dyDescent="0.25">
      <c r="C20" s="20"/>
      <c r="D20" s="37">
        <v>43</v>
      </c>
      <c r="E20">
        <v>9440</v>
      </c>
      <c r="F20" s="20"/>
      <c r="G20" s="37"/>
      <c r="J20" s="37"/>
    </row>
    <row r="21" spans="2:17" x14ac:dyDescent="0.25">
      <c r="C21" s="20"/>
      <c r="D21" s="37">
        <v>44</v>
      </c>
      <c r="E21">
        <v>12100</v>
      </c>
      <c r="F21" s="20"/>
      <c r="G21" s="37"/>
      <c r="J21" s="37"/>
      <c r="O21">
        <v>26740</v>
      </c>
      <c r="Q21">
        <v>7240</v>
      </c>
    </row>
    <row r="22" spans="2:17" x14ac:dyDescent="0.25">
      <c r="B22">
        <v>5</v>
      </c>
      <c r="C22" s="20"/>
      <c r="D22" s="37"/>
      <c r="F22" s="20"/>
      <c r="G22" s="37">
        <v>502</v>
      </c>
      <c r="H22">
        <v>11820</v>
      </c>
      <c r="J22" s="37"/>
      <c r="K22">
        <v>16980</v>
      </c>
      <c r="Q22">
        <v>-7240</v>
      </c>
    </row>
    <row r="23" spans="2:17" x14ac:dyDescent="0.25">
      <c r="B23">
        <v>6</v>
      </c>
      <c r="C23" s="20"/>
      <c r="D23" s="37"/>
      <c r="F23" s="20"/>
      <c r="G23" s="37">
        <v>503</v>
      </c>
      <c r="H23">
        <v>15760</v>
      </c>
      <c r="J23" s="37"/>
    </row>
    <row r="24" spans="2:17" x14ac:dyDescent="0.25">
      <c r="C24" s="20"/>
      <c r="D24">
        <v>45</v>
      </c>
      <c r="E24">
        <v>14680</v>
      </c>
      <c r="F24" s="20"/>
      <c r="G24">
        <v>504</v>
      </c>
      <c r="H24">
        <v>12440</v>
      </c>
      <c r="J24" s="37"/>
      <c r="K24">
        <v>44000</v>
      </c>
    </row>
    <row r="25" spans="2:17" x14ac:dyDescent="0.25">
      <c r="B25">
        <v>7</v>
      </c>
      <c r="C25" s="20"/>
      <c r="D25">
        <v>46</v>
      </c>
      <c r="E25">
        <v>18060</v>
      </c>
      <c r="F25" s="20"/>
      <c r="G25">
        <v>505</v>
      </c>
      <c r="H25">
        <v>20020</v>
      </c>
      <c r="J25" s="37"/>
      <c r="K25">
        <v>37060</v>
      </c>
      <c r="L25">
        <v>1100</v>
      </c>
    </row>
    <row r="26" spans="2:17" x14ac:dyDescent="0.25">
      <c r="B26">
        <v>8</v>
      </c>
      <c r="C26" s="20"/>
      <c r="D26">
        <v>47</v>
      </c>
      <c r="E26">
        <v>16600</v>
      </c>
      <c r="F26" s="20"/>
      <c r="G26">
        <v>506</v>
      </c>
      <c r="H26">
        <v>11140</v>
      </c>
      <c r="J26" s="37"/>
      <c r="L26">
        <v>27540</v>
      </c>
    </row>
    <row r="27" spans="2:17" x14ac:dyDescent="0.25">
      <c r="B27">
        <v>9</v>
      </c>
      <c r="C27" s="20"/>
      <c r="D27">
        <v>48</v>
      </c>
      <c r="E27">
        <v>17680</v>
      </c>
      <c r="F27" s="20"/>
      <c r="G27">
        <v>507</v>
      </c>
      <c r="H27">
        <v>12180</v>
      </c>
      <c r="J27" s="37"/>
      <c r="L27">
        <v>29620</v>
      </c>
    </row>
    <row r="28" spans="2:17" x14ac:dyDescent="0.25">
      <c r="B28">
        <v>10</v>
      </c>
      <c r="C28" s="20"/>
      <c r="D28">
        <v>49</v>
      </c>
      <c r="E28">
        <v>10380</v>
      </c>
      <c r="F28" s="20"/>
      <c r="G28">
        <v>508</v>
      </c>
      <c r="H28">
        <v>12840</v>
      </c>
      <c r="J28" s="37"/>
      <c r="L28">
        <v>22980</v>
      </c>
    </row>
    <row r="29" spans="2:17" x14ac:dyDescent="0.25">
      <c r="B29">
        <v>11</v>
      </c>
      <c r="C29" s="20"/>
      <c r="D29">
        <v>50</v>
      </c>
      <c r="E29">
        <v>10400</v>
      </c>
      <c r="F29" s="20"/>
      <c r="G29">
        <v>509</v>
      </c>
      <c r="H29">
        <v>11980</v>
      </c>
      <c r="J29" s="37"/>
      <c r="L29">
        <v>21000</v>
      </c>
      <c r="M29">
        <v>1220</v>
      </c>
    </row>
    <row r="30" spans="2:17" x14ac:dyDescent="0.25">
      <c r="B30">
        <v>12</v>
      </c>
      <c r="C30" s="20"/>
      <c r="D30">
        <v>51</v>
      </c>
      <c r="E30">
        <v>9980</v>
      </c>
      <c r="F30" s="20"/>
      <c r="G30">
        <v>510</v>
      </c>
      <c r="H30">
        <v>19060</v>
      </c>
      <c r="J30" s="37"/>
      <c r="M30">
        <v>29600</v>
      </c>
    </row>
    <row r="31" spans="2:17" x14ac:dyDescent="0.25">
      <c r="B31">
        <v>13</v>
      </c>
      <c r="C31" s="20"/>
      <c r="D31">
        <v>52</v>
      </c>
      <c r="E31">
        <v>12220</v>
      </c>
      <c r="F31" s="20"/>
      <c r="G31">
        <v>512</v>
      </c>
      <c r="H31">
        <v>12840</v>
      </c>
      <c r="J31" s="37"/>
      <c r="M31">
        <v>25600</v>
      </c>
    </row>
    <row r="32" spans="2:17" x14ac:dyDescent="0.25">
      <c r="B32">
        <v>14</v>
      </c>
      <c r="C32" s="20"/>
      <c r="D32">
        <v>53</v>
      </c>
      <c r="E32">
        <v>11700</v>
      </c>
      <c r="F32" s="20"/>
      <c r="G32">
        <v>513</v>
      </c>
      <c r="H32">
        <v>11120</v>
      </c>
      <c r="J32" s="37"/>
      <c r="M32">
        <v>23100</v>
      </c>
    </row>
    <row r="33" spans="2:17" x14ac:dyDescent="0.25">
      <c r="B33">
        <v>15</v>
      </c>
      <c r="C33" s="20"/>
      <c r="D33" s="37">
        <v>54</v>
      </c>
      <c r="E33">
        <v>10900</v>
      </c>
      <c r="F33" s="20"/>
      <c r="G33">
        <v>514</v>
      </c>
      <c r="H33">
        <v>10600</v>
      </c>
      <c r="J33" s="37"/>
    </row>
    <row r="34" spans="2:17" x14ac:dyDescent="0.25">
      <c r="C34" s="20"/>
      <c r="D34" s="37">
        <v>55</v>
      </c>
      <c r="E34">
        <v>8640</v>
      </c>
      <c r="F34" s="20"/>
      <c r="G34" s="37"/>
      <c r="J34" s="37"/>
      <c r="M34">
        <v>22080</v>
      </c>
      <c r="N34">
        <v>8580</v>
      </c>
    </row>
    <row r="35" spans="2:17" x14ac:dyDescent="0.25">
      <c r="B35">
        <v>16</v>
      </c>
      <c r="D35" s="37">
        <v>56</v>
      </c>
      <c r="E35">
        <v>13000</v>
      </c>
      <c r="F35" s="20"/>
      <c r="G35" s="37">
        <v>515</v>
      </c>
      <c r="H35">
        <v>15180</v>
      </c>
      <c r="J35" s="37"/>
      <c r="N35">
        <v>28100</v>
      </c>
    </row>
    <row r="36" spans="2:17" x14ac:dyDescent="0.25">
      <c r="B36">
        <v>17</v>
      </c>
      <c r="D36" s="37">
        <v>57</v>
      </c>
      <c r="E36">
        <v>8420</v>
      </c>
      <c r="F36" s="20"/>
      <c r="G36" s="37">
        <v>516</v>
      </c>
      <c r="H36">
        <v>21800</v>
      </c>
      <c r="J36" s="37"/>
      <c r="N36">
        <v>29320</v>
      </c>
    </row>
    <row r="37" spans="2:17" x14ac:dyDescent="0.25">
      <c r="B37">
        <v>18</v>
      </c>
      <c r="D37" s="37">
        <v>58</v>
      </c>
      <c r="E37">
        <v>11820</v>
      </c>
      <c r="F37" s="20"/>
      <c r="G37" s="37">
        <v>517</v>
      </c>
      <c r="H37">
        <v>21920</v>
      </c>
      <c r="J37" s="37"/>
      <c r="N37">
        <v>34080</v>
      </c>
    </row>
    <row r="38" spans="2:17" x14ac:dyDescent="0.25">
      <c r="B38">
        <v>19</v>
      </c>
      <c r="D38" s="37"/>
      <c r="F38" s="20"/>
      <c r="G38" s="37">
        <v>518</v>
      </c>
      <c r="H38">
        <v>13320</v>
      </c>
      <c r="J38" s="37"/>
      <c r="N38">
        <v>4800</v>
      </c>
      <c r="P38">
        <v>8800</v>
      </c>
    </row>
    <row r="39" spans="2:17" x14ac:dyDescent="0.25">
      <c r="B39">
        <v>20</v>
      </c>
      <c r="D39" s="37" t="s">
        <v>172</v>
      </c>
      <c r="E39">
        <v>12780</v>
      </c>
      <c r="F39" s="20"/>
      <c r="G39" s="37">
        <v>519</v>
      </c>
      <c r="H39">
        <v>10460</v>
      </c>
      <c r="J39" s="37"/>
      <c r="P39">
        <v>23300</v>
      </c>
    </row>
    <row r="40" spans="2:17" x14ac:dyDescent="0.25">
      <c r="B40">
        <v>21</v>
      </c>
      <c r="D40" s="37">
        <v>61</v>
      </c>
      <c r="E40">
        <v>22100</v>
      </c>
      <c r="F40" s="20"/>
      <c r="G40" s="37" t="s">
        <v>173</v>
      </c>
      <c r="H40">
        <v>7980</v>
      </c>
      <c r="J40" s="37"/>
      <c r="P40">
        <v>30200</v>
      </c>
    </row>
    <row r="41" spans="2:17" x14ac:dyDescent="0.25">
      <c r="B41">
        <v>22</v>
      </c>
      <c r="D41" s="37">
        <v>62</v>
      </c>
      <c r="E41">
        <v>10020</v>
      </c>
      <c r="F41" s="20"/>
      <c r="G41" s="37"/>
      <c r="J41" s="37"/>
      <c r="P41">
        <v>10480</v>
      </c>
    </row>
    <row r="42" spans="2:17" x14ac:dyDescent="0.25">
      <c r="B42">
        <v>23</v>
      </c>
      <c r="D42" s="37">
        <v>63</v>
      </c>
      <c r="E42">
        <v>13100</v>
      </c>
      <c r="F42" s="20"/>
      <c r="G42" s="37">
        <v>533</v>
      </c>
      <c r="H42">
        <v>9560</v>
      </c>
      <c r="J42" s="37"/>
    </row>
    <row r="43" spans="2:17" x14ac:dyDescent="0.25">
      <c r="D43" s="37">
        <v>64</v>
      </c>
      <c r="E43">
        <v>12900</v>
      </c>
      <c r="F43" s="20"/>
      <c r="G43" s="37"/>
      <c r="J43" s="37"/>
      <c r="Q43">
        <v>36140</v>
      </c>
    </row>
    <row r="44" spans="2:17" x14ac:dyDescent="0.25">
      <c r="D44" s="37"/>
      <c r="F44" s="20"/>
      <c r="G44" s="37"/>
      <c r="J44" s="37"/>
    </row>
    <row r="45" spans="2:17" x14ac:dyDescent="0.25">
      <c r="D45" s="37"/>
      <c r="F45" s="20"/>
      <c r="G45" s="37"/>
      <c r="J45" s="37"/>
    </row>
    <row r="46" spans="2:17" x14ac:dyDescent="0.25">
      <c r="D46" s="43"/>
      <c r="E46" s="51"/>
      <c r="F46" s="44"/>
      <c r="G46" s="43"/>
      <c r="H46" s="51" t="s">
        <v>35</v>
      </c>
      <c r="I46" s="51"/>
      <c r="J46" s="37"/>
    </row>
  </sheetData>
  <mergeCells count="30">
    <mergeCell ref="Y12:Z12"/>
    <mergeCell ref="E13:F13"/>
    <mergeCell ref="H13:I13"/>
    <mergeCell ref="K13:N13"/>
    <mergeCell ref="O13:P13"/>
    <mergeCell ref="Q13:R13"/>
    <mergeCell ref="S13:T13"/>
    <mergeCell ref="U13:V13"/>
    <mergeCell ref="W13:X13"/>
    <mergeCell ref="Y13:Z13"/>
    <mergeCell ref="K12:N12"/>
    <mergeCell ref="O12:P12"/>
    <mergeCell ref="Q12:R12"/>
    <mergeCell ref="S12:T12"/>
    <mergeCell ref="U12:V12"/>
    <mergeCell ref="W12:X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C9D5-2AD3-483C-A075-6AB7D9F73CC6}">
  <dimension ref="A1:X108"/>
  <sheetViews>
    <sheetView workbookViewId="0">
      <pane ySplit="15" topLeftCell="A16" activePane="bottomLeft" state="frozen"/>
      <selection activeCell="L1" sqref="L1"/>
      <selection pane="bottomLeft" activeCell="L1" sqref="L1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690720</v>
      </c>
      <c r="K2">
        <f>J2-J3</f>
        <v>-9720</v>
      </c>
      <c r="L2" s="1">
        <f>K2/J2</f>
        <v>-1.4072272411396804E-2</v>
      </c>
    </row>
    <row r="3" spans="1:24" x14ac:dyDescent="0.25">
      <c r="B3" t="s">
        <v>2</v>
      </c>
      <c r="D3" s="3" t="s">
        <v>3</v>
      </c>
      <c r="E3" s="4"/>
      <c r="F3" t="s">
        <v>4</v>
      </c>
      <c r="H3" s="2" t="s">
        <v>5</v>
      </c>
      <c r="I3" s="2"/>
      <c r="J3">
        <f>K11-L10+M11-N10+O11-P10+Q11-R10+S11-T10+U11-V10+W11-X10</f>
        <v>700440</v>
      </c>
      <c r="K3" s="5" t="s">
        <v>6</v>
      </c>
      <c r="L3" s="5" t="s">
        <v>7</v>
      </c>
      <c r="M3" s="5" t="s">
        <v>8</v>
      </c>
      <c r="N3" s="6">
        <f>N4*I4/O1</f>
        <v>265.10570377945857</v>
      </c>
      <c r="O3" s="6">
        <f>K7+M7+O7+Q7+S7+U7+W7</f>
        <v>265.10570377945851</v>
      </c>
    </row>
    <row r="4" spans="1:24" x14ac:dyDescent="0.25">
      <c r="B4" t="s">
        <v>9</v>
      </c>
      <c r="D4" s="7" t="str">
        <f>[1]Summary!C2</f>
        <v>Canola</v>
      </c>
      <c r="E4" s="4"/>
      <c r="F4" s="8">
        <f>[1]Summary!C3</f>
        <v>2019</v>
      </c>
      <c r="I4" s="8">
        <f>[1]Summary!D2</f>
        <v>50</v>
      </c>
      <c r="J4" s="8">
        <f>J3/I4</f>
        <v>14008.8</v>
      </c>
      <c r="K4" s="9">
        <v>0.98</v>
      </c>
      <c r="L4" s="9">
        <f>IF(J5=0,L1,(L8+N8+P8+R8+T8+V8+X8)/J5/K4)</f>
        <v>0.21</v>
      </c>
      <c r="M4" s="9">
        <f>IF(J5=0,0,(L9+N9+P9+R9+T9+V9+X9)/J5/K4)</f>
        <v>2.9999999999999988E-2</v>
      </c>
      <c r="N4" s="8">
        <f>IF(L4&gt;L1,J4*(1-L4)/(1-L1)*(1-M4)*K4,J4*K4*(1-M4))</f>
        <v>11689.160634666667</v>
      </c>
      <c r="V4" s="6"/>
    </row>
    <row r="5" spans="1:24" x14ac:dyDescent="0.25">
      <c r="B5" t="s">
        <v>10</v>
      </c>
      <c r="D5" s="7">
        <v>43766</v>
      </c>
      <c r="E5" s="4"/>
      <c r="J5" s="6">
        <f>J3/O1</f>
        <v>317.71423964280086</v>
      </c>
      <c r="N5" s="8">
        <v>313</v>
      </c>
      <c r="O5" s="10">
        <f>N4/N5</f>
        <v>37.345561133120341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257.14238928068659</v>
      </c>
      <c r="M7" s="6">
        <f>IF(M8&gt;$L1,(N11-N10/$O1)*$K4*(1-M8)/(1-$L1)*(1-M9),(N11-N10/$O1)*$K4*(1-M9))</f>
        <v>7.9633144987719264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0.21</v>
      </c>
      <c r="L8" s="6">
        <f>(L11-L10/$O1)*$K4*K8</f>
        <v>63.421521041432563</v>
      </c>
      <c r="M8" s="1">
        <v>0.21</v>
      </c>
      <c r="N8" s="6">
        <f>(N11-N10/$O1)*$K4*M8</f>
        <v>1.9640694770558451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0.03</v>
      </c>
      <c r="L9" s="6">
        <f>(L11-L10/$O1)*$K4*K9</f>
        <v>9.0602172916332222</v>
      </c>
      <c r="M9" s="1">
        <v>0.03</v>
      </c>
      <c r="N9" s="6">
        <f>(N11-N10/$O1)*$K4*M9</f>
        <v>0.28058135386512073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286090.0694927033</v>
      </c>
      <c r="E10" s="22"/>
      <c r="F10" s="23"/>
      <c r="G10" s="21">
        <f>J3/J2*G11</f>
        <v>414349.93050729675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282120</v>
      </c>
      <c r="E11" s="26"/>
      <c r="F11" s="27"/>
      <c r="G11" s="25">
        <f>H14+I14</f>
        <v>408600</v>
      </c>
      <c r="H11" s="26"/>
      <c r="I11" s="26"/>
      <c r="J11" s="28"/>
      <c r="K11" s="29">
        <f>K14+L14</f>
        <v>679400</v>
      </c>
      <c r="L11" s="30">
        <f>K11/2204.62262184877</f>
        <v>308.1706561780008</v>
      </c>
      <c r="M11" s="29">
        <f>M14+N14</f>
        <v>21040</v>
      </c>
      <c r="N11" s="30">
        <f>M11/2204.62262184877</f>
        <v>9.543583464800026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20</v>
      </c>
      <c r="L12" s="36"/>
      <c r="M12" s="35" t="s">
        <v>21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282120</v>
      </c>
      <c r="F14" s="40">
        <f>SUM(F15:F133)</f>
        <v>0</v>
      </c>
      <c r="G14" s="37"/>
      <c r="H14" s="39">
        <f>SUM(H15:H133)</f>
        <v>408600</v>
      </c>
      <c r="I14" s="39">
        <f>SUM(I15:I133)</f>
        <v>0</v>
      </c>
      <c r="J14" s="28"/>
      <c r="K14" s="41">
        <f t="shared" ref="K14:X14" si="0">SUM(K15:K133)</f>
        <v>679400</v>
      </c>
      <c r="L14" s="42">
        <f t="shared" si="0"/>
        <v>0</v>
      </c>
      <c r="M14" s="41">
        <f t="shared" si="0"/>
        <v>21040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/>
      <c r="F16" s="20"/>
      <c r="G16" s="37">
        <v>694</v>
      </c>
      <c r="H16">
        <v>13780</v>
      </c>
      <c r="J16" s="45"/>
    </row>
    <row r="17" spans="2:16" x14ac:dyDescent="0.25">
      <c r="C17" s="20"/>
      <c r="D17" s="37"/>
      <c r="F17" s="20"/>
      <c r="G17" s="37">
        <v>695</v>
      </c>
      <c r="H17">
        <v>12180</v>
      </c>
      <c r="J17" s="45"/>
    </row>
    <row r="18" spans="2:16" x14ac:dyDescent="0.25">
      <c r="C18" s="20"/>
      <c r="D18" s="37"/>
      <c r="F18" s="20"/>
      <c r="G18" s="37">
        <v>696</v>
      </c>
      <c r="H18">
        <v>6900</v>
      </c>
      <c r="J18" s="46">
        <f>SUM(H16:H18)-K18</f>
        <v>-380</v>
      </c>
      <c r="K18">
        <v>33240</v>
      </c>
    </row>
    <row r="19" spans="2:16" x14ac:dyDescent="0.25">
      <c r="B19">
        <v>2</v>
      </c>
      <c r="C19" s="20"/>
      <c r="F19" s="20"/>
      <c r="G19">
        <v>697</v>
      </c>
      <c r="H19">
        <v>13320</v>
      </c>
      <c r="J19" s="45"/>
    </row>
    <row r="20" spans="2:16" x14ac:dyDescent="0.25">
      <c r="C20" s="20"/>
      <c r="F20" s="20"/>
      <c r="G20">
        <v>698</v>
      </c>
      <c r="H20">
        <v>11840</v>
      </c>
      <c r="J20" s="45"/>
    </row>
    <row r="21" spans="2:16" x14ac:dyDescent="0.25">
      <c r="C21" s="20"/>
      <c r="F21" s="20"/>
      <c r="G21" t="s">
        <v>33</v>
      </c>
      <c r="H21">
        <v>6580</v>
      </c>
      <c r="J21" s="46">
        <f>SUM(H19:H21)-K21</f>
        <v>-680</v>
      </c>
      <c r="K21">
        <v>32420</v>
      </c>
    </row>
    <row r="22" spans="2:16" x14ac:dyDescent="0.25">
      <c r="B22">
        <v>3</v>
      </c>
      <c r="C22" s="20"/>
      <c r="E22" s="11"/>
      <c r="F22" s="20"/>
      <c r="G22">
        <v>701</v>
      </c>
      <c r="H22">
        <v>13660</v>
      </c>
      <c r="J22" s="45"/>
    </row>
    <row r="23" spans="2:16" x14ac:dyDescent="0.25">
      <c r="C23" s="20"/>
      <c r="F23" s="20"/>
      <c r="G23">
        <v>702</v>
      </c>
      <c r="H23">
        <v>8960</v>
      </c>
      <c r="J23" s="45"/>
    </row>
    <row r="24" spans="2:16" x14ac:dyDescent="0.25">
      <c r="C24" s="20"/>
      <c r="F24" s="20"/>
      <c r="G24">
        <v>703</v>
      </c>
      <c r="H24">
        <v>8020</v>
      </c>
      <c r="J24" s="46">
        <f>SUM(H22:H24)-K24</f>
        <v>-680</v>
      </c>
      <c r="K24">
        <v>31320</v>
      </c>
    </row>
    <row r="25" spans="2:16" x14ac:dyDescent="0.25">
      <c r="B25">
        <v>4</v>
      </c>
      <c r="C25" s="20"/>
      <c r="D25">
        <v>219</v>
      </c>
      <c r="E25">
        <v>11380</v>
      </c>
      <c r="F25" s="20"/>
      <c r="G25">
        <v>704</v>
      </c>
      <c r="H25">
        <v>12340</v>
      </c>
      <c r="J25" s="46">
        <f>E25+H25-K25</f>
        <v>-420</v>
      </c>
      <c r="K25">
        <v>24140</v>
      </c>
    </row>
    <row r="26" spans="2:16" x14ac:dyDescent="0.25">
      <c r="B26">
        <v>5</v>
      </c>
      <c r="C26" s="20"/>
      <c r="D26">
        <v>220</v>
      </c>
      <c r="E26">
        <v>12940</v>
      </c>
      <c r="F26" s="20"/>
      <c r="G26">
        <v>705</v>
      </c>
      <c r="H26">
        <v>16300</v>
      </c>
      <c r="J26" s="46">
        <f t="shared" ref="J26:J30" si="1">E26+H26-K26</f>
        <v>440</v>
      </c>
      <c r="K26">
        <v>28800</v>
      </c>
      <c r="M26" s="11"/>
    </row>
    <row r="27" spans="2:16" x14ac:dyDescent="0.25">
      <c r="B27">
        <v>6</v>
      </c>
      <c r="C27" s="20"/>
      <c r="D27">
        <v>221</v>
      </c>
      <c r="E27" s="11">
        <v>10840</v>
      </c>
      <c r="F27" s="20"/>
      <c r="G27">
        <v>706</v>
      </c>
      <c r="H27">
        <v>16080</v>
      </c>
      <c r="J27" s="46">
        <f t="shared" si="1"/>
        <v>0</v>
      </c>
      <c r="K27">
        <v>26920</v>
      </c>
      <c r="O27" s="11"/>
      <c r="P27" s="11"/>
    </row>
    <row r="28" spans="2:16" x14ac:dyDescent="0.25">
      <c r="B28">
        <v>7</v>
      </c>
      <c r="C28" s="20"/>
      <c r="D28">
        <v>222</v>
      </c>
      <c r="E28" s="11">
        <v>13040</v>
      </c>
      <c r="F28" s="20"/>
      <c r="G28">
        <v>707</v>
      </c>
      <c r="H28">
        <v>11500</v>
      </c>
      <c r="J28" s="46">
        <f t="shared" si="1"/>
        <v>-240</v>
      </c>
      <c r="K28">
        <v>24780</v>
      </c>
      <c r="O28" s="11"/>
      <c r="P28" s="11"/>
    </row>
    <row r="29" spans="2:16" x14ac:dyDescent="0.25">
      <c r="B29">
        <v>8</v>
      </c>
      <c r="C29" s="20"/>
      <c r="D29">
        <v>223</v>
      </c>
      <c r="E29">
        <v>9280</v>
      </c>
      <c r="F29" s="20"/>
      <c r="G29">
        <v>708</v>
      </c>
      <c r="H29">
        <v>12520</v>
      </c>
      <c r="J29" s="46">
        <f t="shared" si="1"/>
        <v>-420</v>
      </c>
      <c r="K29">
        <v>22220</v>
      </c>
      <c r="O29" s="11"/>
      <c r="P29" s="11"/>
    </row>
    <row r="30" spans="2:16" x14ac:dyDescent="0.25">
      <c r="B30">
        <v>9</v>
      </c>
      <c r="C30" s="20"/>
      <c r="D30">
        <v>224</v>
      </c>
      <c r="E30">
        <v>12360</v>
      </c>
      <c r="F30" s="20"/>
      <c r="G30">
        <v>709</v>
      </c>
      <c r="H30">
        <v>13440</v>
      </c>
      <c r="J30" s="46">
        <f t="shared" si="1"/>
        <v>-340</v>
      </c>
      <c r="K30">
        <v>26140</v>
      </c>
      <c r="M30" s="11"/>
      <c r="O30" s="11"/>
    </row>
    <row r="31" spans="2:16" x14ac:dyDescent="0.25">
      <c r="B31">
        <v>10</v>
      </c>
      <c r="C31" s="20"/>
      <c r="D31">
        <v>225</v>
      </c>
      <c r="E31">
        <v>12900</v>
      </c>
      <c r="F31" s="20"/>
      <c r="G31">
        <v>710</v>
      </c>
      <c r="H31">
        <v>15380</v>
      </c>
      <c r="J31" s="45"/>
      <c r="M31" s="11"/>
    </row>
    <row r="32" spans="2:16" x14ac:dyDescent="0.25">
      <c r="C32" s="20"/>
      <c r="D32">
        <v>226</v>
      </c>
      <c r="E32">
        <v>5660</v>
      </c>
      <c r="F32" s="20"/>
      <c r="J32" s="46">
        <f>E31+H31+E32-K32</f>
        <v>-1080</v>
      </c>
      <c r="K32">
        <v>35020</v>
      </c>
    </row>
    <row r="33" spans="1:20" s="11" customFormat="1" x14ac:dyDescent="0.25">
      <c r="A33"/>
      <c r="B33">
        <v>11</v>
      </c>
      <c r="C33" s="47"/>
      <c r="D33">
        <v>227</v>
      </c>
      <c r="E33">
        <v>12080</v>
      </c>
      <c r="F33" s="20"/>
      <c r="G33">
        <v>711</v>
      </c>
      <c r="H33">
        <v>14660</v>
      </c>
      <c r="I33"/>
      <c r="J33" s="46">
        <f t="shared" ref="J33" si="2">E33+H33-K33</f>
        <v>-680</v>
      </c>
      <c r="K33">
        <v>27420</v>
      </c>
      <c r="Q33"/>
      <c r="R33"/>
      <c r="S33"/>
      <c r="T33"/>
    </row>
    <row r="34" spans="1:20" s="11" customFormat="1" x14ac:dyDescent="0.25">
      <c r="A34"/>
      <c r="B34">
        <v>12</v>
      </c>
      <c r="C34" s="47"/>
      <c r="D34">
        <v>228</v>
      </c>
      <c r="E34">
        <v>7580</v>
      </c>
      <c r="F34" s="20"/>
      <c r="G34">
        <v>712</v>
      </c>
      <c r="H34">
        <v>11440</v>
      </c>
      <c r="I34"/>
      <c r="J34" s="45"/>
      <c r="K34"/>
      <c r="Q34"/>
      <c r="R34"/>
      <c r="S34"/>
      <c r="T34"/>
    </row>
    <row r="35" spans="1:20" s="11" customFormat="1" x14ac:dyDescent="0.25">
      <c r="A35"/>
      <c r="B35"/>
      <c r="C35" s="47"/>
      <c r="D35">
        <v>229</v>
      </c>
      <c r="E35">
        <v>9100</v>
      </c>
      <c r="F35" s="20"/>
      <c r="G35"/>
      <c r="H35"/>
      <c r="I35"/>
      <c r="J35" s="46">
        <f>E34+H34+E35-K35</f>
        <v>-660</v>
      </c>
      <c r="K35">
        <v>28780</v>
      </c>
      <c r="M35"/>
      <c r="S35"/>
      <c r="T35"/>
    </row>
    <row r="36" spans="1:20" s="11" customFormat="1" x14ac:dyDescent="0.25">
      <c r="A36"/>
      <c r="B36">
        <v>13</v>
      </c>
      <c r="C36" s="47"/>
      <c r="D36">
        <v>230</v>
      </c>
      <c r="E36">
        <v>13620</v>
      </c>
      <c r="F36" s="20"/>
      <c r="G36">
        <v>713</v>
      </c>
      <c r="H36">
        <v>12540</v>
      </c>
      <c r="I36"/>
      <c r="J36" s="45"/>
      <c r="K36">
        <v>26400</v>
      </c>
      <c r="M36"/>
      <c r="S36"/>
      <c r="T36"/>
    </row>
    <row r="37" spans="1:20" s="11" customFormat="1" x14ac:dyDescent="0.25">
      <c r="A37"/>
      <c r="B37">
        <v>14</v>
      </c>
      <c r="C37" s="47"/>
      <c r="D37" s="37">
        <v>231</v>
      </c>
      <c r="E37" s="8">
        <v>9540</v>
      </c>
      <c r="F37" s="20"/>
      <c r="G37">
        <v>714</v>
      </c>
      <c r="H37" s="8">
        <v>13460</v>
      </c>
      <c r="I37"/>
      <c r="J37" s="45"/>
      <c r="K37"/>
      <c r="M37"/>
      <c r="O37" s="48"/>
      <c r="S37"/>
      <c r="T37"/>
    </row>
    <row r="38" spans="1:20" x14ac:dyDescent="0.25">
      <c r="C38" s="20"/>
      <c r="D38" s="37">
        <v>232</v>
      </c>
      <c r="E38" s="11">
        <v>7460</v>
      </c>
      <c r="F38" s="20"/>
      <c r="G38">
        <v>715</v>
      </c>
      <c r="H38">
        <v>8500</v>
      </c>
      <c r="J38" s="45"/>
      <c r="K38">
        <v>40220</v>
      </c>
    </row>
    <row r="39" spans="1:20" x14ac:dyDescent="0.25">
      <c r="B39">
        <v>15</v>
      </c>
      <c r="C39" s="20"/>
      <c r="D39" s="37">
        <v>233</v>
      </c>
      <c r="E39" s="8">
        <v>13720</v>
      </c>
      <c r="F39" s="20"/>
      <c r="G39">
        <v>716</v>
      </c>
      <c r="H39" s="8">
        <v>11480</v>
      </c>
      <c r="J39" s="45"/>
      <c r="O39" s="48"/>
    </row>
    <row r="40" spans="1:20" x14ac:dyDescent="0.25">
      <c r="C40" s="20"/>
      <c r="D40" s="37">
        <v>234</v>
      </c>
      <c r="E40" s="11">
        <v>7180</v>
      </c>
      <c r="F40" s="20"/>
      <c r="H40" s="11"/>
      <c r="J40" s="45"/>
      <c r="K40">
        <v>33460</v>
      </c>
    </row>
    <row r="41" spans="1:20" x14ac:dyDescent="0.25">
      <c r="B41">
        <v>16</v>
      </c>
      <c r="C41" s="20"/>
      <c r="D41" s="37">
        <v>235</v>
      </c>
      <c r="E41">
        <v>10440</v>
      </c>
      <c r="F41" s="20"/>
      <c r="G41">
        <v>717</v>
      </c>
      <c r="H41">
        <v>4840</v>
      </c>
      <c r="J41" s="45"/>
      <c r="K41">
        <v>15520</v>
      </c>
    </row>
    <row r="42" spans="1:20" x14ac:dyDescent="0.25">
      <c r="B42">
        <v>17</v>
      </c>
      <c r="C42" s="20"/>
      <c r="D42" s="37">
        <v>236</v>
      </c>
      <c r="E42">
        <v>15720</v>
      </c>
      <c r="F42" s="20"/>
      <c r="G42" t="s">
        <v>34</v>
      </c>
      <c r="H42">
        <v>17960</v>
      </c>
      <c r="J42" s="45"/>
      <c r="R42" s="11"/>
    </row>
    <row r="43" spans="1:20" x14ac:dyDescent="0.25">
      <c r="C43" s="20"/>
      <c r="D43" s="37">
        <v>237</v>
      </c>
      <c r="E43">
        <v>1900</v>
      </c>
      <c r="F43" s="20"/>
      <c r="J43" s="45"/>
      <c r="K43">
        <v>35760</v>
      </c>
      <c r="R43" s="11"/>
    </row>
    <row r="44" spans="1:20" x14ac:dyDescent="0.25">
      <c r="B44">
        <v>18</v>
      </c>
      <c r="C44" s="20"/>
      <c r="D44" s="37">
        <v>238</v>
      </c>
      <c r="E44">
        <v>4960</v>
      </c>
      <c r="F44" s="20"/>
      <c r="G44">
        <v>720</v>
      </c>
      <c r="H44">
        <v>13880</v>
      </c>
      <c r="J44" s="45"/>
      <c r="Q44" s="11"/>
    </row>
    <row r="45" spans="1:20" x14ac:dyDescent="0.25">
      <c r="C45" s="20"/>
      <c r="D45" s="37"/>
      <c r="F45" s="20"/>
      <c r="G45">
        <v>721</v>
      </c>
      <c r="H45">
        <v>11760</v>
      </c>
      <c r="J45" s="45"/>
      <c r="K45">
        <v>31220</v>
      </c>
    </row>
    <row r="46" spans="1:20" x14ac:dyDescent="0.25">
      <c r="B46">
        <v>19</v>
      </c>
      <c r="C46" s="20"/>
      <c r="D46" s="37">
        <v>239</v>
      </c>
      <c r="E46">
        <v>4400</v>
      </c>
      <c r="F46" s="20"/>
      <c r="G46">
        <v>722</v>
      </c>
      <c r="H46" s="11">
        <v>16500</v>
      </c>
      <c r="J46" s="45"/>
    </row>
    <row r="47" spans="1:20" x14ac:dyDescent="0.25">
      <c r="C47" s="20"/>
      <c r="D47" s="37">
        <v>240</v>
      </c>
      <c r="E47">
        <v>4380</v>
      </c>
      <c r="F47" s="20"/>
      <c r="J47" s="45"/>
    </row>
    <row r="48" spans="1:20" x14ac:dyDescent="0.25">
      <c r="C48" s="20"/>
      <c r="D48" s="37">
        <v>241</v>
      </c>
      <c r="E48" s="11">
        <v>3580</v>
      </c>
      <c r="F48" s="20"/>
      <c r="J48" s="45"/>
      <c r="K48">
        <v>29320</v>
      </c>
    </row>
    <row r="49" spans="2:13" x14ac:dyDescent="0.25">
      <c r="B49">
        <v>20</v>
      </c>
      <c r="C49" s="20"/>
      <c r="D49" s="37">
        <v>242</v>
      </c>
      <c r="E49">
        <v>4080</v>
      </c>
      <c r="F49" s="20"/>
      <c r="G49">
        <v>723</v>
      </c>
      <c r="H49">
        <v>14640</v>
      </c>
      <c r="J49" s="45"/>
    </row>
    <row r="50" spans="2:13" x14ac:dyDescent="0.25">
      <c r="C50" s="20"/>
      <c r="D50" s="37">
        <v>243</v>
      </c>
      <c r="E50">
        <v>5520</v>
      </c>
      <c r="F50" s="20"/>
      <c r="J50" s="45"/>
      <c r="K50">
        <v>24240</v>
      </c>
    </row>
    <row r="51" spans="2:13" x14ac:dyDescent="0.25">
      <c r="B51">
        <v>21</v>
      </c>
      <c r="C51" s="20"/>
      <c r="D51" s="37">
        <v>244</v>
      </c>
      <c r="E51">
        <v>4640</v>
      </c>
      <c r="F51" s="20"/>
      <c r="G51">
        <v>724</v>
      </c>
      <c r="H51">
        <v>14540</v>
      </c>
      <c r="J51" s="45"/>
    </row>
    <row r="52" spans="2:13" x14ac:dyDescent="0.25">
      <c r="C52" s="20"/>
      <c r="D52" s="37">
        <v>245</v>
      </c>
      <c r="E52">
        <v>5920</v>
      </c>
      <c r="F52" s="20"/>
      <c r="J52" s="45"/>
    </row>
    <row r="53" spans="2:13" x14ac:dyDescent="0.25">
      <c r="C53" s="20"/>
      <c r="D53" s="37">
        <v>246</v>
      </c>
      <c r="E53">
        <v>4180</v>
      </c>
      <c r="F53" s="20"/>
      <c r="J53" s="45"/>
      <c r="K53">
        <v>30240</v>
      </c>
    </row>
    <row r="54" spans="2:13" x14ac:dyDescent="0.25">
      <c r="B54">
        <v>22</v>
      </c>
      <c r="C54" s="20"/>
      <c r="D54" s="37">
        <v>247</v>
      </c>
      <c r="E54">
        <v>3820</v>
      </c>
      <c r="F54" s="20"/>
      <c r="G54" s="49">
        <v>725</v>
      </c>
      <c r="H54">
        <v>17080</v>
      </c>
      <c r="J54" s="45"/>
    </row>
    <row r="55" spans="2:13" x14ac:dyDescent="0.25">
      <c r="C55" s="20"/>
      <c r="D55">
        <v>248</v>
      </c>
      <c r="E55">
        <v>4300</v>
      </c>
      <c r="G55" s="37"/>
      <c r="J55" s="45"/>
      <c r="K55">
        <v>25100</v>
      </c>
    </row>
    <row r="56" spans="2:13" x14ac:dyDescent="0.25">
      <c r="B56">
        <v>23</v>
      </c>
      <c r="C56" s="20"/>
      <c r="D56" s="37">
        <v>249</v>
      </c>
      <c r="E56">
        <v>4980</v>
      </c>
      <c r="F56" s="20"/>
      <c r="G56" s="37">
        <v>726</v>
      </c>
      <c r="H56">
        <v>16060</v>
      </c>
      <c r="J56" s="45"/>
    </row>
    <row r="57" spans="2:13" x14ac:dyDescent="0.25">
      <c r="C57" s="20"/>
      <c r="D57" s="37">
        <v>252</v>
      </c>
      <c r="E57">
        <v>8860</v>
      </c>
      <c r="F57" s="20"/>
      <c r="G57" s="37">
        <v>727</v>
      </c>
      <c r="H57">
        <v>3780</v>
      </c>
      <c r="J57" s="45"/>
      <c r="K57">
        <v>33160</v>
      </c>
    </row>
    <row r="58" spans="2:13" x14ac:dyDescent="0.25">
      <c r="B58">
        <v>24</v>
      </c>
      <c r="C58" s="20"/>
      <c r="D58" s="37">
        <v>253</v>
      </c>
      <c r="E58">
        <v>11640</v>
      </c>
      <c r="F58" s="20"/>
      <c r="G58" s="37">
        <v>728</v>
      </c>
      <c r="H58">
        <v>12680</v>
      </c>
      <c r="J58" s="45"/>
      <c r="K58">
        <v>13560</v>
      </c>
    </row>
    <row r="59" spans="2:13" x14ac:dyDescent="0.25">
      <c r="B59">
        <v>25</v>
      </c>
      <c r="C59" s="20"/>
      <c r="D59" s="50">
        <v>254</v>
      </c>
      <c r="E59">
        <v>10120</v>
      </c>
      <c r="F59" s="20"/>
      <c r="G59" s="50"/>
      <c r="J59" s="37"/>
      <c r="M59">
        <v>21040</v>
      </c>
    </row>
    <row r="60" spans="2:13" x14ac:dyDescent="0.25">
      <c r="C60" s="20"/>
      <c r="F60" s="20"/>
      <c r="J60" s="37"/>
    </row>
    <row r="61" spans="2:13" x14ac:dyDescent="0.25">
      <c r="C61" s="20"/>
      <c r="F61" s="20"/>
      <c r="J61" s="37"/>
    </row>
    <row r="62" spans="2:13" x14ac:dyDescent="0.25">
      <c r="C62" s="20"/>
      <c r="F62" s="20"/>
      <c r="J62" s="37"/>
    </row>
    <row r="63" spans="2:13" x14ac:dyDescent="0.25">
      <c r="C63" s="20"/>
      <c r="F63" s="20"/>
      <c r="J63" s="37"/>
    </row>
    <row r="64" spans="2:13" x14ac:dyDescent="0.25">
      <c r="C64" s="20"/>
      <c r="F64" s="20"/>
      <c r="J64" s="37"/>
    </row>
    <row r="65" spans="3:10" x14ac:dyDescent="0.25">
      <c r="C65" s="20"/>
      <c r="F65" s="20"/>
      <c r="J65" s="37"/>
    </row>
    <row r="66" spans="3:10" x14ac:dyDescent="0.25">
      <c r="C66" s="20"/>
      <c r="F66" s="20"/>
      <c r="J66" s="37"/>
    </row>
    <row r="67" spans="3:10" x14ac:dyDescent="0.25">
      <c r="C67" s="20"/>
      <c r="F67" s="20"/>
      <c r="J67" s="37"/>
    </row>
    <row r="68" spans="3:10" x14ac:dyDescent="0.25">
      <c r="C68" s="20"/>
      <c r="F68" s="20"/>
      <c r="J68" s="37"/>
    </row>
    <row r="69" spans="3:10" x14ac:dyDescent="0.25">
      <c r="C69" s="20"/>
      <c r="F69" s="20"/>
      <c r="J69" s="37"/>
    </row>
    <row r="70" spans="3:10" x14ac:dyDescent="0.25">
      <c r="C70" s="20"/>
      <c r="F70" s="20"/>
      <c r="J70" s="37"/>
    </row>
    <row r="71" spans="3:10" x14ac:dyDescent="0.25">
      <c r="C71" s="20"/>
      <c r="F71" s="20"/>
      <c r="J71" s="37"/>
    </row>
    <row r="72" spans="3:10" x14ac:dyDescent="0.25">
      <c r="C72" s="20"/>
      <c r="F72" s="20"/>
      <c r="J72" s="37"/>
    </row>
    <row r="73" spans="3:10" x14ac:dyDescent="0.25">
      <c r="C73" s="20"/>
      <c r="F73" s="20"/>
      <c r="J73" s="37"/>
    </row>
    <row r="74" spans="3:10" x14ac:dyDescent="0.25">
      <c r="C74" s="20"/>
      <c r="F74" s="20"/>
      <c r="J74" s="37"/>
    </row>
    <row r="75" spans="3:10" x14ac:dyDescent="0.25">
      <c r="C75" s="20"/>
      <c r="F75" s="20"/>
      <c r="J75" s="37"/>
    </row>
    <row r="76" spans="3:10" x14ac:dyDescent="0.25">
      <c r="C76" s="20"/>
      <c r="F76" s="20"/>
      <c r="J76" s="37"/>
    </row>
    <row r="77" spans="3:10" x14ac:dyDescent="0.25">
      <c r="C77" s="20"/>
      <c r="F77" s="20"/>
      <c r="J77" s="37"/>
    </row>
    <row r="78" spans="3:10" x14ac:dyDescent="0.25">
      <c r="C78" s="20"/>
      <c r="F78" s="20"/>
      <c r="J78" s="37"/>
    </row>
    <row r="79" spans="3:10" x14ac:dyDescent="0.25">
      <c r="C79" s="20"/>
      <c r="F79" s="20"/>
      <c r="J79" s="37"/>
    </row>
    <row r="80" spans="3:10" x14ac:dyDescent="0.25">
      <c r="C80" s="20"/>
      <c r="F80" s="20"/>
      <c r="J80" s="37"/>
    </row>
    <row r="81" spans="3:10" x14ac:dyDescent="0.25">
      <c r="C81" s="20"/>
      <c r="F81" s="20"/>
      <c r="J81" s="37"/>
    </row>
    <row r="82" spans="3:10" x14ac:dyDescent="0.25">
      <c r="C82" s="20"/>
      <c r="F82" s="20"/>
      <c r="J82" s="37"/>
    </row>
    <row r="83" spans="3:10" x14ac:dyDescent="0.25">
      <c r="C83" s="20"/>
      <c r="F83" s="20"/>
      <c r="J83" s="37"/>
    </row>
    <row r="84" spans="3:10" x14ac:dyDescent="0.25">
      <c r="C84" s="20"/>
      <c r="F84" s="20"/>
      <c r="J84" s="37"/>
    </row>
    <row r="85" spans="3:10" x14ac:dyDescent="0.25">
      <c r="C85" s="20"/>
      <c r="F85" s="20"/>
      <c r="J85" s="37"/>
    </row>
    <row r="86" spans="3:10" x14ac:dyDescent="0.25">
      <c r="C86" s="20"/>
      <c r="F86" s="20"/>
      <c r="J86" s="37"/>
    </row>
    <row r="87" spans="3:10" x14ac:dyDescent="0.25">
      <c r="C87" s="20"/>
      <c r="F87" s="20"/>
      <c r="J87" s="37"/>
    </row>
    <row r="88" spans="3:10" x14ac:dyDescent="0.25">
      <c r="C88" s="20"/>
      <c r="F88" s="20"/>
      <c r="J88" s="37"/>
    </row>
    <row r="89" spans="3:10" x14ac:dyDescent="0.25">
      <c r="C89" s="20"/>
      <c r="F89" s="20"/>
      <c r="J89" s="37"/>
    </row>
    <row r="90" spans="3:10" x14ac:dyDescent="0.25">
      <c r="C90" s="20"/>
      <c r="F90" s="20"/>
      <c r="J90" s="37"/>
    </row>
    <row r="91" spans="3:10" x14ac:dyDescent="0.25">
      <c r="C91" s="20"/>
      <c r="F91" s="20"/>
      <c r="J91" s="37"/>
    </row>
    <row r="92" spans="3:10" x14ac:dyDescent="0.25">
      <c r="C92" s="20"/>
      <c r="D92" s="37"/>
      <c r="F92" s="20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D102" s="37"/>
      <c r="F102" s="20"/>
      <c r="G102" s="37"/>
      <c r="J102" s="37"/>
    </row>
    <row r="103" spans="3:10" x14ac:dyDescent="0.25">
      <c r="D103" s="37"/>
      <c r="F103" s="20"/>
      <c r="G103" s="37"/>
      <c r="J103" s="37"/>
    </row>
    <row r="104" spans="3:10" x14ac:dyDescent="0.25">
      <c r="D104" s="37"/>
      <c r="F104" s="20"/>
      <c r="G104" s="37"/>
      <c r="J104" s="37"/>
    </row>
    <row r="105" spans="3:10" x14ac:dyDescent="0.25">
      <c r="D105" s="37"/>
      <c r="F105" s="20"/>
      <c r="G105" s="37"/>
      <c r="J105" s="37"/>
    </row>
    <row r="106" spans="3:10" x14ac:dyDescent="0.25">
      <c r="D106" s="37"/>
      <c r="F106" s="20"/>
      <c r="G106" s="37"/>
      <c r="J106" s="37"/>
    </row>
    <row r="107" spans="3:10" x14ac:dyDescent="0.25">
      <c r="D107" s="37"/>
      <c r="F107" s="20"/>
      <c r="G107" s="37"/>
      <c r="J107" s="37"/>
    </row>
    <row r="108" spans="3:10" x14ac:dyDescent="0.25">
      <c r="D108" s="43"/>
      <c r="E108" s="51" t="s">
        <v>35</v>
      </c>
      <c r="F108" s="44"/>
      <c r="G108" s="43"/>
      <c r="H108" s="51" t="s">
        <v>35</v>
      </c>
      <c r="I108" s="51"/>
      <c r="J108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0F91-2F61-4CCC-B7AE-158605279AEA}">
  <dimension ref="A1:X133"/>
  <sheetViews>
    <sheetView tabSelected="1" workbookViewId="0">
      <pane ySplit="15" topLeftCell="A16" activePane="bottomLeft" state="frozen"/>
      <selection activeCell="F6" sqref="F6"/>
      <selection pane="bottomLeft" activeCell="F6" sqref="F6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[2]Summary!E2</f>
        <v>0.16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72489.795918367352</v>
      </c>
      <c r="K2">
        <f>J2-J3</f>
        <v>0</v>
      </c>
      <c r="L2" s="1">
        <f>K2/J2</f>
        <v>0</v>
      </c>
    </row>
    <row r="3" spans="1:24" x14ac:dyDescent="0.25">
      <c r="B3" t="s">
        <v>2</v>
      </c>
      <c r="D3" s="3" t="s">
        <v>69</v>
      </c>
      <c r="E3" s="4"/>
      <c r="F3" t="s">
        <v>70</v>
      </c>
      <c r="H3" s="2" t="s">
        <v>5</v>
      </c>
      <c r="I3" s="2"/>
      <c r="J3">
        <f>K11-L10+M11-N10+O11-P10+Q11-R10+S11-T10+U11-V10+W11-X10</f>
        <v>72489.795918367352</v>
      </c>
      <c r="K3" s="5" t="s">
        <v>6</v>
      </c>
      <c r="L3" s="5" t="s">
        <v>7</v>
      </c>
      <c r="M3" s="5" t="s">
        <v>8</v>
      </c>
      <c r="N3" s="6">
        <f>N4*I4/O1</f>
        <v>32.22320196480009</v>
      </c>
      <c r="O3" s="6">
        <f>K7+M7+O7+Q7+S7+U7+W7</f>
        <v>32.22320196480009</v>
      </c>
    </row>
    <row r="4" spans="1:24" x14ac:dyDescent="0.25">
      <c r="B4" t="s">
        <v>9</v>
      </c>
      <c r="D4" s="7" t="str">
        <f>[2]Summary!C2</f>
        <v>Peas</v>
      </c>
      <c r="E4" s="4"/>
      <c r="F4" s="8">
        <f>[2]Summary!C3</f>
        <v>2019</v>
      </c>
      <c r="I4" s="8">
        <f>[2]Summary!D2</f>
        <v>60</v>
      </c>
      <c r="J4" s="8">
        <f>J3/I4</f>
        <v>1208.1632653061226</v>
      </c>
      <c r="K4" s="9">
        <v>0.98</v>
      </c>
      <c r="L4" s="9">
        <f>IF(J5=0,L1,(L8+N8+P8+R8+T8+V8+X8)/J5/K4)</f>
        <v>0.15</v>
      </c>
      <c r="M4" s="9">
        <f>IF(J5=0,0,(L9+N9+P9+R9+T9+V9+X9)/J5/K4)</f>
        <v>0</v>
      </c>
      <c r="N4" s="8">
        <f>IF(L4&gt;L1,J4*(1-L4)/(1-L1)*(1-M4)*K4,J4*K4*(1-M4))</f>
        <v>1184.0000000000002</v>
      </c>
      <c r="V4" s="6"/>
    </row>
    <row r="5" spans="1:24" x14ac:dyDescent="0.25">
      <c r="B5" t="s">
        <v>10</v>
      </c>
      <c r="D5" s="7">
        <v>43981</v>
      </c>
      <c r="E5" s="4"/>
      <c r="F5" s="52">
        <v>43984</v>
      </c>
      <c r="J5" s="6">
        <f>J3/O1</f>
        <v>32.880818331428664</v>
      </c>
      <c r="N5" s="8">
        <v>90.56</v>
      </c>
      <c r="O5" s="10">
        <f>N4/N5</f>
        <v>13.074204946996469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 t="e">
        <f>I8*H8</f>
        <v>#DIV/0!</v>
      </c>
      <c r="K7" s="6">
        <f>IF(K8&gt;$L1,(L11-L10/$O1)*$K4*(1-K8)/(1-$L1)*(1-K9),(L11-L10/$O1)*$K4*(1-K9))</f>
        <v>32.22320196480009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 t="e">
        <f>G9/G10</f>
        <v>#DIV/0!</v>
      </c>
      <c r="I8" s="14">
        <v>505</v>
      </c>
      <c r="J8" t="s">
        <v>12</v>
      </c>
      <c r="K8" s="1">
        <v>0.15</v>
      </c>
      <c r="L8" s="6">
        <f>(L11-L10/$O1)*$K4*K8</f>
        <v>4.8334802947200135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</v>
      </c>
      <c r="L9" s="6">
        <f>(L11-L10/$O1)*$K4*K9</f>
        <v>0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72489.795918367352</v>
      </c>
      <c r="E10" s="22"/>
      <c r="F10" s="23"/>
      <c r="G10" s="21">
        <f>J3/J2*G11</f>
        <v>0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72489.795918367352</v>
      </c>
      <c r="E11" s="26"/>
      <c r="F11" s="27"/>
      <c r="G11" s="25">
        <f>H14+I14</f>
        <v>0</v>
      </c>
      <c r="H11" s="26"/>
      <c r="I11" s="26"/>
      <c r="J11" s="28"/>
      <c r="K11" s="29">
        <f>K14+L14</f>
        <v>72489.795918367352</v>
      </c>
      <c r="L11" s="30">
        <f>K11/2204.62262184877</f>
        <v>32.880818331428664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71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72489.795918367352</v>
      </c>
      <c r="F14" s="40">
        <f>SUM(F15:F133)</f>
        <v>0</v>
      </c>
      <c r="G14" s="37"/>
      <c r="H14" s="39">
        <f>SUM(H15:H133)</f>
        <v>0</v>
      </c>
      <c r="I14" s="39">
        <f>SUM(I15:I133)</f>
        <v>0</v>
      </c>
      <c r="J14" s="28"/>
      <c r="K14" s="41">
        <f t="shared" ref="K14:X14" si="0">SUM(K15:K133)</f>
        <v>72489.795918367352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C16" s="20"/>
      <c r="D16" s="37"/>
      <c r="F16" s="20"/>
      <c r="G16" s="37"/>
      <c r="J16" s="37"/>
    </row>
    <row r="17" spans="3:21" x14ac:dyDescent="0.25">
      <c r="C17" s="20"/>
      <c r="D17" s="37"/>
      <c r="E17">
        <f>1184*60/0.98</f>
        <v>72489.795918367352</v>
      </c>
      <c r="F17" s="20"/>
      <c r="G17" s="37"/>
      <c r="J17" s="37"/>
      <c r="K17">
        <f>E17</f>
        <v>72489.795918367352</v>
      </c>
    </row>
    <row r="18" spans="3:21" x14ac:dyDescent="0.25">
      <c r="C18" s="20"/>
      <c r="D18" s="37"/>
      <c r="F18" s="20"/>
      <c r="G18" s="37"/>
      <c r="J18" s="37"/>
    </row>
    <row r="19" spans="3:21" x14ac:dyDescent="0.25">
      <c r="C19" s="20"/>
      <c r="F19" s="20"/>
      <c r="J19" s="37"/>
    </row>
    <row r="20" spans="3:21" x14ac:dyDescent="0.25">
      <c r="C20" s="20"/>
      <c r="F20" s="20"/>
      <c r="J20" s="37"/>
    </row>
    <row r="21" spans="3:21" x14ac:dyDescent="0.25">
      <c r="C21" s="20"/>
      <c r="F21" s="20"/>
      <c r="J21" s="37"/>
    </row>
    <row r="22" spans="3:21" x14ac:dyDescent="0.25">
      <c r="C22" s="20"/>
      <c r="F22" s="20"/>
      <c r="J22" s="37"/>
    </row>
    <row r="23" spans="3:21" x14ac:dyDescent="0.25">
      <c r="C23" s="20"/>
      <c r="F23" s="20"/>
      <c r="J23" s="37"/>
    </row>
    <row r="24" spans="3:21" x14ac:dyDescent="0.25">
      <c r="C24" s="20"/>
      <c r="F24" s="20"/>
      <c r="J24" s="37"/>
    </row>
    <row r="25" spans="3:21" x14ac:dyDescent="0.25">
      <c r="C25" s="20"/>
      <c r="F25" s="20"/>
      <c r="J25" s="37"/>
    </row>
    <row r="26" spans="3:21" x14ac:dyDescent="0.25">
      <c r="C26" s="20"/>
      <c r="F26" s="20"/>
      <c r="J26" s="37"/>
    </row>
    <row r="27" spans="3:21" x14ac:dyDescent="0.25">
      <c r="C27" s="20"/>
      <c r="F27" s="20"/>
      <c r="I27" s="20"/>
      <c r="J27" s="37"/>
    </row>
    <row r="28" spans="3:21" x14ac:dyDescent="0.25">
      <c r="C28" s="20"/>
      <c r="F28" s="20"/>
      <c r="I28" s="20"/>
      <c r="J28" s="37"/>
    </row>
    <row r="29" spans="3:21" x14ac:dyDescent="0.25">
      <c r="C29" s="20"/>
      <c r="J29" s="37"/>
    </row>
    <row r="30" spans="3:21" x14ac:dyDescent="0.25">
      <c r="C30" s="20"/>
      <c r="D30" s="49"/>
      <c r="F30" s="20"/>
      <c r="J30" s="37"/>
    </row>
    <row r="31" spans="3:21" x14ac:dyDescent="0.25">
      <c r="C31" s="20"/>
      <c r="F31" s="20"/>
      <c r="J31" s="37"/>
    </row>
    <row r="32" spans="3:21" x14ac:dyDescent="0.25">
      <c r="C32" s="20"/>
      <c r="F32" s="20"/>
      <c r="J32" s="37"/>
      <c r="U32" t="s">
        <v>47</v>
      </c>
    </row>
    <row r="33" spans="3:10" x14ac:dyDescent="0.25">
      <c r="C33" s="20"/>
      <c r="F33" s="20"/>
      <c r="J33" s="37"/>
    </row>
    <row r="34" spans="3:10" x14ac:dyDescent="0.25">
      <c r="C34" s="20"/>
      <c r="F34" s="20"/>
      <c r="J34" s="37"/>
    </row>
    <row r="35" spans="3:10" x14ac:dyDescent="0.25">
      <c r="C35" s="20"/>
      <c r="F35" s="20"/>
      <c r="J35" s="37"/>
    </row>
    <row r="36" spans="3:10" x14ac:dyDescent="0.25">
      <c r="C36" s="20"/>
      <c r="F36" s="20"/>
      <c r="J36" s="37"/>
    </row>
    <row r="37" spans="3:10" x14ac:dyDescent="0.25">
      <c r="C37" s="20"/>
      <c r="F37" s="20"/>
      <c r="J37" s="37"/>
    </row>
    <row r="38" spans="3:10" x14ac:dyDescent="0.25">
      <c r="C38" s="20"/>
      <c r="F38" s="20"/>
      <c r="J38" s="37"/>
    </row>
    <row r="39" spans="3:10" x14ac:dyDescent="0.25">
      <c r="C39" s="20"/>
      <c r="F39" s="20"/>
      <c r="J39" s="37"/>
    </row>
    <row r="40" spans="3:10" x14ac:dyDescent="0.25">
      <c r="C40" s="20"/>
      <c r="F40" s="20"/>
      <c r="J40" s="37"/>
    </row>
    <row r="41" spans="3:10" x14ac:dyDescent="0.25">
      <c r="C41" s="20"/>
      <c r="F41" s="20"/>
      <c r="J41" s="37"/>
    </row>
    <row r="42" spans="3:10" x14ac:dyDescent="0.25">
      <c r="C42" s="20"/>
      <c r="F42" s="20"/>
      <c r="J42" s="37"/>
    </row>
    <row r="43" spans="3:10" x14ac:dyDescent="0.25">
      <c r="C43" s="20"/>
      <c r="F43" s="20"/>
      <c r="J43" s="37"/>
    </row>
    <row r="44" spans="3:10" x14ac:dyDescent="0.25">
      <c r="C44" s="20"/>
      <c r="F44" s="20"/>
      <c r="J44" s="37"/>
    </row>
    <row r="45" spans="3:10" x14ac:dyDescent="0.25">
      <c r="C45" s="20"/>
      <c r="F45" s="20"/>
      <c r="J45" s="37"/>
    </row>
    <row r="46" spans="3:10" x14ac:dyDescent="0.25">
      <c r="C46" s="20"/>
      <c r="F46" s="20"/>
      <c r="J46" s="37"/>
    </row>
    <row r="47" spans="3:10" x14ac:dyDescent="0.25">
      <c r="C47" s="20"/>
      <c r="F47" s="20"/>
      <c r="J47" s="37"/>
    </row>
    <row r="48" spans="3:10" x14ac:dyDescent="0.25">
      <c r="C48" s="20"/>
      <c r="F48" s="20"/>
      <c r="J48" s="37"/>
    </row>
    <row r="49" spans="1:20" x14ac:dyDescent="0.25">
      <c r="C49" s="20"/>
      <c r="F49" s="20"/>
      <c r="J49" s="37"/>
    </row>
    <row r="50" spans="1:20" x14ac:dyDescent="0.25">
      <c r="C50" s="20"/>
      <c r="F50" s="20"/>
      <c r="J50" s="37"/>
    </row>
    <row r="51" spans="1:20" x14ac:dyDescent="0.25">
      <c r="C51" s="20"/>
      <c r="F51" s="20"/>
      <c r="J51" s="37"/>
    </row>
    <row r="52" spans="1:20" x14ac:dyDescent="0.25">
      <c r="C52" s="20"/>
      <c r="F52" s="20"/>
      <c r="J52" s="37"/>
    </row>
    <row r="53" spans="1:20" x14ac:dyDescent="0.25">
      <c r="C53" s="20"/>
      <c r="F53" s="20"/>
      <c r="J53" s="37"/>
    </row>
    <row r="54" spans="1:20" x14ac:dyDescent="0.25">
      <c r="C54" s="20"/>
      <c r="F54" s="20"/>
      <c r="J54" s="37"/>
    </row>
    <row r="55" spans="1:20" x14ac:dyDescent="0.25">
      <c r="C55" s="20"/>
      <c r="F55" s="20"/>
      <c r="J55" s="37"/>
      <c r="L55" s="11"/>
      <c r="M55" s="11"/>
    </row>
    <row r="56" spans="1:20" x14ac:dyDescent="0.25">
      <c r="C56" s="20"/>
      <c r="F56" s="20"/>
      <c r="J56" s="37"/>
    </row>
    <row r="57" spans="1:20" x14ac:dyDescent="0.25">
      <c r="C57" s="20"/>
      <c r="F57" s="20"/>
      <c r="J57" s="37"/>
    </row>
    <row r="58" spans="1:20" s="11" customFormat="1" x14ac:dyDescent="0.25">
      <c r="A58"/>
      <c r="C58" s="47"/>
      <c r="D58"/>
      <c r="E58"/>
      <c r="F58" s="20"/>
      <c r="G58"/>
      <c r="H58"/>
      <c r="I58"/>
      <c r="J58" s="37"/>
      <c r="K58"/>
      <c r="S58"/>
      <c r="T58"/>
    </row>
    <row r="59" spans="1:20" s="11" customFormat="1" x14ac:dyDescent="0.25">
      <c r="A59"/>
      <c r="C59" s="47"/>
      <c r="D59"/>
      <c r="E59"/>
      <c r="F59" s="20"/>
      <c r="G59"/>
      <c r="H59"/>
      <c r="I59"/>
      <c r="J59" s="37"/>
      <c r="K59"/>
      <c r="S59"/>
      <c r="T59"/>
    </row>
    <row r="60" spans="1:20" s="11" customFormat="1" x14ac:dyDescent="0.25">
      <c r="A60"/>
      <c r="C60" s="47"/>
      <c r="D60"/>
      <c r="E60"/>
      <c r="F60" s="20"/>
      <c r="G60"/>
      <c r="H60"/>
      <c r="I60"/>
      <c r="J60" s="37"/>
      <c r="K60"/>
      <c r="S60"/>
      <c r="T60"/>
    </row>
    <row r="61" spans="1:20" s="11" customFormat="1" x14ac:dyDescent="0.25">
      <c r="A61"/>
      <c r="C61" s="47"/>
      <c r="D61"/>
      <c r="E61"/>
      <c r="F61" s="20"/>
      <c r="G61"/>
      <c r="H61"/>
      <c r="J61" s="58"/>
      <c r="K61"/>
      <c r="S61"/>
      <c r="T61"/>
    </row>
    <row r="62" spans="1:20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  <c r="S62"/>
      <c r="T62"/>
    </row>
    <row r="63" spans="1:20" x14ac:dyDescent="0.25">
      <c r="C63" s="20"/>
      <c r="D63" s="37"/>
      <c r="F63" s="20"/>
      <c r="J63" s="37"/>
      <c r="O63" s="11"/>
    </row>
    <row r="64" spans="1:20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6517-8DD3-4F1E-9416-7A0EC291CC28}">
  <dimension ref="A1:X133"/>
  <sheetViews>
    <sheetView workbookViewId="0">
      <pane ySplit="15" topLeftCell="A16" activePane="bottomLeft" state="frozen"/>
      <selection activeCell="L1" sqref="L1"/>
      <selection pane="bottomLeft" activeCell="L1" sqref="L1"/>
    </sheetView>
  </sheetViews>
  <sheetFormatPr defaultRowHeight="15" x14ac:dyDescent="0.25"/>
  <cols>
    <col min="1" max="1" width="4" customWidth="1"/>
    <col min="3" max="3" width="4" customWidth="1"/>
    <col min="4" max="4" width="5.85546875" customWidth="1"/>
    <col min="6" max="6" width="9.42578125" bestFit="1" customWidth="1"/>
    <col min="7" max="7" width="7.42578125" customWidth="1"/>
    <col min="11" max="11" width="9.28515625" customWidth="1"/>
  </cols>
  <sheetData>
    <row r="1" spans="1:24" x14ac:dyDescent="0.25">
      <c r="B1" t="s">
        <v>0</v>
      </c>
      <c r="L1" s="1">
        <f>[1]Summary!E2</f>
        <v>0.1</v>
      </c>
      <c r="O1">
        <v>2204.62262184877</v>
      </c>
    </row>
    <row r="2" spans="1:24" x14ac:dyDescent="0.25">
      <c r="H2" s="2" t="s">
        <v>1</v>
      </c>
      <c r="I2" s="2" t="s">
        <v>1</v>
      </c>
      <c r="J2">
        <f>+D11+G11</f>
        <v>285300</v>
      </c>
      <c r="K2">
        <f>J2-J3</f>
        <v>-1400</v>
      </c>
      <c r="L2" s="1">
        <f>K2/J2</f>
        <v>-4.9071153172099546E-3</v>
      </c>
    </row>
    <row r="3" spans="1:24" x14ac:dyDescent="0.25">
      <c r="B3" t="s">
        <v>2</v>
      </c>
      <c r="D3" s="3" t="s">
        <v>43</v>
      </c>
      <c r="E3" s="4"/>
      <c r="F3" t="s">
        <v>44</v>
      </c>
      <c r="H3" s="2" t="s">
        <v>5</v>
      </c>
      <c r="I3" s="2"/>
      <c r="J3">
        <f>K11-L10+M11-N10+O11-P10+Q11-R10+S11-T10+U11-V10+W11-X10</f>
        <v>286700</v>
      </c>
      <c r="K3" s="5" t="s">
        <v>6</v>
      </c>
      <c r="L3" s="5" t="s">
        <v>7</v>
      </c>
      <c r="M3" s="5" t="s">
        <v>8</v>
      </c>
      <c r="N3" s="6">
        <f>N4*I4/O1</f>
        <v>110.11164522861915</v>
      </c>
      <c r="O3" s="6">
        <f>K7+M7+O7+Q7+S7+U7+W7</f>
        <v>110.11164522861917</v>
      </c>
    </row>
    <row r="4" spans="1:24" x14ac:dyDescent="0.25">
      <c r="B4" t="s">
        <v>9</v>
      </c>
      <c r="D4" s="7" t="str">
        <f>[1]Summary!C2</f>
        <v>Canola</v>
      </c>
      <c r="E4" s="4"/>
      <c r="F4" s="8">
        <f>[1]Summary!C3</f>
        <v>2019</v>
      </c>
      <c r="I4" s="8">
        <f>[1]Summary!D2</f>
        <v>50</v>
      </c>
      <c r="J4" s="8">
        <f>J3/I4</f>
        <v>5734</v>
      </c>
      <c r="K4" s="9">
        <v>0.98</v>
      </c>
      <c r="L4" s="9">
        <f>IF(J5=0,L1,(L8+N8+P8+R8+T8+V8+X8)/J5/K4)</f>
        <v>0.19</v>
      </c>
      <c r="M4" s="9">
        <f>IF(J5=0,0,(L9+N9+P9+R9+T9+V9+X9)/J5/K4)</f>
        <v>4.0000000000000008E-2</v>
      </c>
      <c r="N4" s="8">
        <f>IF(L4&gt;L1,J4*(1-L4)/(1-L1)*(1-M4)*K4,J4*K4*(1-M4))</f>
        <v>4855.0924799999993</v>
      </c>
      <c r="V4" s="6"/>
    </row>
    <row r="5" spans="1:24" x14ac:dyDescent="0.25">
      <c r="B5" t="s">
        <v>10</v>
      </c>
      <c r="D5" s="7">
        <v>43769</v>
      </c>
      <c r="E5" s="4"/>
      <c r="F5" s="52">
        <v>43769</v>
      </c>
      <c r="J5" s="6">
        <f>J3/O1</f>
        <v>130.04493247900035</v>
      </c>
      <c r="N5" s="8">
        <v>155</v>
      </c>
      <c r="O5" s="10">
        <f>N4/N5</f>
        <v>31.323177290322576</v>
      </c>
      <c r="P5" t="s">
        <v>11</v>
      </c>
      <c r="V5" s="6"/>
    </row>
    <row r="6" spans="1:24" x14ac:dyDescent="0.25">
      <c r="D6" s="11"/>
      <c r="J6" s="6"/>
      <c r="K6" s="12"/>
      <c r="L6" s="13"/>
      <c r="M6" s="12"/>
      <c r="N6" s="8"/>
      <c r="O6" s="10"/>
    </row>
    <row r="7" spans="1:24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110.11164522861917</v>
      </c>
      <c r="M7" s="6">
        <f>IF(M8&gt;$L1,(N11-N10/$O1)*$K4*(1-M8)/(1-$L1)*(1-M9),(N11-N10/$O1)*$K4*(1-M9))</f>
        <v>0</v>
      </c>
      <c r="O7" s="6">
        <f>IF(O8&gt;$L1,(P11-P10/$O1)*$K4*(1-O8)/(1-$L1)*(1-O9),(P11-P10/$O1)*$K4*(1-O9))</f>
        <v>0</v>
      </c>
      <c r="Q7" s="6">
        <f>IF(Q8&gt;$L1,(R11-R10/$O1)*$K4*(1-Q8)/(1-$L1)*(1-Q9),(R11-R10/$O1)*$K4*(1-Q9))</f>
        <v>0</v>
      </c>
      <c r="S7" s="6">
        <f>IF(S8&gt;$L1,(T11-T10/$O1)*$K4*(1-S8)/(1-$L1)*(1-S9),(T11-T10/$O1)*$K4*(1-S9))</f>
        <v>0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4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0.19</v>
      </c>
      <c r="L8" s="6">
        <f>(L11-L10/$O1)*$K4*K8</f>
        <v>24.214366427589866</v>
      </c>
      <c r="M8" s="1">
        <v>9.5000000000000001E-2</v>
      </c>
      <c r="N8" s="6">
        <f>(N11-N10/$O1)*$K4*M8</f>
        <v>0</v>
      </c>
      <c r="O8" s="1">
        <v>0.105</v>
      </c>
      <c r="P8" s="6">
        <f>(P11-P10/$O1)*$K4*O8</f>
        <v>0</v>
      </c>
      <c r="Q8" s="1">
        <v>9.5000000000000001E-2</v>
      </c>
      <c r="R8" s="6">
        <f>(R11-R10/$O1)*$K4*Q8</f>
        <v>0</v>
      </c>
      <c r="S8" s="1">
        <v>9.5000000000000001E-2</v>
      </c>
      <c r="T8" s="6">
        <f>(T11-T10/$O1)*$K4*S8</f>
        <v>0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4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0.04</v>
      </c>
      <c r="L9" s="6">
        <f>(L11-L10/$O1)*$K4*K9</f>
        <v>5.0977613531768142</v>
      </c>
      <c r="M9" s="1">
        <v>2.5000000000000001E-2</v>
      </c>
      <c r="N9" s="6">
        <f>(N11-N10/$O1)*$K4*M9</f>
        <v>0</v>
      </c>
      <c r="O9" s="1">
        <v>2.5000000000000001E-2</v>
      </c>
      <c r="P9" s="6">
        <f>(P11-P10/$O1)*$K4*O9</f>
        <v>0</v>
      </c>
      <c r="Q9" s="1">
        <v>2.5000000000000001E-2</v>
      </c>
      <c r="R9" s="6">
        <f>(R11-R10/$O1)*$K4*Q9</f>
        <v>0</v>
      </c>
      <c r="S9" s="1">
        <v>2.5000000000000001E-2</v>
      </c>
      <c r="T9" s="6">
        <f>(T11-T10/$O1)*$K4*S9</f>
        <v>0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4" x14ac:dyDescent="0.25">
      <c r="B10" t="s">
        <v>14</v>
      </c>
      <c r="C10" s="20"/>
      <c r="D10" s="21">
        <f>J3/J2*D11</f>
        <v>139059.04661759551</v>
      </c>
      <c r="E10" s="22"/>
      <c r="F10" s="23"/>
      <c r="G10" s="21">
        <f>J3/J2*G11</f>
        <v>147640.95338240449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4" x14ac:dyDescent="0.25">
      <c r="B11" t="s">
        <v>16</v>
      </c>
      <c r="C11" s="20"/>
      <c r="D11" s="25">
        <f>E14+F14</f>
        <v>138380</v>
      </c>
      <c r="E11" s="26"/>
      <c r="F11" s="27"/>
      <c r="G11" s="25">
        <f>H14+I14</f>
        <v>146920</v>
      </c>
      <c r="H11" s="26"/>
      <c r="I11" s="26"/>
      <c r="J11" s="28"/>
      <c r="K11" s="29">
        <f>K14+L14</f>
        <v>286700</v>
      </c>
      <c r="L11" s="30">
        <f>K11/2204.62262184877</f>
        <v>130.04493247900035</v>
      </c>
      <c r="M11" s="29">
        <f>M14+N14</f>
        <v>0</v>
      </c>
      <c r="N11" s="30">
        <f>M11/2204.62262184877</f>
        <v>0</v>
      </c>
      <c r="O11" s="29">
        <f>O14+P14</f>
        <v>0</v>
      </c>
      <c r="P11" s="30">
        <f>O11/2204.62262184877</f>
        <v>0</v>
      </c>
      <c r="Q11" s="29">
        <f>Q14+R14</f>
        <v>0</v>
      </c>
      <c r="R11" s="30">
        <f>Q11/2204.62262184877</f>
        <v>0</v>
      </c>
      <c r="S11" s="29">
        <f>S14+T14</f>
        <v>0</v>
      </c>
      <c r="T11" s="30">
        <f>S11/2204.62262184877</f>
        <v>0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4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45</v>
      </c>
      <c r="L12" s="36"/>
      <c r="M12" s="35" t="s">
        <v>38</v>
      </c>
      <c r="N12" s="36"/>
      <c r="O12" s="35" t="s">
        <v>22</v>
      </c>
      <c r="P12" s="36"/>
      <c r="Q12" s="35" t="s">
        <v>23</v>
      </c>
      <c r="R12" s="36"/>
      <c r="S12" s="35" t="s">
        <v>24</v>
      </c>
      <c r="T12" s="36"/>
      <c r="U12" s="35" t="s">
        <v>25</v>
      </c>
      <c r="V12" s="36"/>
      <c r="W12" s="35" t="s">
        <v>26</v>
      </c>
      <c r="X12" s="36"/>
    </row>
    <row r="13" spans="1:24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4" x14ac:dyDescent="0.25">
      <c r="C14" s="20"/>
      <c r="D14" s="37"/>
      <c r="E14" s="39">
        <f>SUM(E15:E133)</f>
        <v>138380</v>
      </c>
      <c r="F14" s="40">
        <f>SUM(F15:F133)</f>
        <v>0</v>
      </c>
      <c r="G14" s="37"/>
      <c r="H14" s="39">
        <f>SUM(H15:H133)</f>
        <v>146920</v>
      </c>
      <c r="I14" s="39">
        <f>SUM(I15:I133)</f>
        <v>0</v>
      </c>
      <c r="J14" s="28"/>
      <c r="K14" s="41">
        <f t="shared" ref="K14:X14" si="0">SUM(K15:K133)</f>
        <v>286700</v>
      </c>
      <c r="L14" s="42">
        <f t="shared" si="0"/>
        <v>0</v>
      </c>
      <c r="M14" s="41">
        <f t="shared" si="0"/>
        <v>0</v>
      </c>
      <c r="N14" s="42">
        <f t="shared" si="0"/>
        <v>0</v>
      </c>
      <c r="O14" s="41">
        <f t="shared" si="0"/>
        <v>0</v>
      </c>
      <c r="P14" s="42">
        <f t="shared" si="0"/>
        <v>0</v>
      </c>
      <c r="Q14" s="41">
        <f t="shared" si="0"/>
        <v>0</v>
      </c>
      <c r="R14" s="42">
        <f t="shared" si="0"/>
        <v>0</v>
      </c>
      <c r="S14" s="41">
        <f t="shared" si="0"/>
        <v>0</v>
      </c>
      <c r="T14" s="42">
        <f t="shared" si="0"/>
        <v>0</v>
      </c>
      <c r="U14" s="41">
        <f t="shared" si="0"/>
        <v>0</v>
      </c>
      <c r="V14" s="42">
        <f t="shared" si="0"/>
        <v>0</v>
      </c>
      <c r="W14" s="41">
        <f t="shared" si="0"/>
        <v>0</v>
      </c>
      <c r="X14" s="42">
        <f t="shared" si="0"/>
        <v>0</v>
      </c>
    </row>
    <row r="15" spans="1:24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4" x14ac:dyDescent="0.25">
      <c r="B16">
        <v>1</v>
      </c>
      <c r="C16" s="20"/>
      <c r="D16" s="37">
        <v>290</v>
      </c>
      <c r="E16">
        <v>12640</v>
      </c>
      <c r="F16" s="20"/>
      <c r="G16" s="37">
        <v>761</v>
      </c>
      <c r="H16">
        <v>15900</v>
      </c>
      <c r="J16" s="37"/>
      <c r="K16">
        <v>28100</v>
      </c>
    </row>
    <row r="17" spans="2:21" x14ac:dyDescent="0.25">
      <c r="B17">
        <v>2</v>
      </c>
      <c r="C17" s="20"/>
      <c r="D17" s="37">
        <v>291</v>
      </c>
      <c r="E17">
        <v>15740</v>
      </c>
      <c r="F17" s="20"/>
      <c r="G17" s="37" t="s">
        <v>46</v>
      </c>
      <c r="H17">
        <v>17580</v>
      </c>
      <c r="J17" s="37"/>
      <c r="K17">
        <v>33320</v>
      </c>
    </row>
    <row r="18" spans="2:21" x14ac:dyDescent="0.25">
      <c r="B18">
        <v>3</v>
      </c>
      <c r="C18" s="20"/>
      <c r="D18" s="37">
        <v>292</v>
      </c>
      <c r="E18">
        <v>16700</v>
      </c>
      <c r="F18" s="20"/>
      <c r="G18" s="37">
        <v>764</v>
      </c>
      <c r="H18">
        <v>18240</v>
      </c>
      <c r="J18" s="37"/>
      <c r="K18">
        <v>36160</v>
      </c>
    </row>
    <row r="19" spans="2:21" x14ac:dyDescent="0.25">
      <c r="B19">
        <v>4</v>
      </c>
      <c r="C19" s="20"/>
      <c r="D19">
        <v>293</v>
      </c>
      <c r="E19">
        <v>16500</v>
      </c>
      <c r="F19" s="20"/>
      <c r="G19">
        <v>765</v>
      </c>
      <c r="H19">
        <v>13400</v>
      </c>
      <c r="J19" s="37"/>
      <c r="K19">
        <v>29960</v>
      </c>
    </row>
    <row r="20" spans="2:21" x14ac:dyDescent="0.25">
      <c r="B20">
        <v>5</v>
      </c>
      <c r="C20" s="20"/>
      <c r="D20">
        <v>294</v>
      </c>
      <c r="E20">
        <v>11140</v>
      </c>
      <c r="F20" s="20"/>
      <c r="G20">
        <v>766</v>
      </c>
      <c r="H20">
        <v>14620</v>
      </c>
      <c r="J20" s="37"/>
      <c r="K20">
        <v>25520</v>
      </c>
    </row>
    <row r="21" spans="2:21" x14ac:dyDescent="0.25">
      <c r="B21">
        <v>6</v>
      </c>
      <c r="C21" s="20"/>
      <c r="D21">
        <v>295</v>
      </c>
      <c r="E21">
        <v>14060</v>
      </c>
      <c r="F21" s="20"/>
      <c r="G21">
        <v>767</v>
      </c>
      <c r="H21">
        <v>16060</v>
      </c>
      <c r="J21" s="37"/>
    </row>
    <row r="22" spans="2:21" x14ac:dyDescent="0.25">
      <c r="C22" s="20"/>
      <c r="F22" s="20"/>
      <c r="G22">
        <v>768</v>
      </c>
      <c r="H22">
        <v>4960</v>
      </c>
      <c r="J22" s="37"/>
      <c r="K22">
        <v>35860</v>
      </c>
    </row>
    <row r="23" spans="2:21" x14ac:dyDescent="0.25">
      <c r="B23">
        <v>7</v>
      </c>
      <c r="C23" s="20"/>
      <c r="D23">
        <v>296</v>
      </c>
      <c r="E23">
        <v>14520</v>
      </c>
      <c r="F23" s="20"/>
      <c r="G23">
        <v>769</v>
      </c>
      <c r="H23">
        <v>17840</v>
      </c>
      <c r="J23" s="37"/>
      <c r="K23">
        <v>32240</v>
      </c>
    </row>
    <row r="24" spans="2:21" x14ac:dyDescent="0.25">
      <c r="B24">
        <v>8</v>
      </c>
      <c r="C24" s="20"/>
      <c r="D24">
        <v>297</v>
      </c>
      <c r="E24">
        <v>16160</v>
      </c>
      <c r="F24" s="20"/>
      <c r="G24">
        <v>770</v>
      </c>
      <c r="H24">
        <v>18040</v>
      </c>
      <c r="J24" s="37"/>
      <c r="K24">
        <v>33720</v>
      </c>
    </row>
    <row r="25" spans="2:21" x14ac:dyDescent="0.25">
      <c r="B25">
        <v>9</v>
      </c>
      <c r="C25" s="20"/>
      <c r="D25">
        <v>298</v>
      </c>
      <c r="E25">
        <v>12940</v>
      </c>
      <c r="F25" s="20"/>
      <c r="G25">
        <v>771</v>
      </c>
      <c r="H25">
        <v>10280</v>
      </c>
      <c r="J25" s="37"/>
    </row>
    <row r="26" spans="2:21" x14ac:dyDescent="0.25">
      <c r="C26" s="20"/>
      <c r="D26">
        <v>299</v>
      </c>
      <c r="E26">
        <v>7980</v>
      </c>
      <c r="F26" s="20"/>
      <c r="J26" s="37"/>
      <c r="K26">
        <v>31820</v>
      </c>
    </row>
    <row r="27" spans="2:21" x14ac:dyDescent="0.25">
      <c r="C27" s="20"/>
      <c r="F27" s="20"/>
      <c r="I27" s="20"/>
      <c r="J27" s="37"/>
    </row>
    <row r="28" spans="2:21" x14ac:dyDescent="0.25">
      <c r="C28" s="20"/>
      <c r="F28" s="20"/>
      <c r="I28" s="20"/>
      <c r="J28" s="37"/>
    </row>
    <row r="29" spans="2:21" x14ac:dyDescent="0.25">
      <c r="C29" s="20"/>
      <c r="J29" s="37"/>
    </row>
    <row r="30" spans="2:21" x14ac:dyDescent="0.25">
      <c r="C30" s="20"/>
      <c r="D30" s="49"/>
      <c r="F30" s="20"/>
      <c r="J30" s="37"/>
    </row>
    <row r="31" spans="2:21" x14ac:dyDescent="0.25">
      <c r="C31" s="20"/>
      <c r="F31" s="20"/>
      <c r="J31" s="37"/>
    </row>
    <row r="32" spans="2:21" x14ac:dyDescent="0.25">
      <c r="C32" s="20"/>
      <c r="F32" s="20"/>
      <c r="J32" s="37"/>
      <c r="U32" t="s">
        <v>47</v>
      </c>
    </row>
    <row r="33" spans="3:10" x14ac:dyDescent="0.25">
      <c r="C33" s="20"/>
      <c r="F33" s="20"/>
      <c r="J33" s="37"/>
    </row>
    <row r="34" spans="3:10" x14ac:dyDescent="0.25">
      <c r="C34" s="20"/>
      <c r="F34" s="20"/>
      <c r="J34" s="37"/>
    </row>
    <row r="35" spans="3:10" x14ac:dyDescent="0.25">
      <c r="C35" s="20"/>
      <c r="F35" s="20"/>
      <c r="J35" s="37"/>
    </row>
    <row r="36" spans="3:10" x14ac:dyDescent="0.25">
      <c r="C36" s="20"/>
      <c r="F36" s="20"/>
      <c r="J36" s="37"/>
    </row>
    <row r="37" spans="3:10" x14ac:dyDescent="0.25">
      <c r="C37" s="20"/>
      <c r="F37" s="20"/>
      <c r="J37" s="37"/>
    </row>
    <row r="38" spans="3:10" x14ac:dyDescent="0.25">
      <c r="C38" s="20"/>
      <c r="F38" s="20"/>
      <c r="J38" s="37"/>
    </row>
    <row r="39" spans="3:10" x14ac:dyDescent="0.25">
      <c r="C39" s="20"/>
      <c r="F39" s="20"/>
      <c r="J39" s="37"/>
    </row>
    <row r="40" spans="3:10" x14ac:dyDescent="0.25">
      <c r="C40" s="20"/>
      <c r="F40" s="20"/>
      <c r="J40" s="37"/>
    </row>
    <row r="41" spans="3:10" x14ac:dyDescent="0.25">
      <c r="C41" s="20"/>
      <c r="F41" s="20"/>
      <c r="J41" s="37"/>
    </row>
    <row r="42" spans="3:10" x14ac:dyDescent="0.25">
      <c r="C42" s="20"/>
      <c r="F42" s="20"/>
      <c r="J42" s="37"/>
    </row>
    <row r="43" spans="3:10" x14ac:dyDescent="0.25">
      <c r="C43" s="20"/>
      <c r="F43" s="20"/>
      <c r="J43" s="37"/>
    </row>
    <row r="44" spans="3:10" x14ac:dyDescent="0.25">
      <c r="C44" s="20"/>
      <c r="F44" s="20"/>
      <c r="J44" s="37"/>
    </row>
    <row r="45" spans="3:10" x14ac:dyDescent="0.25">
      <c r="C45" s="20"/>
      <c r="F45" s="20"/>
      <c r="J45" s="37"/>
    </row>
    <row r="46" spans="3:10" x14ac:dyDescent="0.25">
      <c r="C46" s="20"/>
      <c r="F46" s="20"/>
      <c r="J46" s="37"/>
    </row>
    <row r="47" spans="3:10" x14ac:dyDescent="0.25">
      <c r="C47" s="20"/>
      <c r="F47" s="20"/>
      <c r="J47" s="37"/>
    </row>
    <row r="48" spans="3:10" x14ac:dyDescent="0.25">
      <c r="C48" s="20"/>
      <c r="F48" s="20"/>
      <c r="J48" s="37"/>
    </row>
    <row r="49" spans="1:20" x14ac:dyDescent="0.25">
      <c r="C49" s="20"/>
      <c r="F49" s="20"/>
      <c r="J49" s="37"/>
    </row>
    <row r="50" spans="1:20" x14ac:dyDescent="0.25">
      <c r="C50" s="20"/>
      <c r="F50" s="20"/>
      <c r="J50" s="37"/>
    </row>
    <row r="51" spans="1:20" x14ac:dyDescent="0.25">
      <c r="C51" s="20"/>
      <c r="F51" s="20"/>
      <c r="J51" s="37"/>
    </row>
    <row r="52" spans="1:20" x14ac:dyDescent="0.25">
      <c r="C52" s="20"/>
      <c r="F52" s="20"/>
      <c r="J52" s="37"/>
    </row>
    <row r="53" spans="1:20" x14ac:dyDescent="0.25">
      <c r="C53" s="20"/>
      <c r="F53" s="20"/>
      <c r="J53" s="37"/>
    </row>
    <row r="54" spans="1:20" x14ac:dyDescent="0.25">
      <c r="C54" s="20"/>
      <c r="F54" s="20"/>
      <c r="J54" s="37"/>
    </row>
    <row r="55" spans="1:20" x14ac:dyDescent="0.25">
      <c r="C55" s="20"/>
      <c r="F55" s="20"/>
      <c r="J55" s="37"/>
      <c r="L55" s="11"/>
      <c r="M55" s="11"/>
    </row>
    <row r="56" spans="1:20" x14ac:dyDescent="0.25">
      <c r="C56" s="20"/>
      <c r="F56" s="20"/>
      <c r="J56" s="37"/>
    </row>
    <row r="57" spans="1:20" x14ac:dyDescent="0.25">
      <c r="C57" s="20"/>
      <c r="F57" s="20"/>
      <c r="J57" s="37"/>
    </row>
    <row r="58" spans="1:20" s="11" customFormat="1" x14ac:dyDescent="0.25">
      <c r="A58"/>
      <c r="C58" s="47"/>
      <c r="D58"/>
      <c r="E58"/>
      <c r="F58" s="20"/>
      <c r="G58"/>
      <c r="H58"/>
      <c r="I58"/>
      <c r="J58" s="37"/>
      <c r="K58"/>
      <c r="S58"/>
      <c r="T58"/>
    </row>
    <row r="59" spans="1:20" s="11" customFormat="1" x14ac:dyDescent="0.25">
      <c r="A59"/>
      <c r="C59" s="47"/>
      <c r="D59"/>
      <c r="E59"/>
      <c r="F59" s="20"/>
      <c r="G59"/>
      <c r="H59"/>
      <c r="I59"/>
      <c r="J59" s="37"/>
      <c r="K59"/>
      <c r="S59"/>
      <c r="T59"/>
    </row>
    <row r="60" spans="1:20" s="11" customFormat="1" x14ac:dyDescent="0.25">
      <c r="A60"/>
      <c r="C60" s="47"/>
      <c r="D60"/>
      <c r="E60"/>
      <c r="F60" s="20"/>
      <c r="G60"/>
      <c r="H60"/>
      <c r="I60"/>
      <c r="J60" s="37"/>
      <c r="K60"/>
      <c r="S60"/>
      <c r="T60"/>
    </row>
    <row r="61" spans="1:20" s="11" customFormat="1" x14ac:dyDescent="0.25">
      <c r="A61"/>
      <c r="C61" s="47"/>
      <c r="D61"/>
      <c r="E61"/>
      <c r="F61" s="20"/>
      <c r="G61"/>
      <c r="H61"/>
      <c r="J61" s="58"/>
      <c r="K61"/>
      <c r="S61"/>
      <c r="T61"/>
    </row>
    <row r="62" spans="1:20" s="11" customFormat="1" x14ac:dyDescent="0.25">
      <c r="A62"/>
      <c r="C62" s="47"/>
      <c r="D62" s="37"/>
      <c r="E62" s="8"/>
      <c r="F62" s="20"/>
      <c r="G62"/>
      <c r="H62" s="8"/>
      <c r="J62" s="58"/>
      <c r="K62"/>
      <c r="M62" s="48"/>
      <c r="S62"/>
      <c r="T62"/>
    </row>
    <row r="63" spans="1:20" x14ac:dyDescent="0.25">
      <c r="C63" s="20"/>
      <c r="D63" s="37"/>
      <c r="F63" s="20"/>
      <c r="J63" s="37"/>
      <c r="O63" s="11"/>
    </row>
    <row r="64" spans="1:20" x14ac:dyDescent="0.25">
      <c r="C64" s="20"/>
      <c r="D64" s="37"/>
      <c r="E64" s="8"/>
      <c r="F64" s="20"/>
      <c r="H64" s="8"/>
      <c r="J64" s="37"/>
      <c r="M64" s="48"/>
    </row>
    <row r="65" spans="3:10" x14ac:dyDescent="0.25">
      <c r="C65" s="20"/>
      <c r="D65" s="37"/>
      <c r="F65" s="20"/>
      <c r="J65" s="37"/>
    </row>
    <row r="66" spans="3:10" x14ac:dyDescent="0.25">
      <c r="C66" s="20"/>
      <c r="D66" s="37"/>
      <c r="F66" s="20"/>
      <c r="J66" s="37"/>
    </row>
    <row r="67" spans="3:10" x14ac:dyDescent="0.25">
      <c r="C67" s="20"/>
      <c r="D67" s="37"/>
      <c r="F67" s="20"/>
      <c r="J67" s="37"/>
    </row>
    <row r="68" spans="3:10" x14ac:dyDescent="0.25">
      <c r="C68" s="20"/>
      <c r="D68" s="37"/>
      <c r="F68" s="20"/>
      <c r="J68" s="37"/>
    </row>
    <row r="69" spans="3:10" x14ac:dyDescent="0.25">
      <c r="C69" s="20"/>
      <c r="D69" s="37"/>
      <c r="F69" s="20"/>
      <c r="J69" s="37"/>
    </row>
    <row r="70" spans="3:10" x14ac:dyDescent="0.25">
      <c r="C70" s="20"/>
      <c r="D70" s="37"/>
      <c r="F70" s="20"/>
      <c r="J70" s="37"/>
    </row>
    <row r="71" spans="3:10" x14ac:dyDescent="0.25">
      <c r="C71" s="20"/>
      <c r="D71" s="37"/>
      <c r="F71" s="20"/>
      <c r="J71" s="37"/>
    </row>
    <row r="72" spans="3:10" x14ac:dyDescent="0.25">
      <c r="C72" s="20"/>
      <c r="D72" s="37"/>
      <c r="F72" s="20"/>
      <c r="J72" s="37"/>
    </row>
    <row r="73" spans="3:10" x14ac:dyDescent="0.25">
      <c r="C73" s="20"/>
      <c r="D73" s="37"/>
      <c r="F73" s="20"/>
      <c r="J73" s="37"/>
    </row>
    <row r="74" spans="3:10" x14ac:dyDescent="0.25">
      <c r="C74" s="20"/>
      <c r="D74" s="37"/>
      <c r="F74" s="20"/>
      <c r="J74" s="37"/>
    </row>
    <row r="75" spans="3:10" x14ac:dyDescent="0.25">
      <c r="C75" s="20"/>
      <c r="D75" s="37"/>
      <c r="F75" s="20"/>
      <c r="J75" s="37"/>
    </row>
    <row r="76" spans="3:10" x14ac:dyDescent="0.25">
      <c r="C76" s="20"/>
      <c r="D76" s="37"/>
      <c r="F76" s="20"/>
      <c r="J76" s="37"/>
    </row>
    <row r="77" spans="3:10" x14ac:dyDescent="0.25">
      <c r="C77" s="20"/>
      <c r="D77" s="37"/>
      <c r="F77" s="20"/>
      <c r="J77" s="37"/>
    </row>
    <row r="78" spans="3:10" x14ac:dyDescent="0.25">
      <c r="C78" s="20"/>
      <c r="D78" s="37"/>
      <c r="F78" s="20"/>
      <c r="J78" s="37"/>
    </row>
    <row r="79" spans="3:10" x14ac:dyDescent="0.25">
      <c r="C79" s="20"/>
      <c r="D79" s="37"/>
      <c r="F79" s="20"/>
      <c r="G79" s="49"/>
      <c r="J79" s="37"/>
    </row>
    <row r="80" spans="3:10" x14ac:dyDescent="0.25">
      <c r="C80" s="20"/>
      <c r="G80" s="37"/>
      <c r="J80" s="37"/>
    </row>
    <row r="81" spans="3:10" x14ac:dyDescent="0.25">
      <c r="C81" s="20"/>
      <c r="D81" s="37"/>
      <c r="F81" s="20"/>
      <c r="G81" s="37"/>
      <c r="J81" s="37"/>
    </row>
    <row r="82" spans="3:10" x14ac:dyDescent="0.25">
      <c r="C82" s="20"/>
      <c r="D82" s="37"/>
      <c r="F82" s="20"/>
      <c r="G82" s="37"/>
      <c r="J82" s="37"/>
    </row>
    <row r="83" spans="3:10" x14ac:dyDescent="0.25">
      <c r="C83" s="20"/>
      <c r="D83" s="37"/>
      <c r="F83" s="20"/>
      <c r="G83" s="37"/>
      <c r="J83" s="37"/>
    </row>
    <row r="84" spans="3:10" x14ac:dyDescent="0.25">
      <c r="C84" s="20"/>
      <c r="D84" s="50"/>
      <c r="F84" s="20"/>
      <c r="G84" s="50"/>
      <c r="J84" s="37"/>
    </row>
    <row r="85" spans="3:10" x14ac:dyDescent="0.25">
      <c r="C85" s="20"/>
      <c r="D85" s="37"/>
      <c r="F85" s="20"/>
      <c r="G85" s="37"/>
      <c r="J85" s="37"/>
    </row>
    <row r="86" spans="3:10" x14ac:dyDescent="0.25">
      <c r="C86" s="20"/>
      <c r="D86" s="37"/>
      <c r="F86" s="20"/>
      <c r="G86" s="37"/>
      <c r="J86" s="37"/>
    </row>
    <row r="87" spans="3:10" x14ac:dyDescent="0.25">
      <c r="C87" s="20"/>
      <c r="D87" s="37"/>
      <c r="F87" s="20"/>
      <c r="G87" s="37"/>
      <c r="J87" s="37"/>
    </row>
    <row r="88" spans="3:10" x14ac:dyDescent="0.25">
      <c r="C88" s="20"/>
      <c r="D88" s="50"/>
      <c r="F88" s="20"/>
      <c r="G88" s="37"/>
      <c r="J88" s="37"/>
    </row>
    <row r="89" spans="3:10" x14ac:dyDescent="0.25">
      <c r="C89" s="20"/>
      <c r="D89" s="50"/>
      <c r="F89" s="20"/>
      <c r="G89" s="37"/>
      <c r="J89" s="37"/>
    </row>
    <row r="90" spans="3:10" x14ac:dyDescent="0.25">
      <c r="C90" s="20"/>
      <c r="D90" s="37"/>
      <c r="F90" s="20"/>
      <c r="G90" s="37"/>
      <c r="J90" s="37"/>
    </row>
    <row r="91" spans="3:10" x14ac:dyDescent="0.25">
      <c r="C91" s="20"/>
      <c r="D91" s="37"/>
      <c r="F91" s="20"/>
      <c r="G91" s="37"/>
      <c r="J91" s="37"/>
    </row>
    <row r="92" spans="3:10" x14ac:dyDescent="0.25">
      <c r="C92" s="20"/>
      <c r="D92" s="50"/>
      <c r="F92" s="20"/>
      <c r="G92" s="37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C102" s="20"/>
      <c r="D102" s="37"/>
      <c r="F102" s="20"/>
      <c r="G102" s="37"/>
      <c r="J102" s="37"/>
    </row>
    <row r="103" spans="3:10" x14ac:dyDescent="0.25">
      <c r="C103" s="20"/>
      <c r="D103" s="37"/>
      <c r="F103" s="20"/>
      <c r="G103" s="37"/>
      <c r="J103" s="37"/>
    </row>
    <row r="104" spans="3:10" x14ac:dyDescent="0.25">
      <c r="C104" s="20"/>
      <c r="D104" s="37"/>
      <c r="F104" s="20"/>
      <c r="G104" s="37"/>
      <c r="J104" s="37"/>
    </row>
    <row r="105" spans="3:10" x14ac:dyDescent="0.25">
      <c r="C105" s="20"/>
      <c r="D105" s="37"/>
      <c r="F105" s="20"/>
      <c r="G105" s="37"/>
      <c r="J105" s="37"/>
    </row>
    <row r="106" spans="3:10" x14ac:dyDescent="0.25">
      <c r="C106" s="20"/>
      <c r="D106" s="37"/>
      <c r="F106" s="20"/>
      <c r="G106" s="37"/>
      <c r="J106" s="37"/>
    </row>
    <row r="107" spans="3:10" x14ac:dyDescent="0.25">
      <c r="C107" s="20"/>
      <c r="D107" s="37"/>
      <c r="F107" s="20"/>
      <c r="G107" s="37"/>
      <c r="J107" s="37"/>
    </row>
    <row r="108" spans="3:10" x14ac:dyDescent="0.25">
      <c r="C108" s="20"/>
      <c r="D108" s="37"/>
      <c r="F108" s="20"/>
      <c r="G108" s="37"/>
      <c r="J108" s="37"/>
    </row>
    <row r="109" spans="3:10" x14ac:dyDescent="0.25">
      <c r="C109" s="20"/>
      <c r="D109" s="37"/>
      <c r="F109" s="20"/>
      <c r="G109" s="37"/>
      <c r="J109" s="37"/>
    </row>
    <row r="110" spans="3:10" x14ac:dyDescent="0.25">
      <c r="C110" s="20"/>
      <c r="D110" s="37"/>
      <c r="F110" s="20"/>
      <c r="G110" s="37"/>
      <c r="J110" s="37"/>
    </row>
    <row r="111" spans="3:10" x14ac:dyDescent="0.25">
      <c r="C111" s="20"/>
      <c r="D111" s="37"/>
      <c r="F111" s="20"/>
      <c r="G111" s="37"/>
      <c r="J111" s="37"/>
    </row>
    <row r="112" spans="3:10" x14ac:dyDescent="0.25">
      <c r="C112" s="20"/>
      <c r="D112" s="37"/>
      <c r="F112" s="20"/>
      <c r="G112" s="37"/>
      <c r="J112" s="37"/>
    </row>
    <row r="113" spans="3:10" x14ac:dyDescent="0.25">
      <c r="C113" s="20"/>
      <c r="D113" s="37"/>
      <c r="F113" s="20"/>
      <c r="G113" s="37"/>
      <c r="J113" s="37"/>
    </row>
    <row r="114" spans="3:10" x14ac:dyDescent="0.25">
      <c r="C114" s="20"/>
      <c r="D114" s="37"/>
      <c r="F114" s="20"/>
      <c r="G114" s="37"/>
      <c r="J114" s="37"/>
    </row>
    <row r="115" spans="3:10" x14ac:dyDescent="0.25">
      <c r="C115" s="20"/>
      <c r="D115" s="37"/>
      <c r="F115" s="20"/>
      <c r="G115" s="37"/>
      <c r="J115" s="37"/>
    </row>
    <row r="116" spans="3:10" x14ac:dyDescent="0.25">
      <c r="C116" s="20"/>
      <c r="D116" s="37"/>
      <c r="F116" s="20"/>
      <c r="G116" s="37"/>
      <c r="J116" s="37"/>
    </row>
    <row r="117" spans="3:10" x14ac:dyDescent="0.25">
      <c r="C117" s="20"/>
      <c r="D117" s="37"/>
      <c r="F117" s="20"/>
      <c r="G117" s="37"/>
      <c r="J117" s="37"/>
    </row>
    <row r="118" spans="3:10" x14ac:dyDescent="0.25">
      <c r="C118" s="20"/>
      <c r="D118" s="37"/>
      <c r="F118" s="20"/>
      <c r="G118" s="37"/>
      <c r="J118" s="37"/>
    </row>
    <row r="119" spans="3:10" x14ac:dyDescent="0.25">
      <c r="C119" s="20"/>
      <c r="D119" s="37"/>
      <c r="F119" s="20"/>
      <c r="G119" s="37"/>
      <c r="J119" s="37"/>
    </row>
    <row r="120" spans="3:10" x14ac:dyDescent="0.25">
      <c r="C120" s="20"/>
      <c r="D120" s="37"/>
      <c r="F120" s="20"/>
      <c r="G120" s="37"/>
      <c r="J120" s="37"/>
    </row>
    <row r="121" spans="3:10" x14ac:dyDescent="0.25">
      <c r="C121" s="20"/>
      <c r="D121" s="37"/>
      <c r="F121" s="20"/>
      <c r="G121" s="37"/>
      <c r="J121" s="37"/>
    </row>
    <row r="122" spans="3:10" x14ac:dyDescent="0.25">
      <c r="C122" s="20"/>
      <c r="D122" s="37"/>
      <c r="F122" s="20"/>
      <c r="G122" s="37"/>
      <c r="J122" s="37"/>
    </row>
    <row r="123" spans="3:10" x14ac:dyDescent="0.25">
      <c r="C123" s="20"/>
      <c r="D123" s="37"/>
      <c r="F123" s="20"/>
      <c r="G123" s="37"/>
      <c r="J123" s="37"/>
    </row>
    <row r="124" spans="3:10" x14ac:dyDescent="0.25">
      <c r="C124" s="20"/>
      <c r="D124" s="37"/>
      <c r="F124" s="20"/>
      <c r="G124" s="37"/>
      <c r="J124" s="37"/>
    </row>
    <row r="125" spans="3:10" x14ac:dyDescent="0.25">
      <c r="C125" s="20"/>
      <c r="D125" s="37"/>
      <c r="F125" s="20"/>
      <c r="G125" s="37"/>
      <c r="J125" s="37"/>
    </row>
    <row r="126" spans="3:10" x14ac:dyDescent="0.25">
      <c r="C126" s="20"/>
      <c r="D126" s="37"/>
      <c r="F126" s="20"/>
      <c r="G126" s="37"/>
      <c r="J126" s="37"/>
    </row>
    <row r="127" spans="3:10" x14ac:dyDescent="0.25">
      <c r="D127" s="37"/>
      <c r="F127" s="20"/>
      <c r="G127" s="37"/>
      <c r="J127" s="37"/>
    </row>
    <row r="128" spans="3:10" x14ac:dyDescent="0.25">
      <c r="D128" s="37"/>
      <c r="F128" s="20"/>
      <c r="G128" s="37"/>
      <c r="J128" s="37"/>
    </row>
    <row r="129" spans="4:10" x14ac:dyDescent="0.25">
      <c r="D129" s="37"/>
      <c r="F129" s="20"/>
      <c r="G129" s="37"/>
      <c r="J129" s="37"/>
    </row>
    <row r="130" spans="4:10" x14ac:dyDescent="0.25">
      <c r="D130" s="37"/>
      <c r="F130" s="20"/>
      <c r="G130" s="37"/>
      <c r="J130" s="37"/>
    </row>
    <row r="131" spans="4:10" x14ac:dyDescent="0.25">
      <c r="D131" s="37"/>
      <c r="F131" s="20"/>
      <c r="G131" s="37"/>
      <c r="J131" s="37"/>
    </row>
    <row r="132" spans="4:10" x14ac:dyDescent="0.25">
      <c r="D132" s="37"/>
      <c r="F132" s="20"/>
      <c r="G132" s="37"/>
      <c r="J132" s="37"/>
    </row>
    <row r="133" spans="4:10" x14ac:dyDescent="0.25">
      <c r="D133" s="43"/>
      <c r="E133" s="51" t="s">
        <v>35</v>
      </c>
      <c r="F133" s="44"/>
      <c r="G133" s="43"/>
      <c r="H133" s="51" t="s">
        <v>35</v>
      </c>
      <c r="I133" s="51"/>
      <c r="J133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F85F-6B1D-4B55-BFB6-BDAC6C8A9ECB}">
  <dimension ref="A1:AB108"/>
  <sheetViews>
    <sheetView workbookViewId="0">
      <pane ySplit="15" topLeftCell="A16" activePane="bottomLeft" state="frozen"/>
      <selection activeCell="N6" sqref="N6"/>
      <selection pane="bottomLeft" activeCell="N6" sqref="N6"/>
    </sheetView>
  </sheetViews>
  <sheetFormatPr defaultRowHeight="15" x14ac:dyDescent="0.25"/>
  <cols>
    <col min="1" max="1" width="4" customWidth="1"/>
    <col min="3" max="3" width="4" customWidth="1"/>
    <col min="4" max="4" width="8.28515625" customWidth="1"/>
    <col min="6" max="6" width="9.42578125" bestFit="1" customWidth="1"/>
    <col min="7" max="7" width="7.42578125" customWidth="1"/>
    <col min="11" max="11" width="9.28515625" customWidth="1"/>
  </cols>
  <sheetData>
    <row r="1" spans="1:28" x14ac:dyDescent="0.25">
      <c r="B1" t="s">
        <v>0</v>
      </c>
      <c r="L1" s="1">
        <f>[4]Summary!E2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28" x14ac:dyDescent="0.25">
      <c r="H2" s="2" t="s">
        <v>1</v>
      </c>
      <c r="I2" s="2" t="s">
        <v>1</v>
      </c>
      <c r="J2">
        <f>+D11+G11</f>
        <v>497460</v>
      </c>
      <c r="K2">
        <f>J2-J3</f>
        <v>-2200</v>
      </c>
      <c r="L2" s="1">
        <f>K2/J2</f>
        <v>-4.4224661279298836E-3</v>
      </c>
      <c r="S2" t="s">
        <v>77</v>
      </c>
      <c r="T2">
        <v>102</v>
      </c>
      <c r="U2" s="6">
        <f>K7+M7+O7</f>
        <v>143.40340615666818</v>
      </c>
      <c r="V2" s="8">
        <f>U2*2204.622/60</f>
        <v>5269.1717347987687</v>
      </c>
      <c r="W2" s="10">
        <f>V2/T2</f>
        <v>51.658546419595773</v>
      </c>
    </row>
    <row r="3" spans="1:28" x14ac:dyDescent="0.25">
      <c r="B3" t="s">
        <v>2</v>
      </c>
      <c r="D3" s="3" t="s">
        <v>126</v>
      </c>
      <c r="E3" s="4"/>
      <c r="F3" t="s">
        <v>127</v>
      </c>
      <c r="H3" s="2" t="s">
        <v>5</v>
      </c>
      <c r="I3" s="2"/>
      <c r="J3">
        <f>K11-L10+M11-N10+O11-P10+Q11-R10+S11-T10+U11-V10+W11-X10</f>
        <v>499660</v>
      </c>
      <c r="K3" s="5" t="s">
        <v>6</v>
      </c>
      <c r="L3" s="5" t="s">
        <v>7</v>
      </c>
      <c r="M3" s="5" t="s">
        <v>8</v>
      </c>
      <c r="N3" s="6">
        <f>N4*I4/O1</f>
        <v>209.0733716382332</v>
      </c>
      <c r="O3" s="6">
        <f>K7+M7+O7+Q7+S7+U7+W7</f>
        <v>205.52848309393784</v>
      </c>
      <c r="S3" t="s">
        <v>80</v>
      </c>
      <c r="T3">
        <v>57</v>
      </c>
      <c r="U3" s="6">
        <f>Q7+S7</f>
        <v>62.125076937269661</v>
      </c>
      <c r="V3" s="8">
        <f>U3*2204.622/60</f>
        <v>2282.7051894599554</v>
      </c>
      <c r="W3" s="10">
        <f>V3/T3</f>
        <v>40.047459464209744</v>
      </c>
      <c r="Y3">
        <v>51</v>
      </c>
      <c r="Z3">
        <f>S7/51</f>
        <v>1.1498046282369736</v>
      </c>
      <c r="AA3">
        <v>1150</v>
      </c>
      <c r="AB3">
        <f>Y3*AA3</f>
        <v>58650</v>
      </c>
    </row>
    <row r="4" spans="1:28" x14ac:dyDescent="0.25">
      <c r="B4" t="s">
        <v>9</v>
      </c>
      <c r="D4" s="7" t="str">
        <f>[4]Summary!C2</f>
        <v>CWRS</v>
      </c>
      <c r="E4" s="4"/>
      <c r="F4" s="8">
        <f>[4]Summary!C3</f>
        <v>2019</v>
      </c>
      <c r="I4" s="8">
        <f>[4]Summary!D2</f>
        <v>60</v>
      </c>
      <c r="J4" s="8">
        <f>J3/I4</f>
        <v>8327.6666666666661</v>
      </c>
      <c r="K4" s="9">
        <v>0.98</v>
      </c>
      <c r="L4" s="9">
        <f>IF(J5=0,L1,(L8+N8+P8+R8+T8+V8+X8)/J5/K4)</f>
        <v>0.18356942721050312</v>
      </c>
      <c r="M4" s="9">
        <f>IF(J5=0,0,(L9+N9+P9+R9+T9+V9+X9)/J5/K4)</f>
        <v>1.4221870872193091E-2</v>
      </c>
      <c r="N4" s="8">
        <f>IF(L4&gt;L1,J4*(1-L4)/(1-L1)*(1-M4)*K4,J4*K4*(1-M4))</f>
        <v>7682.1314123307329</v>
      </c>
      <c r="S4" t="s">
        <v>81</v>
      </c>
      <c r="T4" s="61">
        <f>T2+T3</f>
        <v>159</v>
      </c>
      <c r="U4" s="61">
        <f t="shared" ref="U4:V4" si="0">U2+U3</f>
        <v>205.52848309393784</v>
      </c>
      <c r="V4" s="62">
        <f t="shared" si="0"/>
        <v>7551.8769242587241</v>
      </c>
      <c r="W4" s="63">
        <f>V4/T4</f>
        <v>47.496081284646067</v>
      </c>
    </row>
    <row r="5" spans="1:28" x14ac:dyDescent="0.25">
      <c r="B5" t="s">
        <v>10</v>
      </c>
      <c r="D5" s="7">
        <v>43750</v>
      </c>
      <c r="E5" s="4"/>
      <c r="F5" s="52">
        <v>43770</v>
      </c>
      <c r="J5" s="6">
        <f>J3/O1</f>
        <v>226.6419635942006</v>
      </c>
      <c r="N5" s="8">
        <v>159</v>
      </c>
      <c r="O5" s="10">
        <f>N4/N5</f>
        <v>48.315291901451154</v>
      </c>
      <c r="P5" t="s">
        <v>11</v>
      </c>
      <c r="V5" s="6"/>
    </row>
    <row r="6" spans="1:28" x14ac:dyDescent="0.25">
      <c r="D6" s="11"/>
      <c r="J6" s="6"/>
      <c r="K6" s="12"/>
      <c r="L6" s="13"/>
      <c r="M6" s="12"/>
      <c r="N6" s="8"/>
      <c r="O6" s="10"/>
    </row>
    <row r="7" spans="1:28" x14ac:dyDescent="0.25">
      <c r="F7">
        <f>F8*E8</f>
        <v>0</v>
      </c>
      <c r="I7">
        <f>I8*H8</f>
        <v>0</v>
      </c>
      <c r="K7" s="6">
        <f>IF(K8&gt;$L1,(L11-L10/$O1)*$K4*(1-K8)/(1-$L1)*(1-K9),(L11-L10/$O1)*$K4*(1-K9))</f>
        <v>85.674686319128213</v>
      </c>
      <c r="M7" s="6">
        <f>IF(M8&gt;$L1,(N11-N10/$O1)*$K4*(1-M8)/(1-$L1)*(1-M9),(N11-N10/$O1)*$K4*(1-M9))</f>
        <v>55.683682117083407</v>
      </c>
      <c r="O7" s="6">
        <f>IF(O8&gt;$L1,(P11-P10/$O1)*$K4*(1-O8)/(1-$L1)*(1-O9),(P11-P10/$O1)*$K4*(1-O9))</f>
        <v>2.0450377204565862</v>
      </c>
      <c r="Q7" s="6">
        <f>IF(Q8&gt;$L1,(R11-R10/$O1)*$K4*(1-Q8)/(1-$L1)*(1-Q9),(R11-R10/$O1)*$K4*(1-Q9))</f>
        <v>3.485040897184009</v>
      </c>
      <c r="S7" s="6">
        <f>IF(S8&gt;$L1,(T11-T10/$O1)*$K4*(1-S8)/(1-$L1)*(1-S9),(T11-T10/$O1)*$K4*(1-S9))</f>
        <v>58.640036040085654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8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0.21</v>
      </c>
      <c r="L8" s="6">
        <f>(L11-L10/$O1)*$K4*K8</f>
        <v>19.668699563482253</v>
      </c>
      <c r="M8" s="1">
        <v>0.23</v>
      </c>
      <c r="N8" s="6">
        <f>(N11-N10/$O1)*$K4*M8</f>
        <v>14.364680687819037</v>
      </c>
      <c r="O8" s="1">
        <v>0.23</v>
      </c>
      <c r="P8" s="6">
        <f>(P11-P10/$O1)*$K4*O8</f>
        <v>0.52755695622168131</v>
      </c>
      <c r="Q8" s="1">
        <v>0.14000000000000001</v>
      </c>
      <c r="R8" s="6">
        <f>(R11-R10/$O1)*$K4*Q8</f>
        <v>0.49786298531200129</v>
      </c>
      <c r="S8" s="1">
        <v>9.5000000000000001E-2</v>
      </c>
      <c r="T8" s="6">
        <f>(T11-T10/$O1)*$K4*S8</f>
        <v>5.7136445372391149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8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0.01</v>
      </c>
      <c r="L9" s="6">
        <f>(L11-L10/$O1)*$K4*K9</f>
        <v>0.93660474111820247</v>
      </c>
      <c r="M9" s="1">
        <v>0.01</v>
      </c>
      <c r="N9" s="6">
        <f>(N11-N10/$O1)*$K4*M9</f>
        <v>0.62455133425300158</v>
      </c>
      <c r="O9" s="1">
        <v>0.01</v>
      </c>
      <c r="P9" s="6">
        <f>(P11-P10/$O1)*$K4*O9</f>
        <v>2.2937258966160057E-2</v>
      </c>
      <c r="Q9" s="1">
        <v>0.02</v>
      </c>
      <c r="R9" s="6">
        <f>(R11-R10/$O1)*$K4*Q9</f>
        <v>7.1123283616000177E-2</v>
      </c>
      <c r="S9" s="1">
        <v>2.5000000000000001E-2</v>
      </c>
      <c r="T9" s="6">
        <f>(T11-T10/$O1)*$K4*S9</f>
        <v>1.5035906676945041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8" x14ac:dyDescent="0.25">
      <c r="B10" t="s">
        <v>14</v>
      </c>
      <c r="C10" s="20"/>
      <c r="D10" s="21">
        <f>J3/J2*D11</f>
        <v>299558.95629799383</v>
      </c>
      <c r="E10" s="22"/>
      <c r="F10" s="23"/>
      <c r="G10" s="21">
        <f>J3/J2*G11</f>
        <v>200101.04370200619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8" x14ac:dyDescent="0.25">
      <c r="B11" t="s">
        <v>16</v>
      </c>
      <c r="C11" s="20"/>
      <c r="D11" s="25">
        <f>E14+F14</f>
        <v>298240</v>
      </c>
      <c r="E11" s="26"/>
      <c r="F11" s="27"/>
      <c r="G11" s="25">
        <f>H14+I14</f>
        <v>199220</v>
      </c>
      <c r="H11" s="26"/>
      <c r="I11" s="26"/>
      <c r="J11" s="28"/>
      <c r="K11" s="29">
        <f>K14+L14</f>
        <v>210700</v>
      </c>
      <c r="L11" s="30">
        <f>K11/2204.62262184877</f>
        <v>95.571912359000251</v>
      </c>
      <c r="M11" s="29">
        <f>M14+N14</f>
        <v>140500</v>
      </c>
      <c r="N11" s="30">
        <f>M11/2204.62262184877</f>
        <v>63.729727985000167</v>
      </c>
      <c r="O11" s="29">
        <f>O14+P14</f>
        <v>5160</v>
      </c>
      <c r="P11" s="30">
        <f>O11/2204.62262184877</f>
        <v>2.340536629200006</v>
      </c>
      <c r="Q11" s="29">
        <f>Q14+R14</f>
        <v>8000</v>
      </c>
      <c r="R11" s="30">
        <f>Q11/2204.62262184877</f>
        <v>3.6287389600000095</v>
      </c>
      <c r="S11" s="29">
        <f>S14+T14</f>
        <v>135300</v>
      </c>
      <c r="T11" s="30">
        <f>S11/2204.62262184877</f>
        <v>61.371047661000162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8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128</v>
      </c>
      <c r="L12" s="36"/>
      <c r="M12" s="35" t="s">
        <v>129</v>
      </c>
      <c r="N12" s="36"/>
      <c r="O12" s="35" t="s">
        <v>119</v>
      </c>
      <c r="P12" s="36"/>
      <c r="Q12" s="35" t="s">
        <v>88</v>
      </c>
      <c r="R12" s="36"/>
      <c r="S12" s="35" t="s">
        <v>50</v>
      </c>
      <c r="T12" s="36"/>
      <c r="U12" s="35" t="s">
        <v>25</v>
      </c>
      <c r="V12" s="36"/>
      <c r="W12" s="35" t="s">
        <v>26</v>
      </c>
      <c r="X12" s="36"/>
    </row>
    <row r="13" spans="1:28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8" x14ac:dyDescent="0.25">
      <c r="C14" s="20"/>
      <c r="D14" s="37"/>
      <c r="E14" s="39">
        <f>SUM(E15:E133)</f>
        <v>298240</v>
      </c>
      <c r="F14" s="40">
        <f>SUM(F15:F133)</f>
        <v>0</v>
      </c>
      <c r="G14" s="37"/>
      <c r="H14" s="39">
        <f>SUM(H15:H133)</f>
        <v>199220</v>
      </c>
      <c r="I14" s="39">
        <f>SUM(I15:I133)</f>
        <v>0</v>
      </c>
      <c r="J14" s="28"/>
      <c r="K14" s="41">
        <f t="shared" ref="K14:X14" si="1">SUM(K15:K133)</f>
        <v>210700</v>
      </c>
      <c r="L14" s="42">
        <f t="shared" si="1"/>
        <v>0</v>
      </c>
      <c r="M14" s="41">
        <f t="shared" si="1"/>
        <v>140500</v>
      </c>
      <c r="N14" s="42">
        <f t="shared" si="1"/>
        <v>0</v>
      </c>
      <c r="O14" s="41">
        <f t="shared" si="1"/>
        <v>5160</v>
      </c>
      <c r="P14" s="42">
        <f t="shared" si="1"/>
        <v>0</v>
      </c>
      <c r="Q14" s="41">
        <f t="shared" si="1"/>
        <v>8000</v>
      </c>
      <c r="R14" s="42">
        <f t="shared" si="1"/>
        <v>0</v>
      </c>
      <c r="S14" s="41">
        <f t="shared" si="1"/>
        <v>135300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28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8" x14ac:dyDescent="0.25">
      <c r="B16">
        <v>1</v>
      </c>
      <c r="C16" s="20"/>
      <c r="D16" s="37">
        <v>170</v>
      </c>
      <c r="E16">
        <v>17600</v>
      </c>
      <c r="F16" s="20"/>
      <c r="G16" s="37">
        <v>651</v>
      </c>
      <c r="H16">
        <v>15180</v>
      </c>
      <c r="J16" s="45"/>
      <c r="K16">
        <v>26760</v>
      </c>
    </row>
    <row r="17" spans="2:17" x14ac:dyDescent="0.25">
      <c r="B17">
        <v>2</v>
      </c>
      <c r="C17" s="20"/>
      <c r="D17" s="37">
        <v>171</v>
      </c>
      <c r="E17">
        <v>11920</v>
      </c>
      <c r="F17" s="20"/>
      <c r="G17" s="37">
        <v>652</v>
      </c>
      <c r="H17">
        <v>16020</v>
      </c>
      <c r="J17" s="45"/>
      <c r="K17">
        <v>29820</v>
      </c>
    </row>
    <row r="18" spans="2:17" x14ac:dyDescent="0.25">
      <c r="B18">
        <v>3</v>
      </c>
      <c r="C18" s="20"/>
      <c r="D18" s="37" t="s">
        <v>130</v>
      </c>
      <c r="E18">
        <v>11180</v>
      </c>
      <c r="F18" s="20"/>
      <c r="G18" s="37">
        <v>653</v>
      </c>
      <c r="H18">
        <v>22300</v>
      </c>
      <c r="J18" s="45"/>
      <c r="K18">
        <v>32220</v>
      </c>
    </row>
    <row r="19" spans="2:17" x14ac:dyDescent="0.25">
      <c r="B19">
        <v>4</v>
      </c>
      <c r="C19" s="20"/>
      <c r="D19">
        <v>174</v>
      </c>
      <c r="E19">
        <v>17000</v>
      </c>
      <c r="F19" s="20"/>
      <c r="G19" t="s">
        <v>131</v>
      </c>
      <c r="H19">
        <v>11700</v>
      </c>
      <c r="J19" s="45"/>
      <c r="K19">
        <v>29540</v>
      </c>
    </row>
    <row r="20" spans="2:17" x14ac:dyDescent="0.25">
      <c r="B20">
        <v>5</v>
      </c>
      <c r="C20" s="20"/>
      <c r="F20" s="20"/>
      <c r="G20">
        <v>655</v>
      </c>
      <c r="H20">
        <v>22420</v>
      </c>
      <c r="J20" s="45"/>
      <c r="K20">
        <v>22040</v>
      </c>
    </row>
    <row r="21" spans="2:17" x14ac:dyDescent="0.25">
      <c r="B21">
        <v>6</v>
      </c>
      <c r="C21" s="20"/>
      <c r="D21" t="s">
        <v>132</v>
      </c>
      <c r="E21">
        <v>15140</v>
      </c>
      <c r="F21" s="20"/>
      <c r="G21">
        <v>656</v>
      </c>
      <c r="H21">
        <v>15840</v>
      </c>
      <c r="J21" s="46"/>
      <c r="K21">
        <v>30240</v>
      </c>
    </row>
    <row r="22" spans="2:17" x14ac:dyDescent="0.25">
      <c r="B22">
        <v>7</v>
      </c>
      <c r="C22" s="20"/>
      <c r="D22" t="s">
        <v>133</v>
      </c>
      <c r="E22">
        <v>12240</v>
      </c>
      <c r="F22" s="20"/>
      <c r="G22">
        <v>657</v>
      </c>
      <c r="H22">
        <v>15740</v>
      </c>
      <c r="J22" s="45"/>
      <c r="K22">
        <v>26820</v>
      </c>
    </row>
    <row r="23" spans="2:17" x14ac:dyDescent="0.25">
      <c r="B23">
        <v>8</v>
      </c>
      <c r="C23" s="20"/>
      <c r="D23">
        <v>178</v>
      </c>
      <c r="E23">
        <v>4700</v>
      </c>
      <c r="F23" s="20"/>
      <c r="J23" s="45"/>
      <c r="K23">
        <v>13260</v>
      </c>
    </row>
    <row r="24" spans="2:17" x14ac:dyDescent="0.25">
      <c r="C24" s="20"/>
      <c r="F24" s="20"/>
      <c r="J24" s="45"/>
    </row>
    <row r="25" spans="2:17" x14ac:dyDescent="0.25">
      <c r="B25">
        <v>9</v>
      </c>
      <c r="C25" s="20"/>
      <c r="D25">
        <v>180</v>
      </c>
      <c r="E25">
        <v>11380</v>
      </c>
      <c r="F25" s="20"/>
      <c r="G25">
        <v>658</v>
      </c>
      <c r="H25">
        <v>22340</v>
      </c>
      <c r="J25" s="45"/>
      <c r="M25">
        <v>33280</v>
      </c>
    </row>
    <row r="26" spans="2:17" x14ac:dyDescent="0.25">
      <c r="B26">
        <v>10</v>
      </c>
      <c r="C26" s="20"/>
      <c r="D26">
        <v>181</v>
      </c>
      <c r="E26">
        <v>17820</v>
      </c>
      <c r="F26" s="20"/>
      <c r="G26">
        <v>659</v>
      </c>
      <c r="H26">
        <v>16840</v>
      </c>
      <c r="J26" s="45"/>
      <c r="M26">
        <v>35100</v>
      </c>
    </row>
    <row r="27" spans="2:17" x14ac:dyDescent="0.25">
      <c r="B27">
        <v>11</v>
      </c>
      <c r="C27" s="20"/>
      <c r="D27">
        <v>182</v>
      </c>
      <c r="E27">
        <v>16600</v>
      </c>
      <c r="F27" s="20"/>
      <c r="G27">
        <v>660</v>
      </c>
      <c r="H27">
        <v>16820</v>
      </c>
      <c r="J27" s="45"/>
      <c r="M27">
        <v>33500</v>
      </c>
      <c r="O27" s="11"/>
      <c r="P27" s="11"/>
    </row>
    <row r="28" spans="2:17" x14ac:dyDescent="0.25">
      <c r="B28">
        <v>12</v>
      </c>
      <c r="C28" s="20"/>
      <c r="D28">
        <v>183</v>
      </c>
      <c r="E28">
        <v>18380</v>
      </c>
      <c r="F28" s="20"/>
      <c r="G28">
        <v>661</v>
      </c>
      <c r="H28">
        <v>19900</v>
      </c>
      <c r="J28" s="45"/>
      <c r="M28">
        <v>38620</v>
      </c>
      <c r="O28" s="11"/>
      <c r="P28" s="11"/>
    </row>
    <row r="29" spans="2:17" x14ac:dyDescent="0.25">
      <c r="C29" s="20"/>
      <c r="F29" s="20"/>
      <c r="J29" s="45"/>
      <c r="O29" s="11"/>
      <c r="P29" s="11"/>
    </row>
    <row r="30" spans="2:17" x14ac:dyDescent="0.25">
      <c r="B30">
        <v>13</v>
      </c>
      <c r="C30" s="20"/>
      <c r="D30">
        <v>208</v>
      </c>
      <c r="E30">
        <v>1040</v>
      </c>
      <c r="F30" s="20"/>
      <c r="G30">
        <v>674</v>
      </c>
      <c r="H30">
        <v>4120</v>
      </c>
      <c r="J30" s="45"/>
      <c r="M30" s="11"/>
      <c r="O30" s="11">
        <v>5160</v>
      </c>
    </row>
    <row r="31" spans="2:17" x14ac:dyDescent="0.25">
      <c r="C31" s="20"/>
      <c r="F31" s="20"/>
      <c r="J31" s="45"/>
      <c r="M31" s="11"/>
    </row>
    <row r="32" spans="2:17" x14ac:dyDescent="0.25">
      <c r="B32" s="64">
        <v>43963</v>
      </c>
      <c r="C32" s="20"/>
      <c r="E32">
        <v>7940</v>
      </c>
      <c r="F32" s="20"/>
      <c r="J32" s="45"/>
      <c r="Q32">
        <v>8000</v>
      </c>
    </row>
    <row r="33" spans="1:20" s="11" customFormat="1" x14ac:dyDescent="0.25">
      <c r="A33"/>
      <c r="B33"/>
      <c r="C33" s="47"/>
      <c r="D33"/>
      <c r="E33"/>
      <c r="F33" s="20"/>
      <c r="G33"/>
      <c r="H33"/>
      <c r="I33"/>
      <c r="J33" s="45"/>
      <c r="K33"/>
      <c r="Q33"/>
      <c r="R33"/>
      <c r="S33"/>
      <c r="T33"/>
    </row>
    <row r="34" spans="1:20" s="11" customFormat="1" x14ac:dyDescent="0.25">
      <c r="A34"/>
      <c r="B34" s="64">
        <v>43981</v>
      </c>
      <c r="C34" s="47"/>
      <c r="D34"/>
      <c r="E34">
        <v>135300</v>
      </c>
      <c r="F34" s="20"/>
      <c r="G34"/>
      <c r="H34"/>
      <c r="I34"/>
      <c r="J34" s="45"/>
      <c r="K34"/>
      <c r="Q34"/>
      <c r="R34"/>
      <c r="S34">
        <v>135300</v>
      </c>
      <c r="T34"/>
    </row>
    <row r="35" spans="1:20" s="11" customFormat="1" x14ac:dyDescent="0.25">
      <c r="A35"/>
      <c r="B35"/>
      <c r="C35" s="47"/>
      <c r="D35"/>
      <c r="E35"/>
      <c r="F35" s="20"/>
      <c r="G35"/>
      <c r="H35"/>
      <c r="I35"/>
      <c r="J35" s="45"/>
      <c r="K35"/>
      <c r="M35"/>
      <c r="S35"/>
      <c r="T35"/>
    </row>
    <row r="36" spans="1:20" s="11" customFormat="1" x14ac:dyDescent="0.25">
      <c r="A36"/>
      <c r="B36"/>
      <c r="C36" s="47"/>
      <c r="D36"/>
      <c r="E36"/>
      <c r="F36" s="20"/>
      <c r="G36"/>
      <c r="H36"/>
      <c r="I36"/>
      <c r="J36" s="45"/>
      <c r="K36"/>
      <c r="M36"/>
      <c r="S36"/>
      <c r="T36"/>
    </row>
    <row r="37" spans="1:20" s="11" customFormat="1" x14ac:dyDescent="0.25">
      <c r="A37"/>
      <c r="B37"/>
      <c r="C37" s="47"/>
      <c r="D37" s="37"/>
      <c r="E37" s="8"/>
      <c r="F37" s="20"/>
      <c r="G37"/>
      <c r="H37" s="8"/>
      <c r="I37"/>
      <c r="J37" s="45"/>
      <c r="K37"/>
      <c r="M37"/>
      <c r="O37" s="48"/>
      <c r="S37"/>
      <c r="T37"/>
    </row>
    <row r="38" spans="1:20" x14ac:dyDescent="0.25">
      <c r="C38" s="20"/>
      <c r="D38" s="37"/>
      <c r="E38" s="11"/>
      <c r="F38" s="20"/>
      <c r="J38" s="45"/>
    </row>
    <row r="39" spans="1:20" x14ac:dyDescent="0.25">
      <c r="C39" s="20"/>
      <c r="D39" s="37"/>
      <c r="E39" s="8"/>
      <c r="F39" s="20"/>
      <c r="H39" s="8"/>
      <c r="J39" s="45"/>
      <c r="O39" s="48"/>
    </row>
    <row r="40" spans="1:20" x14ac:dyDescent="0.25">
      <c r="C40" s="20"/>
      <c r="D40" s="37"/>
      <c r="E40" s="11"/>
      <c r="F40" s="20"/>
      <c r="H40" s="11"/>
      <c r="J40" s="45"/>
    </row>
    <row r="41" spans="1:20" x14ac:dyDescent="0.25">
      <c r="C41" s="20"/>
      <c r="D41" s="37"/>
      <c r="F41" s="20"/>
      <c r="J41" s="45"/>
    </row>
    <row r="42" spans="1:20" x14ac:dyDescent="0.25">
      <c r="C42" s="20"/>
      <c r="D42" s="37"/>
      <c r="F42" s="20"/>
      <c r="J42" s="45"/>
      <c r="R42" s="11"/>
    </row>
    <row r="43" spans="1:20" x14ac:dyDescent="0.25">
      <c r="C43" s="20"/>
      <c r="D43" s="37"/>
      <c r="F43" s="20"/>
      <c r="J43" s="45"/>
      <c r="R43" s="11"/>
    </row>
    <row r="44" spans="1:20" x14ac:dyDescent="0.25">
      <c r="C44" s="20"/>
      <c r="D44" s="37"/>
      <c r="F44" s="20"/>
      <c r="J44" s="45"/>
      <c r="Q44" s="11"/>
    </row>
    <row r="45" spans="1:20" x14ac:dyDescent="0.25">
      <c r="C45" s="20"/>
      <c r="D45" s="37"/>
      <c r="F45" s="20"/>
      <c r="J45" s="45"/>
    </row>
    <row r="46" spans="1:20" x14ac:dyDescent="0.25">
      <c r="C46" s="20"/>
      <c r="D46" s="37"/>
      <c r="F46" s="20"/>
      <c r="H46" s="11"/>
      <c r="J46" s="45"/>
    </row>
    <row r="47" spans="1:20" x14ac:dyDescent="0.25">
      <c r="C47" s="20"/>
      <c r="D47" s="37"/>
      <c r="F47" s="20"/>
      <c r="J47" s="45"/>
    </row>
    <row r="48" spans="1:20" x14ac:dyDescent="0.25">
      <c r="C48" s="20"/>
      <c r="D48" s="37"/>
      <c r="E48" s="11"/>
      <c r="F48" s="20"/>
      <c r="J48" s="45"/>
    </row>
    <row r="49" spans="3:10" x14ac:dyDescent="0.25">
      <c r="C49" s="20"/>
      <c r="D49" s="37"/>
      <c r="F49" s="20"/>
      <c r="J49" s="45"/>
    </row>
    <row r="50" spans="3:10" x14ac:dyDescent="0.25">
      <c r="C50" s="20"/>
      <c r="D50" s="37"/>
      <c r="F50" s="20"/>
      <c r="J50" s="45"/>
    </row>
    <row r="51" spans="3:10" x14ac:dyDescent="0.25">
      <c r="C51" s="20"/>
      <c r="D51" s="37"/>
      <c r="F51" s="20"/>
      <c r="J51" s="45"/>
    </row>
    <row r="52" spans="3:10" x14ac:dyDescent="0.25">
      <c r="C52" s="20"/>
      <c r="D52" s="37"/>
      <c r="F52" s="20"/>
      <c r="J52" s="45"/>
    </row>
    <row r="53" spans="3:10" x14ac:dyDescent="0.25">
      <c r="C53" s="20"/>
      <c r="D53" s="37"/>
      <c r="F53" s="20"/>
      <c r="J53" s="45"/>
    </row>
    <row r="54" spans="3:10" x14ac:dyDescent="0.25">
      <c r="C54" s="20"/>
      <c r="D54" s="37"/>
      <c r="F54" s="20"/>
      <c r="G54" s="49"/>
      <c r="J54" s="45"/>
    </row>
    <row r="55" spans="3:10" x14ac:dyDescent="0.25">
      <c r="C55" s="20"/>
      <c r="G55" s="37"/>
      <c r="J55" s="45"/>
    </row>
    <row r="56" spans="3:10" x14ac:dyDescent="0.25">
      <c r="C56" s="20"/>
      <c r="D56" s="37"/>
      <c r="F56" s="20"/>
      <c r="G56" s="37"/>
      <c r="J56" s="45"/>
    </row>
    <row r="57" spans="3:10" x14ac:dyDescent="0.25">
      <c r="C57" s="20"/>
      <c r="D57" s="37"/>
      <c r="F57" s="20"/>
      <c r="G57" s="37"/>
      <c r="J57" s="45"/>
    </row>
    <row r="58" spans="3:10" x14ac:dyDescent="0.25">
      <c r="C58" s="20"/>
      <c r="D58" s="37"/>
      <c r="F58" s="20"/>
      <c r="G58" s="37"/>
      <c r="J58" s="45"/>
    </row>
    <row r="59" spans="3:10" x14ac:dyDescent="0.25">
      <c r="C59" s="20"/>
      <c r="D59" s="50"/>
      <c r="F59" s="20"/>
      <c r="G59" s="50"/>
      <c r="J59" s="37"/>
    </row>
    <row r="60" spans="3:10" x14ac:dyDescent="0.25">
      <c r="C60" s="20"/>
      <c r="F60" s="20"/>
      <c r="J60" s="37"/>
    </row>
    <row r="61" spans="3:10" x14ac:dyDescent="0.25">
      <c r="C61" s="20"/>
      <c r="F61" s="20"/>
      <c r="J61" s="37"/>
    </row>
    <row r="62" spans="3:10" x14ac:dyDescent="0.25">
      <c r="C62" s="20"/>
      <c r="F62" s="20"/>
      <c r="J62" s="37"/>
    </row>
    <row r="63" spans="3:10" x14ac:dyDescent="0.25">
      <c r="C63" s="20"/>
      <c r="F63" s="20"/>
      <c r="J63" s="37"/>
    </row>
    <row r="64" spans="3:10" x14ac:dyDescent="0.25">
      <c r="C64" s="20"/>
      <c r="F64" s="20"/>
      <c r="J64" s="37"/>
    </row>
    <row r="65" spans="3:10" x14ac:dyDescent="0.25">
      <c r="C65" s="20"/>
      <c r="F65" s="20"/>
      <c r="J65" s="37"/>
    </row>
    <row r="66" spans="3:10" x14ac:dyDescent="0.25">
      <c r="C66" s="20"/>
      <c r="F66" s="20"/>
      <c r="J66" s="37"/>
    </row>
    <row r="67" spans="3:10" x14ac:dyDescent="0.25">
      <c r="C67" s="20"/>
      <c r="F67" s="20"/>
      <c r="J67" s="37"/>
    </row>
    <row r="68" spans="3:10" x14ac:dyDescent="0.25">
      <c r="C68" s="20"/>
      <c r="F68" s="20"/>
      <c r="J68" s="37"/>
    </row>
    <row r="69" spans="3:10" x14ac:dyDescent="0.25">
      <c r="C69" s="20"/>
      <c r="F69" s="20"/>
      <c r="J69" s="37"/>
    </row>
    <row r="70" spans="3:10" x14ac:dyDescent="0.25">
      <c r="C70" s="20"/>
      <c r="F70" s="20"/>
      <c r="J70" s="37"/>
    </row>
    <row r="71" spans="3:10" x14ac:dyDescent="0.25">
      <c r="C71" s="20"/>
      <c r="F71" s="20"/>
      <c r="J71" s="37"/>
    </row>
    <row r="72" spans="3:10" x14ac:dyDescent="0.25">
      <c r="C72" s="20"/>
      <c r="F72" s="20"/>
      <c r="J72" s="37"/>
    </row>
    <row r="73" spans="3:10" x14ac:dyDescent="0.25">
      <c r="C73" s="20"/>
      <c r="F73" s="20"/>
      <c r="J73" s="37"/>
    </row>
    <row r="74" spans="3:10" x14ac:dyDescent="0.25">
      <c r="C74" s="20"/>
      <c r="F74" s="20"/>
      <c r="J74" s="37"/>
    </row>
    <row r="75" spans="3:10" x14ac:dyDescent="0.25">
      <c r="C75" s="20"/>
      <c r="F75" s="20"/>
      <c r="J75" s="37"/>
    </row>
    <row r="76" spans="3:10" x14ac:dyDescent="0.25">
      <c r="C76" s="20"/>
      <c r="F76" s="20"/>
      <c r="J76" s="37"/>
    </row>
    <row r="77" spans="3:10" x14ac:dyDescent="0.25">
      <c r="C77" s="20"/>
      <c r="F77" s="20"/>
      <c r="J77" s="37"/>
    </row>
    <row r="78" spans="3:10" x14ac:dyDescent="0.25">
      <c r="C78" s="20"/>
      <c r="F78" s="20"/>
      <c r="J78" s="37"/>
    </row>
    <row r="79" spans="3:10" x14ac:dyDescent="0.25">
      <c r="C79" s="20"/>
      <c r="F79" s="20"/>
      <c r="J79" s="37"/>
    </row>
    <row r="80" spans="3:10" x14ac:dyDescent="0.25">
      <c r="C80" s="20"/>
      <c r="F80" s="20"/>
      <c r="J80" s="37"/>
    </row>
    <row r="81" spans="3:10" x14ac:dyDescent="0.25">
      <c r="C81" s="20"/>
      <c r="F81" s="20"/>
      <c r="J81" s="37"/>
    </row>
    <row r="82" spans="3:10" x14ac:dyDescent="0.25">
      <c r="C82" s="20"/>
      <c r="F82" s="20"/>
      <c r="J82" s="37"/>
    </row>
    <row r="83" spans="3:10" x14ac:dyDescent="0.25">
      <c r="C83" s="20"/>
      <c r="F83" s="20"/>
      <c r="J83" s="37"/>
    </row>
    <row r="84" spans="3:10" x14ac:dyDescent="0.25">
      <c r="C84" s="20"/>
      <c r="F84" s="20"/>
      <c r="J84" s="37"/>
    </row>
    <row r="85" spans="3:10" x14ac:dyDescent="0.25">
      <c r="C85" s="20"/>
      <c r="F85" s="20"/>
      <c r="J85" s="37"/>
    </row>
    <row r="86" spans="3:10" x14ac:dyDescent="0.25">
      <c r="C86" s="20"/>
      <c r="F86" s="20"/>
      <c r="J86" s="37"/>
    </row>
    <row r="87" spans="3:10" x14ac:dyDescent="0.25">
      <c r="C87" s="20"/>
      <c r="F87" s="20"/>
      <c r="J87" s="37"/>
    </row>
    <row r="88" spans="3:10" x14ac:dyDescent="0.25">
      <c r="C88" s="20"/>
      <c r="F88" s="20"/>
      <c r="J88" s="37"/>
    </row>
    <row r="89" spans="3:10" x14ac:dyDescent="0.25">
      <c r="C89" s="20"/>
      <c r="F89" s="20"/>
      <c r="J89" s="37"/>
    </row>
    <row r="90" spans="3:10" x14ac:dyDescent="0.25">
      <c r="C90" s="20"/>
      <c r="F90" s="20"/>
      <c r="J90" s="37"/>
    </row>
    <row r="91" spans="3:10" x14ac:dyDescent="0.25">
      <c r="C91" s="20"/>
      <c r="F91" s="20"/>
      <c r="J91" s="37"/>
    </row>
    <row r="92" spans="3:10" x14ac:dyDescent="0.25">
      <c r="C92" s="20"/>
      <c r="D92" s="37"/>
      <c r="F92" s="20"/>
      <c r="J92" s="37"/>
    </row>
    <row r="93" spans="3:10" x14ac:dyDescent="0.25">
      <c r="C93" s="20"/>
      <c r="D93" s="37"/>
      <c r="F93" s="20"/>
      <c r="G93" s="37"/>
      <c r="J93" s="37"/>
    </row>
    <row r="94" spans="3:10" x14ac:dyDescent="0.25">
      <c r="C94" s="20"/>
      <c r="D94" s="37"/>
      <c r="F94" s="20"/>
      <c r="G94" s="37"/>
      <c r="J94" s="37"/>
    </row>
    <row r="95" spans="3:10" x14ac:dyDescent="0.25">
      <c r="C95" s="20"/>
      <c r="D95" s="37"/>
      <c r="F95" s="20"/>
      <c r="G95" s="37"/>
      <c r="J95" s="37"/>
    </row>
    <row r="96" spans="3:10" x14ac:dyDescent="0.25">
      <c r="C96" s="20"/>
      <c r="D96" s="37"/>
      <c r="F96" s="20"/>
      <c r="G96" s="37"/>
      <c r="J96" s="37"/>
    </row>
    <row r="97" spans="3:10" x14ac:dyDescent="0.25">
      <c r="C97" s="20"/>
      <c r="D97" s="37"/>
      <c r="F97" s="20"/>
      <c r="G97" s="37"/>
      <c r="J97" s="37"/>
    </row>
    <row r="98" spans="3:10" x14ac:dyDescent="0.25">
      <c r="C98" s="20"/>
      <c r="D98" s="37"/>
      <c r="F98" s="20"/>
      <c r="G98" s="37"/>
      <c r="J98" s="37"/>
    </row>
    <row r="99" spans="3:10" x14ac:dyDescent="0.25">
      <c r="C99" s="20"/>
      <c r="D99" s="37"/>
      <c r="F99" s="20"/>
      <c r="G99" s="37"/>
      <c r="J99" s="37"/>
    </row>
    <row r="100" spans="3:10" x14ac:dyDescent="0.25">
      <c r="C100" s="20"/>
      <c r="D100" s="37"/>
      <c r="F100" s="20"/>
      <c r="G100" s="37"/>
      <c r="J100" s="37"/>
    </row>
    <row r="101" spans="3:10" x14ac:dyDescent="0.25">
      <c r="C101" s="20"/>
      <c r="D101" s="37"/>
      <c r="F101" s="20"/>
      <c r="G101" s="37"/>
      <c r="J101" s="37"/>
    </row>
    <row r="102" spans="3:10" x14ac:dyDescent="0.25">
      <c r="D102" s="37"/>
      <c r="F102" s="20"/>
      <c r="G102" s="37"/>
      <c r="J102" s="37"/>
    </row>
    <row r="103" spans="3:10" x14ac:dyDescent="0.25">
      <c r="D103" s="37"/>
      <c r="F103" s="20"/>
      <c r="G103" s="37"/>
      <c r="J103" s="37"/>
    </row>
    <row r="104" spans="3:10" x14ac:dyDescent="0.25">
      <c r="D104" s="37"/>
      <c r="F104" s="20"/>
      <c r="G104" s="37"/>
      <c r="J104" s="37"/>
    </row>
    <row r="105" spans="3:10" x14ac:dyDescent="0.25">
      <c r="D105" s="37"/>
      <c r="F105" s="20"/>
      <c r="G105" s="37"/>
      <c r="J105" s="37"/>
    </row>
    <row r="106" spans="3:10" x14ac:dyDescent="0.25">
      <c r="D106" s="37"/>
      <c r="F106" s="20"/>
      <c r="G106" s="37"/>
      <c r="J106" s="37"/>
    </row>
    <row r="107" spans="3:10" x14ac:dyDescent="0.25">
      <c r="D107" s="37"/>
      <c r="F107" s="20"/>
      <c r="G107" s="37"/>
      <c r="J107" s="37"/>
    </row>
    <row r="108" spans="3:10" x14ac:dyDescent="0.25">
      <c r="D108" s="43"/>
      <c r="E108" s="51" t="s">
        <v>35</v>
      </c>
      <c r="F108" s="44"/>
      <c r="G108" s="43"/>
      <c r="H108" s="51" t="s">
        <v>35</v>
      </c>
      <c r="I108" s="51"/>
      <c r="J108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443-63C8-44A1-8AA0-D1219D65C0B9}">
  <dimension ref="A1:AC105"/>
  <sheetViews>
    <sheetView workbookViewId="0">
      <pane ySplit="15" topLeftCell="A43" activePane="bottomLeft" state="frozen"/>
      <selection activeCell="AB4" sqref="AB4"/>
      <selection pane="bottomLeft" activeCell="AB4" sqref="AB4"/>
    </sheetView>
  </sheetViews>
  <sheetFormatPr defaultRowHeight="15" x14ac:dyDescent="0.25"/>
  <cols>
    <col min="1" max="1" width="4" customWidth="1"/>
    <col min="3" max="3" width="4" customWidth="1"/>
    <col min="4" max="4" width="7.5703125" customWidth="1"/>
    <col min="6" max="6" width="9.42578125" bestFit="1" customWidth="1"/>
    <col min="7" max="7" width="7.42578125" style="8" customWidth="1"/>
    <col min="11" max="11" width="9.28515625" customWidth="1"/>
    <col min="26" max="26" width="9.85546875" bestFit="1" customWidth="1"/>
  </cols>
  <sheetData>
    <row r="1" spans="1:29" x14ac:dyDescent="0.25">
      <c r="B1" t="s">
        <v>0</v>
      </c>
      <c r="G1"/>
      <c r="L1" s="1">
        <f>[3]Summary!E2</f>
        <v>0.14499999999999999</v>
      </c>
      <c r="O1">
        <v>2204.62262184877</v>
      </c>
      <c r="T1" t="s">
        <v>74</v>
      </c>
      <c r="U1" t="s">
        <v>75</v>
      </c>
      <c r="V1" t="s">
        <v>76</v>
      </c>
    </row>
    <row r="2" spans="1:29" x14ac:dyDescent="0.25">
      <c r="G2"/>
      <c r="H2" s="2" t="s">
        <v>1</v>
      </c>
      <c r="I2" s="2" t="s">
        <v>1</v>
      </c>
      <c r="J2">
        <f>+D11+G11</f>
        <v>1159340</v>
      </c>
      <c r="K2">
        <f>J2-J3</f>
        <v>-137300</v>
      </c>
      <c r="L2" s="1">
        <f>K2/J2</f>
        <v>-0.11842945123949833</v>
      </c>
      <c r="S2" t="s">
        <v>77</v>
      </c>
      <c r="T2">
        <v>191</v>
      </c>
      <c r="U2">
        <v>362.22</v>
      </c>
      <c r="V2" s="8">
        <f>U2*2204.622/60</f>
        <v>13309.303014000001</v>
      </c>
      <c r="W2" s="10">
        <f>V2/T2</f>
        <v>69.682214732984292</v>
      </c>
    </row>
    <row r="3" spans="1:29" x14ac:dyDescent="0.25">
      <c r="B3" t="s">
        <v>2</v>
      </c>
      <c r="D3" s="3" t="s">
        <v>100</v>
      </c>
      <c r="E3" s="4"/>
      <c r="F3" t="s">
        <v>101</v>
      </c>
      <c r="G3"/>
      <c r="H3" s="2" t="s">
        <v>5</v>
      </c>
      <c r="I3" s="2"/>
      <c r="J3">
        <f>K11-L10+M11-N10+O11-P10+Q11-R10+S11-T10+U11-V10+W11-X10</f>
        <v>1296640</v>
      </c>
      <c r="K3" s="5" t="s">
        <v>6</v>
      </c>
      <c r="L3" s="5" t="s">
        <v>7</v>
      </c>
      <c r="M3" s="5" t="s">
        <v>8</v>
      </c>
      <c r="N3" s="6">
        <f>N4*I4/O1</f>
        <v>542.55703901517461</v>
      </c>
      <c r="O3" s="6">
        <f>K7+M7+O7+Q7+S7+U7+W7</f>
        <v>539.36975444561233</v>
      </c>
      <c r="S3" t="s">
        <v>80</v>
      </c>
      <c r="T3">
        <v>125.24</v>
      </c>
      <c r="U3" s="6">
        <f>S7</f>
        <v>177.14462880386318</v>
      </c>
      <c r="V3" s="8">
        <f>U3*2204.622/60</f>
        <v>6508.9490973805068</v>
      </c>
      <c r="W3" s="10">
        <f>V3/T3</f>
        <v>51.971806909777285</v>
      </c>
      <c r="Y3">
        <v>134</v>
      </c>
      <c r="Z3">
        <f>U3/Y3*1000</f>
        <v>1321.9748418198744</v>
      </c>
      <c r="AA3">
        <v>1320</v>
      </c>
      <c r="AB3">
        <f>AA3*Y3</f>
        <v>176880</v>
      </c>
    </row>
    <row r="4" spans="1:29" x14ac:dyDescent="0.25">
      <c r="B4" t="s">
        <v>9</v>
      </c>
      <c r="D4" s="7" t="str">
        <f>[3]Summary!C2</f>
        <v>CPS</v>
      </c>
      <c r="E4" s="4"/>
      <c r="F4" s="8">
        <f>[3]Summary!C3</f>
        <v>2019</v>
      </c>
      <c r="G4"/>
      <c r="I4" s="8">
        <f>[3]Summary!D2</f>
        <v>60</v>
      </c>
      <c r="J4" s="8">
        <f>J3/I4</f>
        <v>21610.666666666668</v>
      </c>
      <c r="K4" s="9">
        <v>0.98</v>
      </c>
      <c r="L4" s="9">
        <f>IF(J5=0,L1,(L8+N8+P8+R8+T8+V8+X8)/J5/K4)</f>
        <v>0.1830511938548865</v>
      </c>
      <c r="M4" s="9">
        <f>IF(J5=0,0,(L9+N9+P9+R9+T9+V9+X9)/J5/K4)</f>
        <v>1.4843009624876608E-2</v>
      </c>
      <c r="N4" s="8">
        <f>IF(L4&gt;L1,J4*(1-L4)/(1-L1)*(1-M4)*K4,J4*K4*(1-M4))</f>
        <v>19935.558697602326</v>
      </c>
      <c r="S4" t="s">
        <v>81</v>
      </c>
      <c r="T4" s="61">
        <f>T2+T3</f>
        <v>316.24</v>
      </c>
      <c r="U4" s="61">
        <f t="shared" ref="U4:V4" si="0">U2+U3</f>
        <v>539.36462880386318</v>
      </c>
      <c r="V4" s="62">
        <f t="shared" si="0"/>
        <v>19818.252111380509</v>
      </c>
      <c r="W4" s="63">
        <f>V4/T4</f>
        <v>62.668391447573072</v>
      </c>
    </row>
    <row r="5" spans="1:29" x14ac:dyDescent="0.25">
      <c r="B5" t="s">
        <v>10</v>
      </c>
      <c r="D5" s="7">
        <v>43752</v>
      </c>
      <c r="E5" s="4"/>
      <c r="F5" s="52">
        <v>43756</v>
      </c>
      <c r="G5"/>
      <c r="J5" s="6">
        <f>J3/O1</f>
        <v>588.14601063680152</v>
      </c>
      <c r="N5" s="8">
        <v>315</v>
      </c>
      <c r="O5" s="10">
        <f>N4/N5</f>
        <v>63.287487928896276</v>
      </c>
      <c r="P5" t="s">
        <v>11</v>
      </c>
      <c r="V5" s="6"/>
    </row>
    <row r="6" spans="1:29" x14ac:dyDescent="0.25">
      <c r="D6" s="11"/>
      <c r="G6"/>
      <c r="J6" s="6"/>
      <c r="K6" s="12"/>
      <c r="L6" s="13"/>
      <c r="M6" s="12"/>
      <c r="N6" s="8"/>
      <c r="O6" s="10"/>
    </row>
    <row r="7" spans="1:29" x14ac:dyDescent="0.25">
      <c r="F7">
        <f>F8*E8</f>
        <v>0</v>
      </c>
      <c r="G7"/>
      <c r="I7">
        <f>I8*H8</f>
        <v>0</v>
      </c>
      <c r="K7" s="6">
        <f>IF(K8&gt;$L1,(L11-L10/$O1)*$K4*(1-K8)/(1-$L1)*(1-K9),(L11-L10/$O1)*$K4*(1-K9))</f>
        <v>226.13008103321255</v>
      </c>
      <c r="M7" s="6">
        <f>IF(M8&gt;$L1,(N11-N10/$O1)*$K4*(1-M8)/(1-$L1)*(1-M9),(N11-N10/$O1)*$K4*(1-M9))</f>
        <v>24.41860333134985</v>
      </c>
      <c r="O7" s="6">
        <f>IF(O8&gt;$L1,(P11-P10/$O1)*$K4*(1-O8)/(1-$L1)*(1-O9),(P11-P10/$O1)*$K4*(1-O9))</f>
        <v>97.660690898880688</v>
      </c>
      <c r="Q7" s="6">
        <f>IF(Q8&gt;$L1,(R11-R10/$O1)*$K4*(1-Q8)/(1-$L1)*(1-Q9),(R11-R10/$O1)*$K4*(1-Q9))</f>
        <v>14.015750378305984</v>
      </c>
      <c r="S7" s="6">
        <f>IF(S8&gt;$L1,(T11-T10/$O1)*$K4*(1-S8)/(1-$L1)*(1-S9),(T11-T10/$O1)*$K4*(1-S9))</f>
        <v>177.14462880386318</v>
      </c>
      <c r="U7" s="6">
        <f>IF(U8&gt;$L1,(V11-V10/$O1)*$K4*(1-U8)/(1-$L1)*(1-U9),(V11-V10/$O1)*$K4*(1-U9))</f>
        <v>0</v>
      </c>
      <c r="W7" s="6">
        <f>IF(W8&gt;$L1,(X11-X10/$O1)*$K4*(1-W8)/(1-$L1)*(1-W9),(X11-X10/$O1)*$K4*(1-W9))</f>
        <v>0</v>
      </c>
    </row>
    <row r="8" spans="1:29" x14ac:dyDescent="0.25">
      <c r="B8" s="14"/>
      <c r="C8" s="14"/>
      <c r="D8" s="14"/>
      <c r="E8" s="15">
        <f>D9/D10</f>
        <v>0</v>
      </c>
      <c r="F8" s="14">
        <v>600</v>
      </c>
      <c r="G8" s="14"/>
      <c r="H8" s="15">
        <f>G9/G10</f>
        <v>0</v>
      </c>
      <c r="I8" s="14">
        <v>505</v>
      </c>
      <c r="J8" t="s">
        <v>12</v>
      </c>
      <c r="K8" s="1">
        <v>0.20499999999999999</v>
      </c>
      <c r="L8" s="6">
        <f>(L11-L10/$O1)*$K4*K8</f>
        <v>50.717480121942614</v>
      </c>
      <c r="M8" s="1">
        <v>0.20499999999999999</v>
      </c>
      <c r="N8" s="6">
        <f>(N11-N10/$O1)*$K4*M8</f>
        <v>5.4767150986933135</v>
      </c>
      <c r="O8" s="1">
        <v>0.20499999999999999</v>
      </c>
      <c r="P8" s="6">
        <f>(P11-P10/$O1)*$K4*O8</f>
        <v>21.531418361385295</v>
      </c>
      <c r="Q8" s="1">
        <v>0.26</v>
      </c>
      <c r="R8" s="6">
        <f>(R11-R10/$O1)*$K4*Q8</f>
        <v>4.283221947564571</v>
      </c>
      <c r="S8" s="1">
        <v>0.13</v>
      </c>
      <c r="T8" s="6">
        <f>(T11-T10/$O1)*$K4*S8</f>
        <v>23.498777290308382</v>
      </c>
      <c r="U8" s="1">
        <v>0.15</v>
      </c>
      <c r="V8" s="6">
        <f>(V11-V10/$O1)*$K4*U8</f>
        <v>0</v>
      </c>
      <c r="W8" s="1">
        <v>0.15</v>
      </c>
      <c r="X8" s="6">
        <f>(X11-X10/$O1)*$K4*W8</f>
        <v>0</v>
      </c>
    </row>
    <row r="9" spans="1:29" x14ac:dyDescent="0.25">
      <c r="B9" s="14" t="s">
        <v>13</v>
      </c>
      <c r="C9" s="16"/>
      <c r="D9" s="17"/>
      <c r="E9" s="18"/>
      <c r="F9" s="19"/>
      <c r="G9" s="17"/>
      <c r="H9" s="18"/>
      <c r="I9" s="19"/>
      <c r="J9" t="s">
        <v>8</v>
      </c>
      <c r="K9" s="1">
        <v>1.7000000000000001E-2</v>
      </c>
      <c r="L9" s="6">
        <f>(L11-L10/$O1)*$K4*K9</f>
        <v>4.2058398149903633</v>
      </c>
      <c r="M9" s="1">
        <v>1.7000000000000001E-2</v>
      </c>
      <c r="N9" s="6">
        <f>(N11-N10/$O1)*$K4*M9</f>
        <v>0.45416661794042124</v>
      </c>
      <c r="O9" s="1"/>
      <c r="P9" s="6">
        <f>(P11-P10/$O1)*$K4*O9</f>
        <v>0</v>
      </c>
      <c r="Q9" s="1">
        <v>1.7000000000000001E-2</v>
      </c>
      <c r="R9" s="6">
        <f>(R11-R10/$O1)*$K4*Q9</f>
        <v>0.28005681964845275</v>
      </c>
      <c r="S9" s="1">
        <v>0.02</v>
      </c>
      <c r="T9" s="6">
        <f>(T11-T10/$O1)*$K4*S9</f>
        <v>3.6151965062012898</v>
      </c>
      <c r="U9" s="1">
        <v>2.5000000000000001E-2</v>
      </c>
      <c r="V9" s="6">
        <f>(V11-V10/$O1)*$K4*U9</f>
        <v>0</v>
      </c>
      <c r="W9" s="1">
        <v>2.5000000000000001E-2</v>
      </c>
      <c r="X9" s="6">
        <f>(X11-X10/$O1)*$K4*W9</f>
        <v>0</v>
      </c>
    </row>
    <row r="10" spans="1:29" x14ac:dyDescent="0.25">
      <c r="B10" t="s">
        <v>14</v>
      </c>
      <c r="C10" s="20"/>
      <c r="D10" s="21">
        <f>J3/J2*D11</f>
        <v>709263.22079804027</v>
      </c>
      <c r="E10" s="22"/>
      <c r="F10" s="23"/>
      <c r="G10" s="21">
        <f>J3/J2*G11</f>
        <v>587376.77920195973</v>
      </c>
      <c r="H10" s="22"/>
      <c r="I10" s="23"/>
      <c r="J10" t="s">
        <v>15</v>
      </c>
      <c r="L10" s="24"/>
      <c r="N10" s="24"/>
      <c r="P10" s="24"/>
      <c r="R10" s="24"/>
      <c r="T10" s="24"/>
      <c r="V10" s="24"/>
      <c r="X10" s="24"/>
    </row>
    <row r="11" spans="1:29" x14ac:dyDescent="0.25">
      <c r="B11" t="s">
        <v>16</v>
      </c>
      <c r="C11" s="20"/>
      <c r="D11" s="25">
        <f>E14+F14</f>
        <v>634160</v>
      </c>
      <c r="E11" s="26"/>
      <c r="F11" s="27"/>
      <c r="G11" s="25">
        <f>H14+I14</f>
        <v>525180</v>
      </c>
      <c r="H11" s="26"/>
      <c r="I11" s="26"/>
      <c r="J11" s="28"/>
      <c r="K11" s="29">
        <f>K14+L14</f>
        <v>556560</v>
      </c>
      <c r="L11" s="30">
        <f>K11/2204.62262184877</f>
        <v>252.45136944720068</v>
      </c>
      <c r="M11" s="29">
        <f>M14+N14</f>
        <v>60100</v>
      </c>
      <c r="N11" s="30">
        <f>M11/2204.62262184877</f>
        <v>27.260901437000072</v>
      </c>
      <c r="O11" s="29">
        <f>O14+P14</f>
        <v>236280</v>
      </c>
      <c r="P11" s="30">
        <f>O11/2204.62262184877</f>
        <v>107.17480518360028</v>
      </c>
      <c r="Q11" s="29">
        <f>Q14+R14</f>
        <v>37060</v>
      </c>
      <c r="R11" s="30">
        <f>Q11/2204.62262184877</f>
        <v>16.810133232200045</v>
      </c>
      <c r="S11" s="29">
        <f>S14+T14</f>
        <v>406640</v>
      </c>
      <c r="T11" s="30">
        <f>S11/2204.62262184877</f>
        <v>184.4488013368005</v>
      </c>
      <c r="U11" s="29">
        <f>U14+V14</f>
        <v>0</v>
      </c>
      <c r="V11" s="30">
        <f>U11/2204.62262184877</f>
        <v>0</v>
      </c>
      <c r="W11" s="29">
        <f>W14+X14</f>
        <v>0</v>
      </c>
      <c r="X11" s="30">
        <f>W11/2204.62262184877</f>
        <v>0</v>
      </c>
    </row>
    <row r="12" spans="1:29" x14ac:dyDescent="0.25">
      <c r="A12" s="4" t="s">
        <v>17</v>
      </c>
      <c r="B12" s="4"/>
      <c r="C12" s="20"/>
      <c r="D12" s="31" t="s">
        <v>18</v>
      </c>
      <c r="E12" s="32"/>
      <c r="F12" s="33"/>
      <c r="G12" s="31" t="s">
        <v>19</v>
      </c>
      <c r="H12" s="32"/>
      <c r="I12" s="32"/>
      <c r="J12" s="34"/>
      <c r="K12" s="35" t="s">
        <v>102</v>
      </c>
      <c r="L12" s="36"/>
      <c r="M12" s="35" t="s">
        <v>82</v>
      </c>
      <c r="N12" s="36"/>
      <c r="O12" s="35" t="s">
        <v>103</v>
      </c>
      <c r="P12" s="36"/>
      <c r="Q12" s="35" t="s">
        <v>82</v>
      </c>
      <c r="R12" s="36"/>
      <c r="S12" s="35" t="s">
        <v>87</v>
      </c>
      <c r="T12" s="36"/>
      <c r="U12" s="35" t="s">
        <v>25</v>
      </c>
      <c r="V12" s="36"/>
      <c r="W12" s="35" t="s">
        <v>26</v>
      </c>
      <c r="X12" s="36"/>
    </row>
    <row r="13" spans="1:29" x14ac:dyDescent="0.25">
      <c r="B13" t="s">
        <v>27</v>
      </c>
      <c r="C13" s="20"/>
      <c r="D13" s="37" t="s">
        <v>28</v>
      </c>
      <c r="E13" s="4" t="s">
        <v>29</v>
      </c>
      <c r="F13" s="38"/>
      <c r="G13" s="37" t="s">
        <v>28</v>
      </c>
      <c r="H13" s="4" t="s">
        <v>29</v>
      </c>
      <c r="I13" s="4"/>
      <c r="J13" s="28"/>
      <c r="K13" s="35" t="s">
        <v>29</v>
      </c>
      <c r="L13" s="36"/>
      <c r="M13" s="35" t="s">
        <v>29</v>
      </c>
      <c r="N13" s="36"/>
      <c r="O13" s="35" t="s">
        <v>29</v>
      </c>
      <c r="P13" s="36"/>
      <c r="Q13" s="35" t="s">
        <v>29</v>
      </c>
      <c r="R13" s="36"/>
      <c r="S13" s="35" t="s">
        <v>29</v>
      </c>
      <c r="T13" s="36"/>
      <c r="U13" s="35" t="s">
        <v>29</v>
      </c>
      <c r="V13" s="36"/>
      <c r="W13" s="35" t="s">
        <v>29</v>
      </c>
      <c r="X13" s="36"/>
    </row>
    <row r="14" spans="1:29" x14ac:dyDescent="0.25">
      <c r="C14" s="20"/>
      <c r="D14" s="37"/>
      <c r="E14" s="39">
        <f>SUM(E15:E138)</f>
        <v>634160</v>
      </c>
      <c r="F14" s="40">
        <f>SUM(F15:F138)</f>
        <v>0</v>
      </c>
      <c r="G14" s="37"/>
      <c r="H14" s="39">
        <f>SUM(H15:H138)</f>
        <v>525180</v>
      </c>
      <c r="I14" s="39">
        <f>SUM(I15:I138)</f>
        <v>0</v>
      </c>
      <c r="J14" s="28"/>
      <c r="K14" s="41">
        <f t="shared" ref="K14:X14" si="1">SUM(K15:K138)</f>
        <v>556560</v>
      </c>
      <c r="L14" s="42">
        <f t="shared" si="1"/>
        <v>0</v>
      </c>
      <c r="M14" s="41">
        <f t="shared" si="1"/>
        <v>60100</v>
      </c>
      <c r="N14" s="42">
        <f t="shared" si="1"/>
        <v>0</v>
      </c>
      <c r="O14" s="41">
        <f t="shared" si="1"/>
        <v>236280</v>
      </c>
      <c r="P14" s="42">
        <f t="shared" si="1"/>
        <v>0</v>
      </c>
      <c r="Q14" s="41">
        <f t="shared" si="1"/>
        <v>37060</v>
      </c>
      <c r="R14" s="42">
        <f t="shared" si="1"/>
        <v>0</v>
      </c>
      <c r="S14" s="41">
        <f t="shared" si="1"/>
        <v>406640</v>
      </c>
      <c r="T14" s="42">
        <f t="shared" si="1"/>
        <v>0</v>
      </c>
      <c r="U14" s="41">
        <f t="shared" si="1"/>
        <v>0</v>
      </c>
      <c r="V14" s="42">
        <f t="shared" si="1"/>
        <v>0</v>
      </c>
      <c r="W14" s="41">
        <f t="shared" si="1"/>
        <v>0</v>
      </c>
      <c r="X14" s="42">
        <f t="shared" si="1"/>
        <v>0</v>
      </c>
    </row>
    <row r="15" spans="1:29" x14ac:dyDescent="0.25">
      <c r="C15" s="20"/>
      <c r="D15" s="37"/>
      <c r="E15" t="s">
        <v>30</v>
      </c>
      <c r="F15" s="20" t="s">
        <v>31</v>
      </c>
      <c r="G15" s="37"/>
      <c r="H15" t="s">
        <v>30</v>
      </c>
      <c r="I15" t="s">
        <v>32</v>
      </c>
      <c r="J15" s="37"/>
      <c r="K15" s="43" t="s">
        <v>30</v>
      </c>
      <c r="L15" s="44" t="s">
        <v>31</v>
      </c>
      <c r="M15" s="43" t="s">
        <v>30</v>
      </c>
      <c r="N15" s="44" t="s">
        <v>31</v>
      </c>
      <c r="O15" s="43" t="s">
        <v>30</v>
      </c>
      <c r="P15" s="44" t="s">
        <v>31</v>
      </c>
      <c r="Q15" s="43" t="s">
        <v>30</v>
      </c>
      <c r="R15" s="44" t="s">
        <v>31</v>
      </c>
      <c r="S15" s="43" t="s">
        <v>30</v>
      </c>
      <c r="T15" s="44" t="s">
        <v>31</v>
      </c>
      <c r="U15" s="43" t="s">
        <v>30</v>
      </c>
      <c r="V15" s="44" t="s">
        <v>31</v>
      </c>
      <c r="W15" s="43" t="s">
        <v>30</v>
      </c>
      <c r="X15" s="44" t="s">
        <v>31</v>
      </c>
    </row>
    <row r="16" spans="1:29" x14ac:dyDescent="0.25">
      <c r="B16">
        <v>1</v>
      </c>
      <c r="C16" s="20"/>
      <c r="D16">
        <v>170</v>
      </c>
      <c r="E16">
        <v>18580</v>
      </c>
      <c r="F16" s="20"/>
      <c r="G16" s="46"/>
      <c r="I16" s="20"/>
      <c r="J16" s="53"/>
      <c r="O16" s="11"/>
      <c r="AA16" s="6"/>
      <c r="AC16" s="8"/>
    </row>
    <row r="17" spans="2:29" x14ac:dyDescent="0.25">
      <c r="C17" s="20"/>
      <c r="D17">
        <v>171</v>
      </c>
      <c r="E17">
        <v>21040</v>
      </c>
      <c r="F17" s="20"/>
      <c r="G17" s="46"/>
      <c r="I17" s="20"/>
      <c r="J17" s="6"/>
      <c r="K17">
        <v>36000</v>
      </c>
    </row>
    <row r="18" spans="2:29" x14ac:dyDescent="0.25">
      <c r="B18">
        <v>2</v>
      </c>
      <c r="C18" s="20"/>
      <c r="D18">
        <v>172</v>
      </c>
      <c r="E18">
        <v>20020</v>
      </c>
      <c r="F18" s="20"/>
      <c r="G18" s="46"/>
      <c r="I18" s="20"/>
      <c r="J18" s="6"/>
    </row>
    <row r="19" spans="2:29" x14ac:dyDescent="0.25">
      <c r="C19" s="20"/>
      <c r="D19">
        <v>173</v>
      </c>
      <c r="E19">
        <v>17780</v>
      </c>
      <c r="F19" s="20"/>
      <c r="G19" s="46"/>
      <c r="I19" s="20"/>
      <c r="J19" s="6"/>
      <c r="K19">
        <v>38440</v>
      </c>
    </row>
    <row r="20" spans="2:29" x14ac:dyDescent="0.25">
      <c r="B20">
        <v>3</v>
      </c>
      <c r="C20" s="20"/>
      <c r="D20">
        <v>174</v>
      </c>
      <c r="E20">
        <v>18160</v>
      </c>
      <c r="F20" s="20"/>
      <c r="G20" s="46"/>
      <c r="I20" s="20"/>
      <c r="J20" s="6"/>
    </row>
    <row r="21" spans="2:29" x14ac:dyDescent="0.25">
      <c r="C21" s="20"/>
      <c r="D21">
        <v>175</v>
      </c>
      <c r="E21">
        <v>9080</v>
      </c>
      <c r="F21" s="20"/>
      <c r="G21" s="46"/>
      <c r="I21" s="20"/>
      <c r="J21" s="53"/>
      <c r="K21">
        <v>25900</v>
      </c>
      <c r="P21" s="11"/>
      <c r="Z21" s="8"/>
    </row>
    <row r="22" spans="2:29" x14ac:dyDescent="0.25">
      <c r="B22">
        <v>4</v>
      </c>
      <c r="C22" s="20"/>
      <c r="D22">
        <v>176</v>
      </c>
      <c r="E22">
        <v>21820</v>
      </c>
      <c r="F22" s="20"/>
      <c r="G22" s="46"/>
      <c r="I22" s="20"/>
      <c r="J22" s="6"/>
      <c r="Z22" s="8"/>
    </row>
    <row r="23" spans="2:29" x14ac:dyDescent="0.25">
      <c r="C23" s="20"/>
      <c r="D23">
        <v>177</v>
      </c>
      <c r="E23">
        <v>12760</v>
      </c>
      <c r="F23" s="20"/>
      <c r="G23" s="46"/>
      <c r="I23" s="20"/>
      <c r="J23" s="6"/>
      <c r="K23">
        <v>35480</v>
      </c>
      <c r="S23" s="11"/>
      <c r="AA23" s="6"/>
    </row>
    <row r="24" spans="2:29" x14ac:dyDescent="0.25">
      <c r="B24">
        <v>5</v>
      </c>
      <c r="C24" s="20"/>
      <c r="D24">
        <v>178</v>
      </c>
      <c r="E24">
        <v>23620</v>
      </c>
      <c r="F24" s="20"/>
      <c r="G24" s="46"/>
      <c r="I24" s="20"/>
      <c r="J24" s="6"/>
      <c r="S24" s="11"/>
    </row>
    <row r="25" spans="2:29" x14ac:dyDescent="0.25">
      <c r="C25" s="20"/>
      <c r="D25">
        <v>179</v>
      </c>
      <c r="E25">
        <v>11380</v>
      </c>
      <c r="F25" s="20"/>
      <c r="G25" s="46"/>
      <c r="I25" s="20"/>
      <c r="J25" s="6"/>
      <c r="K25">
        <v>34460</v>
      </c>
      <c r="S25" s="11"/>
    </row>
    <row r="26" spans="2:29" x14ac:dyDescent="0.25">
      <c r="B26">
        <v>6</v>
      </c>
      <c r="C26" s="20"/>
      <c r="D26">
        <v>180</v>
      </c>
      <c r="E26">
        <v>20080</v>
      </c>
      <c r="F26" s="20"/>
      <c r="G26" s="46"/>
      <c r="I26" s="20"/>
      <c r="J26" s="53"/>
    </row>
    <row r="27" spans="2:29" x14ac:dyDescent="0.25">
      <c r="C27" s="20"/>
      <c r="D27">
        <v>181</v>
      </c>
      <c r="E27">
        <v>14040</v>
      </c>
      <c r="F27" s="20"/>
      <c r="G27" s="46"/>
      <c r="I27" s="20"/>
      <c r="J27" s="6"/>
      <c r="K27">
        <v>34100</v>
      </c>
    </row>
    <row r="28" spans="2:29" x14ac:dyDescent="0.25">
      <c r="B28">
        <v>7</v>
      </c>
      <c r="C28" s="20"/>
      <c r="D28">
        <v>182</v>
      </c>
      <c r="E28">
        <v>19360</v>
      </c>
      <c r="F28" s="20"/>
      <c r="G28" s="46">
        <v>651</v>
      </c>
      <c r="H28">
        <v>9580</v>
      </c>
      <c r="I28" s="20"/>
      <c r="J28" s="53"/>
      <c r="K28">
        <v>29900</v>
      </c>
    </row>
    <row r="29" spans="2:29" x14ac:dyDescent="0.25">
      <c r="B29">
        <v>8</v>
      </c>
      <c r="C29" s="20"/>
      <c r="D29">
        <v>183</v>
      </c>
      <c r="E29">
        <v>19980</v>
      </c>
      <c r="F29" s="20"/>
      <c r="G29" s="46" t="s">
        <v>104</v>
      </c>
      <c r="H29">
        <v>17500</v>
      </c>
      <c r="I29" s="20"/>
      <c r="J29" s="53"/>
      <c r="K29">
        <v>36540</v>
      </c>
      <c r="O29" s="11"/>
      <c r="P29" s="11"/>
      <c r="AA29" s="6"/>
      <c r="AC29" s="8"/>
    </row>
    <row r="30" spans="2:29" x14ac:dyDescent="0.25">
      <c r="B30">
        <v>9</v>
      </c>
      <c r="C30" s="20"/>
      <c r="D30">
        <v>184</v>
      </c>
      <c r="E30">
        <v>7860</v>
      </c>
      <c r="F30" s="20"/>
      <c r="G30" s="46">
        <v>653</v>
      </c>
      <c r="H30">
        <v>10160</v>
      </c>
      <c r="I30" s="20"/>
      <c r="J30" s="53"/>
      <c r="K30">
        <v>21360</v>
      </c>
      <c r="Z30" s="8"/>
      <c r="AB30" s="8"/>
    </row>
    <row r="31" spans="2:29" x14ac:dyDescent="0.25">
      <c r="B31">
        <v>10</v>
      </c>
      <c r="C31" s="20"/>
      <c r="D31">
        <v>185</v>
      </c>
      <c r="E31">
        <v>16940</v>
      </c>
      <c r="F31" s="20"/>
      <c r="G31" s="46">
        <v>654</v>
      </c>
      <c r="H31">
        <v>15600</v>
      </c>
      <c r="I31" s="20"/>
      <c r="J31" s="6"/>
      <c r="K31">
        <v>30380</v>
      </c>
      <c r="P31" s="11"/>
      <c r="AA31" s="6"/>
    </row>
    <row r="32" spans="2:29" x14ac:dyDescent="0.25">
      <c r="B32">
        <v>11</v>
      </c>
      <c r="C32" s="20"/>
      <c r="D32">
        <v>186</v>
      </c>
      <c r="E32">
        <v>20780</v>
      </c>
      <c r="F32" s="20"/>
      <c r="G32" s="46">
        <v>655</v>
      </c>
      <c r="H32">
        <v>10960</v>
      </c>
      <c r="I32" s="20"/>
      <c r="J32" s="53"/>
      <c r="K32">
        <v>33460</v>
      </c>
      <c r="Z32" s="8"/>
      <c r="AB32" s="8"/>
    </row>
    <row r="33" spans="2:28" x14ac:dyDescent="0.25">
      <c r="B33">
        <v>12</v>
      </c>
      <c r="C33" s="20"/>
      <c r="D33">
        <v>187</v>
      </c>
      <c r="E33">
        <v>18620</v>
      </c>
      <c r="F33" s="20"/>
      <c r="G33" s="46">
        <v>656</v>
      </c>
      <c r="H33">
        <v>11520</v>
      </c>
      <c r="I33" s="20"/>
      <c r="J33" s="53"/>
      <c r="K33">
        <v>30180</v>
      </c>
      <c r="M33" s="11"/>
      <c r="N33" s="11"/>
      <c r="AA33" s="6"/>
    </row>
    <row r="34" spans="2:28" x14ac:dyDescent="0.25">
      <c r="B34">
        <v>13</v>
      </c>
      <c r="C34" s="20"/>
      <c r="D34">
        <v>188</v>
      </c>
      <c r="E34">
        <v>22640</v>
      </c>
      <c r="F34" s="20"/>
      <c r="G34" s="46" t="s">
        <v>105</v>
      </c>
      <c r="H34">
        <v>14960</v>
      </c>
      <c r="I34" s="20"/>
      <c r="J34" s="6"/>
      <c r="K34">
        <v>37800</v>
      </c>
      <c r="N34" s="11"/>
      <c r="Z34" s="8"/>
      <c r="AB34" s="8"/>
    </row>
    <row r="35" spans="2:28" x14ac:dyDescent="0.25">
      <c r="B35">
        <v>14</v>
      </c>
      <c r="C35" s="20"/>
      <c r="D35">
        <v>189</v>
      </c>
      <c r="E35">
        <v>13980</v>
      </c>
      <c r="F35" s="20"/>
      <c r="G35" s="46" t="s">
        <v>106</v>
      </c>
      <c r="H35">
        <v>19560</v>
      </c>
      <c r="I35" s="20"/>
      <c r="J35" s="53"/>
      <c r="K35">
        <v>35340</v>
      </c>
      <c r="N35" s="11"/>
      <c r="AA35" s="6"/>
    </row>
    <row r="36" spans="2:28" x14ac:dyDescent="0.25">
      <c r="B36">
        <v>15</v>
      </c>
      <c r="C36" s="20"/>
      <c r="D36">
        <v>190</v>
      </c>
      <c r="E36">
        <v>16340</v>
      </c>
      <c r="F36" s="20"/>
      <c r="G36" s="46">
        <v>659</v>
      </c>
      <c r="H36">
        <v>17280</v>
      </c>
      <c r="I36" s="20"/>
      <c r="J36" s="6"/>
      <c r="K36">
        <v>30220</v>
      </c>
    </row>
    <row r="37" spans="2:28" x14ac:dyDescent="0.25">
      <c r="B37">
        <v>16</v>
      </c>
      <c r="C37" s="20"/>
      <c r="D37">
        <v>191</v>
      </c>
      <c r="E37">
        <v>9320</v>
      </c>
      <c r="F37" s="20"/>
      <c r="G37" s="46">
        <v>660</v>
      </c>
      <c r="H37">
        <v>12780</v>
      </c>
      <c r="I37" s="20"/>
      <c r="J37" s="53"/>
      <c r="K37">
        <v>23500</v>
      </c>
      <c r="M37" s="11"/>
      <c r="P37" s="11"/>
      <c r="Z37" s="8"/>
      <c r="AB37" s="8"/>
    </row>
    <row r="38" spans="2:28" x14ac:dyDescent="0.25">
      <c r="B38">
        <v>17</v>
      </c>
      <c r="C38" s="20"/>
      <c r="D38">
        <v>192</v>
      </c>
      <c r="E38">
        <v>15300</v>
      </c>
      <c r="F38" s="20"/>
      <c r="G38" s="46">
        <v>661</v>
      </c>
      <c r="H38">
        <v>14020</v>
      </c>
      <c r="I38" s="20"/>
      <c r="J38" s="53"/>
      <c r="K38">
        <v>30440</v>
      </c>
      <c r="M38" s="11"/>
      <c r="P38" s="11"/>
      <c r="AA38" s="6"/>
    </row>
    <row r="39" spans="2:28" x14ac:dyDescent="0.25">
      <c r="B39">
        <v>18</v>
      </c>
      <c r="C39" s="20"/>
      <c r="D39" t="s">
        <v>107</v>
      </c>
      <c r="E39">
        <v>12320</v>
      </c>
      <c r="F39" s="20"/>
      <c r="G39" s="46">
        <v>662</v>
      </c>
      <c r="H39">
        <v>18460</v>
      </c>
      <c r="I39" s="20"/>
      <c r="J39" s="53"/>
      <c r="K39">
        <v>13060</v>
      </c>
      <c r="M39">
        <v>16260</v>
      </c>
      <c r="Z39" s="8"/>
      <c r="AB39" s="8"/>
    </row>
    <row r="40" spans="2:28" x14ac:dyDescent="0.25">
      <c r="B40">
        <v>19</v>
      </c>
      <c r="C40" s="20"/>
      <c r="D40" s="37">
        <v>194</v>
      </c>
      <c r="E40">
        <v>19180</v>
      </c>
      <c r="F40" s="20"/>
      <c r="G40" s="46" t="s">
        <v>108</v>
      </c>
      <c r="H40">
        <v>11860</v>
      </c>
      <c r="I40" s="20"/>
      <c r="J40" s="53"/>
      <c r="M40">
        <v>31120</v>
      </c>
    </row>
    <row r="41" spans="2:28" x14ac:dyDescent="0.25">
      <c r="B41">
        <v>20</v>
      </c>
      <c r="C41" s="20"/>
      <c r="D41" s="37"/>
      <c r="F41" s="20"/>
      <c r="G41" s="46">
        <v>664</v>
      </c>
      <c r="H41">
        <v>5580</v>
      </c>
      <c r="I41" s="20"/>
      <c r="J41" s="53"/>
      <c r="M41">
        <v>12720</v>
      </c>
    </row>
    <row r="42" spans="2:28" x14ac:dyDescent="0.25">
      <c r="B42">
        <v>21</v>
      </c>
      <c r="C42" s="20"/>
      <c r="D42" s="37">
        <v>195</v>
      </c>
      <c r="E42">
        <v>12200</v>
      </c>
      <c r="F42" s="20"/>
      <c r="G42" s="46" t="s">
        <v>109</v>
      </c>
      <c r="H42">
        <v>20340</v>
      </c>
      <c r="I42" s="20"/>
      <c r="J42" s="53"/>
      <c r="O42">
        <v>27560</v>
      </c>
    </row>
    <row r="43" spans="2:28" x14ac:dyDescent="0.25">
      <c r="B43">
        <v>22</v>
      </c>
      <c r="C43" s="20"/>
      <c r="D43" s="37">
        <v>196</v>
      </c>
      <c r="E43">
        <v>13020</v>
      </c>
      <c r="F43" s="20"/>
      <c r="G43" s="46">
        <v>667</v>
      </c>
      <c r="H43">
        <v>17600</v>
      </c>
      <c r="I43" s="20"/>
      <c r="J43" s="53"/>
      <c r="O43">
        <v>30100</v>
      </c>
    </row>
    <row r="44" spans="2:28" x14ac:dyDescent="0.25">
      <c r="B44">
        <v>23</v>
      </c>
      <c r="C44" s="20"/>
      <c r="D44" s="37">
        <v>197</v>
      </c>
      <c r="E44">
        <v>14420</v>
      </c>
      <c r="F44" s="20"/>
      <c r="G44" s="46">
        <v>668</v>
      </c>
      <c r="H44">
        <v>18980</v>
      </c>
      <c r="I44" s="20"/>
      <c r="J44" s="53"/>
      <c r="O44">
        <v>32620</v>
      </c>
    </row>
    <row r="45" spans="2:28" x14ac:dyDescent="0.25">
      <c r="B45">
        <v>24</v>
      </c>
      <c r="C45" s="20"/>
      <c r="D45" s="37">
        <v>198</v>
      </c>
      <c r="E45">
        <v>14740</v>
      </c>
      <c r="F45" s="20"/>
      <c r="G45" s="46">
        <v>669</v>
      </c>
      <c r="H45">
        <v>17860</v>
      </c>
      <c r="I45" s="20"/>
      <c r="J45" s="53"/>
      <c r="O45">
        <v>34420</v>
      </c>
    </row>
    <row r="46" spans="2:28" x14ac:dyDescent="0.25">
      <c r="B46">
        <v>25</v>
      </c>
      <c r="C46" s="20"/>
      <c r="D46" s="37">
        <v>199</v>
      </c>
      <c r="E46">
        <v>20140</v>
      </c>
      <c r="F46" s="20"/>
      <c r="G46" s="46" t="s">
        <v>110</v>
      </c>
      <c r="H46">
        <v>18100</v>
      </c>
      <c r="I46" s="20"/>
      <c r="J46" s="53"/>
      <c r="O46">
        <v>38800</v>
      </c>
    </row>
    <row r="47" spans="2:28" x14ac:dyDescent="0.25">
      <c r="B47">
        <v>26</v>
      </c>
      <c r="C47" s="20"/>
      <c r="D47">
        <v>200</v>
      </c>
      <c r="E47">
        <v>21300</v>
      </c>
      <c r="F47" s="20"/>
      <c r="G47" s="46" t="s">
        <v>111</v>
      </c>
      <c r="H47">
        <v>12900</v>
      </c>
      <c r="I47" s="20"/>
      <c r="J47" s="53"/>
      <c r="O47">
        <v>34300</v>
      </c>
    </row>
    <row r="48" spans="2:28" x14ac:dyDescent="0.25">
      <c r="B48">
        <v>27</v>
      </c>
      <c r="C48" s="20"/>
      <c r="D48" s="37">
        <v>201</v>
      </c>
      <c r="E48">
        <v>12680</v>
      </c>
      <c r="F48" s="20"/>
      <c r="G48" s="46">
        <v>672</v>
      </c>
      <c r="H48">
        <v>20820</v>
      </c>
      <c r="I48" s="20"/>
      <c r="J48" s="53"/>
      <c r="O48">
        <v>38480</v>
      </c>
    </row>
    <row r="49" spans="2:19" x14ac:dyDescent="0.25">
      <c r="C49" s="20"/>
      <c r="D49" s="54"/>
      <c r="E49" s="59"/>
      <c r="F49" s="56"/>
      <c r="G49" s="46">
        <v>673</v>
      </c>
      <c r="H49">
        <v>5540</v>
      </c>
      <c r="I49" s="20"/>
      <c r="J49" s="53"/>
      <c r="Q49">
        <v>5540</v>
      </c>
    </row>
    <row r="50" spans="2:19" x14ac:dyDescent="0.25">
      <c r="C50" s="20"/>
      <c r="D50" s="37"/>
      <c r="E50" s="11"/>
      <c r="F50" s="20"/>
      <c r="G50" s="46">
        <v>674</v>
      </c>
      <c r="H50">
        <v>14460</v>
      </c>
      <c r="I50" s="20"/>
      <c r="J50" s="53"/>
    </row>
    <row r="51" spans="2:19" x14ac:dyDescent="0.25">
      <c r="C51" s="20"/>
      <c r="D51" s="50"/>
      <c r="E51" s="11"/>
      <c r="F51" s="20"/>
      <c r="G51" s="46" t="s">
        <v>112</v>
      </c>
      <c r="H51">
        <v>17080</v>
      </c>
      <c r="I51" s="20"/>
      <c r="J51" s="53"/>
      <c r="Q51">
        <v>31520</v>
      </c>
    </row>
    <row r="52" spans="2:19" x14ac:dyDescent="0.25">
      <c r="C52" s="20"/>
      <c r="D52" s="37"/>
      <c r="E52" s="11"/>
      <c r="F52" s="20"/>
      <c r="G52" s="46"/>
      <c r="H52" s="11"/>
      <c r="I52" s="20"/>
      <c r="J52" s="53"/>
    </row>
    <row r="53" spans="2:19" x14ac:dyDescent="0.25">
      <c r="B53" s="64">
        <v>43962</v>
      </c>
      <c r="C53" s="20"/>
      <c r="D53" s="37"/>
      <c r="E53" s="11"/>
      <c r="F53" s="20"/>
      <c r="G53" s="46"/>
      <c r="H53" s="11"/>
      <c r="I53" s="20"/>
      <c r="J53" s="53"/>
    </row>
    <row r="54" spans="2:19" x14ac:dyDescent="0.25">
      <c r="C54" s="20"/>
      <c r="D54" s="37"/>
      <c r="E54" s="11"/>
      <c r="F54" s="20"/>
      <c r="G54" s="46"/>
      <c r="H54" s="11"/>
      <c r="I54" s="20"/>
      <c r="J54" s="53"/>
      <c r="S54">
        <v>34700</v>
      </c>
    </row>
    <row r="55" spans="2:19" x14ac:dyDescent="0.25">
      <c r="C55" s="20"/>
      <c r="D55" s="37"/>
      <c r="E55" s="11"/>
      <c r="F55" s="20"/>
      <c r="G55" s="46"/>
      <c r="H55" s="11"/>
      <c r="I55" s="20"/>
      <c r="J55" s="53"/>
      <c r="S55">
        <v>36780</v>
      </c>
    </row>
    <row r="56" spans="2:19" x14ac:dyDescent="0.25">
      <c r="C56" s="20"/>
      <c r="D56" s="37"/>
      <c r="E56" s="11"/>
      <c r="F56" s="20"/>
      <c r="G56" s="46"/>
      <c r="H56" s="11"/>
      <c r="I56" s="20"/>
      <c r="J56" s="53"/>
      <c r="S56">
        <v>14560</v>
      </c>
    </row>
    <row r="57" spans="2:19" x14ac:dyDescent="0.25">
      <c r="C57" s="20"/>
      <c r="D57" s="37"/>
      <c r="E57" s="11"/>
      <c r="F57" s="20"/>
      <c r="G57" s="46"/>
      <c r="H57" s="11"/>
      <c r="I57" s="20"/>
      <c r="J57" s="53"/>
    </row>
    <row r="58" spans="2:19" x14ac:dyDescent="0.25">
      <c r="C58" s="20"/>
      <c r="D58" s="37"/>
      <c r="F58" s="20"/>
      <c r="G58" s="46"/>
      <c r="H58" s="11"/>
      <c r="I58" s="20"/>
      <c r="J58" s="53"/>
    </row>
    <row r="59" spans="2:19" x14ac:dyDescent="0.25">
      <c r="B59">
        <v>1</v>
      </c>
      <c r="C59" s="20"/>
      <c r="D59" s="37">
        <v>234</v>
      </c>
      <c r="E59">
        <v>15940</v>
      </c>
      <c r="F59" s="20"/>
      <c r="G59" s="46">
        <v>745</v>
      </c>
      <c r="H59">
        <v>17720</v>
      </c>
      <c r="I59" s="20"/>
      <c r="J59" s="53"/>
      <c r="S59">
        <f>H59+E59</f>
        <v>33660</v>
      </c>
    </row>
    <row r="60" spans="2:19" x14ac:dyDescent="0.25">
      <c r="B60">
        <v>2</v>
      </c>
      <c r="C60" s="20"/>
      <c r="D60" s="50">
        <v>235</v>
      </c>
      <c r="E60" t="s">
        <v>113</v>
      </c>
      <c r="F60" s="20"/>
      <c r="G60" s="46">
        <v>746</v>
      </c>
      <c r="H60" t="s">
        <v>113</v>
      </c>
      <c r="I60" s="20"/>
      <c r="J60" s="53"/>
      <c r="S60" s="60">
        <v>10000</v>
      </c>
    </row>
    <row r="61" spans="2:19" x14ac:dyDescent="0.25">
      <c r="B61">
        <v>3</v>
      </c>
      <c r="C61" s="20"/>
      <c r="D61" s="50">
        <v>236</v>
      </c>
      <c r="E61" t="s">
        <v>114</v>
      </c>
      <c r="F61" s="20"/>
      <c r="G61" s="46">
        <v>747</v>
      </c>
      <c r="H61" t="s">
        <v>114</v>
      </c>
      <c r="I61" s="20"/>
      <c r="J61" s="53"/>
      <c r="S61">
        <v>33240</v>
      </c>
    </row>
    <row r="62" spans="2:19" x14ac:dyDescent="0.25">
      <c r="B62">
        <v>4</v>
      </c>
      <c r="C62" s="20"/>
      <c r="D62" s="37">
        <v>237</v>
      </c>
      <c r="E62">
        <v>13980</v>
      </c>
      <c r="F62" s="20"/>
      <c r="G62" s="46">
        <v>748</v>
      </c>
      <c r="H62">
        <v>16080</v>
      </c>
      <c r="I62" s="20"/>
      <c r="J62" s="53"/>
      <c r="S62">
        <v>30500</v>
      </c>
    </row>
    <row r="63" spans="2:19" x14ac:dyDescent="0.25">
      <c r="B63">
        <v>5</v>
      </c>
      <c r="C63" s="20"/>
      <c r="D63" s="37">
        <v>238</v>
      </c>
      <c r="E63">
        <v>15280</v>
      </c>
      <c r="F63" s="20"/>
      <c r="G63" s="46">
        <v>749</v>
      </c>
      <c r="H63">
        <v>15660</v>
      </c>
      <c r="I63" s="20"/>
      <c r="J63" s="53"/>
      <c r="S63">
        <v>31180</v>
      </c>
    </row>
    <row r="64" spans="2:19" x14ac:dyDescent="0.25">
      <c r="B64">
        <v>6</v>
      </c>
      <c r="C64" s="20"/>
      <c r="D64" s="50">
        <v>239</v>
      </c>
      <c r="E64">
        <v>15000</v>
      </c>
      <c r="F64" s="20"/>
      <c r="G64" s="46">
        <v>750</v>
      </c>
      <c r="H64">
        <v>15040</v>
      </c>
      <c r="I64" s="20"/>
      <c r="J64" s="53"/>
      <c r="S64">
        <v>30320</v>
      </c>
    </row>
    <row r="65" spans="2:19" x14ac:dyDescent="0.25">
      <c r="B65">
        <v>7</v>
      </c>
      <c r="C65" s="20"/>
      <c r="D65" s="37">
        <v>240</v>
      </c>
      <c r="E65">
        <v>14280</v>
      </c>
      <c r="F65" s="20"/>
      <c r="G65" s="46">
        <v>751</v>
      </c>
      <c r="H65">
        <v>14020</v>
      </c>
      <c r="I65" s="20"/>
      <c r="J65" s="53"/>
      <c r="S65">
        <v>28500</v>
      </c>
    </row>
    <row r="66" spans="2:19" x14ac:dyDescent="0.25">
      <c r="B66">
        <v>8</v>
      </c>
      <c r="C66" s="20"/>
      <c r="D66" s="37">
        <v>241</v>
      </c>
      <c r="E66">
        <v>12960</v>
      </c>
      <c r="F66" s="20"/>
      <c r="G66" s="46">
        <v>752</v>
      </c>
      <c r="H66">
        <v>13940</v>
      </c>
      <c r="I66" s="20"/>
      <c r="J66" s="53"/>
      <c r="S66">
        <v>26740</v>
      </c>
    </row>
    <row r="67" spans="2:19" x14ac:dyDescent="0.25">
      <c r="B67">
        <v>9</v>
      </c>
      <c r="C67" s="20"/>
      <c r="D67" s="37">
        <v>242</v>
      </c>
      <c r="E67">
        <v>2480</v>
      </c>
      <c r="F67" s="20"/>
      <c r="G67" s="46">
        <v>753</v>
      </c>
      <c r="H67">
        <v>13300</v>
      </c>
      <c r="I67" s="20"/>
      <c r="J67" s="53"/>
    </row>
    <row r="68" spans="2:19" x14ac:dyDescent="0.25">
      <c r="C68" s="20"/>
      <c r="D68" s="37"/>
      <c r="F68" s="20"/>
      <c r="G68" s="46">
        <v>754</v>
      </c>
      <c r="H68">
        <v>13640</v>
      </c>
      <c r="I68" s="20"/>
      <c r="J68" s="53"/>
      <c r="S68">
        <v>29580</v>
      </c>
    </row>
    <row r="69" spans="2:19" x14ac:dyDescent="0.25">
      <c r="B69">
        <v>10</v>
      </c>
      <c r="C69" s="20"/>
      <c r="D69" s="37">
        <v>243</v>
      </c>
      <c r="E69">
        <v>12340</v>
      </c>
      <c r="F69" s="20"/>
      <c r="G69" s="46">
        <v>755</v>
      </c>
      <c r="H69">
        <v>15620</v>
      </c>
      <c r="I69" s="20"/>
      <c r="J69" s="53"/>
      <c r="S69">
        <v>27880</v>
      </c>
    </row>
    <row r="70" spans="2:19" x14ac:dyDescent="0.25">
      <c r="B70">
        <v>11</v>
      </c>
      <c r="C70" s="20"/>
      <c r="D70" s="37">
        <v>244</v>
      </c>
      <c r="E70">
        <v>2420</v>
      </c>
      <c r="F70" s="20"/>
      <c r="G70" s="46">
        <v>756</v>
      </c>
      <c r="H70">
        <v>14480</v>
      </c>
      <c r="I70" s="20"/>
      <c r="J70" s="53"/>
    </row>
    <row r="71" spans="2:19" x14ac:dyDescent="0.25">
      <c r="C71" s="20"/>
      <c r="D71" s="37"/>
      <c r="F71" s="20"/>
      <c r="G71" s="46">
        <v>757</v>
      </c>
      <c r="H71">
        <v>11860</v>
      </c>
      <c r="I71" s="20"/>
      <c r="J71" s="53"/>
      <c r="S71">
        <v>28740</v>
      </c>
    </row>
    <row r="72" spans="2:19" x14ac:dyDescent="0.25">
      <c r="B72">
        <v>12</v>
      </c>
      <c r="C72" s="20"/>
      <c r="D72" s="37"/>
      <c r="F72" s="20"/>
      <c r="G72" s="46">
        <v>758</v>
      </c>
      <c r="H72">
        <v>10320</v>
      </c>
      <c r="J72" s="45"/>
      <c r="S72">
        <v>10260</v>
      </c>
    </row>
    <row r="73" spans="2:19" x14ac:dyDescent="0.25">
      <c r="C73" s="20"/>
      <c r="D73" s="37"/>
      <c r="F73" s="20"/>
      <c r="G73" s="46"/>
      <c r="J73" s="45"/>
    </row>
    <row r="74" spans="2:19" x14ac:dyDescent="0.25">
      <c r="C74" s="20"/>
      <c r="D74" s="37"/>
      <c r="F74" s="20"/>
      <c r="G74" s="46"/>
      <c r="J74" s="45"/>
    </row>
    <row r="75" spans="2:19" x14ac:dyDescent="0.25">
      <c r="C75" s="20"/>
      <c r="D75" s="37"/>
      <c r="F75" s="20"/>
      <c r="G75" s="46"/>
      <c r="J75" s="45"/>
    </row>
    <row r="76" spans="2:19" x14ac:dyDescent="0.25">
      <c r="C76" s="20"/>
      <c r="D76" s="37"/>
      <c r="F76" s="20"/>
      <c r="G76" s="46"/>
      <c r="J76" s="45"/>
    </row>
    <row r="77" spans="2:19" x14ac:dyDescent="0.25">
      <c r="C77" s="20"/>
      <c r="D77" s="37"/>
      <c r="F77" s="20"/>
      <c r="G77" s="46"/>
      <c r="J77" s="45"/>
    </row>
    <row r="78" spans="2:19" x14ac:dyDescent="0.25">
      <c r="C78" s="20"/>
      <c r="D78" s="37"/>
      <c r="F78" s="20"/>
      <c r="G78" s="46"/>
      <c r="J78" s="45"/>
    </row>
    <row r="79" spans="2:19" x14ac:dyDescent="0.25">
      <c r="C79" s="20"/>
      <c r="D79" s="37"/>
      <c r="F79" s="20"/>
      <c r="G79" s="46"/>
      <c r="J79" s="45"/>
    </row>
    <row r="80" spans="2:19" x14ac:dyDescent="0.25">
      <c r="C80" s="20"/>
      <c r="D80" s="37"/>
      <c r="F80" s="20"/>
      <c r="G80" s="46"/>
      <c r="J80" s="45"/>
    </row>
    <row r="81" spans="3:29" x14ac:dyDescent="0.25">
      <c r="C81" s="20"/>
      <c r="D81" s="37"/>
      <c r="F81" s="20"/>
      <c r="G81" s="46"/>
      <c r="J81" s="45"/>
    </row>
    <row r="82" spans="3:29" x14ac:dyDescent="0.25">
      <c r="C82" s="20"/>
      <c r="D82" s="37"/>
      <c r="F82" s="20"/>
      <c r="G82" s="46"/>
      <c r="J82" s="45"/>
    </row>
    <row r="83" spans="3:29" x14ac:dyDescent="0.25">
      <c r="C83" s="20"/>
      <c r="D83" s="37"/>
      <c r="F83" s="20"/>
      <c r="G83" s="46"/>
      <c r="J83" s="45"/>
    </row>
    <row r="84" spans="3:29" x14ac:dyDescent="0.25">
      <c r="C84" s="20"/>
      <c r="D84" s="37"/>
      <c r="F84" s="20"/>
      <c r="G84" s="46"/>
      <c r="J84" s="45"/>
    </row>
    <row r="85" spans="3:29" x14ac:dyDescent="0.25">
      <c r="C85" s="20"/>
      <c r="D85" s="37"/>
      <c r="F85" s="20"/>
      <c r="G85" s="46"/>
      <c r="J85" s="45"/>
    </row>
    <row r="86" spans="3:29" x14ac:dyDescent="0.25">
      <c r="C86" s="20"/>
      <c r="D86" s="37"/>
      <c r="F86" s="20"/>
      <c r="G86" s="46"/>
      <c r="J86" s="45"/>
    </row>
    <row r="87" spans="3:29" x14ac:dyDescent="0.25">
      <c r="C87" s="20"/>
      <c r="D87" s="37"/>
      <c r="F87" s="20"/>
      <c r="G87" s="46"/>
      <c r="J87" s="45"/>
    </row>
    <row r="88" spans="3:29" x14ac:dyDescent="0.25">
      <c r="C88" s="20"/>
      <c r="D88" s="37"/>
      <c r="F88" s="20"/>
      <c r="G88" s="46"/>
      <c r="J88" s="45"/>
    </row>
    <row r="89" spans="3:29" x14ac:dyDescent="0.25">
      <c r="C89" s="20"/>
      <c r="D89" s="37"/>
      <c r="F89" s="20"/>
      <c r="G89" s="46"/>
      <c r="J89" s="45"/>
      <c r="AA89" s="6"/>
      <c r="AC89" s="8"/>
    </row>
    <row r="90" spans="3:29" x14ac:dyDescent="0.25">
      <c r="C90" s="20"/>
      <c r="D90" s="37"/>
      <c r="F90" s="20"/>
      <c r="G90" s="46"/>
      <c r="J90" s="37"/>
    </row>
    <row r="91" spans="3:29" x14ac:dyDescent="0.25">
      <c r="C91" s="20"/>
      <c r="D91" s="37"/>
      <c r="F91" s="20"/>
      <c r="G91" s="46"/>
      <c r="J91" s="37"/>
    </row>
    <row r="92" spans="3:29" x14ac:dyDescent="0.25">
      <c r="C92" s="20"/>
      <c r="D92" s="37"/>
      <c r="F92" s="20"/>
      <c r="G92" s="46"/>
      <c r="J92" s="37"/>
    </row>
    <row r="93" spans="3:29" x14ac:dyDescent="0.25">
      <c r="C93" s="20"/>
      <c r="D93" s="37"/>
      <c r="F93" s="20"/>
      <c r="G93" s="46"/>
      <c r="J93" s="37"/>
    </row>
    <row r="94" spans="3:29" x14ac:dyDescent="0.25">
      <c r="C94" s="20"/>
      <c r="D94" s="37"/>
      <c r="F94" s="20"/>
      <c r="G94" s="46"/>
      <c r="J94" s="37"/>
    </row>
    <row r="95" spans="3:29" x14ac:dyDescent="0.25">
      <c r="C95" s="20"/>
      <c r="D95" s="37"/>
      <c r="F95" s="20"/>
      <c r="G95" s="46"/>
      <c r="J95" s="37"/>
    </row>
    <row r="96" spans="3:29" x14ac:dyDescent="0.25">
      <c r="C96" s="20"/>
      <c r="D96" s="37"/>
      <c r="F96" s="20"/>
      <c r="G96" s="46"/>
      <c r="J96" s="37"/>
    </row>
    <row r="97" spans="3:10" x14ac:dyDescent="0.25">
      <c r="C97" s="20"/>
      <c r="D97" s="37"/>
      <c r="F97" s="20"/>
      <c r="G97" s="46"/>
      <c r="J97" s="37"/>
    </row>
    <row r="98" spans="3:10" x14ac:dyDescent="0.25">
      <c r="C98" s="20"/>
      <c r="D98" s="37"/>
      <c r="F98" s="20"/>
      <c r="G98" s="46"/>
      <c r="J98" s="37"/>
    </row>
    <row r="99" spans="3:10" x14ac:dyDescent="0.25">
      <c r="D99" s="37"/>
      <c r="F99" s="20"/>
      <c r="G99" s="46"/>
      <c r="J99" s="37"/>
    </row>
    <row r="100" spans="3:10" x14ac:dyDescent="0.25">
      <c r="D100" s="37"/>
      <c r="F100" s="20"/>
      <c r="G100" s="46"/>
      <c r="J100" s="37"/>
    </row>
    <row r="101" spans="3:10" x14ac:dyDescent="0.25">
      <c r="D101" s="37"/>
      <c r="F101" s="20"/>
      <c r="G101" s="46"/>
      <c r="J101" s="37"/>
    </row>
    <row r="102" spans="3:10" x14ac:dyDescent="0.25">
      <c r="D102" s="37"/>
      <c r="F102" s="20"/>
      <c r="G102" s="46"/>
      <c r="J102" s="37"/>
    </row>
    <row r="103" spans="3:10" x14ac:dyDescent="0.25">
      <c r="D103" s="37"/>
      <c r="F103" s="20"/>
      <c r="G103" s="46"/>
      <c r="J103" s="37"/>
    </row>
    <row r="104" spans="3:10" x14ac:dyDescent="0.25">
      <c r="D104" s="37"/>
      <c r="F104" s="20"/>
      <c r="G104" s="46"/>
      <c r="J104" s="37"/>
    </row>
    <row r="105" spans="3:10" x14ac:dyDescent="0.25">
      <c r="D105" s="43"/>
      <c r="E105" s="51" t="s">
        <v>35</v>
      </c>
      <c r="F105" s="44"/>
      <c r="G105" s="57"/>
      <c r="H105" s="51" t="s">
        <v>35</v>
      </c>
      <c r="I105" s="51"/>
      <c r="J105" s="37"/>
    </row>
  </sheetData>
  <mergeCells count="30">
    <mergeCell ref="W12:X12"/>
    <mergeCell ref="E13:F13"/>
    <mergeCell ref="H13:I13"/>
    <mergeCell ref="K13:L13"/>
    <mergeCell ref="M13:N13"/>
    <mergeCell ref="O13:P13"/>
    <mergeCell ref="Q13:R13"/>
    <mergeCell ref="S13:T13"/>
    <mergeCell ref="U13:V13"/>
    <mergeCell ref="W13:X13"/>
    <mergeCell ref="K12:L12"/>
    <mergeCell ref="M12:N12"/>
    <mergeCell ref="O12:P12"/>
    <mergeCell ref="Q12:R12"/>
    <mergeCell ref="S12:T12"/>
    <mergeCell ref="U12:V12"/>
    <mergeCell ref="D10:F10"/>
    <mergeCell ref="G10:I10"/>
    <mergeCell ref="D11:F11"/>
    <mergeCell ref="G11:I11"/>
    <mergeCell ref="A12:B12"/>
    <mergeCell ref="D12:F12"/>
    <mergeCell ref="G12:I12"/>
    <mergeCell ref="H2:I2"/>
    <mergeCell ref="D3:E3"/>
    <mergeCell ref="H3:I3"/>
    <mergeCell ref="D4:E4"/>
    <mergeCell ref="D5:E5"/>
    <mergeCell ref="D9:F9"/>
    <mergeCell ref="G9:I9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A0BBCB019C34ABDB87831BC2CBA5D" ma:contentTypeVersion="12" ma:contentTypeDescription="Create a new document." ma:contentTypeScope="" ma:versionID="da8d8b25f7a2e9c3b561e3ea4bdb6aba">
  <xsd:schema xmlns:xsd="http://www.w3.org/2001/XMLSchema" xmlns:xs="http://www.w3.org/2001/XMLSchema" xmlns:p="http://schemas.microsoft.com/office/2006/metadata/properties" xmlns:ns2="b516bcd5-cf33-4949-889f-e83c806d5929" xmlns:ns3="26a48987-d481-4326-b381-a4e5ab034e43" targetNamespace="http://schemas.microsoft.com/office/2006/metadata/properties" ma:root="true" ma:fieldsID="74d1413749667cab4050353b45c4c2f2" ns2:_="" ns3:_="">
    <xsd:import namespace="b516bcd5-cf33-4949-889f-e83c806d5929"/>
    <xsd:import namespace="26a48987-d481-4326-b381-a4e5ab034e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6bcd5-cf33-4949-889f-e83c806d5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be3677b-87c5-40e8-ac02-d012efc35c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a48987-d481-4326-b381-a4e5ab034e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4983c7-7193-412d-afc9-9a09a86f0331}" ma:internalName="TaxCatchAll" ma:showField="CatchAllData" ma:web="26a48987-d481-4326-b381-a4e5ab034e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16bcd5-cf33-4949-889f-e83c806d5929">
      <Terms xmlns="http://schemas.microsoft.com/office/infopath/2007/PartnerControls"/>
    </lcf76f155ced4ddcb4097134ff3c332f>
    <TaxCatchAll xmlns="26a48987-d481-4326-b381-a4e5ab034e43" xsi:nil="true"/>
  </documentManagement>
</p:properties>
</file>

<file path=customXml/itemProps1.xml><?xml version="1.0" encoding="utf-8"?>
<ds:datastoreItem xmlns:ds="http://schemas.openxmlformats.org/officeDocument/2006/customXml" ds:itemID="{AA2B1304-B49E-4BBA-9FB9-4AA45CA45997}"/>
</file>

<file path=customXml/itemProps2.xml><?xml version="1.0" encoding="utf-8"?>
<ds:datastoreItem xmlns:ds="http://schemas.openxmlformats.org/officeDocument/2006/customXml" ds:itemID="{961463C0-A0E0-44A1-8F9B-B540B7BF1537}"/>
</file>

<file path=customXml/itemProps3.xml><?xml version="1.0" encoding="utf-8"?>
<ds:datastoreItem xmlns:ds="http://schemas.openxmlformats.org/officeDocument/2006/customXml" ds:itemID="{7D6CB464-0059-4C1B-86B2-0C7F22F176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F1</vt:lpstr>
      <vt:lpstr>F2</vt:lpstr>
      <vt:lpstr>F5</vt:lpstr>
      <vt:lpstr>6a</vt:lpstr>
      <vt:lpstr>F7</vt:lpstr>
      <vt:lpstr>F8</vt:lpstr>
      <vt:lpstr>F9</vt:lpstr>
      <vt:lpstr>F10</vt:lpstr>
      <vt:lpstr>F12</vt:lpstr>
      <vt:lpstr>F14</vt:lpstr>
      <vt:lpstr>F14 (2)</vt:lpstr>
      <vt:lpstr>F15</vt:lpstr>
      <vt:lpstr>F17</vt:lpstr>
      <vt:lpstr>F18</vt:lpstr>
      <vt:lpstr>F19A</vt:lpstr>
      <vt:lpstr>F19b</vt:lpstr>
      <vt:lpstr>F19D</vt:lpstr>
      <vt:lpstr>F21</vt:lpstr>
      <vt:lpstr>F22</vt:lpstr>
      <vt:lpstr>F25</vt:lpstr>
      <vt:lpstr>F26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Murray</dc:creator>
  <cp:lastModifiedBy>Murray</cp:lastModifiedBy>
  <dcterms:created xsi:type="dcterms:W3CDTF">2023-02-28T18:59:40Z</dcterms:created>
  <dcterms:modified xsi:type="dcterms:W3CDTF">2023-02-28T19:07:40Z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0x010100770A0BBCB019C34ABDB87831BC2CBA5D</vt:lpwstr>
  </property>
  <property fmtid="{D5CDD505-2E9C-101B-9397-08002B2CF9AE}" pid="3" name="Order">
    <vt:r8>6859000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